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2235" yWindow="135" windowWidth="20730" windowHeight="11760" activeTab="2"/>
  </bookViews>
  <sheets>
    <sheet name="7PSourceSummary" sheetId="14" r:id="rId1"/>
    <sheet name="forRPM" sheetId="30" r:id="rId2"/>
    <sheet name="SC-Retro" sheetId="6" r:id="rId3"/>
    <sheet name="Applicability" sheetId="28" r:id="rId4"/>
    <sheet name="M_Input_Out" sheetId="26" r:id="rId5"/>
    <sheet name="M_Input" sheetId="4" r:id="rId6"/>
    <sheet name="Segmented" sheetId="2" r:id="rId7"/>
    <sheet name="Weighting" sheetId="5" r:id="rId8"/>
    <sheet name="Composite" sheetId="3" r:id="rId9"/>
    <sheet name="Raw RTF" sheetId="1" r:id="rId10"/>
    <sheet name="MHshell" sheetId="27" r:id="rId11"/>
    <sheet name="RBSA Weights" sheetId="7" r:id="rId12"/>
    <sheet name="Achievements" sheetId="16" r:id="rId13"/>
    <sheet name="SEEM Results" sheetId="29" r:id="rId14"/>
    <sheet name="SEEMsavings" sheetId="24" r:id="rId15"/>
    <sheet name="Costs" sheetId="19" r:id="rId16"/>
    <sheet name="ETO SF Insulation Cost Data" sheetId="25" r:id="rId17"/>
    <sheet name="ETO MF Window Cost" sheetId="23" r:id="rId18"/>
  </sheets>
  <externalReferences>
    <externalReference r:id="rId19"/>
    <externalReference r:id="rId20"/>
    <externalReference r:id="rId21"/>
    <externalReference r:id="rId22"/>
  </externalReferences>
  <definedNames>
    <definedName name="_xlnm._FilterDatabase" localSheetId="8" hidden="1">Composite!$A$4:$DB$277</definedName>
    <definedName name="_xlnm._FilterDatabase" localSheetId="16" hidden="1">'ETO SF Insulation Cost Data'!$A$1:$O$3958</definedName>
    <definedName name="_xlnm._FilterDatabase" localSheetId="9" hidden="1">'Raw RTF'!$A$7:$DB$442</definedName>
    <definedName name="_Key1" localSheetId="0" hidden="1">#REF!</definedName>
    <definedName name="_Key1" localSheetId="16" hidden="1">#REF!</definedName>
    <definedName name="_Key1" localSheetId="1" hidden="1">#REF!</definedName>
    <definedName name="_Key1" localSheetId="14" hidden="1">#REF!</definedName>
    <definedName name="_Key1" hidden="1">#REF!</definedName>
    <definedName name="_Order1" hidden="1">255</definedName>
    <definedName name="_Sort" localSheetId="0" hidden="1">#REF!</definedName>
    <definedName name="_Sort" localSheetId="16" hidden="1">#REF!</definedName>
    <definedName name="_Sort" localSheetId="1" hidden="1">#REF!</definedName>
    <definedName name="_Sort" localSheetId="14" hidden="1">#REF!</definedName>
    <definedName name="_Sort" hidden="1">#REF!</definedName>
    <definedName name="anscount" hidden="1">1</definedName>
    <definedName name="AtticCost">'ETO SF Insulation Cost Data'!$F$3963</definedName>
    <definedName name="CBWorkbookPriority" hidden="1">-738590518</definedName>
    <definedName name="Deflator">'ETO SF Insulation Cost Data'!$F$3982</definedName>
    <definedName name="FloorCost">'ETO SF Insulation Cost Data'!$F$3969</definedName>
    <definedName name="limcount" hidden="1">1</definedName>
    <definedName name="MeasureOutput">M_Input_Out!$A$4:$AM$125</definedName>
    <definedName name="MHshell">MHshell!$A$1:$AI$322</definedName>
    <definedName name="ResBase">'[1]Res Forecast (Base Case)'!$C$14:$BD$61</definedName>
    <definedName name="sencount" hidden="1">1</definedName>
    <definedName name="sort" hidden="1">#REF!</definedName>
    <definedName name="WallCost">'ETO SF Insulation Cost Data'!$F$3975</definedName>
    <definedName name="Z_1764B639_7F9B_49E1_B564_A3E4632390A0_.wvu.FilterData" localSheetId="16" hidden="1">'ETO SF Insulation Cost Data'!$A$1:$O$3958</definedName>
    <definedName name="Z_46F1C08C_C2B6_41E6_95AC_B117DB5FA007_.wvu.FilterData" localSheetId="16" hidden="1">'ETO SF Insulation Cost Data'!$A$1:$O$3958</definedName>
    <definedName name="Z_C3A3CAA6_FCC8_443A_94AA_4A91F40A0648_.wvu.FilterData" localSheetId="16" hidden="1">'ETO SF Insulation Cost Data'!$A$1:$O$3958</definedName>
  </definedNames>
  <calcPr calcId="125725"/>
  <pivotCaches>
    <pivotCache cacheId="4" r:id="rId23"/>
  </pivotCaches>
</workbook>
</file>

<file path=xl/calcChain.xml><?xml version="1.0" encoding="utf-8"?>
<calcChain xmlns="http://schemas.openxmlformats.org/spreadsheetml/2006/main">
  <c r="D9" i="6"/>
  <c r="D8"/>
  <c r="C8" l="1"/>
  <c r="F74" i="24"/>
  <c r="I79" i="1" s="1"/>
  <c r="F73" i="24"/>
  <c r="I78" i="1" s="1"/>
  <c r="F72" i="24"/>
  <c r="I77" i="1" s="1"/>
  <c r="F71" i="24"/>
  <c r="I76" i="1" s="1"/>
  <c r="F70" i="24"/>
  <c r="I75" i="1" s="1"/>
  <c r="F69" i="24"/>
  <c r="I74" i="1" s="1"/>
  <c r="F68" i="24"/>
  <c r="I73" i="1" s="1"/>
  <c r="F67" i="24"/>
  <c r="I72" i="1" s="1"/>
  <c r="F66" i="24"/>
  <c r="I71" i="1" s="1"/>
  <c r="F65" i="24"/>
  <c r="I70" i="1" s="1"/>
  <c r="F64" i="24"/>
  <c r="I69" i="1" s="1"/>
  <c r="F63" i="24"/>
  <c r="I68" i="1" s="1"/>
  <c r="F62" i="24"/>
  <c r="I67" i="1" s="1"/>
  <c r="F61" i="24"/>
  <c r="I66" i="1" s="1"/>
  <c r="F60" i="24"/>
  <c r="I65" i="1" s="1"/>
  <c r="F59" i="24"/>
  <c r="I64" i="1" s="1"/>
  <c r="F58" i="24"/>
  <c r="I63" i="1" s="1"/>
  <c r="F57" i="24"/>
  <c r="I62" i="1" s="1"/>
  <c r="F56" i="24"/>
  <c r="I61" i="1" s="1"/>
  <c r="F55" i="24"/>
  <c r="I60" i="1" s="1"/>
  <c r="F54" i="24"/>
  <c r="I59" i="1" s="1"/>
  <c r="F53" i="24"/>
  <c r="I58" i="1" s="1"/>
  <c r="F52" i="24"/>
  <c r="I57" i="1" s="1"/>
  <c r="F51" i="24"/>
  <c r="I56" i="1" s="1"/>
  <c r="F50" i="24"/>
  <c r="I55" i="1" s="1"/>
  <c r="F49" i="24"/>
  <c r="I54" i="1" s="1"/>
  <c r="F48" i="24"/>
  <c r="I53" i="1" s="1"/>
  <c r="F47" i="24"/>
  <c r="I52" i="1" s="1"/>
  <c r="F46" i="24"/>
  <c r="I51" i="1" s="1"/>
  <c r="F45" i="24"/>
  <c r="I50" i="1" s="1"/>
  <c r="F44" i="24"/>
  <c r="I49" i="1" s="1"/>
  <c r="F43" i="24"/>
  <c r="I48" i="1" s="1"/>
  <c r="F42" i="24"/>
  <c r="I47" i="1" s="1"/>
  <c r="F41" i="24"/>
  <c r="I46" i="1" s="1"/>
  <c r="F40" i="24"/>
  <c r="I45" i="1" s="1"/>
  <c r="F39" i="24"/>
  <c r="I44" i="1" s="1"/>
  <c r="F38" i="24"/>
  <c r="I43" i="1" s="1"/>
  <c r="F37" i="24"/>
  <c r="I42" i="1" s="1"/>
  <c r="F36" i="24"/>
  <c r="I41" i="1" s="1"/>
  <c r="F35" i="24"/>
  <c r="I40" i="1" s="1"/>
  <c r="F34" i="24"/>
  <c r="I39" i="1" s="1"/>
  <c r="F33" i="24"/>
  <c r="I38" i="1" s="1"/>
  <c r="F32" i="24"/>
  <c r="I37" i="1" s="1"/>
  <c r="F31" i="24"/>
  <c r="I36" i="1" s="1"/>
  <c r="F30" i="24"/>
  <c r="I35" i="1" s="1"/>
  <c r="F29" i="24"/>
  <c r="I34" i="1" s="1"/>
  <c r="F28" i="24"/>
  <c r="I33" i="1" s="1"/>
  <c r="F27" i="24"/>
  <c r="I32" i="1" s="1"/>
  <c r="F26" i="24"/>
  <c r="I31" i="1" s="1"/>
  <c r="F25" i="24"/>
  <c r="I30" i="1" s="1"/>
  <c r="F24" i="24"/>
  <c r="I29" i="1" s="1"/>
  <c r="F23" i="24"/>
  <c r="I28" i="1" s="1"/>
  <c r="F22" i="24"/>
  <c r="I27" i="1" s="1"/>
  <c r="F21" i="24"/>
  <c r="I26" i="1" s="1"/>
  <c r="F20" i="24"/>
  <c r="I25" i="1" s="1"/>
  <c r="F19" i="24"/>
  <c r="I24" i="1" s="1"/>
  <c r="F18" i="24"/>
  <c r="I23" i="1" s="1"/>
  <c r="F17" i="24"/>
  <c r="I22" i="1" s="1"/>
  <c r="F16" i="24"/>
  <c r="I21" i="1" s="1"/>
  <c r="F15" i="24"/>
  <c r="I20" i="1" s="1"/>
  <c r="F4" i="24"/>
  <c r="I9" i="1" s="1"/>
  <c r="F5" i="24"/>
  <c r="I10" i="1" s="1"/>
  <c r="F6" i="24"/>
  <c r="I11" i="1" s="1"/>
  <c r="F7" i="24"/>
  <c r="I12" i="1" s="1"/>
  <c r="F8" i="24"/>
  <c r="I13" i="1" s="1"/>
  <c r="F9" i="24"/>
  <c r="I14" i="1" s="1"/>
  <c r="F10" i="24"/>
  <c r="I15" i="1" s="1"/>
  <c r="F11" i="24"/>
  <c r="I16" i="1" s="1"/>
  <c r="F12" i="24"/>
  <c r="I17" i="1" s="1"/>
  <c r="F13" i="24"/>
  <c r="I18" i="1" s="1"/>
  <c r="F14" i="24"/>
  <c r="I19" i="1" s="1"/>
  <c r="F3" i="24"/>
  <c r="I8" i="1" s="1"/>
  <c r="F79" l="1"/>
  <c r="F72"/>
  <c r="F71"/>
  <c r="F70"/>
  <c r="F69"/>
  <c r="F68"/>
  <c r="F67"/>
  <c r="F60"/>
  <c r="F59"/>
  <c r="F58"/>
  <c r="F57"/>
  <c r="F56"/>
  <c r="F55"/>
  <c r="F48"/>
  <c r="F47"/>
  <c r="F46"/>
  <c r="F45"/>
  <c r="F44"/>
  <c r="F43"/>
  <c r="F36"/>
  <c r="F35"/>
  <c r="F34"/>
  <c r="F33"/>
  <c r="F32"/>
  <c r="F31"/>
  <c r="F24"/>
  <c r="F23"/>
  <c r="F22"/>
  <c r="F21"/>
  <c r="F20"/>
  <c r="F19"/>
  <c r="F12"/>
  <c r="F11"/>
  <c r="F10"/>
  <c r="F9"/>
  <c r="F8"/>
  <c r="X35" i="19"/>
  <c r="X34"/>
  <c r="X33"/>
  <c r="J40"/>
  <c r="D54"/>
  <c r="K54" s="1"/>
  <c r="C54"/>
  <c r="J54" s="1"/>
  <c r="B54"/>
  <c r="E54" s="1"/>
  <c r="G54" s="1"/>
  <c r="D53"/>
  <c r="K53" s="1"/>
  <c r="C53"/>
  <c r="J53" s="1"/>
  <c r="B53"/>
  <c r="E53" s="1"/>
  <c r="K52"/>
  <c r="J52"/>
  <c r="F52"/>
  <c r="E52"/>
  <c r="K51"/>
  <c r="J51"/>
  <c r="F51"/>
  <c r="H52" s="1"/>
  <c r="E51"/>
  <c r="G52" s="1"/>
  <c r="K50"/>
  <c r="J50"/>
  <c r="B50"/>
  <c r="F50" s="1"/>
  <c r="K49"/>
  <c r="J49"/>
  <c r="B49"/>
  <c r="E49" s="1"/>
  <c r="K48"/>
  <c r="J48"/>
  <c r="B48"/>
  <c r="F48" s="1"/>
  <c r="K47"/>
  <c r="J47"/>
  <c r="B47"/>
  <c r="F47" s="1"/>
  <c r="K46"/>
  <c r="J46"/>
  <c r="F46"/>
  <c r="E46"/>
  <c r="K45"/>
  <c r="J45"/>
  <c r="F45"/>
  <c r="H46" s="1"/>
  <c r="E45"/>
  <c r="G46" s="1"/>
  <c r="F44"/>
  <c r="E44"/>
  <c r="K43"/>
  <c r="J43"/>
  <c r="F43"/>
  <c r="E43"/>
  <c r="K42"/>
  <c r="J42"/>
  <c r="F42"/>
  <c r="E42"/>
  <c r="K41"/>
  <c r="J41"/>
  <c r="F41"/>
  <c r="E41"/>
  <c r="K40"/>
  <c r="F40"/>
  <c r="H41" s="1"/>
  <c r="E40"/>
  <c r="F39"/>
  <c r="E39"/>
  <c r="J38"/>
  <c r="F38"/>
  <c r="E38"/>
  <c r="J37"/>
  <c r="F37"/>
  <c r="H40" s="1"/>
  <c r="E37"/>
  <c r="G40" s="1"/>
  <c r="K36"/>
  <c r="J36"/>
  <c r="F36"/>
  <c r="E36"/>
  <c r="F35"/>
  <c r="E35"/>
  <c r="J34"/>
  <c r="F34"/>
  <c r="E34"/>
  <c r="J33"/>
  <c r="F33"/>
  <c r="E33"/>
  <c r="A9" i="6"/>
  <c r="E21" i="30" s="1"/>
  <c r="F53" i="19" l="1"/>
  <c r="A48"/>
  <c r="H35"/>
  <c r="G41"/>
  <c r="G45"/>
  <c r="A47"/>
  <c r="H45"/>
  <c r="E48"/>
  <c r="G35"/>
  <c r="E47"/>
  <c r="G50"/>
  <c r="E50"/>
  <c r="E8" i="30"/>
  <c r="E16"/>
  <c r="E3"/>
  <c r="E19"/>
  <c r="E7"/>
  <c r="E15"/>
  <c r="E11"/>
  <c r="E4"/>
  <c r="E12"/>
  <c r="E20"/>
  <c r="G49" i="19"/>
  <c r="F54"/>
  <c r="H54" s="1"/>
  <c r="F49"/>
  <c r="H50" s="1"/>
  <c r="E6" i="30"/>
  <c r="E10"/>
  <c r="E14"/>
  <c r="E18"/>
  <c r="E22"/>
  <c r="E5"/>
  <c r="E9"/>
  <c r="E13"/>
  <c r="E17"/>
  <c r="AG7"/>
  <c r="AK7"/>
  <c r="AO7"/>
  <c r="AT7"/>
  <c r="AX7"/>
  <c r="BB7"/>
  <c r="AG9"/>
  <c r="AK9"/>
  <c r="AO9"/>
  <c r="AT9"/>
  <c r="AX9"/>
  <c r="BB9"/>
  <c r="AG11"/>
  <c r="AK11"/>
  <c r="AO11"/>
  <c r="AT11"/>
  <c r="AX11"/>
  <c r="BB11"/>
  <c r="AG13"/>
  <c r="AK13"/>
  <c r="AO13"/>
  <c r="AT13"/>
  <c r="AX13"/>
  <c r="BB13"/>
  <c r="AG15"/>
  <c r="AK15"/>
  <c r="AO15"/>
  <c r="AT15"/>
  <c r="AX15"/>
  <c r="BB15"/>
  <c r="AG16"/>
  <c r="AK16"/>
  <c r="AO16"/>
  <c r="AT16"/>
  <c r="AX16"/>
  <c r="BB16"/>
  <c r="AG17"/>
  <c r="AK17"/>
  <c r="AO17"/>
  <c r="AT17"/>
  <c r="AX17"/>
  <c r="BB17"/>
  <c r="AG18"/>
  <c r="AK18"/>
  <c r="AO18"/>
  <c r="AT18"/>
  <c r="AX18"/>
  <c r="BB18"/>
  <c r="AF19"/>
  <c r="AG19"/>
  <c r="AJ19"/>
  <c r="AK19"/>
  <c r="AN19"/>
  <c r="AO19"/>
  <c r="AS19"/>
  <c r="AT19"/>
  <c r="AW19"/>
  <c r="AX19"/>
  <c r="BA19"/>
  <c r="BB19"/>
  <c r="AG20"/>
  <c r="AK20"/>
  <c r="AO20"/>
  <c r="AT20"/>
  <c r="AX20"/>
  <c r="BB20"/>
  <c r="AF21"/>
  <c r="AG21"/>
  <c r="AJ21"/>
  <c r="AK21"/>
  <c r="AN21"/>
  <c r="AO21"/>
  <c r="AS21"/>
  <c r="AT21"/>
  <c r="AW21"/>
  <c r="AX21"/>
  <c r="BA21"/>
  <c r="BB21"/>
  <c r="AG22"/>
  <c r="AK22"/>
  <c r="AO22"/>
  <c r="AT22"/>
  <c r="AX22"/>
  <c r="BB22"/>
  <c r="J22"/>
  <c r="F22" s="1"/>
  <c r="I22"/>
  <c r="J21"/>
  <c r="F21" s="1"/>
  <c r="I21"/>
  <c r="J20"/>
  <c r="AF20" s="1"/>
  <c r="I20"/>
  <c r="J19"/>
  <c r="AI19" s="1"/>
  <c r="I19"/>
  <c r="J18"/>
  <c r="F18" s="1"/>
  <c r="I18"/>
  <c r="J17"/>
  <c r="F17" s="1"/>
  <c r="I17"/>
  <c r="J16"/>
  <c r="AF16" s="1"/>
  <c r="I16"/>
  <c r="J15"/>
  <c r="AF15" s="1"/>
  <c r="I15"/>
  <c r="J14"/>
  <c r="F14" s="1"/>
  <c r="I14"/>
  <c r="J13"/>
  <c r="F13" s="1"/>
  <c r="I13"/>
  <c r="J12"/>
  <c r="AF12" s="1"/>
  <c r="I12"/>
  <c r="J11"/>
  <c r="AF11" s="1"/>
  <c r="I11"/>
  <c r="J10"/>
  <c r="F10" s="1"/>
  <c r="I10"/>
  <c r="J9"/>
  <c r="F9" s="1"/>
  <c r="I9"/>
  <c r="J8"/>
  <c r="AF8" s="1"/>
  <c r="I8"/>
  <c r="J7"/>
  <c r="AF7" s="1"/>
  <c r="I7"/>
  <c r="J6"/>
  <c r="AF6" s="1"/>
  <c r="I6"/>
  <c r="J5"/>
  <c r="AV5" s="1"/>
  <c r="I5"/>
  <c r="J4"/>
  <c r="BD4" s="1"/>
  <c r="I4"/>
  <c r="J3"/>
  <c r="BC3" s="1"/>
  <c r="I3"/>
  <c r="F7"/>
  <c r="F8"/>
  <c r="F11"/>
  <c r="F15"/>
  <c r="F16"/>
  <c r="F19"/>
  <c r="B7"/>
  <c r="C7"/>
  <c r="A7" s="1"/>
  <c r="B8"/>
  <c r="C8"/>
  <c r="B9"/>
  <c r="C9"/>
  <c r="A9" s="1"/>
  <c r="B10"/>
  <c r="C10"/>
  <c r="A10" s="1"/>
  <c r="B11"/>
  <c r="C11"/>
  <c r="A11" s="1"/>
  <c r="B12"/>
  <c r="C12"/>
  <c r="B13"/>
  <c r="C13"/>
  <c r="A13" s="1"/>
  <c r="B14"/>
  <c r="C14"/>
  <c r="A14" s="1"/>
  <c r="B15"/>
  <c r="C15"/>
  <c r="A15" s="1"/>
  <c r="B16"/>
  <c r="C16"/>
  <c r="B17"/>
  <c r="C17"/>
  <c r="B18"/>
  <c r="C18"/>
  <c r="A18" s="1"/>
  <c r="B19"/>
  <c r="C19"/>
  <c r="A19" s="1"/>
  <c r="B20"/>
  <c r="C20"/>
  <c r="A20" s="1"/>
  <c r="B21"/>
  <c r="C21"/>
  <c r="B22"/>
  <c r="C22"/>
  <c r="A22" s="1"/>
  <c r="A17"/>
  <c r="C6"/>
  <c r="A6" s="1"/>
  <c r="B6"/>
  <c r="C5"/>
  <c r="A5" s="1"/>
  <c r="B5"/>
  <c r="C4"/>
  <c r="A4" s="1"/>
  <c r="B4"/>
  <c r="C3"/>
  <c r="A3" s="1"/>
  <c r="B3"/>
  <c r="BA6"/>
  <c r="AW4"/>
  <c r="BC4"/>
  <c r="AD2"/>
  <c r="AC2"/>
  <c r="AB2"/>
  <c r="AA2"/>
  <c r="Z2"/>
  <c r="Y2"/>
  <c r="X2"/>
  <c r="W2"/>
  <c r="V2"/>
  <c r="U2"/>
  <c r="T2"/>
  <c r="S2"/>
  <c r="R2"/>
  <c r="Q2"/>
  <c r="P2"/>
  <c r="O2"/>
  <c r="N2"/>
  <c r="M2"/>
  <c r="L2"/>
  <c r="K2"/>
  <c r="H26" i="16"/>
  <c r="H27"/>
  <c r="H28"/>
  <c r="H25"/>
  <c r="G26"/>
  <c r="G27"/>
  <c r="G28"/>
  <c r="G25"/>
  <c r="A16" i="30" l="1"/>
  <c r="A12"/>
  <c r="A8"/>
  <c r="BB12"/>
  <c r="AT12"/>
  <c r="BB10"/>
  <c r="AX10"/>
  <c r="AT10"/>
  <c r="AO10"/>
  <c r="AK10"/>
  <c r="AG10"/>
  <c r="AV4"/>
  <c r="BC22"/>
  <c r="AY22"/>
  <c r="AU22"/>
  <c r="AP22"/>
  <c r="AL22"/>
  <c r="AH22"/>
  <c r="BC21"/>
  <c r="AY21"/>
  <c r="AU21"/>
  <c r="AP21"/>
  <c r="AL21"/>
  <c r="AH21"/>
  <c r="BC20"/>
  <c r="AY20"/>
  <c r="AU20"/>
  <c r="AP20"/>
  <c r="AL20"/>
  <c r="AH20"/>
  <c r="BC19"/>
  <c r="AY19"/>
  <c r="AU19"/>
  <c r="AP19"/>
  <c r="AL19"/>
  <c r="AH19"/>
  <c r="BC18"/>
  <c r="AY18"/>
  <c r="AU18"/>
  <c r="AP18"/>
  <c r="AL18"/>
  <c r="AH18"/>
  <c r="BC17"/>
  <c r="AY17"/>
  <c r="AU17"/>
  <c r="AP17"/>
  <c r="AL17"/>
  <c r="AH17"/>
  <c r="BC16"/>
  <c r="AY16"/>
  <c r="AU16"/>
  <c r="AP16"/>
  <c r="AL16"/>
  <c r="AH16"/>
  <c r="BC15"/>
  <c r="AY15"/>
  <c r="AU15"/>
  <c r="AP15"/>
  <c r="AL15"/>
  <c r="AH15"/>
  <c r="BC14"/>
  <c r="AY14"/>
  <c r="AU14"/>
  <c r="AP14"/>
  <c r="AL14"/>
  <c r="AH14"/>
  <c r="BC13"/>
  <c r="AY13"/>
  <c r="AU13"/>
  <c r="AP13"/>
  <c r="AL13"/>
  <c r="AH13"/>
  <c r="BC12"/>
  <c r="AY12"/>
  <c r="AU12"/>
  <c r="AP12"/>
  <c r="AL12"/>
  <c r="AH12"/>
  <c r="BC11"/>
  <c r="AY11"/>
  <c r="AU11"/>
  <c r="AP11"/>
  <c r="AL11"/>
  <c r="AH11"/>
  <c r="BC10"/>
  <c r="AY10"/>
  <c r="AU10"/>
  <c r="AP10"/>
  <c r="AL10"/>
  <c r="AH10"/>
  <c r="BC9"/>
  <c r="AY9"/>
  <c r="AU9"/>
  <c r="AP9"/>
  <c r="AL9"/>
  <c r="AH9"/>
  <c r="BC8"/>
  <c r="AY8"/>
  <c r="AU8"/>
  <c r="AP8"/>
  <c r="AL8"/>
  <c r="AH8"/>
  <c r="BC7"/>
  <c r="AY7"/>
  <c r="AU7"/>
  <c r="AP7"/>
  <c r="AL7"/>
  <c r="AH7"/>
  <c r="BB14"/>
  <c r="AX14"/>
  <c r="AT14"/>
  <c r="AO14"/>
  <c r="AK14"/>
  <c r="AG14"/>
  <c r="AX12"/>
  <c r="AO12"/>
  <c r="AK12"/>
  <c r="AG12"/>
  <c r="BB8"/>
  <c r="AX8"/>
  <c r="AT8"/>
  <c r="AO8"/>
  <c r="AK8"/>
  <c r="AG8"/>
  <c r="AF4"/>
  <c r="F20"/>
  <c r="F12"/>
  <c r="BD22"/>
  <c r="AZ22"/>
  <c r="AV22"/>
  <c r="AQ22"/>
  <c r="AM22"/>
  <c r="AI22"/>
  <c r="BD21"/>
  <c r="AZ21"/>
  <c r="AV21"/>
  <c r="AQ21"/>
  <c r="AM21"/>
  <c r="AI21"/>
  <c r="BD20"/>
  <c r="AZ20"/>
  <c r="AV20"/>
  <c r="AQ20"/>
  <c r="AM20"/>
  <c r="AI20"/>
  <c r="BD19"/>
  <c r="AZ19"/>
  <c r="AV19"/>
  <c r="AQ19"/>
  <c r="AM19"/>
  <c r="BD18"/>
  <c r="AZ18"/>
  <c r="AV18"/>
  <c r="AQ18"/>
  <c r="AM18"/>
  <c r="AI18"/>
  <c r="BD17"/>
  <c r="AZ17"/>
  <c r="AV17"/>
  <c r="AQ17"/>
  <c r="AM17"/>
  <c r="AI17"/>
  <c r="BD16"/>
  <c r="AZ16"/>
  <c r="AV16"/>
  <c r="AQ16"/>
  <c r="AM16"/>
  <c r="AI16"/>
  <c r="BD15"/>
  <c r="AZ15"/>
  <c r="AV15"/>
  <c r="AQ15"/>
  <c r="AM15"/>
  <c r="AI15"/>
  <c r="BD14"/>
  <c r="AZ14"/>
  <c r="AV14"/>
  <c r="AQ14"/>
  <c r="AM14"/>
  <c r="AI14"/>
  <c r="BD13"/>
  <c r="AZ13"/>
  <c r="AV13"/>
  <c r="AQ13"/>
  <c r="AM13"/>
  <c r="AI13"/>
  <c r="BD12"/>
  <c r="AZ12"/>
  <c r="AV12"/>
  <c r="AQ12"/>
  <c r="AM12"/>
  <c r="AI12"/>
  <c r="BD11"/>
  <c r="AZ11"/>
  <c r="AV11"/>
  <c r="AQ11"/>
  <c r="AM11"/>
  <c r="AI11"/>
  <c r="BD10"/>
  <c r="AZ10"/>
  <c r="AV10"/>
  <c r="AQ10"/>
  <c r="AM10"/>
  <c r="AI10"/>
  <c r="BD9"/>
  <c r="AZ9"/>
  <c r="AV9"/>
  <c r="AQ9"/>
  <c r="AM9"/>
  <c r="AI9"/>
  <c r="BD8"/>
  <c r="AZ8"/>
  <c r="AV8"/>
  <c r="AQ8"/>
  <c r="AM8"/>
  <c r="AI8"/>
  <c r="BD7"/>
  <c r="AZ7"/>
  <c r="AV7"/>
  <c r="AQ7"/>
  <c r="AM7"/>
  <c r="AI7"/>
  <c r="A21"/>
  <c r="BA22"/>
  <c r="AW22"/>
  <c r="AS22"/>
  <c r="AN22"/>
  <c r="AJ22"/>
  <c r="AF22"/>
  <c r="BA20"/>
  <c r="AW20"/>
  <c r="AS20"/>
  <c r="AN20"/>
  <c r="AJ20"/>
  <c r="BA18"/>
  <c r="AW18"/>
  <c r="AS18"/>
  <c r="AN18"/>
  <c r="AJ18"/>
  <c r="AF18"/>
  <c r="BA17"/>
  <c r="AW17"/>
  <c r="AS17"/>
  <c r="AN17"/>
  <c r="AJ17"/>
  <c r="AF17"/>
  <c r="BA16"/>
  <c r="AW16"/>
  <c r="AS16"/>
  <c r="AN16"/>
  <c r="AJ16"/>
  <c r="BA15"/>
  <c r="AW15"/>
  <c r="AS15"/>
  <c r="AN15"/>
  <c r="AJ15"/>
  <c r="BA14"/>
  <c r="AW14"/>
  <c r="AS14"/>
  <c r="AN14"/>
  <c r="AJ14"/>
  <c r="AF14"/>
  <c r="BA13"/>
  <c r="AW13"/>
  <c r="AS13"/>
  <c r="AN13"/>
  <c r="AJ13"/>
  <c r="AF13"/>
  <c r="BA12"/>
  <c r="AW12"/>
  <c r="AS12"/>
  <c r="AN12"/>
  <c r="AJ12"/>
  <c r="BA11"/>
  <c r="AW11"/>
  <c r="AS11"/>
  <c r="AN11"/>
  <c r="AJ11"/>
  <c r="BA10"/>
  <c r="AW10"/>
  <c r="AS10"/>
  <c r="AN10"/>
  <c r="AJ10"/>
  <c r="AF10"/>
  <c r="BA9"/>
  <c r="AW9"/>
  <c r="AS9"/>
  <c r="AN9"/>
  <c r="AJ9"/>
  <c r="AF9"/>
  <c r="BA8"/>
  <c r="AW8"/>
  <c r="AS8"/>
  <c r="AN8"/>
  <c r="AJ8"/>
  <c r="BA7"/>
  <c r="AW7"/>
  <c r="AS7"/>
  <c r="AN7"/>
  <c r="AJ7"/>
  <c r="H49" i="19"/>
  <c r="AN4" i="30"/>
  <c r="AI5"/>
  <c r="AM4"/>
  <c r="AZ5"/>
  <c r="BB5"/>
  <c r="BD3"/>
  <c r="AI3"/>
  <c r="AT3"/>
  <c r="AG3"/>
  <c r="AM3"/>
  <c r="AS3"/>
  <c r="AX3"/>
  <c r="AF3"/>
  <c r="AK3"/>
  <c r="AQ3"/>
  <c r="AW3"/>
  <c r="BB3"/>
  <c r="F4"/>
  <c r="AS4"/>
  <c r="AQ5"/>
  <c r="F3"/>
  <c r="AN3"/>
  <c r="AZ3"/>
  <c r="AJ4"/>
  <c r="BA4"/>
  <c r="AJ3"/>
  <c r="AO3"/>
  <c r="AV3"/>
  <c r="BA3"/>
  <c r="AI4"/>
  <c r="AQ4"/>
  <c r="AZ4"/>
  <c r="AM5"/>
  <c r="BD5"/>
  <c r="AH6"/>
  <c r="AL6"/>
  <c r="AP6"/>
  <c r="AU6"/>
  <c r="BC6"/>
  <c r="AL5"/>
  <c r="AU5"/>
  <c r="AY5"/>
  <c r="BC5"/>
  <c r="AG6"/>
  <c r="AO6"/>
  <c r="BB6"/>
  <c r="AH3"/>
  <c r="AL3"/>
  <c r="AP3"/>
  <c r="AU3"/>
  <c r="AY3"/>
  <c r="AG4"/>
  <c r="AK4"/>
  <c r="AO4"/>
  <c r="AT4"/>
  <c r="AX4"/>
  <c r="BB4"/>
  <c r="AF5"/>
  <c r="AJ5"/>
  <c r="AN5"/>
  <c r="AS5"/>
  <c r="AW5"/>
  <c r="BA5"/>
  <c r="AI6"/>
  <c r="AM6"/>
  <c r="AQ6"/>
  <c r="AV6"/>
  <c r="AZ6"/>
  <c r="BD6"/>
  <c r="F6"/>
  <c r="AY6"/>
  <c r="F5"/>
  <c r="AH5"/>
  <c r="AP5"/>
  <c r="AK6"/>
  <c r="AT6"/>
  <c r="AX6"/>
  <c r="AH4"/>
  <c r="AL4"/>
  <c r="AP4"/>
  <c r="AU4"/>
  <c r="AY4"/>
  <c r="AG5"/>
  <c r="AK5"/>
  <c r="AO5"/>
  <c r="AT5"/>
  <c r="AX5"/>
  <c r="AJ6"/>
  <c r="AN6"/>
  <c r="AS6"/>
  <c r="AW6"/>
  <c r="C49" i="6"/>
  <c r="B23" i="1" l="1"/>
  <c r="B18" i="3" s="1"/>
  <c r="F3963" i="25"/>
  <c r="D4" i="24"/>
  <c r="C9" i="1" s="1"/>
  <c r="D5" i="24"/>
  <c r="C10" i="1" s="1"/>
  <c r="B10" s="1"/>
  <c r="B7" i="3" s="1"/>
  <c r="D6" i="24"/>
  <c r="C11" i="1" s="1"/>
  <c r="C8" i="3" s="1"/>
  <c r="G9" i="2" s="1"/>
  <c r="G89" s="1"/>
  <c r="D7" i="24"/>
  <c r="C12" i="1" s="1"/>
  <c r="D8" i="24"/>
  <c r="C13" i="1" s="1"/>
  <c r="D9" i="24"/>
  <c r="C14" i="1" s="1"/>
  <c r="C11" i="3" s="1"/>
  <c r="G12" i="2" s="1"/>
  <c r="G92" s="1"/>
  <c r="D10" i="24"/>
  <c r="C15" i="1" s="1"/>
  <c r="C12" i="3" s="1"/>
  <c r="G13" i="2" s="1"/>
  <c r="G93" s="1"/>
  <c r="D11" i="24"/>
  <c r="C16" i="1" s="1"/>
  <c r="D12" i="24"/>
  <c r="C17" i="1" s="1"/>
  <c r="D13" i="24"/>
  <c r="C18" i="1" s="1"/>
  <c r="B18" s="1"/>
  <c r="D14" i="24"/>
  <c r="C19" i="1" s="1"/>
  <c r="D15" i="24"/>
  <c r="D16"/>
  <c r="C21" i="1" s="1"/>
  <c r="B21" s="1"/>
  <c r="B16" i="3" s="1"/>
  <c r="D17" i="24"/>
  <c r="C22" i="1" s="1"/>
  <c r="B22" s="1"/>
  <c r="B17" i="3" s="1"/>
  <c r="D18" i="24"/>
  <c r="C23" i="1" s="1"/>
  <c r="C18" i="3" s="1"/>
  <c r="G19" i="2" s="1"/>
  <c r="G99" s="1"/>
  <c r="D19" i="24"/>
  <c r="C24" i="1" s="1"/>
  <c r="D20" i="24"/>
  <c r="C25" i="1" s="1"/>
  <c r="D21" i="24"/>
  <c r="C26" i="1" s="1"/>
  <c r="B26" s="1"/>
  <c r="B21" i="3" s="1"/>
  <c r="D22" i="24"/>
  <c r="C27" i="1" s="1"/>
  <c r="B27" s="1"/>
  <c r="B22" i="3" s="1"/>
  <c r="D23" i="24"/>
  <c r="C28" i="1" s="1"/>
  <c r="C23" i="3" s="1"/>
  <c r="G24" i="2" s="1"/>
  <c r="G104" s="1"/>
  <c r="D24" i="24"/>
  <c r="C29" i="1" s="1"/>
  <c r="B29" s="1"/>
  <c r="D25" i="24"/>
  <c r="C30" i="1" s="1"/>
  <c r="B30" s="1"/>
  <c r="D26" i="24"/>
  <c r="C31" i="1" s="1"/>
  <c r="D27" i="24"/>
  <c r="C32" i="1" s="1"/>
  <c r="D28" i="24"/>
  <c r="C33" i="1" s="1"/>
  <c r="B33" s="1"/>
  <c r="B26" i="3" s="1"/>
  <c r="D29" i="24"/>
  <c r="C34" i="1" s="1"/>
  <c r="B34" s="1"/>
  <c r="B27" i="3" s="1"/>
  <c r="D30" i="24"/>
  <c r="D31"/>
  <c r="C36" i="1" s="1"/>
  <c r="D32" i="24"/>
  <c r="C37" i="1" s="1"/>
  <c r="D33" i="24"/>
  <c r="C38" i="1" s="1"/>
  <c r="C31" i="3" s="1"/>
  <c r="G32" i="2" s="1"/>
  <c r="D34" i="24"/>
  <c r="C39" i="1" s="1"/>
  <c r="D35" i="24"/>
  <c r="D36"/>
  <c r="C41" i="1" s="1"/>
  <c r="B41" s="1"/>
  <c r="D37" i="24"/>
  <c r="C42" i="1" s="1"/>
  <c r="B42" s="1"/>
  <c r="D38" i="24"/>
  <c r="C43" i="1" s="1"/>
  <c r="C34" i="3" s="1"/>
  <c r="G35" i="2" s="1"/>
  <c r="D39" i="24"/>
  <c r="D40"/>
  <c r="D41"/>
  <c r="D42"/>
  <c r="D43"/>
  <c r="D44"/>
  <c r="C49" i="1" s="1"/>
  <c r="C40" i="3" s="1"/>
  <c r="G41" i="2" s="1"/>
  <c r="D45" i="24"/>
  <c r="C50" i="1" s="1"/>
  <c r="D46" i="24"/>
  <c r="C51" i="1" s="1"/>
  <c r="D47" i="24"/>
  <c r="D48"/>
  <c r="C53" i="1" s="1"/>
  <c r="B53" s="1"/>
  <c r="D49" i="24"/>
  <c r="C54" i="1" s="1"/>
  <c r="B54" s="1"/>
  <c r="D50" i="24"/>
  <c r="C55" i="1" s="1"/>
  <c r="C44" i="3" s="1"/>
  <c r="G45" i="2" s="1"/>
  <c r="D51" i="24"/>
  <c r="D52"/>
  <c r="C57" i="1" s="1"/>
  <c r="D53" i="24"/>
  <c r="C58" i="1" s="1"/>
  <c r="C47" i="3" s="1"/>
  <c r="G48" i="2" s="1"/>
  <c r="D54" i="24"/>
  <c r="C59" i="1" s="1"/>
  <c r="C48" i="3" s="1"/>
  <c r="G49" i="2" s="1"/>
  <c r="D55" i="24"/>
  <c r="D56"/>
  <c r="C61" i="1" s="1"/>
  <c r="B61" s="1"/>
  <c r="B50" i="3" s="1"/>
  <c r="D57" i="24"/>
  <c r="C62" i="1" s="1"/>
  <c r="D58" i="24"/>
  <c r="C63" i="1" s="1"/>
  <c r="C52" i="3" s="1"/>
  <c r="G53" i="2" s="1"/>
  <c r="D59" i="24"/>
  <c r="D60"/>
  <c r="C65" i="1" s="1"/>
  <c r="B65" s="1"/>
  <c r="D61" i="24"/>
  <c r="C66" i="1" s="1"/>
  <c r="B66" s="1"/>
  <c r="D62" i="24"/>
  <c r="C67" i="1" s="1"/>
  <c r="C54" i="3" s="1"/>
  <c r="G55" i="2" s="1"/>
  <c r="D63" i="24"/>
  <c r="D64"/>
  <c r="C69" i="1" s="1"/>
  <c r="D65" i="24"/>
  <c r="C70" i="1" s="1"/>
  <c r="C57" i="3" s="1"/>
  <c r="G58" i="2" s="1"/>
  <c r="D66" i="24"/>
  <c r="C71" i="1" s="1"/>
  <c r="C58" i="3" s="1"/>
  <c r="G59" i="2" s="1"/>
  <c r="D67" i="24"/>
  <c r="D68"/>
  <c r="D69"/>
  <c r="C74" i="1" s="1"/>
  <c r="C61" i="3" s="1"/>
  <c r="G62" i="2" s="1"/>
  <c r="D70" i="24"/>
  <c r="C75" i="1" s="1"/>
  <c r="B75" s="1"/>
  <c r="B62" i="3" s="1"/>
  <c r="D71" i="24"/>
  <c r="C76" i="1" s="1"/>
  <c r="D72" i="24"/>
  <c r="C77" i="1" s="1"/>
  <c r="B77" s="1"/>
  <c r="D73" i="24"/>
  <c r="C78" i="1" s="1"/>
  <c r="B78" s="1"/>
  <c r="D74" i="24"/>
  <c r="C79" i="1" s="1"/>
  <c r="C64" i="3" s="1"/>
  <c r="G65" i="2" s="1"/>
  <c r="D3" i="24"/>
  <c r="C46" i="1"/>
  <c r="C37" i="3" s="1"/>
  <c r="G38" i="2" s="1"/>
  <c r="C20" i="1"/>
  <c r="C15" i="3" s="1"/>
  <c r="G16" i="2" s="1"/>
  <c r="G96" s="1"/>
  <c r="C35" i="1"/>
  <c r="C28" i="3" s="1"/>
  <c r="G29" i="2" s="1"/>
  <c r="C40" i="1"/>
  <c r="C33" i="3" s="1"/>
  <c r="G34" i="2" s="1"/>
  <c r="C44" i="1"/>
  <c r="C35" i="3" s="1"/>
  <c r="G36" i="2" s="1"/>
  <c r="C45" i="1"/>
  <c r="B45" s="1"/>
  <c r="B36" i="3" s="1"/>
  <c r="C47" i="1"/>
  <c r="C38" i="3" s="1"/>
  <c r="G39" i="2" s="1"/>
  <c r="C48" i="1"/>
  <c r="C39" i="3" s="1"/>
  <c r="G40" i="2" s="1"/>
  <c r="C52" i="1"/>
  <c r="C56"/>
  <c r="C45" i="3" s="1"/>
  <c r="G46" i="2" s="1"/>
  <c r="C60" i="1"/>
  <c r="C49" i="3" s="1"/>
  <c r="G50" i="2" s="1"/>
  <c r="C64" i="1"/>
  <c r="C68"/>
  <c r="C55" i="3" s="1"/>
  <c r="G56" i="2" s="1"/>
  <c r="C72" i="1"/>
  <c r="C59" i="3" s="1"/>
  <c r="G60" i="2" s="1"/>
  <c r="C73" i="1"/>
  <c r="B73" s="1"/>
  <c r="B60" i="3" s="1"/>
  <c r="E64" i="24"/>
  <c r="E65"/>
  <c r="E66"/>
  <c r="E67"/>
  <c r="E68"/>
  <c r="E69"/>
  <c r="E70"/>
  <c r="E71"/>
  <c r="E72"/>
  <c r="E73"/>
  <c r="E74"/>
  <c r="E63"/>
  <c r="E52"/>
  <c r="E53"/>
  <c r="E54"/>
  <c r="E55"/>
  <c r="E56"/>
  <c r="E57"/>
  <c r="E58"/>
  <c r="E59"/>
  <c r="E60"/>
  <c r="E61"/>
  <c r="E62"/>
  <c r="E51"/>
  <c r="E40"/>
  <c r="E41"/>
  <c r="E42"/>
  <c r="E43"/>
  <c r="E44"/>
  <c r="E45"/>
  <c r="E46"/>
  <c r="E47"/>
  <c r="E48"/>
  <c r="E49"/>
  <c r="E50"/>
  <c r="E39"/>
  <c r="E28"/>
  <c r="E29"/>
  <c r="E30"/>
  <c r="E31"/>
  <c r="E32"/>
  <c r="E33"/>
  <c r="E34"/>
  <c r="E35"/>
  <c r="E36"/>
  <c r="E37"/>
  <c r="E38"/>
  <c r="E27"/>
  <c r="E16"/>
  <c r="E17"/>
  <c r="E18"/>
  <c r="E19"/>
  <c r="E20"/>
  <c r="E21"/>
  <c r="E22"/>
  <c r="E23"/>
  <c r="E24"/>
  <c r="E25"/>
  <c r="E26"/>
  <c r="E15"/>
  <c r="E4"/>
  <c r="E5"/>
  <c r="E6"/>
  <c r="E7"/>
  <c r="E8"/>
  <c r="E9"/>
  <c r="E10"/>
  <c r="E11"/>
  <c r="E12"/>
  <c r="E13"/>
  <c r="E14"/>
  <c r="E3"/>
  <c r="B19" i="1" l="1"/>
  <c r="B14" i="3" s="1"/>
  <c r="C14"/>
  <c r="G15" i="2" s="1"/>
  <c r="G95" s="1"/>
  <c r="B58" i="1"/>
  <c r="B47" i="3" s="1"/>
  <c r="C27"/>
  <c r="G28" i="2" s="1"/>
  <c r="B70" i="1"/>
  <c r="B57" i="3" s="1"/>
  <c r="B46" i="1"/>
  <c r="B37" i="3" s="1"/>
  <c r="C62"/>
  <c r="G63" i="2" s="1"/>
  <c r="B11" i="1"/>
  <c r="B8" i="3" s="1"/>
  <c r="B69" i="1"/>
  <c r="B56" i="3" s="1"/>
  <c r="C56"/>
  <c r="G57" i="2" s="1"/>
  <c r="B57" i="1"/>
  <c r="B46" i="3" s="1"/>
  <c r="C46"/>
  <c r="G47" i="2" s="1"/>
  <c r="B71" i="1"/>
  <c r="B58" i="3" s="1"/>
  <c r="B67" i="1"/>
  <c r="B54" i="3" s="1"/>
  <c r="B59" i="1"/>
  <c r="B48" i="3" s="1"/>
  <c r="B55" i="1"/>
  <c r="B44" i="3" s="1"/>
  <c r="B47" i="1"/>
  <c r="B38" i="3" s="1"/>
  <c r="B43" i="1"/>
  <c r="B34" i="3" s="1"/>
  <c r="C36"/>
  <c r="G37" i="2" s="1"/>
  <c r="C17" i="3"/>
  <c r="G18" i="2" s="1"/>
  <c r="G98" s="1"/>
  <c r="C7" i="3"/>
  <c r="G8" i="2" s="1"/>
  <c r="G88" s="1"/>
  <c r="B79" i="1"/>
  <c r="B64" i="3" s="1"/>
  <c r="B72" i="1"/>
  <c r="B59" i="3" s="1"/>
  <c r="B68" i="1"/>
  <c r="B55" i="3" s="1"/>
  <c r="B60" i="1"/>
  <c r="B49" i="3" s="1"/>
  <c r="B56" i="1"/>
  <c r="B45" i="3" s="1"/>
  <c r="B48" i="1"/>
  <c r="B39" i="3" s="1"/>
  <c r="B44" i="1"/>
  <c r="B35" i="3" s="1"/>
  <c r="B35" i="1"/>
  <c r="B28" i="3" s="1"/>
  <c r="C22"/>
  <c r="G23" i="2" s="1"/>
  <c r="G103" s="1"/>
  <c r="C21" i="3"/>
  <c r="G22" i="2" s="1"/>
  <c r="G102" s="1"/>
  <c r="B15" i="1"/>
  <c r="B12" i="3" s="1"/>
  <c r="C42"/>
  <c r="G43" i="2" s="1"/>
  <c r="B51" i="1"/>
  <c r="B42" i="3" s="1"/>
  <c r="B52" i="1"/>
  <c r="B43" i="3" s="1"/>
  <c r="C43"/>
  <c r="G44" i="2" s="1"/>
  <c r="C50" i="3"/>
  <c r="G51" i="2" s="1"/>
  <c r="C63" i="3"/>
  <c r="G64" i="2" s="1"/>
  <c r="B76" i="1"/>
  <c r="B63" i="3" s="1"/>
  <c r="C60"/>
  <c r="G61" i="2" s="1"/>
  <c r="B74" i="1"/>
  <c r="B61" i="3" s="1"/>
  <c r="B62" i="1"/>
  <c r="B51" i="3" s="1"/>
  <c r="C51"/>
  <c r="G52" i="2" s="1"/>
  <c r="B63" i="1"/>
  <c r="B52" i="3" s="1"/>
  <c r="B64" i="1"/>
  <c r="B53" i="3" s="1"/>
  <c r="C53"/>
  <c r="G54" i="2" s="1"/>
  <c r="B50" i="1"/>
  <c r="B41" i="3" s="1"/>
  <c r="C41"/>
  <c r="G42" i="2" s="1"/>
  <c r="B49" i="1"/>
  <c r="B40" i="3" s="1"/>
  <c r="C32"/>
  <c r="G33" i="2" s="1"/>
  <c r="B38" i="1"/>
  <c r="B31" i="3" s="1"/>
  <c r="B39" i="1"/>
  <c r="B32" i="3" s="1"/>
  <c r="C24"/>
  <c r="G25" i="2" s="1"/>
  <c r="G105" s="1"/>
  <c r="B31" i="1"/>
  <c r="B24" i="3" s="1"/>
  <c r="C29"/>
  <c r="G30" i="2" s="1"/>
  <c r="B36" i="1"/>
  <c r="B29" i="3" s="1"/>
  <c r="C25"/>
  <c r="G26" i="2" s="1"/>
  <c r="B32" i="1"/>
  <c r="B25" i="3" s="1"/>
  <c r="C19"/>
  <c r="G20" i="2" s="1"/>
  <c r="G100" s="1"/>
  <c r="B24" i="1"/>
  <c r="B19" i="3" s="1"/>
  <c r="C13"/>
  <c r="G14" i="2" s="1"/>
  <c r="G94" s="1"/>
  <c r="B16" i="1"/>
  <c r="B13" i="3" s="1"/>
  <c r="C9"/>
  <c r="G10" i="2" s="1"/>
  <c r="G90" s="1"/>
  <c r="B12" i="1"/>
  <c r="B9" i="3" s="1"/>
  <c r="B37" i="1"/>
  <c r="B30" i="3" s="1"/>
  <c r="C30"/>
  <c r="G31" i="2" s="1"/>
  <c r="C20" i="3"/>
  <c r="G21" i="2" s="1"/>
  <c r="G101" s="1"/>
  <c r="B25" i="1"/>
  <c r="B20" i="3" s="1"/>
  <c r="B17" i="1"/>
  <c r="B9"/>
  <c r="B6" i="3" s="1"/>
  <c r="C6"/>
  <c r="G7" i="2" s="1"/>
  <c r="G87" s="1"/>
  <c r="B40" i="1"/>
  <c r="B33" i="3" s="1"/>
  <c r="C26"/>
  <c r="G27" i="2" s="1"/>
  <c r="C16" i="3"/>
  <c r="G17" i="2" s="1"/>
  <c r="G97" s="1"/>
  <c r="C10" i="3"/>
  <c r="G11" i="2" s="1"/>
  <c r="G91" s="1"/>
  <c r="B13" i="1"/>
  <c r="B10" i="3" s="1"/>
  <c r="B28" i="1"/>
  <c r="B23" i="3" s="1"/>
  <c r="B20" i="1"/>
  <c r="B15" i="3" s="1"/>
  <c r="B14" i="1"/>
  <c r="B11" i="3" s="1"/>
  <c r="D64" i="1"/>
  <c r="D68"/>
  <c r="D11"/>
  <c r="D76"/>
  <c r="D60"/>
  <c r="D72"/>
  <c r="D56"/>
  <c r="D52"/>
  <c r="D48"/>
  <c r="D44"/>
  <c r="D40"/>
  <c r="D36"/>
  <c r="D32"/>
  <c r="D28"/>
  <c r="D24"/>
  <c r="D20"/>
  <c r="D16"/>
  <c r="D12"/>
  <c r="C8"/>
  <c r="D77"/>
  <c r="D69"/>
  <c r="D61"/>
  <c r="D53"/>
  <c r="D45"/>
  <c r="D37"/>
  <c r="D29"/>
  <c r="D17"/>
  <c r="D9"/>
  <c r="D78"/>
  <c r="D74"/>
  <c r="D70"/>
  <c r="D66"/>
  <c r="D62"/>
  <c r="D58"/>
  <c r="D54"/>
  <c r="D50"/>
  <c r="D46"/>
  <c r="D42"/>
  <c r="D38"/>
  <c r="D34"/>
  <c r="D30"/>
  <c r="D26"/>
  <c r="D22"/>
  <c r="D18"/>
  <c r="D14"/>
  <c r="D10"/>
  <c r="D73"/>
  <c r="D65"/>
  <c r="D57"/>
  <c r="D49"/>
  <c r="D41"/>
  <c r="D33"/>
  <c r="D25"/>
  <c r="D21"/>
  <c r="D13"/>
  <c r="D79"/>
  <c r="D75"/>
  <c r="D71"/>
  <c r="D67"/>
  <c r="D63"/>
  <c r="D59"/>
  <c r="D55"/>
  <c r="D51"/>
  <c r="D47"/>
  <c r="D43"/>
  <c r="D39"/>
  <c r="D35"/>
  <c r="D31"/>
  <c r="D27"/>
  <c r="D23"/>
  <c r="D19"/>
  <c r="D15"/>
  <c r="D8" l="1"/>
  <c r="C5" i="3"/>
  <c r="G6" i="2" s="1"/>
  <c r="B8" i="1"/>
  <c r="B5" i="3" s="1"/>
  <c r="F6" i="2" s="1"/>
  <c r="F86" l="1"/>
  <c r="F87"/>
  <c r="F88"/>
  <c r="F89"/>
  <c r="F90"/>
  <c r="F91"/>
  <c r="F92"/>
  <c r="F93"/>
  <c r="F94"/>
  <c r="F95"/>
  <c r="F96"/>
  <c r="F97"/>
  <c r="F98"/>
  <c r="F99"/>
  <c r="F100"/>
  <c r="F101"/>
  <c r="F102"/>
  <c r="F103"/>
  <c r="F104"/>
  <c r="F105"/>
  <c r="A27" i="4" l="1"/>
  <c r="E5" i="3"/>
  <c r="G5"/>
  <c r="H5"/>
  <c r="I5"/>
  <c r="J5"/>
  <c r="K5"/>
  <c r="L5"/>
  <c r="M5"/>
  <c r="N5"/>
  <c r="O5"/>
  <c r="P5"/>
  <c r="E6"/>
  <c r="G6"/>
  <c r="H6"/>
  <c r="I6"/>
  <c r="J6"/>
  <c r="K6"/>
  <c r="L6"/>
  <c r="M6"/>
  <c r="N6"/>
  <c r="O6"/>
  <c r="P6"/>
  <c r="E7"/>
  <c r="G7"/>
  <c r="H7"/>
  <c r="I7"/>
  <c r="J7"/>
  <c r="K7"/>
  <c r="L7"/>
  <c r="M7"/>
  <c r="N7"/>
  <c r="O7"/>
  <c r="P7"/>
  <c r="E8"/>
  <c r="G8"/>
  <c r="H8"/>
  <c r="I8"/>
  <c r="J8"/>
  <c r="K8"/>
  <c r="L8"/>
  <c r="M8"/>
  <c r="N8"/>
  <c r="O8"/>
  <c r="P8"/>
  <c r="E9"/>
  <c r="G9"/>
  <c r="H9"/>
  <c r="I9"/>
  <c r="J9"/>
  <c r="K9"/>
  <c r="L9"/>
  <c r="M9"/>
  <c r="N9"/>
  <c r="O9"/>
  <c r="P9"/>
  <c r="E10"/>
  <c r="G10"/>
  <c r="H10"/>
  <c r="I10"/>
  <c r="J10"/>
  <c r="K10"/>
  <c r="L10"/>
  <c r="M10"/>
  <c r="N10"/>
  <c r="O10"/>
  <c r="P10"/>
  <c r="E11"/>
  <c r="G11"/>
  <c r="H11"/>
  <c r="I11"/>
  <c r="J11"/>
  <c r="K11"/>
  <c r="L11"/>
  <c r="M11"/>
  <c r="N11"/>
  <c r="O11"/>
  <c r="P11"/>
  <c r="E12"/>
  <c r="G12"/>
  <c r="H12"/>
  <c r="I12"/>
  <c r="J12"/>
  <c r="K12"/>
  <c r="L12"/>
  <c r="M12"/>
  <c r="N12"/>
  <c r="O12"/>
  <c r="P12"/>
  <c r="E13"/>
  <c r="G13"/>
  <c r="H13"/>
  <c r="I13"/>
  <c r="J13"/>
  <c r="K13"/>
  <c r="L13"/>
  <c r="M13"/>
  <c r="N13"/>
  <c r="O13"/>
  <c r="P13"/>
  <c r="E14"/>
  <c r="G14"/>
  <c r="H14"/>
  <c r="I14"/>
  <c r="J14"/>
  <c r="K14"/>
  <c r="L14"/>
  <c r="M14"/>
  <c r="N14"/>
  <c r="O14"/>
  <c r="P14"/>
  <c r="E15"/>
  <c r="G15"/>
  <c r="H15"/>
  <c r="I15"/>
  <c r="J15"/>
  <c r="K15"/>
  <c r="L15"/>
  <c r="M15"/>
  <c r="N15"/>
  <c r="O15"/>
  <c r="P15"/>
  <c r="E16"/>
  <c r="G16"/>
  <c r="H16"/>
  <c r="I16"/>
  <c r="J16"/>
  <c r="K16"/>
  <c r="L16"/>
  <c r="M16"/>
  <c r="N16"/>
  <c r="O16"/>
  <c r="P16"/>
  <c r="E17"/>
  <c r="G17"/>
  <c r="H17"/>
  <c r="I17"/>
  <c r="J17"/>
  <c r="K17"/>
  <c r="L17"/>
  <c r="M17"/>
  <c r="N17"/>
  <c r="O17"/>
  <c r="P17"/>
  <c r="E18"/>
  <c r="G18"/>
  <c r="H18"/>
  <c r="I18"/>
  <c r="J18"/>
  <c r="K18"/>
  <c r="L18"/>
  <c r="M18"/>
  <c r="N18"/>
  <c r="O18"/>
  <c r="P18"/>
  <c r="E19"/>
  <c r="G19"/>
  <c r="H19"/>
  <c r="I19"/>
  <c r="J19"/>
  <c r="K19"/>
  <c r="L19"/>
  <c r="M19"/>
  <c r="N19"/>
  <c r="O19"/>
  <c r="P19"/>
  <c r="E20"/>
  <c r="G20"/>
  <c r="H20"/>
  <c r="I20"/>
  <c r="J20"/>
  <c r="K20"/>
  <c r="L20"/>
  <c r="M20"/>
  <c r="N20"/>
  <c r="O20"/>
  <c r="P20"/>
  <c r="E21"/>
  <c r="G21"/>
  <c r="H21"/>
  <c r="I21"/>
  <c r="J21"/>
  <c r="K21"/>
  <c r="L21"/>
  <c r="M21"/>
  <c r="N21"/>
  <c r="O21"/>
  <c r="P21"/>
  <c r="E22"/>
  <c r="G22"/>
  <c r="H22"/>
  <c r="I22"/>
  <c r="J22"/>
  <c r="K22"/>
  <c r="L22"/>
  <c r="M22"/>
  <c r="N22"/>
  <c r="O22"/>
  <c r="P22"/>
  <c r="E23"/>
  <c r="G23"/>
  <c r="H23"/>
  <c r="I23"/>
  <c r="J23"/>
  <c r="K23"/>
  <c r="L23"/>
  <c r="M23"/>
  <c r="N23"/>
  <c r="O23"/>
  <c r="P23"/>
  <c r="E24"/>
  <c r="G24"/>
  <c r="H24"/>
  <c r="I24"/>
  <c r="J24"/>
  <c r="K24"/>
  <c r="L24"/>
  <c r="M24"/>
  <c r="N24"/>
  <c r="O24"/>
  <c r="P24"/>
  <c r="E25"/>
  <c r="G25"/>
  <c r="H25"/>
  <c r="I25"/>
  <c r="J25"/>
  <c r="K25"/>
  <c r="L25"/>
  <c r="M25"/>
  <c r="N25"/>
  <c r="O25"/>
  <c r="P25"/>
  <c r="E26"/>
  <c r="G26"/>
  <c r="H26"/>
  <c r="I26"/>
  <c r="J26"/>
  <c r="K26"/>
  <c r="L26"/>
  <c r="M26"/>
  <c r="N26"/>
  <c r="O26"/>
  <c r="P26"/>
  <c r="E27"/>
  <c r="G27"/>
  <c r="H27"/>
  <c r="I27"/>
  <c r="J27"/>
  <c r="K27"/>
  <c r="L27"/>
  <c r="M27"/>
  <c r="N27"/>
  <c r="O27"/>
  <c r="P27"/>
  <c r="E28"/>
  <c r="G28"/>
  <c r="H28"/>
  <c r="I28"/>
  <c r="J28"/>
  <c r="K28"/>
  <c r="L28"/>
  <c r="M28"/>
  <c r="N28"/>
  <c r="O28"/>
  <c r="P28"/>
  <c r="E29"/>
  <c r="G29"/>
  <c r="H29"/>
  <c r="I29"/>
  <c r="J29"/>
  <c r="K29"/>
  <c r="L29"/>
  <c r="M29"/>
  <c r="N29"/>
  <c r="O29"/>
  <c r="P29"/>
  <c r="E30"/>
  <c r="G30"/>
  <c r="H30"/>
  <c r="I30"/>
  <c r="J30"/>
  <c r="K30"/>
  <c r="L30"/>
  <c r="M30"/>
  <c r="N30"/>
  <c r="O30"/>
  <c r="P30"/>
  <c r="E31"/>
  <c r="G31"/>
  <c r="H31"/>
  <c r="I31"/>
  <c r="J31"/>
  <c r="K31"/>
  <c r="L31"/>
  <c r="M31"/>
  <c r="N31"/>
  <c r="O31"/>
  <c r="P31"/>
  <c r="E32"/>
  <c r="G32"/>
  <c r="H32"/>
  <c r="I32"/>
  <c r="J32"/>
  <c r="K32"/>
  <c r="L32"/>
  <c r="M32"/>
  <c r="N32"/>
  <c r="O32"/>
  <c r="P32"/>
  <c r="E33"/>
  <c r="G33"/>
  <c r="H33"/>
  <c r="I33"/>
  <c r="J33"/>
  <c r="K33"/>
  <c r="L33"/>
  <c r="M33"/>
  <c r="N33"/>
  <c r="O33"/>
  <c r="P33"/>
  <c r="E34"/>
  <c r="G34"/>
  <c r="H34"/>
  <c r="I34"/>
  <c r="J34"/>
  <c r="K34"/>
  <c r="L34"/>
  <c r="M34"/>
  <c r="N34"/>
  <c r="O34"/>
  <c r="P34"/>
  <c r="E35"/>
  <c r="G35"/>
  <c r="H35"/>
  <c r="I35"/>
  <c r="J35"/>
  <c r="K35"/>
  <c r="L35"/>
  <c r="M35"/>
  <c r="N35"/>
  <c r="O35"/>
  <c r="P35"/>
  <c r="E36"/>
  <c r="G36"/>
  <c r="H36"/>
  <c r="I36"/>
  <c r="J36"/>
  <c r="K36"/>
  <c r="L36"/>
  <c r="M36"/>
  <c r="N36"/>
  <c r="O36"/>
  <c r="P36"/>
  <c r="E37"/>
  <c r="G37"/>
  <c r="H37"/>
  <c r="I37"/>
  <c r="J37"/>
  <c r="K37"/>
  <c r="L37"/>
  <c r="M37"/>
  <c r="N37"/>
  <c r="O37"/>
  <c r="P37"/>
  <c r="E38"/>
  <c r="G38"/>
  <c r="H38"/>
  <c r="I38"/>
  <c r="J38"/>
  <c r="K38"/>
  <c r="L38"/>
  <c r="M38"/>
  <c r="N38"/>
  <c r="O38"/>
  <c r="P38"/>
  <c r="E39"/>
  <c r="G39"/>
  <c r="H39"/>
  <c r="I39"/>
  <c r="J39"/>
  <c r="K39"/>
  <c r="L39"/>
  <c r="M39"/>
  <c r="N39"/>
  <c r="O39"/>
  <c r="P39"/>
  <c r="E40"/>
  <c r="G40"/>
  <c r="H40"/>
  <c r="I40"/>
  <c r="J40"/>
  <c r="K40"/>
  <c r="L40"/>
  <c r="M40"/>
  <c r="N40"/>
  <c r="O40"/>
  <c r="P40"/>
  <c r="E41"/>
  <c r="G41"/>
  <c r="H41"/>
  <c r="I41"/>
  <c r="J41"/>
  <c r="K41"/>
  <c r="L41"/>
  <c r="M41"/>
  <c r="N41"/>
  <c r="O41"/>
  <c r="P41"/>
  <c r="E42"/>
  <c r="G42"/>
  <c r="H42"/>
  <c r="I42"/>
  <c r="J42"/>
  <c r="K42"/>
  <c r="L42"/>
  <c r="M42"/>
  <c r="N42"/>
  <c r="O42"/>
  <c r="P42"/>
  <c r="E43"/>
  <c r="G43"/>
  <c r="H43"/>
  <c r="I43"/>
  <c r="J43"/>
  <c r="K43"/>
  <c r="L43"/>
  <c r="M43"/>
  <c r="N43"/>
  <c r="O43"/>
  <c r="P43"/>
  <c r="E44"/>
  <c r="G44"/>
  <c r="H44"/>
  <c r="I44"/>
  <c r="J44"/>
  <c r="K44"/>
  <c r="L44"/>
  <c r="M44"/>
  <c r="N44"/>
  <c r="O44"/>
  <c r="P44"/>
  <c r="E45"/>
  <c r="G45"/>
  <c r="H45"/>
  <c r="I45"/>
  <c r="J45"/>
  <c r="K45"/>
  <c r="L45"/>
  <c r="M45"/>
  <c r="N45"/>
  <c r="O45"/>
  <c r="P45"/>
  <c r="E46"/>
  <c r="G46"/>
  <c r="H46"/>
  <c r="I46"/>
  <c r="J46"/>
  <c r="K46"/>
  <c r="L46"/>
  <c r="M46"/>
  <c r="N46"/>
  <c r="O46"/>
  <c r="P46"/>
  <c r="E47"/>
  <c r="G47"/>
  <c r="H47"/>
  <c r="I47"/>
  <c r="J47"/>
  <c r="K47"/>
  <c r="L47"/>
  <c r="M47"/>
  <c r="N47"/>
  <c r="O47"/>
  <c r="P47"/>
  <c r="E48"/>
  <c r="G48"/>
  <c r="H48"/>
  <c r="I48"/>
  <c r="J48"/>
  <c r="K48"/>
  <c r="L48"/>
  <c r="M48"/>
  <c r="N48"/>
  <c r="O48"/>
  <c r="P48"/>
  <c r="E49"/>
  <c r="G49"/>
  <c r="H49"/>
  <c r="I49"/>
  <c r="J49"/>
  <c r="K49"/>
  <c r="L49"/>
  <c r="M49"/>
  <c r="N49"/>
  <c r="O49"/>
  <c r="P49"/>
  <c r="E50"/>
  <c r="G50"/>
  <c r="H50"/>
  <c r="I50"/>
  <c r="J50"/>
  <c r="K50"/>
  <c r="L50"/>
  <c r="M50"/>
  <c r="N50"/>
  <c r="O50"/>
  <c r="P50"/>
  <c r="E51"/>
  <c r="G51"/>
  <c r="H51"/>
  <c r="I51"/>
  <c r="J51"/>
  <c r="K51"/>
  <c r="L51"/>
  <c r="M51"/>
  <c r="N51"/>
  <c r="O51"/>
  <c r="P51"/>
  <c r="E52"/>
  <c r="G52"/>
  <c r="H52"/>
  <c r="I52"/>
  <c r="J52"/>
  <c r="K52"/>
  <c r="L52"/>
  <c r="M52"/>
  <c r="N52"/>
  <c r="O52"/>
  <c r="P52"/>
  <c r="E53"/>
  <c r="G53"/>
  <c r="H53"/>
  <c r="I53"/>
  <c r="J53"/>
  <c r="K53"/>
  <c r="L53"/>
  <c r="M53"/>
  <c r="N53"/>
  <c r="O53"/>
  <c r="P53"/>
  <c r="E54"/>
  <c r="G54"/>
  <c r="H54"/>
  <c r="I54"/>
  <c r="J54"/>
  <c r="K54"/>
  <c r="L54"/>
  <c r="M54"/>
  <c r="N54"/>
  <c r="O54"/>
  <c r="P54"/>
  <c r="E55"/>
  <c r="G55"/>
  <c r="H55"/>
  <c r="I55"/>
  <c r="J55"/>
  <c r="K55"/>
  <c r="L55"/>
  <c r="M55"/>
  <c r="N55"/>
  <c r="O55"/>
  <c r="P55"/>
  <c r="E56"/>
  <c r="G56"/>
  <c r="H56"/>
  <c r="I56"/>
  <c r="J56"/>
  <c r="K56"/>
  <c r="L56"/>
  <c r="M56"/>
  <c r="N56"/>
  <c r="O56"/>
  <c r="P56"/>
  <c r="E57"/>
  <c r="G57"/>
  <c r="H57"/>
  <c r="I57"/>
  <c r="J57"/>
  <c r="K57"/>
  <c r="L57"/>
  <c r="M57"/>
  <c r="N57"/>
  <c r="O57"/>
  <c r="P57"/>
  <c r="E58"/>
  <c r="G58"/>
  <c r="H58"/>
  <c r="I58"/>
  <c r="J58"/>
  <c r="K58"/>
  <c r="L58"/>
  <c r="M58"/>
  <c r="N58"/>
  <c r="O58"/>
  <c r="P58"/>
  <c r="E59"/>
  <c r="G59"/>
  <c r="H59"/>
  <c r="I59"/>
  <c r="J59"/>
  <c r="K59"/>
  <c r="L59"/>
  <c r="M59"/>
  <c r="N59"/>
  <c r="O59"/>
  <c r="P59"/>
  <c r="E60"/>
  <c r="G60"/>
  <c r="H60"/>
  <c r="I60"/>
  <c r="J60"/>
  <c r="K60"/>
  <c r="L60"/>
  <c r="M60"/>
  <c r="N60"/>
  <c r="O60"/>
  <c r="P60"/>
  <c r="E61"/>
  <c r="G61"/>
  <c r="H61"/>
  <c r="I61"/>
  <c r="J61"/>
  <c r="K61"/>
  <c r="L61"/>
  <c r="M61"/>
  <c r="N61"/>
  <c r="O61"/>
  <c r="P61"/>
  <c r="E62"/>
  <c r="G62"/>
  <c r="H62"/>
  <c r="I62"/>
  <c r="J62"/>
  <c r="K62"/>
  <c r="L62"/>
  <c r="M62"/>
  <c r="N62"/>
  <c r="O62"/>
  <c r="P62"/>
  <c r="E63"/>
  <c r="G63"/>
  <c r="H63"/>
  <c r="I63"/>
  <c r="J63"/>
  <c r="K63"/>
  <c r="L63"/>
  <c r="M63"/>
  <c r="N63"/>
  <c r="O63"/>
  <c r="P63"/>
  <c r="E64"/>
  <c r="G64"/>
  <c r="H64"/>
  <c r="I64"/>
  <c r="J64"/>
  <c r="K64"/>
  <c r="L64"/>
  <c r="M64"/>
  <c r="N64"/>
  <c r="O64"/>
  <c r="P64"/>
  <c r="AJ3" i="27"/>
  <c r="AJ4"/>
  <c r="AJ5"/>
  <c r="AJ6"/>
  <c r="AJ7"/>
  <c r="AJ8"/>
  <c r="AJ9"/>
  <c r="AJ10"/>
  <c r="AJ11"/>
  <c r="AJ12"/>
  <c r="AJ13"/>
  <c r="AJ14"/>
  <c r="AJ15"/>
  <c r="AJ16"/>
  <c r="AJ17"/>
  <c r="AJ18"/>
  <c r="AJ19"/>
  <c r="AJ20"/>
  <c r="AJ21"/>
  <c r="AJ22"/>
  <c r="AJ23"/>
  <c r="AJ24"/>
  <c r="AJ25"/>
  <c r="AJ26"/>
  <c r="AJ27"/>
  <c r="AJ28"/>
  <c r="AJ29"/>
  <c r="AJ30"/>
  <c r="AJ31"/>
  <c r="AJ32"/>
  <c r="AJ33"/>
  <c r="AJ34"/>
  <c r="AJ35"/>
  <c r="AJ36"/>
  <c r="AJ37"/>
  <c r="AJ38"/>
  <c r="AJ39"/>
  <c r="AJ40"/>
  <c r="AJ41"/>
  <c r="AJ42"/>
  <c r="AJ43"/>
  <c r="AJ44"/>
  <c r="AJ45"/>
  <c r="AJ46"/>
  <c r="AJ47"/>
  <c r="AJ48"/>
  <c r="AJ49"/>
  <c r="AJ50"/>
  <c r="AJ51"/>
  <c r="AJ52"/>
  <c r="AJ53"/>
  <c r="AJ54"/>
  <c r="AJ55"/>
  <c r="AJ56"/>
  <c r="AJ57"/>
  <c r="AJ58"/>
  <c r="AJ59"/>
  <c r="AJ60"/>
  <c r="AJ61"/>
  <c r="AJ62"/>
  <c r="AJ63"/>
  <c r="AJ64"/>
  <c r="AJ65"/>
  <c r="AJ66"/>
  <c r="AJ67"/>
  <c r="AJ68"/>
  <c r="AJ69"/>
  <c r="AJ70"/>
  <c r="AJ71"/>
  <c r="AJ72"/>
  <c r="AJ73"/>
  <c r="AJ74"/>
  <c r="AJ75"/>
  <c r="AJ76"/>
  <c r="AJ77"/>
  <c r="AJ78"/>
  <c r="AJ79"/>
  <c r="AJ80"/>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135"/>
  <c r="AJ136"/>
  <c r="AJ137"/>
  <c r="AJ138"/>
  <c r="AJ139"/>
  <c r="AJ140"/>
  <c r="AJ141"/>
  <c r="AJ142"/>
  <c r="AJ143"/>
  <c r="AJ144"/>
  <c r="AJ145"/>
  <c r="AJ146"/>
  <c r="AJ147"/>
  <c r="AJ148"/>
  <c r="AJ149"/>
  <c r="AJ150"/>
  <c r="AJ151"/>
  <c r="AJ152"/>
  <c r="AJ153"/>
  <c r="AJ154"/>
  <c r="AJ155"/>
  <c r="AJ156"/>
  <c r="AJ157"/>
  <c r="AJ158"/>
  <c r="AJ159"/>
  <c r="AJ160"/>
  <c r="AJ161"/>
  <c r="AJ162"/>
  <c r="AJ163"/>
  <c r="AJ164"/>
  <c r="AJ165"/>
  <c r="AJ166"/>
  <c r="AJ167"/>
  <c r="AJ168"/>
  <c r="AJ169"/>
  <c r="AJ170"/>
  <c r="AJ171"/>
  <c r="AJ172"/>
  <c r="AJ173"/>
  <c r="AJ174"/>
  <c r="AJ175"/>
  <c r="AJ176"/>
  <c r="AJ177"/>
  <c r="AJ178"/>
  <c r="AJ179"/>
  <c r="AJ180"/>
  <c r="AJ181"/>
  <c r="AJ182"/>
  <c r="AJ183"/>
  <c r="AJ184"/>
  <c r="AJ185"/>
  <c r="AJ186"/>
  <c r="AJ187"/>
  <c r="AJ188"/>
  <c r="AJ189"/>
  <c r="AJ190"/>
  <c r="AJ191"/>
  <c r="AJ192"/>
  <c r="AJ193"/>
  <c r="AJ194"/>
  <c r="AJ195"/>
  <c r="AJ196"/>
  <c r="AJ197"/>
  <c r="AJ198"/>
  <c r="AJ199"/>
  <c r="AJ200"/>
  <c r="AJ201"/>
  <c r="AJ202"/>
  <c r="AJ203"/>
  <c r="AJ204"/>
  <c r="AJ205"/>
  <c r="AJ206"/>
  <c r="AJ207"/>
  <c r="AJ208"/>
  <c r="AJ209"/>
  <c r="AJ210"/>
  <c r="AJ211"/>
  <c r="AJ212"/>
  <c r="AJ213"/>
  <c r="AJ214"/>
  <c r="AJ215"/>
  <c r="AJ216"/>
  <c r="AJ217"/>
  <c r="AJ218"/>
  <c r="AJ219"/>
  <c r="AJ220"/>
  <c r="AJ221"/>
  <c r="AJ222"/>
  <c r="AJ223"/>
  <c r="AJ224"/>
  <c r="AJ225"/>
  <c r="AJ226"/>
  <c r="AJ227"/>
  <c r="AJ228"/>
  <c r="AJ229"/>
  <c r="AJ230"/>
  <c r="AJ231"/>
  <c r="AJ232"/>
  <c r="AJ233"/>
  <c r="AJ234"/>
  <c r="AJ235"/>
  <c r="AJ236"/>
  <c r="AJ237"/>
  <c r="AJ238"/>
  <c r="AJ239"/>
  <c r="AJ240"/>
  <c r="AJ241"/>
  <c r="AJ242"/>
  <c r="AJ243"/>
  <c r="AJ244"/>
  <c r="AJ245"/>
  <c r="AJ246"/>
  <c r="AJ247"/>
  <c r="AJ248"/>
  <c r="AJ249"/>
  <c r="AJ250"/>
  <c r="AJ251"/>
  <c r="AJ252"/>
  <c r="AJ253"/>
  <c r="AJ254"/>
  <c r="AJ255"/>
  <c r="AJ256"/>
  <c r="AJ257"/>
  <c r="AJ258"/>
  <c r="AJ259"/>
  <c r="AJ260"/>
  <c r="AJ261"/>
  <c r="AJ262"/>
  <c r="AJ263"/>
  <c r="AJ264"/>
  <c r="AJ265"/>
  <c r="AJ266"/>
  <c r="AJ267"/>
  <c r="AJ268"/>
  <c r="AJ269"/>
  <c r="AJ270"/>
  <c r="AJ271"/>
  <c r="AJ272"/>
  <c r="AJ273"/>
  <c r="AJ274"/>
  <c r="AJ275"/>
  <c r="AJ276"/>
  <c r="AJ277"/>
  <c r="AJ278"/>
  <c r="AJ279"/>
  <c r="AJ280"/>
  <c r="AJ281"/>
  <c r="AJ282"/>
  <c r="AJ283"/>
  <c r="AJ284"/>
  <c r="AJ285"/>
  <c r="AJ286"/>
  <c r="AJ287"/>
  <c r="AJ288"/>
  <c r="AJ289"/>
  <c r="AJ290"/>
  <c r="AJ291"/>
  <c r="AJ292"/>
  <c r="AJ293"/>
  <c r="AJ294"/>
  <c r="AJ295"/>
  <c r="AJ296"/>
  <c r="AJ297"/>
  <c r="AJ298"/>
  <c r="AJ299"/>
  <c r="AJ300"/>
  <c r="AJ301"/>
  <c r="AJ302"/>
  <c r="AJ303"/>
  <c r="AJ304"/>
  <c r="AJ305"/>
  <c r="AJ306"/>
  <c r="AJ307"/>
  <c r="AJ308"/>
  <c r="AJ309"/>
  <c r="AJ310"/>
  <c r="AJ311"/>
  <c r="AJ312"/>
  <c r="AJ313"/>
  <c r="AJ314"/>
  <c r="AJ315"/>
  <c r="AJ316"/>
  <c r="AJ317"/>
  <c r="AJ318"/>
  <c r="AJ319"/>
  <c r="AJ320"/>
  <c r="AJ321"/>
  <c r="AJ322"/>
  <c r="AJ2"/>
  <c r="X12" i="6" l="1"/>
  <c r="W12"/>
  <c r="V12"/>
  <c r="U12"/>
  <c r="T12"/>
  <c r="S12"/>
  <c r="R12"/>
  <c r="Q12"/>
  <c r="P12"/>
  <c r="O12"/>
  <c r="N12"/>
  <c r="M12"/>
  <c r="L12"/>
  <c r="K12"/>
  <c r="J12"/>
  <c r="I12"/>
  <c r="H12"/>
  <c r="G12"/>
  <c r="F12"/>
  <c r="E12"/>
  <c r="F23" i="2"/>
  <c r="D61" i="3"/>
  <c r="D58"/>
  <c r="D54"/>
  <c r="D52"/>
  <c r="D47"/>
  <c r="D41"/>
  <c r="D38"/>
  <c r="D34"/>
  <c r="D32"/>
  <c r="D27"/>
  <c r="D22"/>
  <c r="D20"/>
  <c r="D17"/>
  <c r="D11"/>
  <c r="D10"/>
  <c r="D7"/>
  <c r="D6"/>
  <c r="D5"/>
  <c r="D8"/>
  <c r="D9"/>
  <c r="D12"/>
  <c r="D13"/>
  <c r="D14"/>
  <c r="D15"/>
  <c r="D16"/>
  <c r="D18"/>
  <c r="D19"/>
  <c r="D21"/>
  <c r="D23"/>
  <c r="D24"/>
  <c r="D25"/>
  <c r="D26"/>
  <c r="D28"/>
  <c r="D29"/>
  <c r="D30"/>
  <c r="D31"/>
  <c r="D33"/>
  <c r="D35"/>
  <c r="D36"/>
  <c r="D37"/>
  <c r="D39"/>
  <c r="D40"/>
  <c r="D42"/>
  <c r="D43"/>
  <c r="D44"/>
  <c r="D45"/>
  <c r="D46"/>
  <c r="D48"/>
  <c r="D49"/>
  <c r="D50"/>
  <c r="D51"/>
  <c r="D53"/>
  <c r="D55"/>
  <c r="D56"/>
  <c r="D57"/>
  <c r="D59"/>
  <c r="D60"/>
  <c r="D62"/>
  <c r="D63"/>
  <c r="D64"/>
  <c r="Q23" i="2" l="1"/>
  <c r="L23"/>
  <c r="I23"/>
  <c r="O23"/>
  <c r="S23"/>
  <c r="F65"/>
  <c r="F63"/>
  <c r="F56"/>
  <c r="F54"/>
  <c r="F50"/>
  <c r="F45"/>
  <c r="F43"/>
  <c r="F40"/>
  <c r="F36"/>
  <c r="F34"/>
  <c r="B27" i="4"/>
  <c r="F31" i="2"/>
  <c r="B25" i="4"/>
  <c r="F29" i="2"/>
  <c r="B21" i="4"/>
  <c r="F25" i="2"/>
  <c r="F22"/>
  <c r="F18"/>
  <c r="B13" i="4"/>
  <c r="F11" i="2"/>
  <c r="B9" i="4"/>
  <c r="F7" i="2"/>
  <c r="F64"/>
  <c r="F60"/>
  <c r="F57"/>
  <c r="F51"/>
  <c r="F46"/>
  <c r="F44"/>
  <c r="F41"/>
  <c r="F37"/>
  <c r="B26" i="4"/>
  <c r="F30" i="2"/>
  <c r="B22" i="4"/>
  <c r="F26" i="2"/>
  <c r="B18" i="4"/>
  <c r="F24" i="2"/>
  <c r="F19"/>
  <c r="F15"/>
  <c r="B14" i="4"/>
  <c r="F12" i="2"/>
  <c r="B10" i="4"/>
  <c r="F8" i="2"/>
  <c r="F61"/>
  <c r="F58"/>
  <c r="F52"/>
  <c r="F49"/>
  <c r="F47"/>
  <c r="F38"/>
  <c r="F32"/>
  <c r="B23" i="4"/>
  <c r="F27" i="2"/>
  <c r="B19" i="4"/>
  <c r="F20" i="2"/>
  <c r="F16"/>
  <c r="B17" i="4"/>
  <c r="B15"/>
  <c r="F13" i="2"/>
  <c r="B11" i="4"/>
  <c r="F9" i="2"/>
  <c r="F62"/>
  <c r="F59"/>
  <c r="F55"/>
  <c r="F53"/>
  <c r="F48"/>
  <c r="F42"/>
  <c r="F39"/>
  <c r="F35"/>
  <c r="F33"/>
  <c r="B24" i="4"/>
  <c r="F28" i="2"/>
  <c r="B20" i="4"/>
  <c r="F21" i="2"/>
  <c r="F17"/>
  <c r="B16" i="4"/>
  <c r="F14" i="2"/>
  <c r="B12" i="4"/>
  <c r="F10" i="2"/>
  <c r="G86"/>
  <c r="C14" i="19"/>
  <c r="C13"/>
  <c r="C12"/>
  <c r="C11"/>
  <c r="C10"/>
  <c r="C9"/>
  <c r="C8"/>
  <c r="C7"/>
  <c r="C6"/>
  <c r="C3"/>
  <c r="C2"/>
  <c r="F3969" i="25"/>
  <c r="C4" i="19" s="1"/>
  <c r="F3975" i="25"/>
  <c r="N3958"/>
  <c r="M3958"/>
  <c r="O3958" s="1"/>
  <c r="N3957"/>
  <c r="O3957" s="1"/>
  <c r="M3957"/>
  <c r="O3956"/>
  <c r="N3956"/>
  <c r="M3956"/>
  <c r="N3955"/>
  <c r="O3955" s="1"/>
  <c r="M3955"/>
  <c r="O3954"/>
  <c r="N3954"/>
  <c r="M3954"/>
  <c r="N3953"/>
  <c r="O3953" s="1"/>
  <c r="M3953"/>
  <c r="N3952"/>
  <c r="M3952"/>
  <c r="O3952" s="1"/>
  <c r="N3951"/>
  <c r="O3951" s="1"/>
  <c r="M3951"/>
  <c r="N3950"/>
  <c r="M3950"/>
  <c r="O3950" s="1"/>
  <c r="N3949"/>
  <c r="O3949" s="1"/>
  <c r="M3949"/>
  <c r="O3948"/>
  <c r="N3948"/>
  <c r="M3948"/>
  <c r="N3947"/>
  <c r="O3947" s="1"/>
  <c r="M3947"/>
  <c r="O3946"/>
  <c r="N3946"/>
  <c r="M3946"/>
  <c r="N3945"/>
  <c r="O3945" s="1"/>
  <c r="M3945"/>
  <c r="N3944"/>
  <c r="M3944"/>
  <c r="O3944" s="1"/>
  <c r="N3943"/>
  <c r="O3943" s="1"/>
  <c r="M3943"/>
  <c r="N3942"/>
  <c r="M3942"/>
  <c r="O3942" s="1"/>
  <c r="N3941"/>
  <c r="O3941" s="1"/>
  <c r="M3941"/>
  <c r="O3940"/>
  <c r="N3940"/>
  <c r="M3940"/>
  <c r="N3939"/>
  <c r="O3939" s="1"/>
  <c r="M3939"/>
  <c r="O3938"/>
  <c r="N3938"/>
  <c r="M3938"/>
  <c r="N3937"/>
  <c r="O3937" s="1"/>
  <c r="M3937"/>
  <c r="N3936"/>
  <c r="M3936"/>
  <c r="O3936" s="1"/>
  <c r="N3935"/>
  <c r="O3935" s="1"/>
  <c r="M3935"/>
  <c r="N3934"/>
  <c r="M3934"/>
  <c r="O3934" s="1"/>
  <c r="N3933"/>
  <c r="O3933" s="1"/>
  <c r="M3933"/>
  <c r="O3932"/>
  <c r="N3932"/>
  <c r="M3932"/>
  <c r="N3931"/>
  <c r="O3931" s="1"/>
  <c r="M3931"/>
  <c r="O3930"/>
  <c r="N3930"/>
  <c r="M3930"/>
  <c r="N3929"/>
  <c r="O3929" s="1"/>
  <c r="M3929"/>
  <c r="N3928"/>
  <c r="M3928"/>
  <c r="O3928" s="1"/>
  <c r="N3927"/>
  <c r="O3927" s="1"/>
  <c r="M3927"/>
  <c r="N3926"/>
  <c r="M3926"/>
  <c r="O3926" s="1"/>
  <c r="N3925"/>
  <c r="O3925" s="1"/>
  <c r="M3925"/>
  <c r="O3924"/>
  <c r="N3924"/>
  <c r="M3924"/>
  <c r="N3923"/>
  <c r="O3923" s="1"/>
  <c r="M3923"/>
  <c r="O3922"/>
  <c r="N3922"/>
  <c r="M3922"/>
  <c r="N3921"/>
  <c r="O3921" s="1"/>
  <c r="M3921"/>
  <c r="N3920"/>
  <c r="M3920"/>
  <c r="O3920" s="1"/>
  <c r="N3919"/>
  <c r="O3919" s="1"/>
  <c r="M3919"/>
  <c r="N3918"/>
  <c r="M3918"/>
  <c r="O3918" s="1"/>
  <c r="N3917"/>
  <c r="O3917" s="1"/>
  <c r="M3917"/>
  <c r="O3916"/>
  <c r="N3916"/>
  <c r="M3916"/>
  <c r="N3915"/>
  <c r="O3915" s="1"/>
  <c r="M3915"/>
  <c r="O3914"/>
  <c r="N3914"/>
  <c r="M3914"/>
  <c r="N3913"/>
  <c r="O3913" s="1"/>
  <c r="M3913"/>
  <c r="N3912"/>
  <c r="M3912"/>
  <c r="O3912" s="1"/>
  <c r="N3911"/>
  <c r="O3911" s="1"/>
  <c r="M3911"/>
  <c r="N3910"/>
  <c r="M3910"/>
  <c r="O3910" s="1"/>
  <c r="N3909"/>
  <c r="O3909" s="1"/>
  <c r="M3909"/>
  <c r="O3908"/>
  <c r="N3908"/>
  <c r="M3908"/>
  <c r="N3907"/>
  <c r="O3907" s="1"/>
  <c r="M3907"/>
  <c r="O3906"/>
  <c r="N3906"/>
  <c r="M3906"/>
  <c r="N3905"/>
  <c r="O3905" s="1"/>
  <c r="M3905"/>
  <c r="N3904"/>
  <c r="M3904"/>
  <c r="O3904" s="1"/>
  <c r="N3903"/>
  <c r="O3903" s="1"/>
  <c r="M3903"/>
  <c r="N3902"/>
  <c r="M3902"/>
  <c r="O3902" s="1"/>
  <c r="N3901"/>
  <c r="O3901" s="1"/>
  <c r="M3901"/>
  <c r="O3900"/>
  <c r="N3900"/>
  <c r="M3900"/>
  <c r="N3899"/>
  <c r="O3899" s="1"/>
  <c r="M3899"/>
  <c r="O3898"/>
  <c r="N3898"/>
  <c r="M3898"/>
  <c r="N3897"/>
  <c r="O3897" s="1"/>
  <c r="M3897"/>
  <c r="N3896"/>
  <c r="M3896"/>
  <c r="O3896" s="1"/>
  <c r="N3895"/>
  <c r="O3895" s="1"/>
  <c r="M3895"/>
  <c r="N3894"/>
  <c r="M3894"/>
  <c r="O3894" s="1"/>
  <c r="N3893"/>
  <c r="O3893" s="1"/>
  <c r="M3893"/>
  <c r="O3892"/>
  <c r="N3892"/>
  <c r="M3892"/>
  <c r="N3891"/>
  <c r="O3891" s="1"/>
  <c r="M3891"/>
  <c r="O3890"/>
  <c r="N3890"/>
  <c r="M3890"/>
  <c r="N3889"/>
  <c r="O3889" s="1"/>
  <c r="M3889"/>
  <c r="N3888"/>
  <c r="M3888"/>
  <c r="O3888" s="1"/>
  <c r="N3887"/>
  <c r="O3887" s="1"/>
  <c r="M3887"/>
  <c r="N3886"/>
  <c r="M3886"/>
  <c r="O3886" s="1"/>
  <c r="N3885"/>
  <c r="O3885" s="1"/>
  <c r="M3885"/>
  <c r="O3884"/>
  <c r="N3884"/>
  <c r="M3884"/>
  <c r="N3883"/>
  <c r="O3883" s="1"/>
  <c r="M3883"/>
  <c r="O3882"/>
  <c r="N3882"/>
  <c r="M3882"/>
  <c r="N3881"/>
  <c r="O3881" s="1"/>
  <c r="M3881"/>
  <c r="N3880"/>
  <c r="M3880"/>
  <c r="O3880" s="1"/>
  <c r="N3879"/>
  <c r="O3879" s="1"/>
  <c r="M3879"/>
  <c r="N3878"/>
  <c r="M3878"/>
  <c r="O3878" s="1"/>
  <c r="N3877"/>
  <c r="O3877" s="1"/>
  <c r="M3877"/>
  <c r="O3876"/>
  <c r="N3876"/>
  <c r="M3876"/>
  <c r="N3875"/>
  <c r="O3875" s="1"/>
  <c r="M3875"/>
  <c r="O3874"/>
  <c r="N3874"/>
  <c r="M3874"/>
  <c r="N3873"/>
  <c r="O3873" s="1"/>
  <c r="M3873"/>
  <c r="N3872"/>
  <c r="M3872"/>
  <c r="O3872" s="1"/>
  <c r="N3871"/>
  <c r="O3871" s="1"/>
  <c r="M3871"/>
  <c r="N3870"/>
  <c r="M3870"/>
  <c r="O3870" s="1"/>
  <c r="N3869"/>
  <c r="O3869" s="1"/>
  <c r="M3869"/>
  <c r="O3868"/>
  <c r="N3868"/>
  <c r="M3868"/>
  <c r="N3867"/>
  <c r="O3867" s="1"/>
  <c r="M3867"/>
  <c r="O3866"/>
  <c r="N3866"/>
  <c r="M3866"/>
  <c r="N3865"/>
  <c r="O3865" s="1"/>
  <c r="M3865"/>
  <c r="N3864"/>
  <c r="M3864"/>
  <c r="O3864" s="1"/>
  <c r="N3863"/>
  <c r="O3863" s="1"/>
  <c r="M3863"/>
  <c r="N3862"/>
  <c r="M3862"/>
  <c r="O3862" s="1"/>
  <c r="N3861"/>
  <c r="O3861" s="1"/>
  <c r="M3861"/>
  <c r="O3860"/>
  <c r="N3860"/>
  <c r="M3860"/>
  <c r="N3859"/>
  <c r="O3859" s="1"/>
  <c r="M3859"/>
  <c r="O3858"/>
  <c r="N3858"/>
  <c r="M3858"/>
  <c r="N3857"/>
  <c r="O3857" s="1"/>
  <c r="M3857"/>
  <c r="N3856"/>
  <c r="M3856"/>
  <c r="O3856" s="1"/>
  <c r="N3855"/>
  <c r="O3855" s="1"/>
  <c r="M3855"/>
  <c r="N3854"/>
  <c r="M3854"/>
  <c r="O3854" s="1"/>
  <c r="N3853"/>
  <c r="O3853" s="1"/>
  <c r="M3853"/>
  <c r="O3852"/>
  <c r="N3852"/>
  <c r="M3852"/>
  <c r="N3851"/>
  <c r="O3851" s="1"/>
  <c r="M3851"/>
  <c r="O3850"/>
  <c r="N3850"/>
  <c r="M3850"/>
  <c r="N3849"/>
  <c r="O3849" s="1"/>
  <c r="M3849"/>
  <c r="N3848"/>
  <c r="M3848"/>
  <c r="O3848" s="1"/>
  <c r="N3847"/>
  <c r="O3847" s="1"/>
  <c r="M3847"/>
  <c r="N3846"/>
  <c r="M3846"/>
  <c r="O3846" s="1"/>
  <c r="N3845"/>
  <c r="O3845" s="1"/>
  <c r="M3845"/>
  <c r="O3844"/>
  <c r="N3844"/>
  <c r="M3844"/>
  <c r="N3843"/>
  <c r="O3843" s="1"/>
  <c r="M3843"/>
  <c r="O3842"/>
  <c r="N3842"/>
  <c r="M3842"/>
  <c r="N3841"/>
  <c r="O3841" s="1"/>
  <c r="M3841"/>
  <c r="N3840"/>
  <c r="M3840"/>
  <c r="O3840" s="1"/>
  <c r="N3839"/>
  <c r="O3839" s="1"/>
  <c r="M3839"/>
  <c r="N3838"/>
  <c r="M3838"/>
  <c r="O3838" s="1"/>
  <c r="N3837"/>
  <c r="O3837" s="1"/>
  <c r="M3837"/>
  <c r="O3836"/>
  <c r="N3836"/>
  <c r="M3836"/>
  <c r="N3835"/>
  <c r="O3835" s="1"/>
  <c r="M3835"/>
  <c r="O3834"/>
  <c r="N3834"/>
  <c r="M3834"/>
  <c r="N3833"/>
  <c r="O3833" s="1"/>
  <c r="M3833"/>
  <c r="N3832"/>
  <c r="M3832"/>
  <c r="O3832" s="1"/>
  <c r="N3831"/>
  <c r="O3831" s="1"/>
  <c r="M3831"/>
  <c r="N3830"/>
  <c r="M3830"/>
  <c r="O3830" s="1"/>
  <c r="N3829"/>
  <c r="O3829" s="1"/>
  <c r="M3829"/>
  <c r="O3828"/>
  <c r="N3828"/>
  <c r="M3828"/>
  <c r="N3827"/>
  <c r="O3827" s="1"/>
  <c r="M3827"/>
  <c r="O3826"/>
  <c r="N3826"/>
  <c r="M3826"/>
  <c r="N3825"/>
  <c r="O3825" s="1"/>
  <c r="M3825"/>
  <c r="N3824"/>
  <c r="M3824"/>
  <c r="O3824" s="1"/>
  <c r="N3823"/>
  <c r="O3823" s="1"/>
  <c r="M3823"/>
  <c r="N3822"/>
  <c r="M3822"/>
  <c r="O3822" s="1"/>
  <c r="N3821"/>
  <c r="O3821" s="1"/>
  <c r="M3821"/>
  <c r="O3820"/>
  <c r="N3820"/>
  <c r="M3820"/>
  <c r="N3819"/>
  <c r="O3819" s="1"/>
  <c r="M3819"/>
  <c r="O3818"/>
  <c r="N3818"/>
  <c r="M3818"/>
  <c r="N3817"/>
  <c r="O3817" s="1"/>
  <c r="M3817"/>
  <c r="N3816"/>
  <c r="M3816"/>
  <c r="O3816" s="1"/>
  <c r="N3815"/>
  <c r="O3815" s="1"/>
  <c r="M3815"/>
  <c r="N3814"/>
  <c r="M3814"/>
  <c r="O3814" s="1"/>
  <c r="N3813"/>
  <c r="O3813" s="1"/>
  <c r="M3813"/>
  <c r="O3812"/>
  <c r="N3812"/>
  <c r="M3812"/>
  <c r="N3811"/>
  <c r="O3811" s="1"/>
  <c r="M3811"/>
  <c r="O3810"/>
  <c r="N3810"/>
  <c r="M3810"/>
  <c r="N3809"/>
  <c r="O3809" s="1"/>
  <c r="M3809"/>
  <c r="N3808"/>
  <c r="M3808"/>
  <c r="O3808" s="1"/>
  <c r="N3807"/>
  <c r="O3807" s="1"/>
  <c r="M3807"/>
  <c r="N3806"/>
  <c r="M3806"/>
  <c r="O3806" s="1"/>
  <c r="N3805"/>
  <c r="O3805" s="1"/>
  <c r="M3805"/>
  <c r="O3804"/>
  <c r="N3804"/>
  <c r="M3804"/>
  <c r="N3803"/>
  <c r="O3803" s="1"/>
  <c r="M3803"/>
  <c r="O3802"/>
  <c r="N3802"/>
  <c r="M3802"/>
  <c r="N3801"/>
  <c r="O3801" s="1"/>
  <c r="M3801"/>
  <c r="N3800"/>
  <c r="M3800"/>
  <c r="O3800" s="1"/>
  <c r="N3799"/>
  <c r="O3799" s="1"/>
  <c r="M3799"/>
  <c r="N3798"/>
  <c r="M3798"/>
  <c r="O3798" s="1"/>
  <c r="N3797"/>
  <c r="O3797" s="1"/>
  <c r="M3797"/>
  <c r="O3796"/>
  <c r="N3796"/>
  <c r="M3796"/>
  <c r="N3795"/>
  <c r="O3795" s="1"/>
  <c r="M3795"/>
  <c r="O3794"/>
  <c r="N3794"/>
  <c r="M3794"/>
  <c r="N3793"/>
  <c r="O3793" s="1"/>
  <c r="M3793"/>
  <c r="N3792"/>
  <c r="M3792"/>
  <c r="O3792" s="1"/>
  <c r="N3791"/>
  <c r="O3791" s="1"/>
  <c r="M3791"/>
  <c r="N3790"/>
  <c r="M3790"/>
  <c r="O3790" s="1"/>
  <c r="N3789"/>
  <c r="O3789" s="1"/>
  <c r="M3789"/>
  <c r="O3788"/>
  <c r="N3788"/>
  <c r="M3788"/>
  <c r="N3787"/>
  <c r="O3787" s="1"/>
  <c r="M3787"/>
  <c r="O3786"/>
  <c r="N3786"/>
  <c r="M3786"/>
  <c r="N3785"/>
  <c r="O3785" s="1"/>
  <c r="M3785"/>
  <c r="N3784"/>
  <c r="M3784"/>
  <c r="O3784" s="1"/>
  <c r="N3783"/>
  <c r="O3783" s="1"/>
  <c r="M3783"/>
  <c r="N3782"/>
  <c r="M3782"/>
  <c r="O3782" s="1"/>
  <c r="N3781"/>
  <c r="O3781" s="1"/>
  <c r="M3781"/>
  <c r="O3780"/>
  <c r="N3780"/>
  <c r="M3780"/>
  <c r="N3779"/>
  <c r="O3779" s="1"/>
  <c r="M3779"/>
  <c r="O3778"/>
  <c r="N3778"/>
  <c r="M3778"/>
  <c r="N3777"/>
  <c r="O3777" s="1"/>
  <c r="M3777"/>
  <c r="N3776"/>
  <c r="M3776"/>
  <c r="O3776" s="1"/>
  <c r="N3775"/>
  <c r="O3775" s="1"/>
  <c r="M3775"/>
  <c r="N3774"/>
  <c r="M3774"/>
  <c r="O3774" s="1"/>
  <c r="N3773"/>
  <c r="O3773" s="1"/>
  <c r="M3773"/>
  <c r="O3772"/>
  <c r="N3772"/>
  <c r="M3772"/>
  <c r="N3771"/>
  <c r="O3771" s="1"/>
  <c r="M3771"/>
  <c r="O3770"/>
  <c r="N3770"/>
  <c r="M3770"/>
  <c r="N3769"/>
  <c r="O3769" s="1"/>
  <c r="M3769"/>
  <c r="N3768"/>
  <c r="M3768"/>
  <c r="O3768" s="1"/>
  <c r="N3767"/>
  <c r="O3767" s="1"/>
  <c r="M3767"/>
  <c r="N3766"/>
  <c r="M3766"/>
  <c r="O3766" s="1"/>
  <c r="N3765"/>
  <c r="O3765" s="1"/>
  <c r="M3765"/>
  <c r="O3764"/>
  <c r="N3764"/>
  <c r="M3764"/>
  <c r="N3763"/>
  <c r="O3763" s="1"/>
  <c r="M3763"/>
  <c r="O3762"/>
  <c r="N3762"/>
  <c r="M3762"/>
  <c r="N3761"/>
  <c r="O3761" s="1"/>
  <c r="M3761"/>
  <c r="N3760"/>
  <c r="M3760"/>
  <c r="O3760" s="1"/>
  <c r="N3759"/>
  <c r="O3759" s="1"/>
  <c r="M3759"/>
  <c r="N3758"/>
  <c r="M3758"/>
  <c r="O3758" s="1"/>
  <c r="N3757"/>
  <c r="O3757" s="1"/>
  <c r="M3757"/>
  <c r="O3756"/>
  <c r="N3756"/>
  <c r="M3756"/>
  <c r="N3755"/>
  <c r="O3755" s="1"/>
  <c r="M3755"/>
  <c r="O3754"/>
  <c r="N3754"/>
  <c r="M3754"/>
  <c r="N3753"/>
  <c r="O3753" s="1"/>
  <c r="M3753"/>
  <c r="N3752"/>
  <c r="M3752"/>
  <c r="O3752" s="1"/>
  <c r="N3751"/>
  <c r="O3751" s="1"/>
  <c r="M3751"/>
  <c r="N3750"/>
  <c r="M3750"/>
  <c r="O3750" s="1"/>
  <c r="N3749"/>
  <c r="O3749" s="1"/>
  <c r="M3749"/>
  <c r="O3748"/>
  <c r="N3748"/>
  <c r="M3748"/>
  <c r="N3747"/>
  <c r="O3747" s="1"/>
  <c r="M3747"/>
  <c r="O3746"/>
  <c r="N3746"/>
  <c r="M3746"/>
  <c r="N3745"/>
  <c r="O3745" s="1"/>
  <c r="M3745"/>
  <c r="N3744"/>
  <c r="M3744"/>
  <c r="O3744" s="1"/>
  <c r="N3743"/>
  <c r="O3743" s="1"/>
  <c r="M3743"/>
  <c r="N3742"/>
  <c r="M3742"/>
  <c r="O3742" s="1"/>
  <c r="N3741"/>
  <c r="O3741" s="1"/>
  <c r="M3741"/>
  <c r="O3740"/>
  <c r="N3740"/>
  <c r="M3740"/>
  <c r="N3739"/>
  <c r="O3739" s="1"/>
  <c r="M3739"/>
  <c r="O3738"/>
  <c r="N3738"/>
  <c r="M3738"/>
  <c r="N3737"/>
  <c r="O3737" s="1"/>
  <c r="M3737"/>
  <c r="N3736"/>
  <c r="M3736"/>
  <c r="O3736" s="1"/>
  <c r="N3735"/>
  <c r="O3735" s="1"/>
  <c r="M3735"/>
  <c r="N3734"/>
  <c r="M3734"/>
  <c r="O3734" s="1"/>
  <c r="N3733"/>
  <c r="O3733" s="1"/>
  <c r="M3733"/>
  <c r="O3732"/>
  <c r="N3732"/>
  <c r="M3732"/>
  <c r="N3731"/>
  <c r="O3731" s="1"/>
  <c r="M3731"/>
  <c r="O3730"/>
  <c r="N3730"/>
  <c r="M3730"/>
  <c r="N3729"/>
  <c r="O3729" s="1"/>
  <c r="M3729"/>
  <c r="N3728"/>
  <c r="M3728"/>
  <c r="O3728" s="1"/>
  <c r="N3727"/>
  <c r="O3727" s="1"/>
  <c r="M3727"/>
  <c r="N3726"/>
  <c r="M3726"/>
  <c r="O3726" s="1"/>
  <c r="N3725"/>
  <c r="O3725" s="1"/>
  <c r="M3725"/>
  <c r="O3724"/>
  <c r="N3724"/>
  <c r="M3724"/>
  <c r="N3723"/>
  <c r="O3723" s="1"/>
  <c r="M3723"/>
  <c r="O3722"/>
  <c r="N3722"/>
  <c r="M3722"/>
  <c r="N3721"/>
  <c r="O3721" s="1"/>
  <c r="M3721"/>
  <c r="N3720"/>
  <c r="M3720"/>
  <c r="O3720" s="1"/>
  <c r="N3719"/>
  <c r="O3719" s="1"/>
  <c r="M3719"/>
  <c r="N3718"/>
  <c r="M3718"/>
  <c r="O3718" s="1"/>
  <c r="N3717"/>
  <c r="O3717" s="1"/>
  <c r="M3717"/>
  <c r="O3716"/>
  <c r="N3716"/>
  <c r="M3716"/>
  <c r="N3715"/>
  <c r="O3715" s="1"/>
  <c r="M3715"/>
  <c r="O3714"/>
  <c r="N3714"/>
  <c r="M3714"/>
  <c r="N3713"/>
  <c r="O3713" s="1"/>
  <c r="M3713"/>
  <c r="N3712"/>
  <c r="M3712"/>
  <c r="O3712" s="1"/>
  <c r="N3711"/>
  <c r="O3711" s="1"/>
  <c r="M3711"/>
  <c r="N3710"/>
  <c r="M3710"/>
  <c r="O3710" s="1"/>
  <c r="N3709"/>
  <c r="O3709" s="1"/>
  <c r="M3709"/>
  <c r="O3708"/>
  <c r="N3708"/>
  <c r="M3708"/>
  <c r="N3707"/>
  <c r="O3707" s="1"/>
  <c r="M3707"/>
  <c r="O3706"/>
  <c r="N3706"/>
  <c r="M3706"/>
  <c r="N3705"/>
  <c r="O3705" s="1"/>
  <c r="M3705"/>
  <c r="N3704"/>
  <c r="M3704"/>
  <c r="O3704" s="1"/>
  <c r="N3703"/>
  <c r="O3703" s="1"/>
  <c r="M3703"/>
  <c r="N3702"/>
  <c r="M3702"/>
  <c r="O3702" s="1"/>
  <c r="N3701"/>
  <c r="O3701" s="1"/>
  <c r="M3701"/>
  <c r="O3700"/>
  <c r="N3700"/>
  <c r="M3700"/>
  <c r="N3699"/>
  <c r="O3699" s="1"/>
  <c r="M3699"/>
  <c r="O3698"/>
  <c r="N3698"/>
  <c r="M3698"/>
  <c r="N3697"/>
  <c r="O3697" s="1"/>
  <c r="M3697"/>
  <c r="N3696"/>
  <c r="M3696"/>
  <c r="O3696" s="1"/>
  <c r="N3695"/>
  <c r="O3695" s="1"/>
  <c r="M3695"/>
  <c r="N3694"/>
  <c r="M3694"/>
  <c r="O3694" s="1"/>
  <c r="N3693"/>
  <c r="O3693" s="1"/>
  <c r="M3693"/>
  <c r="O3692"/>
  <c r="N3692"/>
  <c r="M3692"/>
  <c r="N3691"/>
  <c r="O3691" s="1"/>
  <c r="M3691"/>
  <c r="O3690"/>
  <c r="N3690"/>
  <c r="M3690"/>
  <c r="N3689"/>
  <c r="O3689" s="1"/>
  <c r="M3689"/>
  <c r="N3688"/>
  <c r="M3688"/>
  <c r="O3688" s="1"/>
  <c r="N3687"/>
  <c r="O3687" s="1"/>
  <c r="M3687"/>
  <c r="N3686"/>
  <c r="M3686"/>
  <c r="O3686" s="1"/>
  <c r="N3685"/>
  <c r="O3685" s="1"/>
  <c r="M3685"/>
  <c r="O3684"/>
  <c r="N3684"/>
  <c r="M3684"/>
  <c r="N3683"/>
  <c r="O3683" s="1"/>
  <c r="M3683"/>
  <c r="O3682"/>
  <c r="N3682"/>
  <c r="M3682"/>
  <c r="N3681"/>
  <c r="O3681" s="1"/>
  <c r="M3681"/>
  <c r="N3680"/>
  <c r="M3680"/>
  <c r="O3680" s="1"/>
  <c r="N3679"/>
  <c r="O3679" s="1"/>
  <c r="M3679"/>
  <c r="N3678"/>
  <c r="M3678"/>
  <c r="O3678" s="1"/>
  <c r="N3677"/>
  <c r="O3677" s="1"/>
  <c r="M3677"/>
  <c r="O3676"/>
  <c r="N3676"/>
  <c r="M3676"/>
  <c r="N3675"/>
  <c r="O3675" s="1"/>
  <c r="M3675"/>
  <c r="O3674"/>
  <c r="N3674"/>
  <c r="M3674"/>
  <c r="N3673"/>
  <c r="O3673" s="1"/>
  <c r="M3673"/>
  <c r="N3672"/>
  <c r="M3672"/>
  <c r="O3672" s="1"/>
  <c r="N3671"/>
  <c r="O3671" s="1"/>
  <c r="M3671"/>
  <c r="N3670"/>
  <c r="M3670"/>
  <c r="O3670" s="1"/>
  <c r="N3669"/>
  <c r="O3669" s="1"/>
  <c r="M3669"/>
  <c r="O3668"/>
  <c r="N3668"/>
  <c r="M3668"/>
  <c r="N3667"/>
  <c r="O3667" s="1"/>
  <c r="M3667"/>
  <c r="O3666"/>
  <c r="N3666"/>
  <c r="M3666"/>
  <c r="N3665"/>
  <c r="O3665" s="1"/>
  <c r="M3665"/>
  <c r="N3664"/>
  <c r="M3664"/>
  <c r="O3664" s="1"/>
  <c r="N3663"/>
  <c r="O3663" s="1"/>
  <c r="M3663"/>
  <c r="N3662"/>
  <c r="M3662"/>
  <c r="O3662" s="1"/>
  <c r="N3661"/>
  <c r="O3661" s="1"/>
  <c r="M3661"/>
  <c r="O3660"/>
  <c r="N3660"/>
  <c r="M3660"/>
  <c r="N3659"/>
  <c r="O3659" s="1"/>
  <c r="M3659"/>
  <c r="O3658"/>
  <c r="N3658"/>
  <c r="M3658"/>
  <c r="N3657"/>
  <c r="O3657" s="1"/>
  <c r="M3657"/>
  <c r="N3656"/>
  <c r="M3656"/>
  <c r="O3656" s="1"/>
  <c r="N3655"/>
  <c r="O3655" s="1"/>
  <c r="M3655"/>
  <c r="N3654"/>
  <c r="M3654"/>
  <c r="O3654" s="1"/>
  <c r="N3653"/>
  <c r="O3653" s="1"/>
  <c r="M3653"/>
  <c r="O3652"/>
  <c r="N3652"/>
  <c r="M3652"/>
  <c r="N3651"/>
  <c r="O3651" s="1"/>
  <c r="M3651"/>
  <c r="O3650"/>
  <c r="N3650"/>
  <c r="M3650"/>
  <c r="N3649"/>
  <c r="O3649" s="1"/>
  <c r="M3649"/>
  <c r="N3648"/>
  <c r="M3648"/>
  <c r="O3648" s="1"/>
  <c r="N3647"/>
  <c r="O3647" s="1"/>
  <c r="M3647"/>
  <c r="N3646"/>
  <c r="M3646"/>
  <c r="O3646" s="1"/>
  <c r="N3645"/>
  <c r="O3645" s="1"/>
  <c r="M3645"/>
  <c r="O3644"/>
  <c r="N3644"/>
  <c r="M3644"/>
  <c r="N3643"/>
  <c r="O3643" s="1"/>
  <c r="M3643"/>
  <c r="O3642"/>
  <c r="N3642"/>
  <c r="M3642"/>
  <c r="N3641"/>
  <c r="O3641" s="1"/>
  <c r="M3641"/>
  <c r="N3640"/>
  <c r="M3640"/>
  <c r="O3640" s="1"/>
  <c r="N3639"/>
  <c r="O3639" s="1"/>
  <c r="M3639"/>
  <c r="N3638"/>
  <c r="M3638"/>
  <c r="O3638" s="1"/>
  <c r="N3637"/>
  <c r="O3637" s="1"/>
  <c r="M3637"/>
  <c r="O3636"/>
  <c r="N3636"/>
  <c r="M3636"/>
  <c r="N3635"/>
  <c r="O3635" s="1"/>
  <c r="M3635"/>
  <c r="O3634"/>
  <c r="N3634"/>
  <c r="M3634"/>
  <c r="N3633"/>
  <c r="O3633" s="1"/>
  <c r="M3633"/>
  <c r="N3632"/>
  <c r="M3632"/>
  <c r="O3632" s="1"/>
  <c r="N3631"/>
  <c r="O3631" s="1"/>
  <c r="M3631"/>
  <c r="N3630"/>
  <c r="M3630"/>
  <c r="O3630" s="1"/>
  <c r="N3629"/>
  <c r="O3629" s="1"/>
  <c r="M3629"/>
  <c r="O3628"/>
  <c r="N3628"/>
  <c r="M3628"/>
  <c r="N3627"/>
  <c r="O3627" s="1"/>
  <c r="M3627"/>
  <c r="O3626"/>
  <c r="N3626"/>
  <c r="M3626"/>
  <c r="N3625"/>
  <c r="O3625" s="1"/>
  <c r="M3625"/>
  <c r="N3624"/>
  <c r="M3624"/>
  <c r="O3624" s="1"/>
  <c r="N3623"/>
  <c r="O3623" s="1"/>
  <c r="M3623"/>
  <c r="N3622"/>
  <c r="M3622"/>
  <c r="O3622" s="1"/>
  <c r="N3621"/>
  <c r="O3621" s="1"/>
  <c r="M3621"/>
  <c r="O3620"/>
  <c r="N3620"/>
  <c r="M3620"/>
  <c r="N3619"/>
  <c r="O3619" s="1"/>
  <c r="M3619"/>
  <c r="O3618"/>
  <c r="N3618"/>
  <c r="M3618"/>
  <c r="N3617"/>
  <c r="O3617" s="1"/>
  <c r="M3617"/>
  <c r="N3616"/>
  <c r="M3616"/>
  <c r="O3616" s="1"/>
  <c r="N3615"/>
  <c r="O3615" s="1"/>
  <c r="M3615"/>
  <c r="N3614"/>
  <c r="M3614"/>
  <c r="O3614" s="1"/>
  <c r="N3613"/>
  <c r="O3613" s="1"/>
  <c r="M3613"/>
  <c r="O3612"/>
  <c r="N3612"/>
  <c r="M3612"/>
  <c r="N3611"/>
  <c r="O3611" s="1"/>
  <c r="M3611"/>
  <c r="O3610"/>
  <c r="N3610"/>
  <c r="M3610"/>
  <c r="N3609"/>
  <c r="O3609" s="1"/>
  <c r="M3609"/>
  <c r="N3608"/>
  <c r="M3608"/>
  <c r="O3608" s="1"/>
  <c r="N3607"/>
  <c r="O3607" s="1"/>
  <c r="M3607"/>
  <c r="N3606"/>
  <c r="M3606"/>
  <c r="O3606" s="1"/>
  <c r="N3605"/>
  <c r="O3605" s="1"/>
  <c r="M3605"/>
  <c r="O3604"/>
  <c r="N3604"/>
  <c r="M3604"/>
  <c r="N3603"/>
  <c r="O3603" s="1"/>
  <c r="M3603"/>
  <c r="O3602"/>
  <c r="N3602"/>
  <c r="M3602"/>
  <c r="N3601"/>
  <c r="O3601" s="1"/>
  <c r="M3601"/>
  <c r="N3600"/>
  <c r="M3600"/>
  <c r="O3600" s="1"/>
  <c r="N3599"/>
  <c r="O3599" s="1"/>
  <c r="M3599"/>
  <c r="N3598"/>
  <c r="M3598"/>
  <c r="O3598" s="1"/>
  <c r="N3597"/>
  <c r="O3597" s="1"/>
  <c r="M3597"/>
  <c r="O3596"/>
  <c r="N3596"/>
  <c r="M3596"/>
  <c r="N3595"/>
  <c r="O3595" s="1"/>
  <c r="M3595"/>
  <c r="O3594"/>
  <c r="N3594"/>
  <c r="M3594"/>
  <c r="N3593"/>
  <c r="O3593" s="1"/>
  <c r="M3593"/>
  <c r="N3592"/>
  <c r="M3592"/>
  <c r="O3592" s="1"/>
  <c r="N3591"/>
  <c r="O3591" s="1"/>
  <c r="M3591"/>
  <c r="N3590"/>
  <c r="M3590"/>
  <c r="O3590" s="1"/>
  <c r="N3589"/>
  <c r="O3589" s="1"/>
  <c r="M3589"/>
  <c r="O3588"/>
  <c r="N3588"/>
  <c r="M3588"/>
  <c r="N3587"/>
  <c r="O3587" s="1"/>
  <c r="M3587"/>
  <c r="O3586"/>
  <c r="N3586"/>
  <c r="M3586"/>
  <c r="N3585"/>
  <c r="O3585" s="1"/>
  <c r="M3585"/>
  <c r="N3584"/>
  <c r="M3584"/>
  <c r="O3584" s="1"/>
  <c r="N3583"/>
  <c r="O3583" s="1"/>
  <c r="M3583"/>
  <c r="N3582"/>
  <c r="M3582"/>
  <c r="O3582" s="1"/>
  <c r="N3581"/>
  <c r="O3581" s="1"/>
  <c r="M3581"/>
  <c r="O3580"/>
  <c r="N3580"/>
  <c r="M3580"/>
  <c r="N3579"/>
  <c r="O3579" s="1"/>
  <c r="M3579"/>
  <c r="O3578"/>
  <c r="N3578"/>
  <c r="M3578"/>
  <c r="N3577"/>
  <c r="O3577" s="1"/>
  <c r="M3577"/>
  <c r="N3576"/>
  <c r="M3576"/>
  <c r="O3576" s="1"/>
  <c r="N3575"/>
  <c r="O3575" s="1"/>
  <c r="M3575"/>
  <c r="N3574"/>
  <c r="M3574"/>
  <c r="O3574" s="1"/>
  <c r="N3573"/>
  <c r="O3573" s="1"/>
  <c r="M3573"/>
  <c r="O3572"/>
  <c r="N3572"/>
  <c r="M3572"/>
  <c r="N3571"/>
  <c r="O3571" s="1"/>
  <c r="M3571"/>
  <c r="O3570"/>
  <c r="N3570"/>
  <c r="M3570"/>
  <c r="N3569"/>
  <c r="O3569" s="1"/>
  <c r="M3569"/>
  <c r="N3568"/>
  <c r="M3568"/>
  <c r="O3568" s="1"/>
  <c r="N3567"/>
  <c r="O3567" s="1"/>
  <c r="M3567"/>
  <c r="N3566"/>
  <c r="M3566"/>
  <c r="O3566" s="1"/>
  <c r="N3565"/>
  <c r="O3565" s="1"/>
  <c r="M3565"/>
  <c r="O3564"/>
  <c r="N3564"/>
  <c r="M3564"/>
  <c r="N3563"/>
  <c r="O3563" s="1"/>
  <c r="M3563"/>
  <c r="O3562"/>
  <c r="N3562"/>
  <c r="M3562"/>
  <c r="N3561"/>
  <c r="O3561" s="1"/>
  <c r="M3561"/>
  <c r="N3560"/>
  <c r="M3560"/>
  <c r="O3560" s="1"/>
  <c r="N3559"/>
  <c r="O3559" s="1"/>
  <c r="M3559"/>
  <c r="N3558"/>
  <c r="M3558"/>
  <c r="O3558" s="1"/>
  <c r="N3557"/>
  <c r="O3557" s="1"/>
  <c r="M3557"/>
  <c r="O3556"/>
  <c r="N3556"/>
  <c r="M3556"/>
  <c r="N3555"/>
  <c r="O3555" s="1"/>
  <c r="M3555"/>
  <c r="O3554"/>
  <c r="N3554"/>
  <c r="M3554"/>
  <c r="N3553"/>
  <c r="O3553" s="1"/>
  <c r="M3553"/>
  <c r="N3552"/>
  <c r="M3552"/>
  <c r="O3552" s="1"/>
  <c r="N3551"/>
  <c r="O3551" s="1"/>
  <c r="M3551"/>
  <c r="N3550"/>
  <c r="M3550"/>
  <c r="O3550" s="1"/>
  <c r="N3549"/>
  <c r="O3549" s="1"/>
  <c r="M3549"/>
  <c r="O3548"/>
  <c r="N3548"/>
  <c r="M3548"/>
  <c r="N3547"/>
  <c r="O3547" s="1"/>
  <c r="M3547"/>
  <c r="O3546"/>
  <c r="N3546"/>
  <c r="M3546"/>
  <c r="N3545"/>
  <c r="O3545" s="1"/>
  <c r="M3545"/>
  <c r="N3544"/>
  <c r="M3544"/>
  <c r="O3544" s="1"/>
  <c r="N3543"/>
  <c r="O3543" s="1"/>
  <c r="M3543"/>
  <c r="N3542"/>
  <c r="M3542"/>
  <c r="O3542" s="1"/>
  <c r="N3541"/>
  <c r="O3541" s="1"/>
  <c r="M3541"/>
  <c r="O3540"/>
  <c r="N3540"/>
  <c r="M3540"/>
  <c r="N3539"/>
  <c r="O3539" s="1"/>
  <c r="M3539"/>
  <c r="O3538"/>
  <c r="N3538"/>
  <c r="M3538"/>
  <c r="N3537"/>
  <c r="O3537" s="1"/>
  <c r="M3537"/>
  <c r="N3536"/>
  <c r="M3536"/>
  <c r="O3536" s="1"/>
  <c r="N3535"/>
  <c r="O3535" s="1"/>
  <c r="M3535"/>
  <c r="N3534"/>
  <c r="M3534"/>
  <c r="O3534" s="1"/>
  <c r="N3533"/>
  <c r="O3533" s="1"/>
  <c r="M3533"/>
  <c r="O3532"/>
  <c r="N3532"/>
  <c r="M3532"/>
  <c r="N3531"/>
  <c r="O3531" s="1"/>
  <c r="M3531"/>
  <c r="O3530"/>
  <c r="N3530"/>
  <c r="M3530"/>
  <c r="N3529"/>
  <c r="O3529" s="1"/>
  <c r="M3529"/>
  <c r="N3528"/>
  <c r="M3528"/>
  <c r="O3528" s="1"/>
  <c r="N3527"/>
  <c r="O3527" s="1"/>
  <c r="M3527"/>
  <c r="N3526"/>
  <c r="M3526"/>
  <c r="O3526" s="1"/>
  <c r="N3525"/>
  <c r="O3525" s="1"/>
  <c r="M3525"/>
  <c r="O3524"/>
  <c r="N3524"/>
  <c r="M3524"/>
  <c r="N3523"/>
  <c r="O3523" s="1"/>
  <c r="M3523"/>
  <c r="O3522"/>
  <c r="N3522"/>
  <c r="M3522"/>
  <c r="N3521"/>
  <c r="O3521" s="1"/>
  <c r="M3521"/>
  <c r="N3520"/>
  <c r="M3520"/>
  <c r="O3520" s="1"/>
  <c r="N3519"/>
  <c r="O3519" s="1"/>
  <c r="M3519"/>
  <c r="N3518"/>
  <c r="M3518"/>
  <c r="O3518" s="1"/>
  <c r="N3517"/>
  <c r="O3517" s="1"/>
  <c r="M3517"/>
  <c r="N3516"/>
  <c r="M3516"/>
  <c r="O3516" s="1"/>
  <c r="N3515"/>
  <c r="O3515" s="1"/>
  <c r="M3515"/>
  <c r="O3514"/>
  <c r="N3514"/>
  <c r="M3514"/>
  <c r="N3513"/>
  <c r="O3513" s="1"/>
  <c r="M3513"/>
  <c r="O3512"/>
  <c r="N3512"/>
  <c r="M3512"/>
  <c r="N3511"/>
  <c r="O3511" s="1"/>
  <c r="M3511"/>
  <c r="N3510"/>
  <c r="M3510"/>
  <c r="O3510" s="1"/>
  <c r="N3509"/>
  <c r="O3509" s="1"/>
  <c r="M3509"/>
  <c r="N3508"/>
  <c r="M3508"/>
  <c r="O3508" s="1"/>
  <c r="N3507"/>
  <c r="O3507" s="1"/>
  <c r="M3507"/>
  <c r="O3506"/>
  <c r="N3506"/>
  <c r="M3506"/>
  <c r="N3505"/>
  <c r="O3505" s="1"/>
  <c r="M3505"/>
  <c r="O3504"/>
  <c r="N3504"/>
  <c r="M3504"/>
  <c r="N3503"/>
  <c r="O3503" s="1"/>
  <c r="M3503"/>
  <c r="N3502"/>
  <c r="M3502"/>
  <c r="O3502" s="1"/>
  <c r="N3501"/>
  <c r="O3501" s="1"/>
  <c r="M3501"/>
  <c r="O3500"/>
  <c r="N3500"/>
  <c r="M3500"/>
  <c r="N3499"/>
  <c r="O3499" s="1"/>
  <c r="M3499"/>
  <c r="O3498"/>
  <c r="N3498"/>
  <c r="M3498"/>
  <c r="N3497"/>
  <c r="O3497" s="1"/>
  <c r="M3497"/>
  <c r="N3496"/>
  <c r="M3496"/>
  <c r="O3496" s="1"/>
  <c r="N3495"/>
  <c r="O3495" s="1"/>
  <c r="M3495"/>
  <c r="N3494"/>
  <c r="M3494"/>
  <c r="O3494" s="1"/>
  <c r="N3493"/>
  <c r="O3493" s="1"/>
  <c r="M3493"/>
  <c r="O3492"/>
  <c r="N3492"/>
  <c r="M3492"/>
  <c r="N3491"/>
  <c r="O3491" s="1"/>
  <c r="M3491"/>
  <c r="O3490"/>
  <c r="N3490"/>
  <c r="M3490"/>
  <c r="N3489"/>
  <c r="O3489" s="1"/>
  <c r="M3489"/>
  <c r="N3488"/>
  <c r="M3488"/>
  <c r="O3488" s="1"/>
  <c r="N3487"/>
  <c r="O3487" s="1"/>
  <c r="M3487"/>
  <c r="N3486"/>
  <c r="M3486"/>
  <c r="O3486" s="1"/>
  <c r="N3485"/>
  <c r="O3485" s="1"/>
  <c r="M3485"/>
  <c r="N3484"/>
  <c r="M3484"/>
  <c r="O3484" s="1"/>
  <c r="N3483"/>
  <c r="O3483" s="1"/>
  <c r="M3483"/>
  <c r="O3482"/>
  <c r="N3482"/>
  <c r="M3482"/>
  <c r="N3481"/>
  <c r="O3481" s="1"/>
  <c r="M3481"/>
  <c r="O3480"/>
  <c r="N3480"/>
  <c r="M3480"/>
  <c r="N3479"/>
  <c r="O3479" s="1"/>
  <c r="M3479"/>
  <c r="N3478"/>
  <c r="M3478"/>
  <c r="O3478" s="1"/>
  <c r="N3477"/>
  <c r="O3477" s="1"/>
  <c r="M3477"/>
  <c r="N3476"/>
  <c r="M3476"/>
  <c r="O3476" s="1"/>
  <c r="N3475"/>
  <c r="O3475" s="1"/>
  <c r="M3475"/>
  <c r="O3474"/>
  <c r="N3474"/>
  <c r="M3474"/>
  <c r="N3473"/>
  <c r="O3473" s="1"/>
  <c r="M3473"/>
  <c r="O3472"/>
  <c r="N3472"/>
  <c r="M3472"/>
  <c r="N3471"/>
  <c r="O3471" s="1"/>
  <c r="M3471"/>
  <c r="N3470"/>
  <c r="M3470"/>
  <c r="O3470" s="1"/>
  <c r="N3469"/>
  <c r="O3469" s="1"/>
  <c r="M3469"/>
  <c r="O3468"/>
  <c r="N3468"/>
  <c r="M3468"/>
  <c r="N3467"/>
  <c r="O3467" s="1"/>
  <c r="M3467"/>
  <c r="O3466"/>
  <c r="N3466"/>
  <c r="M3466"/>
  <c r="N3465"/>
  <c r="O3465" s="1"/>
  <c r="M3465"/>
  <c r="N3464"/>
  <c r="M3464"/>
  <c r="O3464" s="1"/>
  <c r="N3463"/>
  <c r="O3463" s="1"/>
  <c r="M3463"/>
  <c r="N3462"/>
  <c r="M3462"/>
  <c r="O3462" s="1"/>
  <c r="N3461"/>
  <c r="O3461" s="1"/>
  <c r="M3461"/>
  <c r="O3460"/>
  <c r="N3460"/>
  <c r="M3460"/>
  <c r="N3459"/>
  <c r="O3459" s="1"/>
  <c r="M3459"/>
  <c r="O3458"/>
  <c r="N3458"/>
  <c r="M3458"/>
  <c r="N3457"/>
  <c r="O3457" s="1"/>
  <c r="M3457"/>
  <c r="N3456"/>
  <c r="M3456"/>
  <c r="O3456" s="1"/>
  <c r="N3455"/>
  <c r="O3455" s="1"/>
  <c r="M3455"/>
  <c r="N3454"/>
  <c r="M3454"/>
  <c r="O3454" s="1"/>
  <c r="N3453"/>
  <c r="O3453" s="1"/>
  <c r="M3453"/>
  <c r="N3452"/>
  <c r="M3452"/>
  <c r="O3452" s="1"/>
  <c r="N3451"/>
  <c r="O3451" s="1"/>
  <c r="M3451"/>
  <c r="O3450"/>
  <c r="N3450"/>
  <c r="M3450"/>
  <c r="N3449"/>
  <c r="O3449" s="1"/>
  <c r="M3449"/>
  <c r="O3448"/>
  <c r="N3448"/>
  <c r="M3448"/>
  <c r="N3447"/>
  <c r="O3447" s="1"/>
  <c r="M3447"/>
  <c r="N3446"/>
  <c r="M3446"/>
  <c r="O3446" s="1"/>
  <c r="N3445"/>
  <c r="O3445" s="1"/>
  <c r="M3445"/>
  <c r="N3444"/>
  <c r="M3444"/>
  <c r="O3444" s="1"/>
  <c r="N3443"/>
  <c r="O3443" s="1"/>
  <c r="M3443"/>
  <c r="O3442"/>
  <c r="N3442"/>
  <c r="M3442"/>
  <c r="N3441"/>
  <c r="O3441" s="1"/>
  <c r="M3441"/>
  <c r="O3440"/>
  <c r="N3440"/>
  <c r="M3440"/>
  <c r="N3439"/>
  <c r="O3439" s="1"/>
  <c r="M3439"/>
  <c r="N3438"/>
  <c r="M3438"/>
  <c r="O3438" s="1"/>
  <c r="N3437"/>
  <c r="O3437" s="1"/>
  <c r="M3437"/>
  <c r="O3436"/>
  <c r="N3436"/>
  <c r="M3436"/>
  <c r="N3435"/>
  <c r="O3435" s="1"/>
  <c r="M3435"/>
  <c r="O3434"/>
  <c r="N3434"/>
  <c r="M3434"/>
  <c r="N3433"/>
  <c r="O3433" s="1"/>
  <c r="M3433"/>
  <c r="N3432"/>
  <c r="M3432"/>
  <c r="O3432" s="1"/>
  <c r="N3431"/>
  <c r="O3431" s="1"/>
  <c r="M3431"/>
  <c r="N3430"/>
  <c r="M3430"/>
  <c r="O3430" s="1"/>
  <c r="N3429"/>
  <c r="O3429" s="1"/>
  <c r="M3429"/>
  <c r="O3428"/>
  <c r="N3428"/>
  <c r="M3428"/>
  <c r="N3427"/>
  <c r="O3427" s="1"/>
  <c r="M3427"/>
  <c r="O3426"/>
  <c r="N3426"/>
  <c r="M3426"/>
  <c r="N3425"/>
  <c r="O3425" s="1"/>
  <c r="M3425"/>
  <c r="N3424"/>
  <c r="M3424"/>
  <c r="O3424" s="1"/>
  <c r="N3423"/>
  <c r="O3423" s="1"/>
  <c r="M3423"/>
  <c r="N3422"/>
  <c r="M3422"/>
  <c r="O3422" s="1"/>
  <c r="N3421"/>
  <c r="O3421" s="1"/>
  <c r="M3421"/>
  <c r="N3420"/>
  <c r="M3420"/>
  <c r="O3420" s="1"/>
  <c r="N3419"/>
  <c r="O3419" s="1"/>
  <c r="M3419"/>
  <c r="O3418"/>
  <c r="N3418"/>
  <c r="M3418"/>
  <c r="N3417"/>
  <c r="O3417" s="1"/>
  <c r="M3417"/>
  <c r="O3416"/>
  <c r="N3416"/>
  <c r="M3416"/>
  <c r="N3415"/>
  <c r="O3415" s="1"/>
  <c r="M3415"/>
  <c r="N3414"/>
  <c r="M3414"/>
  <c r="O3414" s="1"/>
  <c r="N3413"/>
  <c r="O3413" s="1"/>
  <c r="M3413"/>
  <c r="N3412"/>
  <c r="M3412"/>
  <c r="O3412" s="1"/>
  <c r="N3411"/>
  <c r="O3411" s="1"/>
  <c r="M3411"/>
  <c r="O3410"/>
  <c r="N3410"/>
  <c r="M3410"/>
  <c r="N3409"/>
  <c r="O3409" s="1"/>
  <c r="M3409"/>
  <c r="O3408"/>
  <c r="N3408"/>
  <c r="M3408"/>
  <c r="N3407"/>
  <c r="O3407" s="1"/>
  <c r="M3407"/>
  <c r="N3406"/>
  <c r="M3406"/>
  <c r="O3406" s="1"/>
  <c r="N3405"/>
  <c r="O3405" s="1"/>
  <c r="M3405"/>
  <c r="O3404"/>
  <c r="N3404"/>
  <c r="M3404"/>
  <c r="N3403"/>
  <c r="O3403" s="1"/>
  <c r="M3403"/>
  <c r="O3402"/>
  <c r="N3402"/>
  <c r="M3402"/>
  <c r="N3401"/>
  <c r="O3401" s="1"/>
  <c r="M3401"/>
  <c r="N3400"/>
  <c r="M3400"/>
  <c r="O3400" s="1"/>
  <c r="N3399"/>
  <c r="O3399" s="1"/>
  <c r="M3399"/>
  <c r="N3398"/>
  <c r="M3398"/>
  <c r="O3398" s="1"/>
  <c r="N3397"/>
  <c r="O3397" s="1"/>
  <c r="M3397"/>
  <c r="O3396"/>
  <c r="N3396"/>
  <c r="M3396"/>
  <c r="N3395"/>
  <c r="O3395" s="1"/>
  <c r="M3395"/>
  <c r="O3394"/>
  <c r="N3394"/>
  <c r="M3394"/>
  <c r="N3393"/>
  <c r="O3393" s="1"/>
  <c r="M3393"/>
  <c r="N3392"/>
  <c r="M3392"/>
  <c r="O3392" s="1"/>
  <c r="N3391"/>
  <c r="O3391" s="1"/>
  <c r="M3391"/>
  <c r="N3390"/>
  <c r="M3390"/>
  <c r="O3390" s="1"/>
  <c r="N3389"/>
  <c r="O3389" s="1"/>
  <c r="M3389"/>
  <c r="N3388"/>
  <c r="M3388"/>
  <c r="O3388" s="1"/>
  <c r="N3387"/>
  <c r="O3387" s="1"/>
  <c r="M3387"/>
  <c r="O3386"/>
  <c r="N3386"/>
  <c r="M3386"/>
  <c r="N3385"/>
  <c r="O3385" s="1"/>
  <c r="M3385"/>
  <c r="O3384"/>
  <c r="N3384"/>
  <c r="M3384"/>
  <c r="N3383"/>
  <c r="O3383" s="1"/>
  <c r="M3383"/>
  <c r="N3382"/>
  <c r="M3382"/>
  <c r="O3382" s="1"/>
  <c r="N3381"/>
  <c r="O3381" s="1"/>
  <c r="M3381"/>
  <c r="N3380"/>
  <c r="M3380"/>
  <c r="O3380" s="1"/>
  <c r="N3379"/>
  <c r="O3379" s="1"/>
  <c r="M3379"/>
  <c r="O3378"/>
  <c r="N3378"/>
  <c r="M3378"/>
  <c r="N3377"/>
  <c r="O3377" s="1"/>
  <c r="M3377"/>
  <c r="O3376"/>
  <c r="N3376"/>
  <c r="M3376"/>
  <c r="N3375"/>
  <c r="O3375" s="1"/>
  <c r="M3375"/>
  <c r="N3374"/>
  <c r="M3374"/>
  <c r="O3374" s="1"/>
  <c r="N3373"/>
  <c r="O3373" s="1"/>
  <c r="M3373"/>
  <c r="O3372"/>
  <c r="N3372"/>
  <c r="M3372"/>
  <c r="N3371"/>
  <c r="O3371" s="1"/>
  <c r="M3371"/>
  <c r="O3370"/>
  <c r="N3370"/>
  <c r="M3370"/>
  <c r="N3369"/>
  <c r="O3369" s="1"/>
  <c r="M3369"/>
  <c r="N3368"/>
  <c r="M3368"/>
  <c r="O3368" s="1"/>
  <c r="N3367"/>
  <c r="O3367" s="1"/>
  <c r="M3367"/>
  <c r="N3366"/>
  <c r="M3366"/>
  <c r="O3366" s="1"/>
  <c r="N3365"/>
  <c r="O3365" s="1"/>
  <c r="M3365"/>
  <c r="O3364"/>
  <c r="N3364"/>
  <c r="M3364"/>
  <c r="N3363"/>
  <c r="O3363" s="1"/>
  <c r="M3363"/>
  <c r="O3362"/>
  <c r="N3362"/>
  <c r="M3362"/>
  <c r="N3361"/>
  <c r="O3361" s="1"/>
  <c r="M3361"/>
  <c r="N3360"/>
  <c r="M3360"/>
  <c r="O3360" s="1"/>
  <c r="N3359"/>
  <c r="O3359" s="1"/>
  <c r="M3359"/>
  <c r="N3358"/>
  <c r="M3358"/>
  <c r="O3358" s="1"/>
  <c r="N3357"/>
  <c r="O3357" s="1"/>
  <c r="M3357"/>
  <c r="N3356"/>
  <c r="M3356"/>
  <c r="O3356" s="1"/>
  <c r="N3355"/>
  <c r="O3355" s="1"/>
  <c r="M3355"/>
  <c r="O3354"/>
  <c r="N3354"/>
  <c r="M3354"/>
  <c r="N3353"/>
  <c r="O3353" s="1"/>
  <c r="M3353"/>
  <c r="O3352"/>
  <c r="N3352"/>
  <c r="M3352"/>
  <c r="N3351"/>
  <c r="O3351" s="1"/>
  <c r="M3351"/>
  <c r="N3350"/>
  <c r="M3350"/>
  <c r="O3350" s="1"/>
  <c r="N3349"/>
  <c r="O3349" s="1"/>
  <c r="M3349"/>
  <c r="N3348"/>
  <c r="M3348"/>
  <c r="O3348" s="1"/>
  <c r="N3347"/>
  <c r="O3347" s="1"/>
  <c r="M3347"/>
  <c r="O3346"/>
  <c r="N3346"/>
  <c r="M3346"/>
  <c r="N3345"/>
  <c r="O3345" s="1"/>
  <c r="M3345"/>
  <c r="O3344"/>
  <c r="N3344"/>
  <c r="M3344"/>
  <c r="N3343"/>
  <c r="O3343" s="1"/>
  <c r="M3343"/>
  <c r="N3342"/>
  <c r="M3342"/>
  <c r="O3342" s="1"/>
  <c r="N3341"/>
  <c r="O3341" s="1"/>
  <c r="M3341"/>
  <c r="O3340"/>
  <c r="N3340"/>
  <c r="M3340"/>
  <c r="N3339"/>
  <c r="O3339" s="1"/>
  <c r="M3339"/>
  <c r="O3338"/>
  <c r="N3338"/>
  <c r="M3338"/>
  <c r="N3337"/>
  <c r="O3337" s="1"/>
  <c r="M3337"/>
  <c r="N3336"/>
  <c r="M3336"/>
  <c r="O3336" s="1"/>
  <c r="N3335"/>
  <c r="O3335" s="1"/>
  <c r="M3335"/>
  <c r="N3334"/>
  <c r="M3334"/>
  <c r="O3334" s="1"/>
  <c r="N3333"/>
  <c r="O3333" s="1"/>
  <c r="M3333"/>
  <c r="O3332"/>
  <c r="N3332"/>
  <c r="M3332"/>
  <c r="N3331"/>
  <c r="O3331" s="1"/>
  <c r="M3331"/>
  <c r="O3330"/>
  <c r="N3330"/>
  <c r="M3330"/>
  <c r="N3329"/>
  <c r="O3329" s="1"/>
  <c r="M3329"/>
  <c r="N3328"/>
  <c r="M3328"/>
  <c r="O3328" s="1"/>
  <c r="N3327"/>
  <c r="O3327" s="1"/>
  <c r="M3327"/>
  <c r="N3326"/>
  <c r="M3326"/>
  <c r="O3326" s="1"/>
  <c r="N3325"/>
  <c r="O3325" s="1"/>
  <c r="M3325"/>
  <c r="N3324"/>
  <c r="M3324"/>
  <c r="O3324" s="1"/>
  <c r="N3323"/>
  <c r="O3323" s="1"/>
  <c r="M3323"/>
  <c r="O3322"/>
  <c r="N3322"/>
  <c r="M3322"/>
  <c r="N3321"/>
  <c r="O3321" s="1"/>
  <c r="M3321"/>
  <c r="O3320"/>
  <c r="N3320"/>
  <c r="M3320"/>
  <c r="D3977" s="1"/>
  <c r="N3319"/>
  <c r="M3319"/>
  <c r="N3318"/>
  <c r="M3318"/>
  <c r="O3318" s="1"/>
  <c r="N3317"/>
  <c r="O3317" s="1"/>
  <c r="M3317"/>
  <c r="N3316"/>
  <c r="M3316"/>
  <c r="O3316" s="1"/>
  <c r="N3315"/>
  <c r="O3315" s="1"/>
  <c r="M3315"/>
  <c r="O3314"/>
  <c r="N3314"/>
  <c r="M3314"/>
  <c r="N3313"/>
  <c r="O3313" s="1"/>
  <c r="M3313"/>
  <c r="O3312"/>
  <c r="N3312"/>
  <c r="M3312"/>
  <c r="N3311"/>
  <c r="O3311" s="1"/>
  <c r="M3311"/>
  <c r="N3310"/>
  <c r="M3310"/>
  <c r="O3310" s="1"/>
  <c r="N3309"/>
  <c r="O3309" s="1"/>
  <c r="M3309"/>
  <c r="O3308"/>
  <c r="N3308"/>
  <c r="M3308"/>
  <c r="N3307"/>
  <c r="O3307" s="1"/>
  <c r="M3307"/>
  <c r="O3306"/>
  <c r="N3306"/>
  <c r="M3306"/>
  <c r="N3305"/>
  <c r="O3305" s="1"/>
  <c r="M3305"/>
  <c r="N3304"/>
  <c r="M3304"/>
  <c r="O3304" s="1"/>
  <c r="N3303"/>
  <c r="O3303" s="1"/>
  <c r="M3303"/>
  <c r="N3302"/>
  <c r="M3302"/>
  <c r="O3302" s="1"/>
  <c r="N3301"/>
  <c r="O3301" s="1"/>
  <c r="M3301"/>
  <c r="O3300"/>
  <c r="N3300"/>
  <c r="M3300"/>
  <c r="N3299"/>
  <c r="O3299" s="1"/>
  <c r="M3299"/>
  <c r="O3298"/>
  <c r="N3298"/>
  <c r="M3298"/>
  <c r="N3297"/>
  <c r="O3297" s="1"/>
  <c r="M3297"/>
  <c r="N3296"/>
  <c r="M3296"/>
  <c r="O3296" s="1"/>
  <c r="N3295"/>
  <c r="O3295" s="1"/>
  <c r="M3295"/>
  <c r="N3294"/>
  <c r="M3294"/>
  <c r="O3294" s="1"/>
  <c r="N3293"/>
  <c r="O3293" s="1"/>
  <c r="M3293"/>
  <c r="N3292"/>
  <c r="M3292"/>
  <c r="O3292" s="1"/>
  <c r="N3291"/>
  <c r="O3291" s="1"/>
  <c r="M3291"/>
  <c r="O3290"/>
  <c r="N3290"/>
  <c r="M3290"/>
  <c r="N3289"/>
  <c r="O3289" s="1"/>
  <c r="M3289"/>
  <c r="O3288"/>
  <c r="N3288"/>
  <c r="M3288"/>
  <c r="N3287"/>
  <c r="O3287" s="1"/>
  <c r="M3287"/>
  <c r="N3286"/>
  <c r="M3286"/>
  <c r="O3286" s="1"/>
  <c r="N3285"/>
  <c r="O3285" s="1"/>
  <c r="M3285"/>
  <c r="N3284"/>
  <c r="M3284"/>
  <c r="O3284" s="1"/>
  <c r="N3283"/>
  <c r="O3283" s="1"/>
  <c r="M3283"/>
  <c r="O3282"/>
  <c r="N3282"/>
  <c r="M3282"/>
  <c r="N3281"/>
  <c r="O3281" s="1"/>
  <c r="M3281"/>
  <c r="O3280"/>
  <c r="N3280"/>
  <c r="M3280"/>
  <c r="N3279"/>
  <c r="O3279" s="1"/>
  <c r="M3279"/>
  <c r="N3278"/>
  <c r="M3278"/>
  <c r="O3278" s="1"/>
  <c r="N3277"/>
  <c r="O3277" s="1"/>
  <c r="M3277"/>
  <c r="O3276"/>
  <c r="N3276"/>
  <c r="M3276"/>
  <c r="N3275"/>
  <c r="O3275" s="1"/>
  <c r="M3275"/>
  <c r="O3274"/>
  <c r="N3274"/>
  <c r="M3274"/>
  <c r="N3273"/>
  <c r="O3273" s="1"/>
  <c r="M3273"/>
  <c r="N3272"/>
  <c r="M3272"/>
  <c r="O3272" s="1"/>
  <c r="N3271"/>
  <c r="O3271" s="1"/>
  <c r="M3271"/>
  <c r="N3270"/>
  <c r="M3270"/>
  <c r="O3270" s="1"/>
  <c r="N3269"/>
  <c r="O3269" s="1"/>
  <c r="M3269"/>
  <c r="O3268"/>
  <c r="N3268"/>
  <c r="M3268"/>
  <c r="N3267"/>
  <c r="O3267" s="1"/>
  <c r="M3267"/>
  <c r="O3266"/>
  <c r="N3266"/>
  <c r="M3266"/>
  <c r="N3265"/>
  <c r="O3265" s="1"/>
  <c r="M3265"/>
  <c r="N3264"/>
  <c r="M3264"/>
  <c r="O3264" s="1"/>
  <c r="N3263"/>
  <c r="O3263" s="1"/>
  <c r="M3263"/>
  <c r="N3262"/>
  <c r="M3262"/>
  <c r="O3262" s="1"/>
  <c r="N3261"/>
  <c r="O3261" s="1"/>
  <c r="M3261"/>
  <c r="N3260"/>
  <c r="M3260"/>
  <c r="O3260" s="1"/>
  <c r="N3259"/>
  <c r="O3259" s="1"/>
  <c r="M3259"/>
  <c r="O3258"/>
  <c r="N3258"/>
  <c r="M3258"/>
  <c r="N3257"/>
  <c r="O3257" s="1"/>
  <c r="M3257"/>
  <c r="O3256"/>
  <c r="N3256"/>
  <c r="M3256"/>
  <c r="N3255"/>
  <c r="O3255" s="1"/>
  <c r="M3255"/>
  <c r="N3254"/>
  <c r="M3254"/>
  <c r="O3254" s="1"/>
  <c r="N3253"/>
  <c r="O3253" s="1"/>
  <c r="M3253"/>
  <c r="N3252"/>
  <c r="M3252"/>
  <c r="O3252" s="1"/>
  <c r="N3251"/>
  <c r="O3251" s="1"/>
  <c r="M3251"/>
  <c r="O3250"/>
  <c r="N3250"/>
  <c r="M3250"/>
  <c r="N3249"/>
  <c r="O3249" s="1"/>
  <c r="M3249"/>
  <c r="O3248"/>
  <c r="N3248"/>
  <c r="M3248"/>
  <c r="N3247"/>
  <c r="O3247" s="1"/>
  <c r="M3247"/>
  <c r="N3246"/>
  <c r="M3246"/>
  <c r="O3246" s="1"/>
  <c r="N3245"/>
  <c r="O3245" s="1"/>
  <c r="M3245"/>
  <c r="O3244"/>
  <c r="N3244"/>
  <c r="M3244"/>
  <c r="N3243"/>
  <c r="O3243" s="1"/>
  <c r="M3243"/>
  <c r="O3242"/>
  <c r="N3242"/>
  <c r="M3242"/>
  <c r="N3241"/>
  <c r="O3241" s="1"/>
  <c r="M3241"/>
  <c r="N3240"/>
  <c r="M3240"/>
  <c r="O3240" s="1"/>
  <c r="N3239"/>
  <c r="O3239" s="1"/>
  <c r="M3239"/>
  <c r="N3238"/>
  <c r="M3238"/>
  <c r="O3238" s="1"/>
  <c r="N3237"/>
  <c r="O3237" s="1"/>
  <c r="M3237"/>
  <c r="O3236"/>
  <c r="N3236"/>
  <c r="M3236"/>
  <c r="N3235"/>
  <c r="O3235" s="1"/>
  <c r="M3235"/>
  <c r="O3234"/>
  <c r="N3234"/>
  <c r="M3234"/>
  <c r="N3233"/>
  <c r="O3233" s="1"/>
  <c r="M3233"/>
  <c r="N3232"/>
  <c r="M3232"/>
  <c r="O3232" s="1"/>
  <c r="N3231"/>
  <c r="O3231" s="1"/>
  <c r="M3231"/>
  <c r="N3230"/>
  <c r="M3230"/>
  <c r="O3230" s="1"/>
  <c r="N3229"/>
  <c r="O3229" s="1"/>
  <c r="M3229"/>
  <c r="N3228"/>
  <c r="M3228"/>
  <c r="N3227"/>
  <c r="M3227"/>
  <c r="O3226"/>
  <c r="N3226"/>
  <c r="M3226"/>
  <c r="N3225"/>
  <c r="O3225" s="1"/>
  <c r="M3225"/>
  <c r="O3224"/>
  <c r="N3224"/>
  <c r="M3224"/>
  <c r="N3223"/>
  <c r="O3223" s="1"/>
  <c r="M3223"/>
  <c r="N3222"/>
  <c r="M3222"/>
  <c r="O3222" s="1"/>
  <c r="N3221"/>
  <c r="O3221" s="1"/>
  <c r="M3221"/>
  <c r="N3220"/>
  <c r="M3220"/>
  <c r="O3220" s="1"/>
  <c r="N3219"/>
  <c r="O3219" s="1"/>
  <c r="M3219"/>
  <c r="O3218"/>
  <c r="N3218"/>
  <c r="M3218"/>
  <c r="N3217"/>
  <c r="O3217" s="1"/>
  <c r="M3217"/>
  <c r="O3216"/>
  <c r="N3216"/>
  <c r="M3216"/>
  <c r="N3215"/>
  <c r="O3215" s="1"/>
  <c r="M3215"/>
  <c r="N3214"/>
  <c r="M3214"/>
  <c r="O3214" s="1"/>
  <c r="N3213"/>
  <c r="O3213" s="1"/>
  <c r="M3213"/>
  <c r="O3212"/>
  <c r="N3212"/>
  <c r="M3212"/>
  <c r="N3211"/>
  <c r="O3211" s="1"/>
  <c r="M3211"/>
  <c r="O3210"/>
  <c r="N3210"/>
  <c r="M3210"/>
  <c r="N3209"/>
  <c r="O3209" s="1"/>
  <c r="M3209"/>
  <c r="N3208"/>
  <c r="M3208"/>
  <c r="O3208" s="1"/>
  <c r="N3207"/>
  <c r="O3207" s="1"/>
  <c r="M3207"/>
  <c r="N3206"/>
  <c r="M3206"/>
  <c r="O3206" s="1"/>
  <c r="N3205"/>
  <c r="O3205" s="1"/>
  <c r="M3205"/>
  <c r="O3204"/>
  <c r="N3204"/>
  <c r="M3204"/>
  <c r="N3203"/>
  <c r="O3203" s="1"/>
  <c r="M3203"/>
  <c r="O3202"/>
  <c r="N3202"/>
  <c r="M3202"/>
  <c r="N3201"/>
  <c r="O3201" s="1"/>
  <c r="M3201"/>
  <c r="N3200"/>
  <c r="M3200"/>
  <c r="O3200" s="1"/>
  <c r="N3199"/>
  <c r="O3199" s="1"/>
  <c r="M3199"/>
  <c r="N3198"/>
  <c r="M3198"/>
  <c r="O3198" s="1"/>
  <c r="N3197"/>
  <c r="O3197" s="1"/>
  <c r="M3197"/>
  <c r="N3196"/>
  <c r="M3196"/>
  <c r="O3196" s="1"/>
  <c r="N3195"/>
  <c r="O3195" s="1"/>
  <c r="M3195"/>
  <c r="O3194"/>
  <c r="N3194"/>
  <c r="M3194"/>
  <c r="N3193"/>
  <c r="O3193" s="1"/>
  <c r="M3193"/>
  <c r="O3192"/>
  <c r="N3192"/>
  <c r="M3192"/>
  <c r="N3191"/>
  <c r="O3191" s="1"/>
  <c r="M3191"/>
  <c r="N3190"/>
  <c r="M3190"/>
  <c r="O3190" s="1"/>
  <c r="N3189"/>
  <c r="O3189" s="1"/>
  <c r="M3189"/>
  <c r="N3188"/>
  <c r="M3188"/>
  <c r="O3188" s="1"/>
  <c r="N3187"/>
  <c r="O3187" s="1"/>
  <c r="M3187"/>
  <c r="O3186"/>
  <c r="N3186"/>
  <c r="M3186"/>
  <c r="N3185"/>
  <c r="O3185" s="1"/>
  <c r="M3185"/>
  <c r="O3184"/>
  <c r="N3184"/>
  <c r="M3184"/>
  <c r="N3183"/>
  <c r="O3183" s="1"/>
  <c r="M3183"/>
  <c r="N3182"/>
  <c r="M3182"/>
  <c r="O3182" s="1"/>
  <c r="N3181"/>
  <c r="O3181" s="1"/>
  <c r="M3181"/>
  <c r="O3180"/>
  <c r="N3180"/>
  <c r="M3180"/>
  <c r="N3179"/>
  <c r="O3179" s="1"/>
  <c r="M3179"/>
  <c r="O3178"/>
  <c r="N3178"/>
  <c r="M3178"/>
  <c r="N3177"/>
  <c r="O3177" s="1"/>
  <c r="M3177"/>
  <c r="N3176"/>
  <c r="M3176"/>
  <c r="O3176" s="1"/>
  <c r="N3175"/>
  <c r="O3175" s="1"/>
  <c r="M3175"/>
  <c r="N3174"/>
  <c r="M3174"/>
  <c r="O3174" s="1"/>
  <c r="N3173"/>
  <c r="O3173" s="1"/>
  <c r="M3173"/>
  <c r="O3172"/>
  <c r="N3172"/>
  <c r="M3172"/>
  <c r="N3171"/>
  <c r="O3171" s="1"/>
  <c r="M3171"/>
  <c r="O3170"/>
  <c r="N3170"/>
  <c r="M3170"/>
  <c r="N3169"/>
  <c r="O3169" s="1"/>
  <c r="M3169"/>
  <c r="N3168"/>
  <c r="M3168"/>
  <c r="O3168" s="1"/>
  <c r="N3167"/>
  <c r="O3167" s="1"/>
  <c r="M3167"/>
  <c r="N3166"/>
  <c r="M3166"/>
  <c r="O3166" s="1"/>
  <c r="N3165"/>
  <c r="O3165" s="1"/>
  <c r="M3165"/>
  <c r="N3164"/>
  <c r="M3164"/>
  <c r="O3164" s="1"/>
  <c r="N3163"/>
  <c r="O3163" s="1"/>
  <c r="M3163"/>
  <c r="O3162"/>
  <c r="N3162"/>
  <c r="M3162"/>
  <c r="N3161"/>
  <c r="O3161" s="1"/>
  <c r="M3161"/>
  <c r="O3160"/>
  <c r="N3160"/>
  <c r="M3160"/>
  <c r="N3159"/>
  <c r="O3159" s="1"/>
  <c r="M3159"/>
  <c r="N3158"/>
  <c r="M3158"/>
  <c r="O3158" s="1"/>
  <c r="N3157"/>
  <c r="O3157" s="1"/>
  <c r="M3157"/>
  <c r="N3156"/>
  <c r="M3156"/>
  <c r="O3156" s="1"/>
  <c r="N3155"/>
  <c r="O3155" s="1"/>
  <c r="M3155"/>
  <c r="O3154"/>
  <c r="N3154"/>
  <c r="M3154"/>
  <c r="N3153"/>
  <c r="O3153" s="1"/>
  <c r="M3153"/>
  <c r="O3152"/>
  <c r="N3152"/>
  <c r="M3152"/>
  <c r="N3151"/>
  <c r="O3151" s="1"/>
  <c r="M3151"/>
  <c r="N3150"/>
  <c r="M3150"/>
  <c r="O3150" s="1"/>
  <c r="N3149"/>
  <c r="O3149" s="1"/>
  <c r="M3149"/>
  <c r="O3148"/>
  <c r="N3148"/>
  <c r="M3148"/>
  <c r="N3147"/>
  <c r="O3147" s="1"/>
  <c r="M3147"/>
  <c r="O3146"/>
  <c r="N3146"/>
  <c r="M3146"/>
  <c r="N3145"/>
  <c r="O3145" s="1"/>
  <c r="M3145"/>
  <c r="N3144"/>
  <c r="M3144"/>
  <c r="O3144" s="1"/>
  <c r="N3143"/>
  <c r="O3143" s="1"/>
  <c r="M3143"/>
  <c r="N3142"/>
  <c r="M3142"/>
  <c r="O3142" s="1"/>
  <c r="N3141"/>
  <c r="O3141" s="1"/>
  <c r="M3141"/>
  <c r="O3140"/>
  <c r="N3140"/>
  <c r="M3140"/>
  <c r="N3139"/>
  <c r="O3139" s="1"/>
  <c r="M3139"/>
  <c r="O3138"/>
  <c r="N3138"/>
  <c r="M3138"/>
  <c r="N3137"/>
  <c r="O3137" s="1"/>
  <c r="M3137"/>
  <c r="N3136"/>
  <c r="M3136"/>
  <c r="O3136" s="1"/>
  <c r="N3135"/>
  <c r="O3135" s="1"/>
  <c r="M3135"/>
  <c r="N3134"/>
  <c r="M3134"/>
  <c r="O3134" s="1"/>
  <c r="N3133"/>
  <c r="O3133" s="1"/>
  <c r="M3133"/>
  <c r="N3132"/>
  <c r="M3132"/>
  <c r="O3132" s="1"/>
  <c r="N3131"/>
  <c r="O3131" s="1"/>
  <c r="M3131"/>
  <c r="O3130"/>
  <c r="N3130"/>
  <c r="M3130"/>
  <c r="N3129"/>
  <c r="O3129" s="1"/>
  <c r="M3129"/>
  <c r="O3128"/>
  <c r="N3128"/>
  <c r="M3128"/>
  <c r="N3127"/>
  <c r="O3127" s="1"/>
  <c r="M3127"/>
  <c r="N3126"/>
  <c r="M3126"/>
  <c r="O3126" s="1"/>
  <c r="N3125"/>
  <c r="O3125" s="1"/>
  <c r="M3125"/>
  <c r="N3124"/>
  <c r="M3124"/>
  <c r="O3124" s="1"/>
  <c r="N3123"/>
  <c r="O3123" s="1"/>
  <c r="M3123"/>
  <c r="O3122"/>
  <c r="N3122"/>
  <c r="M3122"/>
  <c r="N3121"/>
  <c r="O3121" s="1"/>
  <c r="M3121"/>
  <c r="O3120"/>
  <c r="N3120"/>
  <c r="M3120"/>
  <c r="N3119"/>
  <c r="O3119" s="1"/>
  <c r="M3119"/>
  <c r="N3118"/>
  <c r="M3118"/>
  <c r="O3118" s="1"/>
  <c r="N3117"/>
  <c r="O3117" s="1"/>
  <c r="M3117"/>
  <c r="O3116"/>
  <c r="N3116"/>
  <c r="M3116"/>
  <c r="N3115"/>
  <c r="O3115" s="1"/>
  <c r="M3115"/>
  <c r="O3114"/>
  <c r="N3114"/>
  <c r="M3114"/>
  <c r="N3113"/>
  <c r="O3113" s="1"/>
  <c r="M3113"/>
  <c r="N3112"/>
  <c r="M3112"/>
  <c r="O3112" s="1"/>
  <c r="N3111"/>
  <c r="O3111" s="1"/>
  <c r="M3111"/>
  <c r="N3110"/>
  <c r="M3110"/>
  <c r="O3110" s="1"/>
  <c r="N3109"/>
  <c r="O3109" s="1"/>
  <c r="M3109"/>
  <c r="O3108"/>
  <c r="N3108"/>
  <c r="M3108"/>
  <c r="N3107"/>
  <c r="O3107" s="1"/>
  <c r="M3107"/>
  <c r="O3106"/>
  <c r="N3106"/>
  <c r="M3106"/>
  <c r="N3105"/>
  <c r="O3105" s="1"/>
  <c r="M3105"/>
  <c r="N3104"/>
  <c r="M3104"/>
  <c r="O3104" s="1"/>
  <c r="N3103"/>
  <c r="O3103" s="1"/>
  <c r="M3103"/>
  <c r="N3102"/>
  <c r="M3102"/>
  <c r="O3102" s="1"/>
  <c r="N3101"/>
  <c r="O3101" s="1"/>
  <c r="M3101"/>
  <c r="N3100"/>
  <c r="M3100"/>
  <c r="O3100" s="1"/>
  <c r="N3099"/>
  <c r="O3099" s="1"/>
  <c r="M3099"/>
  <c r="O3098"/>
  <c r="N3098"/>
  <c r="M3098"/>
  <c r="N3097"/>
  <c r="O3097" s="1"/>
  <c r="M3097"/>
  <c r="O3096"/>
  <c r="N3096"/>
  <c r="M3096"/>
  <c r="N3095"/>
  <c r="O3095" s="1"/>
  <c r="M3095"/>
  <c r="N3094"/>
  <c r="M3094"/>
  <c r="O3094" s="1"/>
  <c r="N3093"/>
  <c r="O3093" s="1"/>
  <c r="M3093"/>
  <c r="N3092"/>
  <c r="M3092"/>
  <c r="O3092" s="1"/>
  <c r="N3091"/>
  <c r="O3091" s="1"/>
  <c r="M3091"/>
  <c r="O3090"/>
  <c r="N3090"/>
  <c r="M3090"/>
  <c r="N3089"/>
  <c r="O3089" s="1"/>
  <c r="M3089"/>
  <c r="O3088"/>
  <c r="N3088"/>
  <c r="M3088"/>
  <c r="N3087"/>
  <c r="O3087" s="1"/>
  <c r="M3087"/>
  <c r="N3086"/>
  <c r="M3086"/>
  <c r="O3086" s="1"/>
  <c r="N3085"/>
  <c r="O3085" s="1"/>
  <c r="M3085"/>
  <c r="O3084"/>
  <c r="N3084"/>
  <c r="M3084"/>
  <c r="N3083"/>
  <c r="O3083" s="1"/>
  <c r="M3083"/>
  <c r="O3082"/>
  <c r="N3082"/>
  <c r="M3082"/>
  <c r="N3081"/>
  <c r="O3081" s="1"/>
  <c r="M3081"/>
  <c r="N3080"/>
  <c r="M3080"/>
  <c r="O3080" s="1"/>
  <c r="N3079"/>
  <c r="O3079" s="1"/>
  <c r="M3079"/>
  <c r="N3078"/>
  <c r="M3078"/>
  <c r="O3078" s="1"/>
  <c r="N3077"/>
  <c r="O3077" s="1"/>
  <c r="M3077"/>
  <c r="O3076"/>
  <c r="N3076"/>
  <c r="M3076"/>
  <c r="N3075"/>
  <c r="O3075" s="1"/>
  <c r="M3075"/>
  <c r="O3074"/>
  <c r="N3074"/>
  <c r="M3074"/>
  <c r="N3073"/>
  <c r="O3073" s="1"/>
  <c r="M3073"/>
  <c r="N3072"/>
  <c r="M3072"/>
  <c r="O3072" s="1"/>
  <c r="N3071"/>
  <c r="O3071" s="1"/>
  <c r="M3071"/>
  <c r="N3070"/>
  <c r="M3070"/>
  <c r="O3070" s="1"/>
  <c r="N3069"/>
  <c r="O3069" s="1"/>
  <c r="M3069"/>
  <c r="N3068"/>
  <c r="M3068"/>
  <c r="O3068" s="1"/>
  <c r="N3067"/>
  <c r="O3067" s="1"/>
  <c r="M3067"/>
  <c r="O3066"/>
  <c r="N3066"/>
  <c r="M3066"/>
  <c r="N3065"/>
  <c r="O3065" s="1"/>
  <c r="M3065"/>
  <c r="O3064"/>
  <c r="N3064"/>
  <c r="M3064"/>
  <c r="N3063"/>
  <c r="O3063" s="1"/>
  <c r="M3063"/>
  <c r="N3062"/>
  <c r="M3062"/>
  <c r="O3062" s="1"/>
  <c r="N3061"/>
  <c r="O3061" s="1"/>
  <c r="M3061"/>
  <c r="N3060"/>
  <c r="M3060"/>
  <c r="O3060" s="1"/>
  <c r="N3059"/>
  <c r="O3059" s="1"/>
  <c r="M3059"/>
  <c r="O3058"/>
  <c r="N3058"/>
  <c r="M3058"/>
  <c r="N3057"/>
  <c r="O3057" s="1"/>
  <c r="M3057"/>
  <c r="O3056"/>
  <c r="N3056"/>
  <c r="M3056"/>
  <c r="N3055"/>
  <c r="O3055" s="1"/>
  <c r="M3055"/>
  <c r="N3054"/>
  <c r="M3054"/>
  <c r="O3054" s="1"/>
  <c r="N3053"/>
  <c r="O3053" s="1"/>
  <c r="M3053"/>
  <c r="O3052"/>
  <c r="N3052"/>
  <c r="M3052"/>
  <c r="N3051"/>
  <c r="O3051" s="1"/>
  <c r="M3051"/>
  <c r="O3050"/>
  <c r="N3050"/>
  <c r="M3050"/>
  <c r="N3049"/>
  <c r="O3049" s="1"/>
  <c r="M3049"/>
  <c r="N3048"/>
  <c r="M3048"/>
  <c r="O3048" s="1"/>
  <c r="N3047"/>
  <c r="O3047" s="1"/>
  <c r="M3047"/>
  <c r="N3046"/>
  <c r="M3046"/>
  <c r="O3046" s="1"/>
  <c r="N3045"/>
  <c r="O3045" s="1"/>
  <c r="M3045"/>
  <c r="O3044"/>
  <c r="N3044"/>
  <c r="M3044"/>
  <c r="N3043"/>
  <c r="O3043" s="1"/>
  <c r="M3043"/>
  <c r="O3042"/>
  <c r="N3042"/>
  <c r="M3042"/>
  <c r="N3041"/>
  <c r="O3041" s="1"/>
  <c r="M3041"/>
  <c r="N3040"/>
  <c r="M3040"/>
  <c r="O3040" s="1"/>
  <c r="N3039"/>
  <c r="O3039" s="1"/>
  <c r="M3039"/>
  <c r="N3038"/>
  <c r="M3038"/>
  <c r="O3038" s="1"/>
  <c r="N3037"/>
  <c r="O3037" s="1"/>
  <c r="M3037"/>
  <c r="N3036"/>
  <c r="M3036"/>
  <c r="O3036" s="1"/>
  <c r="N3035"/>
  <c r="O3035" s="1"/>
  <c r="M3035"/>
  <c r="O3034"/>
  <c r="N3034"/>
  <c r="M3034"/>
  <c r="N3033"/>
  <c r="O3033" s="1"/>
  <c r="M3033"/>
  <c r="O3032"/>
  <c r="N3032"/>
  <c r="M3032"/>
  <c r="N3031"/>
  <c r="O3031" s="1"/>
  <c r="M3031"/>
  <c r="N3030"/>
  <c r="M3030"/>
  <c r="O3030" s="1"/>
  <c r="N3029"/>
  <c r="O3029" s="1"/>
  <c r="M3029"/>
  <c r="N3028"/>
  <c r="M3028"/>
  <c r="O3028" s="1"/>
  <c r="N3027"/>
  <c r="O3027" s="1"/>
  <c r="M3027"/>
  <c r="O3026"/>
  <c r="N3026"/>
  <c r="M3026"/>
  <c r="N3025"/>
  <c r="O3025" s="1"/>
  <c r="M3025"/>
  <c r="O3024"/>
  <c r="N3024"/>
  <c r="M3024"/>
  <c r="N3023"/>
  <c r="O3023" s="1"/>
  <c r="M3023"/>
  <c r="N3022"/>
  <c r="M3022"/>
  <c r="O3022" s="1"/>
  <c r="N3021"/>
  <c r="O3021" s="1"/>
  <c r="M3021"/>
  <c r="O3020"/>
  <c r="N3020"/>
  <c r="M3020"/>
  <c r="N3019"/>
  <c r="O3019" s="1"/>
  <c r="M3019"/>
  <c r="O3018"/>
  <c r="N3018"/>
  <c r="M3018"/>
  <c r="N3017"/>
  <c r="O3017" s="1"/>
  <c r="M3017"/>
  <c r="N3016"/>
  <c r="M3016"/>
  <c r="O3016" s="1"/>
  <c r="N3015"/>
  <c r="O3015" s="1"/>
  <c r="M3015"/>
  <c r="N3014"/>
  <c r="M3014"/>
  <c r="O3014" s="1"/>
  <c r="N3013"/>
  <c r="O3013" s="1"/>
  <c r="M3013"/>
  <c r="O3012"/>
  <c r="N3012"/>
  <c r="M3012"/>
  <c r="N3011"/>
  <c r="O3011" s="1"/>
  <c r="M3011"/>
  <c r="O3010"/>
  <c r="N3010"/>
  <c r="M3010"/>
  <c r="N3009"/>
  <c r="O3009" s="1"/>
  <c r="M3009"/>
  <c r="N3008"/>
  <c r="M3008"/>
  <c r="O3008" s="1"/>
  <c r="O3007"/>
  <c r="N3007"/>
  <c r="M3007"/>
  <c r="O3006"/>
  <c r="N3006"/>
  <c r="M3006"/>
  <c r="N3005"/>
  <c r="M3005"/>
  <c r="O3004"/>
  <c r="N3004"/>
  <c r="M3004"/>
  <c r="O3003"/>
  <c r="N3003"/>
  <c r="M3003"/>
  <c r="N3002"/>
  <c r="O3002" s="1"/>
  <c r="M3002"/>
  <c r="N3001"/>
  <c r="O3001" s="1"/>
  <c r="M3001"/>
  <c r="O3000"/>
  <c r="N3000"/>
  <c r="M3000"/>
  <c r="N2999"/>
  <c r="O2999" s="1"/>
  <c r="M2999"/>
  <c r="N2998"/>
  <c r="M2998"/>
  <c r="O2998" s="1"/>
  <c r="N2997"/>
  <c r="O2997" s="1"/>
  <c r="M2997"/>
  <c r="N2996"/>
  <c r="M2996"/>
  <c r="O2996" s="1"/>
  <c r="O2995"/>
  <c r="N2995"/>
  <c r="M2995"/>
  <c r="O2994"/>
  <c r="N2994"/>
  <c r="M2994"/>
  <c r="N2993"/>
  <c r="O2993" s="1"/>
  <c r="M2993"/>
  <c r="N2992"/>
  <c r="M2992"/>
  <c r="O2992" s="1"/>
  <c r="O2991"/>
  <c r="N2991"/>
  <c r="M2991"/>
  <c r="O2990"/>
  <c r="N2990"/>
  <c r="M2990"/>
  <c r="N2989"/>
  <c r="M2989"/>
  <c r="O2988"/>
  <c r="N2988"/>
  <c r="M2988"/>
  <c r="O2987"/>
  <c r="N2987"/>
  <c r="M2987"/>
  <c r="N2986"/>
  <c r="O2986" s="1"/>
  <c r="M2986"/>
  <c r="N2985"/>
  <c r="O2985" s="1"/>
  <c r="M2985"/>
  <c r="O2984"/>
  <c r="N2984"/>
  <c r="M2984"/>
  <c r="N2983"/>
  <c r="O2983" s="1"/>
  <c r="M2983"/>
  <c r="N2982"/>
  <c r="M2982"/>
  <c r="O2982" s="1"/>
  <c r="N2981"/>
  <c r="O2981" s="1"/>
  <c r="M2981"/>
  <c r="N2980"/>
  <c r="M2980"/>
  <c r="O2980" s="1"/>
  <c r="O2979"/>
  <c r="N2979"/>
  <c r="M2979"/>
  <c r="O2978"/>
  <c r="N2978"/>
  <c r="M2978"/>
  <c r="N2977"/>
  <c r="O2977" s="1"/>
  <c r="M2977"/>
  <c r="N2976"/>
  <c r="M2976"/>
  <c r="O2976" s="1"/>
  <c r="O2975"/>
  <c r="N2975"/>
  <c r="M2975"/>
  <c r="O2974"/>
  <c r="N2974"/>
  <c r="M2974"/>
  <c r="N2973"/>
  <c r="M2973"/>
  <c r="O2972"/>
  <c r="N2972"/>
  <c r="M2972"/>
  <c r="O2971"/>
  <c r="N2971"/>
  <c r="M2971"/>
  <c r="N2970"/>
  <c r="M2970"/>
  <c r="N2969"/>
  <c r="O2969" s="1"/>
  <c r="M2969"/>
  <c r="O2968"/>
  <c r="N2968"/>
  <c r="M2968"/>
  <c r="N2967"/>
  <c r="O2967" s="1"/>
  <c r="M2967"/>
  <c r="N2966"/>
  <c r="M2966"/>
  <c r="O2966" s="1"/>
  <c r="N2965"/>
  <c r="O2965" s="1"/>
  <c r="M2965"/>
  <c r="N2964"/>
  <c r="M2964"/>
  <c r="O2964" s="1"/>
  <c r="O2963"/>
  <c r="N2963"/>
  <c r="M2963"/>
  <c r="O2962"/>
  <c r="N2962"/>
  <c r="M2962"/>
  <c r="N2961"/>
  <c r="O2961" s="1"/>
  <c r="M2961"/>
  <c r="N2960"/>
  <c r="M2960"/>
  <c r="O2960" s="1"/>
  <c r="O2959"/>
  <c r="N2959"/>
  <c r="M2959"/>
  <c r="N2958"/>
  <c r="O2958" s="1"/>
  <c r="M2958"/>
  <c r="N2957"/>
  <c r="M2957"/>
  <c r="O2956"/>
  <c r="N2956"/>
  <c r="M2956"/>
  <c r="N2955"/>
  <c r="O2955" s="1"/>
  <c r="M2955"/>
  <c r="N2954"/>
  <c r="O2954" s="1"/>
  <c r="M2954"/>
  <c r="N2953"/>
  <c r="O2953" s="1"/>
  <c r="M2953"/>
  <c r="O2952"/>
  <c r="N2952"/>
  <c r="M2952"/>
  <c r="N2951"/>
  <c r="O2951" s="1"/>
  <c r="M2951"/>
  <c r="N2950"/>
  <c r="M2950"/>
  <c r="O2950" s="1"/>
  <c r="N2949"/>
  <c r="O2949" s="1"/>
  <c r="M2949"/>
  <c r="N2948"/>
  <c r="M2948"/>
  <c r="O2948" s="1"/>
  <c r="O2947"/>
  <c r="N2947"/>
  <c r="M2947"/>
  <c r="O2946"/>
  <c r="N2946"/>
  <c r="M2946"/>
  <c r="N2945"/>
  <c r="M2945"/>
  <c r="N2944"/>
  <c r="M2944"/>
  <c r="O2944" s="1"/>
  <c r="O2943"/>
  <c r="N2943"/>
  <c r="M2943"/>
  <c r="O2942"/>
  <c r="N2942"/>
  <c r="M2942"/>
  <c r="N2941"/>
  <c r="M2941"/>
  <c r="O2940"/>
  <c r="N2940"/>
  <c r="M2940"/>
  <c r="O2939"/>
  <c r="N2939"/>
  <c r="M2939"/>
  <c r="N2938"/>
  <c r="O2938" s="1"/>
  <c r="M2938"/>
  <c r="N2937"/>
  <c r="O2937" s="1"/>
  <c r="M2937"/>
  <c r="O2936"/>
  <c r="N2936"/>
  <c r="M2936"/>
  <c r="N2935"/>
  <c r="O2935" s="1"/>
  <c r="M2935"/>
  <c r="N2934"/>
  <c r="M2934"/>
  <c r="O2934" s="1"/>
  <c r="N2933"/>
  <c r="O2933" s="1"/>
  <c r="M2933"/>
  <c r="N2932"/>
  <c r="M2932"/>
  <c r="O2932" s="1"/>
  <c r="O2931"/>
  <c r="N2931"/>
  <c r="M2931"/>
  <c r="O2930"/>
  <c r="N2930"/>
  <c r="M2930"/>
  <c r="N2929"/>
  <c r="O2929" s="1"/>
  <c r="M2929"/>
  <c r="N2928"/>
  <c r="M2928"/>
  <c r="O2928" s="1"/>
  <c r="O2927"/>
  <c r="N2927"/>
  <c r="M2927"/>
  <c r="O2926"/>
  <c r="N2926"/>
  <c r="M2926"/>
  <c r="N2925"/>
  <c r="M2925"/>
  <c r="O2924"/>
  <c r="N2924"/>
  <c r="M2924"/>
  <c r="O2923"/>
  <c r="N2923"/>
  <c r="M2923"/>
  <c r="N2922"/>
  <c r="O2922" s="1"/>
  <c r="M2922"/>
  <c r="N2921"/>
  <c r="O2921" s="1"/>
  <c r="M2921"/>
  <c r="O2920"/>
  <c r="N2920"/>
  <c r="M2920"/>
  <c r="N2919"/>
  <c r="O2919" s="1"/>
  <c r="M2919"/>
  <c r="N2918"/>
  <c r="M2918"/>
  <c r="O2918" s="1"/>
  <c r="N2917"/>
  <c r="O2917" s="1"/>
  <c r="M2917"/>
  <c r="N2916"/>
  <c r="M2916"/>
  <c r="O2916" s="1"/>
  <c r="O2915"/>
  <c r="N2915"/>
  <c r="M2915"/>
  <c r="O2914"/>
  <c r="N2914"/>
  <c r="M2914"/>
  <c r="N2913"/>
  <c r="O2913" s="1"/>
  <c r="M2913"/>
  <c r="N2912"/>
  <c r="M2912"/>
  <c r="O2912" s="1"/>
  <c r="O2911"/>
  <c r="N2911"/>
  <c r="M2911"/>
  <c r="O2910"/>
  <c r="N2910"/>
  <c r="M2910"/>
  <c r="N2909"/>
  <c r="M2909"/>
  <c r="O2908"/>
  <c r="N2908"/>
  <c r="M2908"/>
  <c r="O2907"/>
  <c r="N2907"/>
  <c r="M2907"/>
  <c r="N2906"/>
  <c r="M2906"/>
  <c r="N2905"/>
  <c r="O2905" s="1"/>
  <c r="M2905"/>
  <c r="O2904"/>
  <c r="N2904"/>
  <c r="M2904"/>
  <c r="N2903"/>
  <c r="O2903" s="1"/>
  <c r="M2903"/>
  <c r="N2902"/>
  <c r="M2902"/>
  <c r="O2902" s="1"/>
  <c r="N2901"/>
  <c r="O2901" s="1"/>
  <c r="M2901"/>
  <c r="N2900"/>
  <c r="M2900"/>
  <c r="O2900" s="1"/>
  <c r="O2899"/>
  <c r="N2899"/>
  <c r="M2899"/>
  <c r="O2898"/>
  <c r="N2898"/>
  <c r="M2898"/>
  <c r="N2897"/>
  <c r="O2897" s="1"/>
  <c r="M2897"/>
  <c r="N2896"/>
  <c r="M2896"/>
  <c r="O2896" s="1"/>
  <c r="O2895"/>
  <c r="N2895"/>
  <c r="M2895"/>
  <c r="N2894"/>
  <c r="O2894" s="1"/>
  <c r="M2894"/>
  <c r="N2893"/>
  <c r="M2893"/>
  <c r="O2892"/>
  <c r="N2892"/>
  <c r="M2892"/>
  <c r="N2891"/>
  <c r="O2891" s="1"/>
  <c r="M2891"/>
  <c r="N2890"/>
  <c r="O2890" s="1"/>
  <c r="M2890"/>
  <c r="N2889"/>
  <c r="O2889" s="1"/>
  <c r="M2889"/>
  <c r="O2888"/>
  <c r="N2888"/>
  <c r="M2888"/>
  <c r="N2887"/>
  <c r="O2887" s="1"/>
  <c r="M2887"/>
  <c r="N2886"/>
  <c r="M2886"/>
  <c r="O2886" s="1"/>
  <c r="N2885"/>
  <c r="O2885" s="1"/>
  <c r="M2885"/>
  <c r="N2884"/>
  <c r="M2884"/>
  <c r="O2884" s="1"/>
  <c r="O2883"/>
  <c r="N2883"/>
  <c r="M2883"/>
  <c r="O2882"/>
  <c r="N2882"/>
  <c r="M2882"/>
  <c r="N2881"/>
  <c r="M2881"/>
  <c r="N2880"/>
  <c r="M2880"/>
  <c r="O2880" s="1"/>
  <c r="O2879"/>
  <c r="N2879"/>
  <c r="M2879"/>
  <c r="O2878"/>
  <c r="N2878"/>
  <c r="M2878"/>
  <c r="N2877"/>
  <c r="M2877"/>
  <c r="O2876"/>
  <c r="N2876"/>
  <c r="M2876"/>
  <c r="O2875"/>
  <c r="N2875"/>
  <c r="M2875"/>
  <c r="N2874"/>
  <c r="O2874" s="1"/>
  <c r="M2874"/>
  <c r="N2873"/>
  <c r="O2873" s="1"/>
  <c r="M2873"/>
  <c r="O2872"/>
  <c r="N2872"/>
  <c r="M2872"/>
  <c r="N2871"/>
  <c r="O2871" s="1"/>
  <c r="M2871"/>
  <c r="N2870"/>
  <c r="M2870"/>
  <c r="O2870" s="1"/>
  <c r="N2869"/>
  <c r="O2869" s="1"/>
  <c r="M2869"/>
  <c r="N2868"/>
  <c r="M2868"/>
  <c r="O2868" s="1"/>
  <c r="O2867"/>
  <c r="N2867"/>
  <c r="M2867"/>
  <c r="O2866"/>
  <c r="N2866"/>
  <c r="M2866"/>
  <c r="N2865"/>
  <c r="O2865" s="1"/>
  <c r="M2865"/>
  <c r="N2864"/>
  <c r="M2864"/>
  <c r="O2864" s="1"/>
  <c r="O2863"/>
  <c r="N2863"/>
  <c r="M2863"/>
  <c r="O2862"/>
  <c r="N2862"/>
  <c r="M2862"/>
  <c r="N2861"/>
  <c r="M2861"/>
  <c r="O2860"/>
  <c r="N2860"/>
  <c r="M2860"/>
  <c r="O2859"/>
  <c r="N2859"/>
  <c r="M2859"/>
  <c r="N2858"/>
  <c r="O2858" s="1"/>
  <c r="M2858"/>
  <c r="N2857"/>
  <c r="O2857" s="1"/>
  <c r="M2857"/>
  <c r="O2856"/>
  <c r="N2856"/>
  <c r="M2856"/>
  <c r="N2855"/>
  <c r="O2855" s="1"/>
  <c r="M2855"/>
  <c r="N2854"/>
  <c r="M2854"/>
  <c r="O2854" s="1"/>
  <c r="N2853"/>
  <c r="O2853" s="1"/>
  <c r="M2853"/>
  <c r="N2852"/>
  <c r="M2852"/>
  <c r="O2852" s="1"/>
  <c r="O2851"/>
  <c r="N2851"/>
  <c r="M2851"/>
  <c r="O2850"/>
  <c r="N2850"/>
  <c r="M2850"/>
  <c r="N2849"/>
  <c r="O2849" s="1"/>
  <c r="M2849"/>
  <c r="N2848"/>
  <c r="M2848"/>
  <c r="O2848" s="1"/>
  <c r="O2847"/>
  <c r="N2847"/>
  <c r="M2847"/>
  <c r="O2846"/>
  <c r="N2846"/>
  <c r="M2846"/>
  <c r="N2845"/>
  <c r="M2845"/>
  <c r="O2844"/>
  <c r="N2844"/>
  <c r="M2844"/>
  <c r="O2843"/>
  <c r="N2843"/>
  <c r="M2843"/>
  <c r="N2842"/>
  <c r="M2842"/>
  <c r="N2841"/>
  <c r="O2841" s="1"/>
  <c r="M2841"/>
  <c r="O2840"/>
  <c r="N2840"/>
  <c r="M2840"/>
  <c r="N2839"/>
  <c r="O2839" s="1"/>
  <c r="M2839"/>
  <c r="N2838"/>
  <c r="M2838"/>
  <c r="O2838" s="1"/>
  <c r="N2837"/>
  <c r="O2837" s="1"/>
  <c r="M2837"/>
  <c r="N2836"/>
  <c r="M2836"/>
  <c r="O2836" s="1"/>
  <c r="O2835"/>
  <c r="N2835"/>
  <c r="M2835"/>
  <c r="O2834"/>
  <c r="N2834"/>
  <c r="M2834"/>
  <c r="N2833"/>
  <c r="O2833" s="1"/>
  <c r="M2833"/>
  <c r="N2832"/>
  <c r="M2832"/>
  <c r="O2832" s="1"/>
  <c r="O2831"/>
  <c r="N2831"/>
  <c r="M2831"/>
  <c r="N2830"/>
  <c r="O2830" s="1"/>
  <c r="M2830"/>
  <c r="N2829"/>
  <c r="M2829"/>
  <c r="O2828"/>
  <c r="N2828"/>
  <c r="M2828"/>
  <c r="N2827"/>
  <c r="O2827" s="1"/>
  <c r="M2827"/>
  <c r="N2826"/>
  <c r="O2826" s="1"/>
  <c r="M2826"/>
  <c r="N2825"/>
  <c r="O2825" s="1"/>
  <c r="M2825"/>
  <c r="O2824"/>
  <c r="N2824"/>
  <c r="M2824"/>
  <c r="N2823"/>
  <c r="O2823" s="1"/>
  <c r="M2823"/>
  <c r="N2822"/>
  <c r="M2822"/>
  <c r="O2822" s="1"/>
  <c r="N2821"/>
  <c r="O2821" s="1"/>
  <c r="M2821"/>
  <c r="N2820"/>
  <c r="M2820"/>
  <c r="O2820" s="1"/>
  <c r="O2819"/>
  <c r="N2819"/>
  <c r="M2819"/>
  <c r="O2818"/>
  <c r="N2818"/>
  <c r="M2818"/>
  <c r="N2817"/>
  <c r="M2817"/>
  <c r="N2816"/>
  <c r="M2816"/>
  <c r="O2816" s="1"/>
  <c r="O2815"/>
  <c r="N2815"/>
  <c r="M2815"/>
  <c r="O2814"/>
  <c r="N2814"/>
  <c r="M2814"/>
  <c r="N2813"/>
  <c r="M2813"/>
  <c r="O2812"/>
  <c r="N2812"/>
  <c r="M2812"/>
  <c r="O2811"/>
  <c r="N2811"/>
  <c r="M2811"/>
  <c r="N2810"/>
  <c r="O2810" s="1"/>
  <c r="M2810"/>
  <c r="N2809"/>
  <c r="O2809" s="1"/>
  <c r="M2809"/>
  <c r="O2808"/>
  <c r="N2808"/>
  <c r="M2808"/>
  <c r="N2807"/>
  <c r="O2807" s="1"/>
  <c r="M2807"/>
  <c r="N2806"/>
  <c r="M2806"/>
  <c r="O2806" s="1"/>
  <c r="N2805"/>
  <c r="O2805" s="1"/>
  <c r="M2805"/>
  <c r="N2804"/>
  <c r="M2804"/>
  <c r="O2804" s="1"/>
  <c r="O2803"/>
  <c r="N2803"/>
  <c r="M2803"/>
  <c r="O2802"/>
  <c r="N2802"/>
  <c r="M2802"/>
  <c r="N2801"/>
  <c r="O2801" s="1"/>
  <c r="M2801"/>
  <c r="N2800"/>
  <c r="M2800"/>
  <c r="O2800" s="1"/>
  <c r="O2799"/>
  <c r="N2799"/>
  <c r="M2799"/>
  <c r="O2798"/>
  <c r="N2798"/>
  <c r="M2798"/>
  <c r="N2797"/>
  <c r="M2797"/>
  <c r="O2796"/>
  <c r="N2796"/>
  <c r="M2796"/>
  <c r="O2795"/>
  <c r="N2795"/>
  <c r="M2795"/>
  <c r="N2794"/>
  <c r="O2794" s="1"/>
  <c r="M2794"/>
  <c r="N2793"/>
  <c r="O2793" s="1"/>
  <c r="M2793"/>
  <c r="O2792"/>
  <c r="N2792"/>
  <c r="M2792"/>
  <c r="N2791"/>
  <c r="O2791" s="1"/>
  <c r="M2791"/>
  <c r="N2790"/>
  <c r="M2790"/>
  <c r="O2790" s="1"/>
  <c r="N2789"/>
  <c r="O2789" s="1"/>
  <c r="M2789"/>
  <c r="N2788"/>
  <c r="M2788"/>
  <c r="O2788" s="1"/>
  <c r="O2787"/>
  <c r="N2787"/>
  <c r="M2787"/>
  <c r="O2786"/>
  <c r="N2786"/>
  <c r="M2786"/>
  <c r="N2785"/>
  <c r="O2785" s="1"/>
  <c r="M2785"/>
  <c r="N2784"/>
  <c r="M2784"/>
  <c r="O2784" s="1"/>
  <c r="O2783"/>
  <c r="N2783"/>
  <c r="M2783"/>
  <c r="O2782"/>
  <c r="N2782"/>
  <c r="M2782"/>
  <c r="N2781"/>
  <c r="M2781"/>
  <c r="O2780"/>
  <c r="N2780"/>
  <c r="M2780"/>
  <c r="O2779"/>
  <c r="N2779"/>
  <c r="M2779"/>
  <c r="N2778"/>
  <c r="M2778"/>
  <c r="N2777"/>
  <c r="O2777" s="1"/>
  <c r="M2777"/>
  <c r="O2776"/>
  <c r="N2776"/>
  <c r="M2776"/>
  <c r="N2775"/>
  <c r="O2775" s="1"/>
  <c r="M2775"/>
  <c r="N2774"/>
  <c r="M2774"/>
  <c r="O2774" s="1"/>
  <c r="N2773"/>
  <c r="O2773" s="1"/>
  <c r="M2773"/>
  <c r="N2772"/>
  <c r="M2772"/>
  <c r="O2772" s="1"/>
  <c r="O2771"/>
  <c r="N2771"/>
  <c r="M2771"/>
  <c r="O2770"/>
  <c r="N2770"/>
  <c r="M2770"/>
  <c r="N2769"/>
  <c r="O2769" s="1"/>
  <c r="M2769"/>
  <c r="N2768"/>
  <c r="M2768"/>
  <c r="O2768" s="1"/>
  <c r="O2767"/>
  <c r="N2767"/>
  <c r="M2767"/>
  <c r="N2766"/>
  <c r="O2766" s="1"/>
  <c r="M2766"/>
  <c r="N2765"/>
  <c r="M2765"/>
  <c r="O2764"/>
  <c r="N2764"/>
  <c r="M2764"/>
  <c r="N2763"/>
  <c r="O2763" s="1"/>
  <c r="M2763"/>
  <c r="N2762"/>
  <c r="O2762" s="1"/>
  <c r="M2762"/>
  <c r="N2761"/>
  <c r="O2761" s="1"/>
  <c r="M2761"/>
  <c r="O2760"/>
  <c r="N2760"/>
  <c r="M2760"/>
  <c r="N2759"/>
  <c r="O2759" s="1"/>
  <c r="M2759"/>
  <c r="N2758"/>
  <c r="M2758"/>
  <c r="O2758" s="1"/>
  <c r="N2757"/>
  <c r="O2757" s="1"/>
  <c r="M2757"/>
  <c r="N2756"/>
  <c r="M2756"/>
  <c r="O2756" s="1"/>
  <c r="O2755"/>
  <c r="N2755"/>
  <c r="M2755"/>
  <c r="O2754"/>
  <c r="N2754"/>
  <c r="M2754"/>
  <c r="N2753"/>
  <c r="M2753"/>
  <c r="N2752"/>
  <c r="M2752"/>
  <c r="O2752" s="1"/>
  <c r="O2751"/>
  <c r="N2751"/>
  <c r="M2751"/>
  <c r="O2750"/>
  <c r="N2750"/>
  <c r="M2750"/>
  <c r="N2749"/>
  <c r="M2749"/>
  <c r="O2748"/>
  <c r="N2748"/>
  <c r="M2748"/>
  <c r="O2747"/>
  <c r="N2747"/>
  <c r="M2747"/>
  <c r="N2746"/>
  <c r="O2746" s="1"/>
  <c r="M2746"/>
  <c r="N2745"/>
  <c r="O2745" s="1"/>
  <c r="M2745"/>
  <c r="O2744"/>
  <c r="N2744"/>
  <c r="M2744"/>
  <c r="N2743"/>
  <c r="O2743" s="1"/>
  <c r="M2743"/>
  <c r="N2742"/>
  <c r="M2742"/>
  <c r="O2742" s="1"/>
  <c r="N2741"/>
  <c r="O2741" s="1"/>
  <c r="M2741"/>
  <c r="N2740"/>
  <c r="M2740"/>
  <c r="O2740" s="1"/>
  <c r="O2739"/>
  <c r="N2739"/>
  <c r="M2739"/>
  <c r="O2738"/>
  <c r="N2738"/>
  <c r="M2738"/>
  <c r="N2737"/>
  <c r="O2737" s="1"/>
  <c r="M2737"/>
  <c r="N2736"/>
  <c r="M2736"/>
  <c r="O2736" s="1"/>
  <c r="O2735"/>
  <c r="N2735"/>
  <c r="M2735"/>
  <c r="O2734"/>
  <c r="N2734"/>
  <c r="M2734"/>
  <c r="N2733"/>
  <c r="M2733"/>
  <c r="O2732"/>
  <c r="N2732"/>
  <c r="M2732"/>
  <c r="O2731"/>
  <c r="N2731"/>
  <c r="M2731"/>
  <c r="N2730"/>
  <c r="O2730" s="1"/>
  <c r="M2730"/>
  <c r="N2729"/>
  <c r="O2729" s="1"/>
  <c r="M2729"/>
  <c r="O2728"/>
  <c r="N2728"/>
  <c r="M2728"/>
  <c r="N2727"/>
  <c r="O2727" s="1"/>
  <c r="M2727"/>
  <c r="N2726"/>
  <c r="M2726"/>
  <c r="O2726" s="1"/>
  <c r="N2725"/>
  <c r="O2725" s="1"/>
  <c r="M2725"/>
  <c r="N2724"/>
  <c r="M2724"/>
  <c r="O2724" s="1"/>
  <c r="O2723"/>
  <c r="N2723"/>
  <c r="M2723"/>
  <c r="O2722"/>
  <c r="N2722"/>
  <c r="M2722"/>
  <c r="N2721"/>
  <c r="O2721" s="1"/>
  <c r="M2721"/>
  <c r="N2720"/>
  <c r="M2720"/>
  <c r="O2720" s="1"/>
  <c r="O2719"/>
  <c r="N2719"/>
  <c r="M2719"/>
  <c r="O2718"/>
  <c r="N2718"/>
  <c r="M2718"/>
  <c r="N2717"/>
  <c r="M2717"/>
  <c r="O2716"/>
  <c r="N2716"/>
  <c r="M2716"/>
  <c r="O2715"/>
  <c r="N2715"/>
  <c r="M2715"/>
  <c r="N2714"/>
  <c r="M2714"/>
  <c r="N2713"/>
  <c r="O2713" s="1"/>
  <c r="M2713"/>
  <c r="O2712"/>
  <c r="N2712"/>
  <c r="M2712"/>
  <c r="N2711"/>
  <c r="O2711" s="1"/>
  <c r="M2711"/>
  <c r="N2710"/>
  <c r="M2710"/>
  <c r="O2710" s="1"/>
  <c r="N2709"/>
  <c r="O2709" s="1"/>
  <c r="M2709"/>
  <c r="N2708"/>
  <c r="M2708"/>
  <c r="O2708" s="1"/>
  <c r="O2707"/>
  <c r="N2707"/>
  <c r="M2707"/>
  <c r="O2706"/>
  <c r="N2706"/>
  <c r="M2706"/>
  <c r="N2705"/>
  <c r="O2705" s="1"/>
  <c r="M2705"/>
  <c r="N2704"/>
  <c r="M2704"/>
  <c r="O2704" s="1"/>
  <c r="O2703"/>
  <c r="N2703"/>
  <c r="M2703"/>
  <c r="N2702"/>
  <c r="O2702" s="1"/>
  <c r="M2702"/>
  <c r="N2701"/>
  <c r="M2701"/>
  <c r="O2700"/>
  <c r="N2700"/>
  <c r="M2700"/>
  <c r="N2699"/>
  <c r="O2699" s="1"/>
  <c r="M2699"/>
  <c r="N2698"/>
  <c r="O2698" s="1"/>
  <c r="M2698"/>
  <c r="N2697"/>
  <c r="O2697" s="1"/>
  <c r="M2697"/>
  <c r="O2696"/>
  <c r="N2696"/>
  <c r="M2696"/>
  <c r="N2695"/>
  <c r="O2695" s="1"/>
  <c r="M2695"/>
  <c r="N2694"/>
  <c r="M2694"/>
  <c r="O2694" s="1"/>
  <c r="N2693"/>
  <c r="O2693" s="1"/>
  <c r="M2693"/>
  <c r="N2692"/>
  <c r="M2692"/>
  <c r="O2692" s="1"/>
  <c r="O2691"/>
  <c r="N2691"/>
  <c r="M2691"/>
  <c r="O2690"/>
  <c r="N2690"/>
  <c r="M2690"/>
  <c r="N2689"/>
  <c r="M2689"/>
  <c r="N2688"/>
  <c r="M2688"/>
  <c r="O2688" s="1"/>
  <c r="O2687"/>
  <c r="N2687"/>
  <c r="M2687"/>
  <c r="O2686"/>
  <c r="N2686"/>
  <c r="M2686"/>
  <c r="N2685"/>
  <c r="M2685"/>
  <c r="O2684"/>
  <c r="N2684"/>
  <c r="M2684"/>
  <c r="O2683"/>
  <c r="N2683"/>
  <c r="M2683"/>
  <c r="N2682"/>
  <c r="O2682" s="1"/>
  <c r="M2682"/>
  <c r="N2681"/>
  <c r="O2681" s="1"/>
  <c r="M2681"/>
  <c r="O2680"/>
  <c r="N2680"/>
  <c r="M2680"/>
  <c r="N2679"/>
  <c r="O2679" s="1"/>
  <c r="M2679"/>
  <c r="N2678"/>
  <c r="M2678"/>
  <c r="O2678" s="1"/>
  <c r="N2677"/>
  <c r="O2677" s="1"/>
  <c r="M2677"/>
  <c r="N2676"/>
  <c r="M2676"/>
  <c r="O2676" s="1"/>
  <c r="O2675"/>
  <c r="N2675"/>
  <c r="M2675"/>
  <c r="O2674"/>
  <c r="N2674"/>
  <c r="M2674"/>
  <c r="N2673"/>
  <c r="O2673" s="1"/>
  <c r="M2673"/>
  <c r="N2672"/>
  <c r="M2672"/>
  <c r="O2672" s="1"/>
  <c r="O2671"/>
  <c r="N2671"/>
  <c r="M2671"/>
  <c r="O2670"/>
  <c r="N2670"/>
  <c r="M2670"/>
  <c r="N2669"/>
  <c r="M2669"/>
  <c r="O2668"/>
  <c r="N2668"/>
  <c r="M2668"/>
  <c r="O2667"/>
  <c r="N2667"/>
  <c r="M2667"/>
  <c r="N2666"/>
  <c r="O2666" s="1"/>
  <c r="M2666"/>
  <c r="N2665"/>
  <c r="O2665" s="1"/>
  <c r="M2665"/>
  <c r="O2664"/>
  <c r="N2664"/>
  <c r="M2664"/>
  <c r="N2663"/>
  <c r="O2663" s="1"/>
  <c r="M2663"/>
  <c r="N2662"/>
  <c r="M2662"/>
  <c r="O2662" s="1"/>
  <c r="N2661"/>
  <c r="O2661" s="1"/>
  <c r="M2661"/>
  <c r="N2660"/>
  <c r="M2660"/>
  <c r="O2660" s="1"/>
  <c r="O2659"/>
  <c r="N2659"/>
  <c r="M2659"/>
  <c r="O2658"/>
  <c r="N2658"/>
  <c r="M2658"/>
  <c r="N2657"/>
  <c r="O2657" s="1"/>
  <c r="M2657"/>
  <c r="N2656"/>
  <c r="M2656"/>
  <c r="O2656" s="1"/>
  <c r="O2655"/>
  <c r="N2655"/>
  <c r="M2655"/>
  <c r="O2654"/>
  <c r="N2654"/>
  <c r="M2654"/>
  <c r="N2653"/>
  <c r="M2653"/>
  <c r="O2652"/>
  <c r="N2652"/>
  <c r="M2652"/>
  <c r="O2651"/>
  <c r="N2651"/>
  <c r="M2651"/>
  <c r="N2650"/>
  <c r="M2650"/>
  <c r="N2649"/>
  <c r="O2649" s="1"/>
  <c r="M2649"/>
  <c r="O2648"/>
  <c r="N2648"/>
  <c r="M2648"/>
  <c r="N2647"/>
  <c r="O2647" s="1"/>
  <c r="M2647"/>
  <c r="N2646"/>
  <c r="M2646"/>
  <c r="O2646" s="1"/>
  <c r="N2645"/>
  <c r="O2645" s="1"/>
  <c r="M2645"/>
  <c r="N2644"/>
  <c r="M2644"/>
  <c r="O2644" s="1"/>
  <c r="O2643"/>
  <c r="N2643"/>
  <c r="M2643"/>
  <c r="O2642"/>
  <c r="N2642"/>
  <c r="M2642"/>
  <c r="N2641"/>
  <c r="O2641" s="1"/>
  <c r="M2641"/>
  <c r="N2640"/>
  <c r="M2640"/>
  <c r="O2640" s="1"/>
  <c r="O2639"/>
  <c r="N2639"/>
  <c r="M2639"/>
  <c r="N2638"/>
  <c r="O2638" s="1"/>
  <c r="M2638"/>
  <c r="N2637"/>
  <c r="M2637"/>
  <c r="O2636"/>
  <c r="N2636"/>
  <c r="M2636"/>
  <c r="N2635"/>
  <c r="O2635" s="1"/>
  <c r="M2635"/>
  <c r="N2634"/>
  <c r="O2634" s="1"/>
  <c r="M2634"/>
  <c r="N2633"/>
  <c r="O2633" s="1"/>
  <c r="M2633"/>
  <c r="O2632"/>
  <c r="N2632"/>
  <c r="M2632"/>
  <c r="N2631"/>
  <c r="O2631" s="1"/>
  <c r="M2631"/>
  <c r="N2630"/>
  <c r="M2630"/>
  <c r="O2630" s="1"/>
  <c r="N2629"/>
  <c r="O2629" s="1"/>
  <c r="M2629"/>
  <c r="N2628"/>
  <c r="M2628"/>
  <c r="O2628" s="1"/>
  <c r="O2627"/>
  <c r="N2627"/>
  <c r="M2627"/>
  <c r="O2626"/>
  <c r="N2626"/>
  <c r="M2626"/>
  <c r="N2625"/>
  <c r="M2625"/>
  <c r="N2624"/>
  <c r="M2624"/>
  <c r="O2624" s="1"/>
  <c r="O2623"/>
  <c r="N2623"/>
  <c r="M2623"/>
  <c r="O2622"/>
  <c r="N2622"/>
  <c r="M2622"/>
  <c r="N2621"/>
  <c r="M2621"/>
  <c r="O2620"/>
  <c r="N2620"/>
  <c r="M2620"/>
  <c r="O2619"/>
  <c r="N2619"/>
  <c r="M2619"/>
  <c r="N2618"/>
  <c r="O2618" s="1"/>
  <c r="M2618"/>
  <c r="N2617"/>
  <c r="O2617" s="1"/>
  <c r="M2617"/>
  <c r="O2616"/>
  <c r="N2616"/>
  <c r="M2616"/>
  <c r="N2615"/>
  <c r="O2615" s="1"/>
  <c r="M2615"/>
  <c r="N2614"/>
  <c r="M2614"/>
  <c r="O2614" s="1"/>
  <c r="N2613"/>
  <c r="O2613" s="1"/>
  <c r="M2613"/>
  <c r="N2612"/>
  <c r="M2612"/>
  <c r="O2612" s="1"/>
  <c r="O2611"/>
  <c r="N2611"/>
  <c r="M2611"/>
  <c r="O2610"/>
  <c r="N2610"/>
  <c r="M2610"/>
  <c r="N2609"/>
  <c r="O2609" s="1"/>
  <c r="M2609"/>
  <c r="N2608"/>
  <c r="M2608"/>
  <c r="O2608" s="1"/>
  <c r="O2607"/>
  <c r="N2607"/>
  <c r="M2607"/>
  <c r="O2606"/>
  <c r="N2606"/>
  <c r="M2606"/>
  <c r="N2605"/>
  <c r="M2605"/>
  <c r="O2604"/>
  <c r="N2604"/>
  <c r="M2604"/>
  <c r="O2603"/>
  <c r="N2603"/>
  <c r="M2603"/>
  <c r="N2602"/>
  <c r="O2602" s="1"/>
  <c r="M2602"/>
  <c r="N2601"/>
  <c r="O2601" s="1"/>
  <c r="M2601"/>
  <c r="O2600"/>
  <c r="N2600"/>
  <c r="M2600"/>
  <c r="N2599"/>
  <c r="O2599" s="1"/>
  <c r="M2599"/>
  <c r="N2598"/>
  <c r="M2598"/>
  <c r="O2598" s="1"/>
  <c r="N2597"/>
  <c r="O2597" s="1"/>
  <c r="M2597"/>
  <c r="N2596"/>
  <c r="M2596"/>
  <c r="O2596" s="1"/>
  <c r="O2595"/>
  <c r="N2595"/>
  <c r="M2595"/>
  <c r="O2594"/>
  <c r="N2594"/>
  <c r="M2594"/>
  <c r="N2593"/>
  <c r="O2593" s="1"/>
  <c r="M2593"/>
  <c r="N2592"/>
  <c r="M2592"/>
  <c r="O2592" s="1"/>
  <c r="O2591"/>
  <c r="N2591"/>
  <c r="M2591"/>
  <c r="O2590"/>
  <c r="N2590"/>
  <c r="M2590"/>
  <c r="N2589"/>
  <c r="M2589"/>
  <c r="O2588"/>
  <c r="N2588"/>
  <c r="M2588"/>
  <c r="O2587"/>
  <c r="N2587"/>
  <c r="M2587"/>
  <c r="N2586"/>
  <c r="M2586"/>
  <c r="N2585"/>
  <c r="O2585" s="1"/>
  <c r="M2585"/>
  <c r="O2584"/>
  <c r="N2584"/>
  <c r="M2584"/>
  <c r="N2583"/>
  <c r="O2583" s="1"/>
  <c r="M2583"/>
  <c r="N2582"/>
  <c r="M2582"/>
  <c r="O2582" s="1"/>
  <c r="N2581"/>
  <c r="O2581" s="1"/>
  <c r="M2581"/>
  <c r="N2580"/>
  <c r="M2580"/>
  <c r="O2580" s="1"/>
  <c r="O2579"/>
  <c r="N2579"/>
  <c r="M2579"/>
  <c r="O2578"/>
  <c r="N2578"/>
  <c r="M2578"/>
  <c r="N2577"/>
  <c r="O2577" s="1"/>
  <c r="M2577"/>
  <c r="N2576"/>
  <c r="M2576"/>
  <c r="O2576" s="1"/>
  <c r="O2575"/>
  <c r="N2575"/>
  <c r="M2575"/>
  <c r="N2574"/>
  <c r="O2574" s="1"/>
  <c r="M2574"/>
  <c r="N2573"/>
  <c r="M2573"/>
  <c r="O2572"/>
  <c r="N2572"/>
  <c r="M2572"/>
  <c r="N2571"/>
  <c r="O2571" s="1"/>
  <c r="M2571"/>
  <c r="N2570"/>
  <c r="O2570" s="1"/>
  <c r="M2570"/>
  <c r="N2569"/>
  <c r="O2569" s="1"/>
  <c r="M2569"/>
  <c r="O2568"/>
  <c r="N2568"/>
  <c r="M2568"/>
  <c r="N2567"/>
  <c r="O2567" s="1"/>
  <c r="M2567"/>
  <c r="N2566"/>
  <c r="M2566"/>
  <c r="O2566" s="1"/>
  <c r="N2565"/>
  <c r="O2565" s="1"/>
  <c r="M2565"/>
  <c r="N2564"/>
  <c r="M2564"/>
  <c r="O2564" s="1"/>
  <c r="O2563"/>
  <c r="N2563"/>
  <c r="M2563"/>
  <c r="O2562"/>
  <c r="N2562"/>
  <c r="M2562"/>
  <c r="N2561"/>
  <c r="M2561"/>
  <c r="N2560"/>
  <c r="M2560"/>
  <c r="O2560" s="1"/>
  <c r="O2559"/>
  <c r="N2559"/>
  <c r="M2559"/>
  <c r="O2558"/>
  <c r="N2558"/>
  <c r="M2558"/>
  <c r="N2557"/>
  <c r="M2557"/>
  <c r="O2556"/>
  <c r="N2556"/>
  <c r="M2556"/>
  <c r="O2555"/>
  <c r="N2555"/>
  <c r="M2555"/>
  <c r="N2554"/>
  <c r="O2554" s="1"/>
  <c r="M2554"/>
  <c r="N2553"/>
  <c r="O2553" s="1"/>
  <c r="M2553"/>
  <c r="O2552"/>
  <c r="N2552"/>
  <c r="M2552"/>
  <c r="N2551"/>
  <c r="O2551" s="1"/>
  <c r="M2551"/>
  <c r="N2550"/>
  <c r="M2550"/>
  <c r="O2550" s="1"/>
  <c r="N2549"/>
  <c r="O2549" s="1"/>
  <c r="M2549"/>
  <c r="N2548"/>
  <c r="M2548"/>
  <c r="O2548" s="1"/>
  <c r="O2547"/>
  <c r="N2547"/>
  <c r="M2547"/>
  <c r="O2546"/>
  <c r="N2546"/>
  <c r="M2546"/>
  <c r="N2545"/>
  <c r="O2545" s="1"/>
  <c r="M2545"/>
  <c r="N2544"/>
  <c r="M2544"/>
  <c r="O2544" s="1"/>
  <c r="O2543"/>
  <c r="N2543"/>
  <c r="M2543"/>
  <c r="O2542"/>
  <c r="N2542"/>
  <c r="M2542"/>
  <c r="N2541"/>
  <c r="M2541"/>
  <c r="O2540"/>
  <c r="N2540"/>
  <c r="M2540"/>
  <c r="O2539"/>
  <c r="N2539"/>
  <c r="M2539"/>
  <c r="N2538"/>
  <c r="O2538" s="1"/>
  <c r="M2538"/>
  <c r="N2537"/>
  <c r="O2537" s="1"/>
  <c r="M2537"/>
  <c r="O2536"/>
  <c r="N2536"/>
  <c r="M2536"/>
  <c r="N2535"/>
  <c r="O2535" s="1"/>
  <c r="M2535"/>
  <c r="N2534"/>
  <c r="M2534"/>
  <c r="O2534" s="1"/>
  <c r="N2533"/>
  <c r="O2533" s="1"/>
  <c r="M2533"/>
  <c r="N2532"/>
  <c r="M2532"/>
  <c r="O2532" s="1"/>
  <c r="O2531"/>
  <c r="N2531"/>
  <c r="M2531"/>
  <c r="O2530"/>
  <c r="N2530"/>
  <c r="M2530"/>
  <c r="N2529"/>
  <c r="O2529" s="1"/>
  <c r="M2529"/>
  <c r="N2528"/>
  <c r="M2528"/>
  <c r="O2528" s="1"/>
  <c r="O2527"/>
  <c r="N2527"/>
  <c r="M2527"/>
  <c r="O2526"/>
  <c r="N2526"/>
  <c r="M2526"/>
  <c r="N2525"/>
  <c r="M2525"/>
  <c r="O2524"/>
  <c r="N2524"/>
  <c r="M2524"/>
  <c r="O2523"/>
  <c r="N2523"/>
  <c r="M2523"/>
  <c r="N2522"/>
  <c r="M2522"/>
  <c r="N2521"/>
  <c r="O2521" s="1"/>
  <c r="M2521"/>
  <c r="O2520"/>
  <c r="N2520"/>
  <c r="M2520"/>
  <c r="N2519"/>
  <c r="O2519" s="1"/>
  <c r="M2519"/>
  <c r="N2518"/>
  <c r="M2518"/>
  <c r="O2518" s="1"/>
  <c r="N2517"/>
  <c r="O2517" s="1"/>
  <c r="M2517"/>
  <c r="N2516"/>
  <c r="M2516"/>
  <c r="O2516" s="1"/>
  <c r="O2515"/>
  <c r="N2515"/>
  <c r="M2515"/>
  <c r="O2514"/>
  <c r="N2514"/>
  <c r="M2514"/>
  <c r="N2513"/>
  <c r="O2513" s="1"/>
  <c r="M2513"/>
  <c r="N2512"/>
  <c r="M2512"/>
  <c r="O2512" s="1"/>
  <c r="O2511"/>
  <c r="N2511"/>
  <c r="M2511"/>
  <c r="N2510"/>
  <c r="O2510" s="1"/>
  <c r="M2510"/>
  <c r="N2509"/>
  <c r="M2509"/>
  <c r="O2508"/>
  <c r="N2508"/>
  <c r="M2508"/>
  <c r="N2507"/>
  <c r="O2507" s="1"/>
  <c r="M2507"/>
  <c r="N2506"/>
  <c r="O2506" s="1"/>
  <c r="M2506"/>
  <c r="N2505"/>
  <c r="O2505" s="1"/>
  <c r="M2505"/>
  <c r="O2504"/>
  <c r="N2504"/>
  <c r="M2504"/>
  <c r="N2503"/>
  <c r="O2503" s="1"/>
  <c r="M2503"/>
  <c r="N2502"/>
  <c r="M2502"/>
  <c r="O2502" s="1"/>
  <c r="N2501"/>
  <c r="O2501" s="1"/>
  <c r="M2501"/>
  <c r="N2500"/>
  <c r="M2500"/>
  <c r="O2500" s="1"/>
  <c r="O2499"/>
  <c r="N2499"/>
  <c r="M2499"/>
  <c r="O2498"/>
  <c r="N2498"/>
  <c r="M2498"/>
  <c r="N2497"/>
  <c r="M2497"/>
  <c r="N2496"/>
  <c r="M2496"/>
  <c r="O2496" s="1"/>
  <c r="O2495"/>
  <c r="N2495"/>
  <c r="M2495"/>
  <c r="O2494"/>
  <c r="N2494"/>
  <c r="M2494"/>
  <c r="N2493"/>
  <c r="M2493"/>
  <c r="O2492"/>
  <c r="N2492"/>
  <c r="M2492"/>
  <c r="O2491"/>
  <c r="N2491"/>
  <c r="M2491"/>
  <c r="N2490"/>
  <c r="O2490" s="1"/>
  <c r="M2490"/>
  <c r="N2489"/>
  <c r="O2489" s="1"/>
  <c r="M2489"/>
  <c r="O2488"/>
  <c r="N2488"/>
  <c r="M2488"/>
  <c r="N2487"/>
  <c r="O2487" s="1"/>
  <c r="M2487"/>
  <c r="N2486"/>
  <c r="M2486"/>
  <c r="O2486" s="1"/>
  <c r="N2485"/>
  <c r="O2485" s="1"/>
  <c r="M2485"/>
  <c r="N2484"/>
  <c r="M2484"/>
  <c r="O2484" s="1"/>
  <c r="O2483"/>
  <c r="N2483"/>
  <c r="M2483"/>
  <c r="O2482"/>
  <c r="N2482"/>
  <c r="M2482"/>
  <c r="N2481"/>
  <c r="O2481" s="1"/>
  <c r="M2481"/>
  <c r="N2480"/>
  <c r="M2480"/>
  <c r="O2480" s="1"/>
  <c r="O2479"/>
  <c r="N2479"/>
  <c r="M2479"/>
  <c r="O2478"/>
  <c r="N2478"/>
  <c r="M2478"/>
  <c r="N2477"/>
  <c r="M2477"/>
  <c r="O2476"/>
  <c r="N2476"/>
  <c r="M2476"/>
  <c r="O2475"/>
  <c r="N2475"/>
  <c r="M2475"/>
  <c r="N2474"/>
  <c r="O2474" s="1"/>
  <c r="M2474"/>
  <c r="N2473"/>
  <c r="M2473"/>
  <c r="O2473" s="1"/>
  <c r="O2472"/>
  <c r="N2472"/>
  <c r="M2472"/>
  <c r="N2471"/>
  <c r="O2471" s="1"/>
  <c r="M2471"/>
  <c r="N2470"/>
  <c r="O2470" s="1"/>
  <c r="M2470"/>
  <c r="N2469"/>
  <c r="M2469"/>
  <c r="O2469" s="1"/>
  <c r="O2468"/>
  <c r="N2468"/>
  <c r="M2468"/>
  <c r="O2467"/>
  <c r="N2467"/>
  <c r="M2467"/>
  <c r="N2466"/>
  <c r="O2466" s="1"/>
  <c r="M2466"/>
  <c r="N2465"/>
  <c r="M2465"/>
  <c r="O2465" s="1"/>
  <c r="O2464"/>
  <c r="N2464"/>
  <c r="M2464"/>
  <c r="N2463"/>
  <c r="O2463" s="1"/>
  <c r="M2463"/>
  <c r="N2462"/>
  <c r="O2462" s="1"/>
  <c r="M2462"/>
  <c r="N2461"/>
  <c r="M2461"/>
  <c r="O2461" s="1"/>
  <c r="O2460"/>
  <c r="N2460"/>
  <c r="M2460"/>
  <c r="O2459"/>
  <c r="N2459"/>
  <c r="M2459"/>
  <c r="N2458"/>
  <c r="O2458" s="1"/>
  <c r="M2458"/>
  <c r="N2457"/>
  <c r="M2457"/>
  <c r="O2457" s="1"/>
  <c r="O2456"/>
  <c r="N2456"/>
  <c r="M2456"/>
  <c r="N2455"/>
  <c r="O2455" s="1"/>
  <c r="M2455"/>
  <c r="N2454"/>
  <c r="O2454" s="1"/>
  <c r="M2454"/>
  <c r="N2453"/>
  <c r="M2453"/>
  <c r="O2453" s="1"/>
  <c r="O2452"/>
  <c r="N2452"/>
  <c r="M2452"/>
  <c r="O2451"/>
  <c r="N2451"/>
  <c r="M2451"/>
  <c r="N2450"/>
  <c r="O2450" s="1"/>
  <c r="M2450"/>
  <c r="N2449"/>
  <c r="M2449"/>
  <c r="O2449" s="1"/>
  <c r="O2448"/>
  <c r="N2448"/>
  <c r="M2448"/>
  <c r="N2447"/>
  <c r="O2447" s="1"/>
  <c r="M2447"/>
  <c r="N2446"/>
  <c r="O2446" s="1"/>
  <c r="M2446"/>
  <c r="N2445"/>
  <c r="M2445"/>
  <c r="O2445" s="1"/>
  <c r="O2444"/>
  <c r="N2444"/>
  <c r="M2444"/>
  <c r="O2443"/>
  <c r="N2443"/>
  <c r="M2443"/>
  <c r="N2442"/>
  <c r="O2442" s="1"/>
  <c r="M2442"/>
  <c r="N2441"/>
  <c r="M2441"/>
  <c r="O2441" s="1"/>
  <c r="O2440"/>
  <c r="N2440"/>
  <c r="M2440"/>
  <c r="N2439"/>
  <c r="O2439" s="1"/>
  <c r="M2439"/>
  <c r="N2438"/>
  <c r="O2438" s="1"/>
  <c r="M2438"/>
  <c r="N2437"/>
  <c r="M2437"/>
  <c r="O2437" s="1"/>
  <c r="O2436"/>
  <c r="N2436"/>
  <c r="M2436"/>
  <c r="O2435"/>
  <c r="N2435"/>
  <c r="M2435"/>
  <c r="N2434"/>
  <c r="O2434" s="1"/>
  <c r="M2434"/>
  <c r="N2433"/>
  <c r="M2433"/>
  <c r="O2433" s="1"/>
  <c r="O2432"/>
  <c r="N2432"/>
  <c r="M2432"/>
  <c r="N2431"/>
  <c r="O2431" s="1"/>
  <c r="M2431"/>
  <c r="N2430"/>
  <c r="O2430" s="1"/>
  <c r="M2430"/>
  <c r="N2429"/>
  <c r="M2429"/>
  <c r="O2429" s="1"/>
  <c r="O2428"/>
  <c r="N2428"/>
  <c r="M2428"/>
  <c r="O2427"/>
  <c r="N2427"/>
  <c r="M2427"/>
  <c r="N2426"/>
  <c r="O2426" s="1"/>
  <c r="M2426"/>
  <c r="N2425"/>
  <c r="M2425"/>
  <c r="O2425" s="1"/>
  <c r="O2424"/>
  <c r="N2424"/>
  <c r="M2424"/>
  <c r="N2423"/>
  <c r="O2423" s="1"/>
  <c r="M2423"/>
  <c r="N2422"/>
  <c r="O2422" s="1"/>
  <c r="M2422"/>
  <c r="N2421"/>
  <c r="M2421"/>
  <c r="O2421" s="1"/>
  <c r="O2420"/>
  <c r="N2420"/>
  <c r="M2420"/>
  <c r="O2419"/>
  <c r="N2419"/>
  <c r="M2419"/>
  <c r="N2418"/>
  <c r="O2418" s="1"/>
  <c r="M2418"/>
  <c r="N2417"/>
  <c r="M2417"/>
  <c r="O2417" s="1"/>
  <c r="O2416"/>
  <c r="N2416"/>
  <c r="M2416"/>
  <c r="N2415"/>
  <c r="O2415" s="1"/>
  <c r="M2415"/>
  <c r="N2414"/>
  <c r="O2414" s="1"/>
  <c r="M2414"/>
  <c r="N2413"/>
  <c r="M2413"/>
  <c r="O2413" s="1"/>
  <c r="O2412"/>
  <c r="N2412"/>
  <c r="M2412"/>
  <c r="O2411"/>
  <c r="N2411"/>
  <c r="M2411"/>
  <c r="N2410"/>
  <c r="O2410" s="1"/>
  <c r="M2410"/>
  <c r="N2409"/>
  <c r="M2409"/>
  <c r="O2409" s="1"/>
  <c r="O2408"/>
  <c r="N2408"/>
  <c r="M2408"/>
  <c r="N2407"/>
  <c r="O2407" s="1"/>
  <c r="M2407"/>
  <c r="N2406"/>
  <c r="O2406" s="1"/>
  <c r="M2406"/>
  <c r="N2405"/>
  <c r="M2405"/>
  <c r="O2405" s="1"/>
  <c r="O2404"/>
  <c r="N2404"/>
  <c r="M2404"/>
  <c r="O2403"/>
  <c r="N2403"/>
  <c r="M2403"/>
  <c r="N2402"/>
  <c r="O2402" s="1"/>
  <c r="M2402"/>
  <c r="N2401"/>
  <c r="M2401"/>
  <c r="O2401" s="1"/>
  <c r="O2400"/>
  <c r="N2400"/>
  <c r="M2400"/>
  <c r="N2399"/>
  <c r="O2399" s="1"/>
  <c r="M2399"/>
  <c r="N2398"/>
  <c r="O2398" s="1"/>
  <c r="M2398"/>
  <c r="N2397"/>
  <c r="M2397"/>
  <c r="O2397" s="1"/>
  <c r="O2396"/>
  <c r="N2396"/>
  <c r="M2396"/>
  <c r="O2395"/>
  <c r="N2395"/>
  <c r="M2395"/>
  <c r="N2394"/>
  <c r="O2394" s="1"/>
  <c r="M2394"/>
  <c r="N2393"/>
  <c r="M2393"/>
  <c r="O2393" s="1"/>
  <c r="O2392"/>
  <c r="N2392"/>
  <c r="M2392"/>
  <c r="N2391"/>
  <c r="O2391" s="1"/>
  <c r="M2391"/>
  <c r="N2390"/>
  <c r="O2390" s="1"/>
  <c r="M2390"/>
  <c r="N2389"/>
  <c r="M2389"/>
  <c r="O2389" s="1"/>
  <c r="O2388"/>
  <c r="N2388"/>
  <c r="M2388"/>
  <c r="O2387"/>
  <c r="N2387"/>
  <c r="M2387"/>
  <c r="N2386"/>
  <c r="O2386" s="1"/>
  <c r="M2386"/>
  <c r="N2385"/>
  <c r="M2385"/>
  <c r="O2385" s="1"/>
  <c r="O2384"/>
  <c r="N2384"/>
  <c r="M2384"/>
  <c r="N2383"/>
  <c r="O2383" s="1"/>
  <c r="M2383"/>
  <c r="N2382"/>
  <c r="O2382" s="1"/>
  <c r="M2382"/>
  <c r="N2381"/>
  <c r="M2381"/>
  <c r="O2381" s="1"/>
  <c r="O2380"/>
  <c r="N2380"/>
  <c r="M2380"/>
  <c r="O2379"/>
  <c r="N2379"/>
  <c r="M2379"/>
  <c r="N2378"/>
  <c r="O2378" s="1"/>
  <c r="M2378"/>
  <c r="N2377"/>
  <c r="M2377"/>
  <c r="O2377" s="1"/>
  <c r="O2376"/>
  <c r="N2376"/>
  <c r="M2376"/>
  <c r="N2375"/>
  <c r="O2375" s="1"/>
  <c r="M2375"/>
  <c r="N2374"/>
  <c r="O2374" s="1"/>
  <c r="M2374"/>
  <c r="N2373"/>
  <c r="M2373"/>
  <c r="O2373" s="1"/>
  <c r="O2372"/>
  <c r="N2372"/>
  <c r="M2372"/>
  <c r="O2371"/>
  <c r="N2371"/>
  <c r="M2371"/>
  <c r="N2370"/>
  <c r="O2370" s="1"/>
  <c r="M2370"/>
  <c r="N2369"/>
  <c r="M2369"/>
  <c r="O2369" s="1"/>
  <c r="O2368"/>
  <c r="N2368"/>
  <c r="M2368"/>
  <c r="N2367"/>
  <c r="O2367" s="1"/>
  <c r="M2367"/>
  <c r="N2366"/>
  <c r="O2366" s="1"/>
  <c r="M2366"/>
  <c r="N2365"/>
  <c r="M2365"/>
  <c r="O2365" s="1"/>
  <c r="O2364"/>
  <c r="N2364"/>
  <c r="M2364"/>
  <c r="O2363"/>
  <c r="N2363"/>
  <c r="M2363"/>
  <c r="N2362"/>
  <c r="O2362" s="1"/>
  <c r="M2362"/>
  <c r="N2361"/>
  <c r="M2361"/>
  <c r="O2361" s="1"/>
  <c r="O2360"/>
  <c r="N2360"/>
  <c r="M2360"/>
  <c r="N2359"/>
  <c r="O2359" s="1"/>
  <c r="M2359"/>
  <c r="N2358"/>
  <c r="O2358" s="1"/>
  <c r="M2358"/>
  <c r="N2357"/>
  <c r="M2357"/>
  <c r="O2357" s="1"/>
  <c r="O2356"/>
  <c r="N2356"/>
  <c r="M2356"/>
  <c r="O2355"/>
  <c r="N2355"/>
  <c r="M2355"/>
  <c r="N2354"/>
  <c r="O2354" s="1"/>
  <c r="M2354"/>
  <c r="N2353"/>
  <c r="M2353"/>
  <c r="O2353" s="1"/>
  <c r="O2352"/>
  <c r="N2352"/>
  <c r="M2352"/>
  <c r="N2351"/>
  <c r="O2351" s="1"/>
  <c r="M2351"/>
  <c r="N2350"/>
  <c r="O2350" s="1"/>
  <c r="M2350"/>
  <c r="N2349"/>
  <c r="M2349"/>
  <c r="O2349" s="1"/>
  <c r="O2348"/>
  <c r="N2348"/>
  <c r="M2348"/>
  <c r="O2347"/>
  <c r="N2347"/>
  <c r="M2347"/>
  <c r="N2346"/>
  <c r="O2346" s="1"/>
  <c r="M2346"/>
  <c r="N2345"/>
  <c r="M2345"/>
  <c r="O2345" s="1"/>
  <c r="O2344"/>
  <c r="N2344"/>
  <c r="M2344"/>
  <c r="N2343"/>
  <c r="O2343" s="1"/>
  <c r="M2343"/>
  <c r="N2342"/>
  <c r="O2342" s="1"/>
  <c r="M2342"/>
  <c r="N2341"/>
  <c r="M2341"/>
  <c r="O2341" s="1"/>
  <c r="O2340"/>
  <c r="N2340"/>
  <c r="M2340"/>
  <c r="O2339"/>
  <c r="N2339"/>
  <c r="M2339"/>
  <c r="N2338"/>
  <c r="O2338" s="1"/>
  <c r="M2338"/>
  <c r="N2337"/>
  <c r="M2337"/>
  <c r="O2337" s="1"/>
  <c r="O2336"/>
  <c r="N2336"/>
  <c r="M2336"/>
  <c r="N2335"/>
  <c r="O2335" s="1"/>
  <c r="M2335"/>
  <c r="N2334"/>
  <c r="O2334" s="1"/>
  <c r="M2334"/>
  <c r="N2333"/>
  <c r="M2333"/>
  <c r="O2333" s="1"/>
  <c r="O2332"/>
  <c r="N2332"/>
  <c r="M2332"/>
  <c r="O2331"/>
  <c r="N2331"/>
  <c r="M2331"/>
  <c r="N2330"/>
  <c r="O2330" s="1"/>
  <c r="M2330"/>
  <c r="N2329"/>
  <c r="M2329"/>
  <c r="O2329" s="1"/>
  <c r="O2328"/>
  <c r="N2328"/>
  <c r="M2328"/>
  <c r="N2327"/>
  <c r="O2327" s="1"/>
  <c r="M2327"/>
  <c r="N2326"/>
  <c r="O2326" s="1"/>
  <c r="M2326"/>
  <c r="N2325"/>
  <c r="M2325"/>
  <c r="O2325" s="1"/>
  <c r="O2324"/>
  <c r="N2324"/>
  <c r="M2324"/>
  <c r="O2323"/>
  <c r="N2323"/>
  <c r="M2323"/>
  <c r="N2322"/>
  <c r="O2322" s="1"/>
  <c r="M2322"/>
  <c r="N2321"/>
  <c r="M2321"/>
  <c r="O2321" s="1"/>
  <c r="O2320"/>
  <c r="N2320"/>
  <c r="M2320"/>
  <c r="N2319"/>
  <c r="O2319" s="1"/>
  <c r="M2319"/>
  <c r="N2318"/>
  <c r="O2318" s="1"/>
  <c r="M2318"/>
  <c r="N2317"/>
  <c r="M2317"/>
  <c r="O2317" s="1"/>
  <c r="O2316"/>
  <c r="N2316"/>
  <c r="M2316"/>
  <c r="O2315"/>
  <c r="N2315"/>
  <c r="M2315"/>
  <c r="N2314"/>
  <c r="O2314" s="1"/>
  <c r="M2314"/>
  <c r="N2313"/>
  <c r="M2313"/>
  <c r="O2313" s="1"/>
  <c r="O2312"/>
  <c r="N2312"/>
  <c r="M2312"/>
  <c r="N2311"/>
  <c r="O2311" s="1"/>
  <c r="M2311"/>
  <c r="N2310"/>
  <c r="O2310" s="1"/>
  <c r="M2310"/>
  <c r="N2309"/>
  <c r="M2309"/>
  <c r="O2309" s="1"/>
  <c r="O2308"/>
  <c r="N2308"/>
  <c r="M2308"/>
  <c r="O2307"/>
  <c r="N2307"/>
  <c r="M2307"/>
  <c r="N2306"/>
  <c r="O2306" s="1"/>
  <c r="M2306"/>
  <c r="N2305"/>
  <c r="M2305"/>
  <c r="O2305" s="1"/>
  <c r="O2304"/>
  <c r="N2304"/>
  <c r="M2304"/>
  <c r="N2303"/>
  <c r="O2303" s="1"/>
  <c r="M2303"/>
  <c r="N2302"/>
  <c r="O2302" s="1"/>
  <c r="M2302"/>
  <c r="N2301"/>
  <c r="M2301"/>
  <c r="O2301" s="1"/>
  <c r="O2300"/>
  <c r="N2300"/>
  <c r="M2300"/>
  <c r="O2299"/>
  <c r="N2299"/>
  <c r="M2299"/>
  <c r="N2298"/>
  <c r="O2298" s="1"/>
  <c r="M2298"/>
  <c r="N2297"/>
  <c r="M2297"/>
  <c r="O2297" s="1"/>
  <c r="O2296"/>
  <c r="N2296"/>
  <c r="M2296"/>
  <c r="N2295"/>
  <c r="O2295" s="1"/>
  <c r="M2295"/>
  <c r="N2294"/>
  <c r="O2294" s="1"/>
  <c r="M2294"/>
  <c r="N2293"/>
  <c r="M2293"/>
  <c r="O2293" s="1"/>
  <c r="O2292"/>
  <c r="N2292"/>
  <c r="M2292"/>
  <c r="O2291"/>
  <c r="N2291"/>
  <c r="M2291"/>
  <c r="N2290"/>
  <c r="O2290" s="1"/>
  <c r="M2290"/>
  <c r="N2289"/>
  <c r="M2289"/>
  <c r="O2289" s="1"/>
  <c r="O2288"/>
  <c r="N2288"/>
  <c r="M2288"/>
  <c r="N2287"/>
  <c r="O2287" s="1"/>
  <c r="M2287"/>
  <c r="N2286"/>
  <c r="O2286" s="1"/>
  <c r="M2286"/>
  <c r="N2285"/>
  <c r="M2285"/>
  <c r="O2285" s="1"/>
  <c r="O2284"/>
  <c r="N2284"/>
  <c r="M2284"/>
  <c r="O2283"/>
  <c r="N2283"/>
  <c r="M2283"/>
  <c r="N2282"/>
  <c r="O2282" s="1"/>
  <c r="M2282"/>
  <c r="N2281"/>
  <c r="M2281"/>
  <c r="O2281" s="1"/>
  <c r="O2280"/>
  <c r="N2280"/>
  <c r="M2280"/>
  <c r="N2279"/>
  <c r="O2279" s="1"/>
  <c r="M2279"/>
  <c r="N2278"/>
  <c r="O2278" s="1"/>
  <c r="M2278"/>
  <c r="N2277"/>
  <c r="M2277"/>
  <c r="O2277" s="1"/>
  <c r="O2276"/>
  <c r="N2276"/>
  <c r="M2276"/>
  <c r="O2275"/>
  <c r="N2275"/>
  <c r="M2275"/>
  <c r="N2274"/>
  <c r="O2274" s="1"/>
  <c r="M2274"/>
  <c r="N2273"/>
  <c r="M2273"/>
  <c r="O2273" s="1"/>
  <c r="O2272"/>
  <c r="N2272"/>
  <c r="M2272"/>
  <c r="N2271"/>
  <c r="O2271" s="1"/>
  <c r="M2271"/>
  <c r="N2270"/>
  <c r="O2270" s="1"/>
  <c r="M2270"/>
  <c r="N2269"/>
  <c r="M2269"/>
  <c r="O2269" s="1"/>
  <c r="O2268"/>
  <c r="N2268"/>
  <c r="M2268"/>
  <c r="O2267"/>
  <c r="N2267"/>
  <c r="M2267"/>
  <c r="N2266"/>
  <c r="O2266" s="1"/>
  <c r="M2266"/>
  <c r="N2265"/>
  <c r="M2265"/>
  <c r="O2265" s="1"/>
  <c r="O2264"/>
  <c r="N2264"/>
  <c r="M2264"/>
  <c r="N2263"/>
  <c r="O2263" s="1"/>
  <c r="M2263"/>
  <c r="N2262"/>
  <c r="O2262" s="1"/>
  <c r="M2262"/>
  <c r="N2261"/>
  <c r="M2261"/>
  <c r="O2261" s="1"/>
  <c r="O2260"/>
  <c r="N2260"/>
  <c r="M2260"/>
  <c r="O2259"/>
  <c r="N2259"/>
  <c r="M2259"/>
  <c r="N2258"/>
  <c r="O2258" s="1"/>
  <c r="M2258"/>
  <c r="N2257"/>
  <c r="M2257"/>
  <c r="O2257" s="1"/>
  <c r="O2256"/>
  <c r="N2256"/>
  <c r="M2256"/>
  <c r="N2255"/>
  <c r="O2255" s="1"/>
  <c r="M2255"/>
  <c r="N2254"/>
  <c r="O2254" s="1"/>
  <c r="M2254"/>
  <c r="N2253"/>
  <c r="M2253"/>
  <c r="O2253" s="1"/>
  <c r="O2252"/>
  <c r="N2252"/>
  <c r="M2252"/>
  <c r="O2251"/>
  <c r="N2251"/>
  <c r="M2251"/>
  <c r="N2250"/>
  <c r="O2250" s="1"/>
  <c r="M2250"/>
  <c r="N2249"/>
  <c r="M2249"/>
  <c r="O2249" s="1"/>
  <c r="O2248"/>
  <c r="N2248"/>
  <c r="M2248"/>
  <c r="N2247"/>
  <c r="O2247" s="1"/>
  <c r="M2247"/>
  <c r="N2246"/>
  <c r="O2246" s="1"/>
  <c r="M2246"/>
  <c r="N2245"/>
  <c r="M2245"/>
  <c r="O2245" s="1"/>
  <c r="O2244"/>
  <c r="N2244"/>
  <c r="M2244"/>
  <c r="O2243"/>
  <c r="N2243"/>
  <c r="M2243"/>
  <c r="N2242"/>
  <c r="O2242" s="1"/>
  <c r="M2242"/>
  <c r="N2241"/>
  <c r="M2241"/>
  <c r="O2241" s="1"/>
  <c r="O2240"/>
  <c r="N2240"/>
  <c r="M2240"/>
  <c r="N2239"/>
  <c r="O2239" s="1"/>
  <c r="M2239"/>
  <c r="N2238"/>
  <c r="O2238" s="1"/>
  <c r="M2238"/>
  <c r="N2237"/>
  <c r="M2237"/>
  <c r="O2237" s="1"/>
  <c r="O2236"/>
  <c r="N2236"/>
  <c r="M2236"/>
  <c r="O2235"/>
  <c r="N2235"/>
  <c r="M2235"/>
  <c r="N2234"/>
  <c r="O2234" s="1"/>
  <c r="M2234"/>
  <c r="N2233"/>
  <c r="M2233"/>
  <c r="O2233" s="1"/>
  <c r="O2232"/>
  <c r="N2232"/>
  <c r="M2232"/>
  <c r="N2231"/>
  <c r="O2231" s="1"/>
  <c r="M2231"/>
  <c r="N2230"/>
  <c r="O2230" s="1"/>
  <c r="M2230"/>
  <c r="N2229"/>
  <c r="M2229"/>
  <c r="O2229" s="1"/>
  <c r="O2228"/>
  <c r="N2228"/>
  <c r="M2228"/>
  <c r="O2227"/>
  <c r="N2227"/>
  <c r="M2227"/>
  <c r="N2226"/>
  <c r="O2226" s="1"/>
  <c r="M2226"/>
  <c r="N2225"/>
  <c r="M2225"/>
  <c r="O2225" s="1"/>
  <c r="O2224"/>
  <c r="N2224"/>
  <c r="M2224"/>
  <c r="N2223"/>
  <c r="O2223" s="1"/>
  <c r="M2223"/>
  <c r="N2222"/>
  <c r="O2222" s="1"/>
  <c r="M2222"/>
  <c r="N2221"/>
  <c r="M2221"/>
  <c r="O2221" s="1"/>
  <c r="O2220"/>
  <c r="N2220"/>
  <c r="M2220"/>
  <c r="O2219"/>
  <c r="N2219"/>
  <c r="M2219"/>
  <c r="N2218"/>
  <c r="O2218" s="1"/>
  <c r="M2218"/>
  <c r="N2217"/>
  <c r="M2217"/>
  <c r="O2217" s="1"/>
  <c r="O2216"/>
  <c r="N2216"/>
  <c r="M2216"/>
  <c r="N2215"/>
  <c r="O2215" s="1"/>
  <c r="M2215"/>
  <c r="N2214"/>
  <c r="O2214" s="1"/>
  <c r="M2214"/>
  <c r="N2213"/>
  <c r="M2213"/>
  <c r="O2213" s="1"/>
  <c r="O2212"/>
  <c r="N2212"/>
  <c r="M2212"/>
  <c r="O2211"/>
  <c r="N2211"/>
  <c r="M2211"/>
  <c r="N2210"/>
  <c r="O2210" s="1"/>
  <c r="M2210"/>
  <c r="N2209"/>
  <c r="M2209"/>
  <c r="O2209" s="1"/>
  <c r="O2208"/>
  <c r="N2208"/>
  <c r="M2208"/>
  <c r="N2207"/>
  <c r="O2207" s="1"/>
  <c r="M2207"/>
  <c r="N2206"/>
  <c r="O2206" s="1"/>
  <c r="M2206"/>
  <c r="N2205"/>
  <c r="M2205"/>
  <c r="O2205" s="1"/>
  <c r="O2204"/>
  <c r="N2204"/>
  <c r="M2204"/>
  <c r="O2203"/>
  <c r="N2203"/>
  <c r="M2203"/>
  <c r="N2202"/>
  <c r="O2202" s="1"/>
  <c r="M2202"/>
  <c r="N2201"/>
  <c r="M2201"/>
  <c r="O2201" s="1"/>
  <c r="O2200"/>
  <c r="N2200"/>
  <c r="M2200"/>
  <c r="N2199"/>
  <c r="O2199" s="1"/>
  <c r="M2199"/>
  <c r="N2198"/>
  <c r="O2198" s="1"/>
  <c r="M2198"/>
  <c r="N2197"/>
  <c r="M2197"/>
  <c r="O2197" s="1"/>
  <c r="O2196"/>
  <c r="N2196"/>
  <c r="M2196"/>
  <c r="O2195"/>
  <c r="N2195"/>
  <c r="M2195"/>
  <c r="N2194"/>
  <c r="O2194" s="1"/>
  <c r="M2194"/>
  <c r="N2193"/>
  <c r="M2193"/>
  <c r="O2193" s="1"/>
  <c r="O2192"/>
  <c r="N2192"/>
  <c r="M2192"/>
  <c r="N2191"/>
  <c r="O2191" s="1"/>
  <c r="M2191"/>
  <c r="N2190"/>
  <c r="O2190" s="1"/>
  <c r="M2190"/>
  <c r="N2189"/>
  <c r="M2189"/>
  <c r="O2189" s="1"/>
  <c r="O2188"/>
  <c r="N2188"/>
  <c r="M2188"/>
  <c r="O2187"/>
  <c r="N2187"/>
  <c r="M2187"/>
  <c r="N2186"/>
  <c r="O2186" s="1"/>
  <c r="M2186"/>
  <c r="N2185"/>
  <c r="M2185"/>
  <c r="O2185" s="1"/>
  <c r="O2184"/>
  <c r="N2184"/>
  <c r="M2184"/>
  <c r="N2183"/>
  <c r="O2183" s="1"/>
  <c r="M2183"/>
  <c r="N2182"/>
  <c r="O2182" s="1"/>
  <c r="M2182"/>
  <c r="N2181"/>
  <c r="M2181"/>
  <c r="O2181" s="1"/>
  <c r="O2180"/>
  <c r="N2180"/>
  <c r="M2180"/>
  <c r="O2179"/>
  <c r="N2179"/>
  <c r="M2179"/>
  <c r="N2178"/>
  <c r="O2178" s="1"/>
  <c r="M2178"/>
  <c r="N2177"/>
  <c r="M2177"/>
  <c r="O2177" s="1"/>
  <c r="O2176"/>
  <c r="N2176"/>
  <c r="M2176"/>
  <c r="N2175"/>
  <c r="O2175" s="1"/>
  <c r="M2175"/>
  <c r="N2174"/>
  <c r="O2174" s="1"/>
  <c r="M2174"/>
  <c r="N2173"/>
  <c r="M2173"/>
  <c r="O2173" s="1"/>
  <c r="O2172"/>
  <c r="N2172"/>
  <c r="M2172"/>
  <c r="O2171"/>
  <c r="N2171"/>
  <c r="M2171"/>
  <c r="N2170"/>
  <c r="O2170" s="1"/>
  <c r="M2170"/>
  <c r="N2169"/>
  <c r="M2169"/>
  <c r="O2169" s="1"/>
  <c r="O2168"/>
  <c r="N2168"/>
  <c r="M2168"/>
  <c r="N2167"/>
  <c r="O2167" s="1"/>
  <c r="M2167"/>
  <c r="N2166"/>
  <c r="O2166" s="1"/>
  <c r="M2166"/>
  <c r="N2165"/>
  <c r="M2165"/>
  <c r="O2165" s="1"/>
  <c r="O2164"/>
  <c r="N2164"/>
  <c r="M2164"/>
  <c r="O2163"/>
  <c r="N2163"/>
  <c r="M2163"/>
  <c r="N2162"/>
  <c r="O2162" s="1"/>
  <c r="M2162"/>
  <c r="N2161"/>
  <c r="M2161"/>
  <c r="O2161" s="1"/>
  <c r="O2160"/>
  <c r="N2160"/>
  <c r="M2160"/>
  <c r="N2159"/>
  <c r="O2159" s="1"/>
  <c r="M2159"/>
  <c r="N2158"/>
  <c r="O2158" s="1"/>
  <c r="M2158"/>
  <c r="N2157"/>
  <c r="M2157"/>
  <c r="O2157" s="1"/>
  <c r="O2156"/>
  <c r="N2156"/>
  <c r="M2156"/>
  <c r="O2155"/>
  <c r="N2155"/>
  <c r="M2155"/>
  <c r="N2154"/>
  <c r="O2154" s="1"/>
  <c r="M2154"/>
  <c r="N2153"/>
  <c r="M2153"/>
  <c r="O2153" s="1"/>
  <c r="O2152"/>
  <c r="N2152"/>
  <c r="M2152"/>
  <c r="N2151"/>
  <c r="O2151" s="1"/>
  <c r="M2151"/>
  <c r="N2150"/>
  <c r="O2150" s="1"/>
  <c r="M2150"/>
  <c r="N2149"/>
  <c r="M2149"/>
  <c r="O2149" s="1"/>
  <c r="O2148"/>
  <c r="N2148"/>
  <c r="M2148"/>
  <c r="O2147"/>
  <c r="N2147"/>
  <c r="M2147"/>
  <c r="N2146"/>
  <c r="O2146" s="1"/>
  <c r="M2146"/>
  <c r="N2145"/>
  <c r="M2145"/>
  <c r="O2145" s="1"/>
  <c r="O2144"/>
  <c r="N2144"/>
  <c r="M2144"/>
  <c r="N2143"/>
  <c r="O2143" s="1"/>
  <c r="M2143"/>
  <c r="N2142"/>
  <c r="O2142" s="1"/>
  <c r="M2142"/>
  <c r="N2141"/>
  <c r="M2141"/>
  <c r="O2141" s="1"/>
  <c r="O2140"/>
  <c r="N2140"/>
  <c r="M2140"/>
  <c r="O2139"/>
  <c r="N2139"/>
  <c r="M2139"/>
  <c r="N2138"/>
  <c r="O2138" s="1"/>
  <c r="M2138"/>
  <c r="N2137"/>
  <c r="M2137"/>
  <c r="O2137" s="1"/>
  <c r="O2136"/>
  <c r="N2136"/>
  <c r="M2136"/>
  <c r="N2135"/>
  <c r="O2135" s="1"/>
  <c r="M2135"/>
  <c r="N2134"/>
  <c r="O2134" s="1"/>
  <c r="M2134"/>
  <c r="N2133"/>
  <c r="M2133"/>
  <c r="O2133" s="1"/>
  <c r="O2132"/>
  <c r="N2132"/>
  <c r="M2132"/>
  <c r="O2131"/>
  <c r="N2131"/>
  <c r="M2131"/>
  <c r="N2130"/>
  <c r="O2130" s="1"/>
  <c r="M2130"/>
  <c r="N2129"/>
  <c r="M2129"/>
  <c r="O2129" s="1"/>
  <c r="O2128"/>
  <c r="N2128"/>
  <c r="M2128"/>
  <c r="N2127"/>
  <c r="O2127" s="1"/>
  <c r="M2127"/>
  <c r="N2126"/>
  <c r="O2126" s="1"/>
  <c r="M2126"/>
  <c r="N2125"/>
  <c r="M2125"/>
  <c r="O2125" s="1"/>
  <c r="O2124"/>
  <c r="N2124"/>
  <c r="M2124"/>
  <c r="O2123"/>
  <c r="N2123"/>
  <c r="M2123"/>
  <c r="N2122"/>
  <c r="O2122" s="1"/>
  <c r="M2122"/>
  <c r="N2121"/>
  <c r="M2121"/>
  <c r="O2121" s="1"/>
  <c r="O2120"/>
  <c r="N2120"/>
  <c r="M2120"/>
  <c r="N2119"/>
  <c r="O2119" s="1"/>
  <c r="M2119"/>
  <c r="N2118"/>
  <c r="O2118" s="1"/>
  <c r="M2118"/>
  <c r="N2117"/>
  <c r="M2117"/>
  <c r="O2117" s="1"/>
  <c r="O2116"/>
  <c r="N2116"/>
  <c r="M2116"/>
  <c r="O2115"/>
  <c r="N2115"/>
  <c r="M2115"/>
  <c r="N2114"/>
  <c r="O2114" s="1"/>
  <c r="M2114"/>
  <c r="N2113"/>
  <c r="M2113"/>
  <c r="O2113" s="1"/>
  <c r="O2112"/>
  <c r="N2112"/>
  <c r="M2112"/>
  <c r="N2111"/>
  <c r="O2111" s="1"/>
  <c r="M2111"/>
  <c r="N2110"/>
  <c r="O2110" s="1"/>
  <c r="M2110"/>
  <c r="N2109"/>
  <c r="M2109"/>
  <c r="O2109" s="1"/>
  <c r="O2108"/>
  <c r="N2108"/>
  <c r="M2108"/>
  <c r="O2107"/>
  <c r="N2107"/>
  <c r="M2107"/>
  <c r="N2106"/>
  <c r="O2106" s="1"/>
  <c r="M2106"/>
  <c r="N2105"/>
  <c r="M2105"/>
  <c r="O2105" s="1"/>
  <c r="O2104"/>
  <c r="N2104"/>
  <c r="M2104"/>
  <c r="N2103"/>
  <c r="O2103" s="1"/>
  <c r="M2103"/>
  <c r="N2102"/>
  <c r="O2102" s="1"/>
  <c r="M2102"/>
  <c r="N2101"/>
  <c r="M2101"/>
  <c r="O2101" s="1"/>
  <c r="O2100"/>
  <c r="N2100"/>
  <c r="M2100"/>
  <c r="O2099"/>
  <c r="N2099"/>
  <c r="M2099"/>
  <c r="N2098"/>
  <c r="O2098" s="1"/>
  <c r="M2098"/>
  <c r="N2097"/>
  <c r="M2097"/>
  <c r="O2097" s="1"/>
  <c r="O2096"/>
  <c r="N2096"/>
  <c r="M2096"/>
  <c r="N2095"/>
  <c r="O2095" s="1"/>
  <c r="M2095"/>
  <c r="N2094"/>
  <c r="O2094" s="1"/>
  <c r="M2094"/>
  <c r="N2093"/>
  <c r="M2093"/>
  <c r="O2093" s="1"/>
  <c r="O2092"/>
  <c r="N2092"/>
  <c r="M2092"/>
  <c r="O2091"/>
  <c r="N2091"/>
  <c r="M2091"/>
  <c r="N2090"/>
  <c r="O2090" s="1"/>
  <c r="M2090"/>
  <c r="N2089"/>
  <c r="M2089"/>
  <c r="O2089" s="1"/>
  <c r="O2088"/>
  <c r="N2088"/>
  <c r="M2088"/>
  <c r="N2087"/>
  <c r="O2087" s="1"/>
  <c r="M2087"/>
  <c r="N2086"/>
  <c r="O2086" s="1"/>
  <c r="M2086"/>
  <c r="N2085"/>
  <c r="M2085"/>
  <c r="O2085" s="1"/>
  <c r="O2084"/>
  <c r="N2084"/>
  <c r="M2084"/>
  <c r="O2083"/>
  <c r="N2083"/>
  <c r="M2083"/>
  <c r="N2082"/>
  <c r="O2082" s="1"/>
  <c r="M2082"/>
  <c r="N2081"/>
  <c r="M2081"/>
  <c r="O2081" s="1"/>
  <c r="O2080"/>
  <c r="N2080"/>
  <c r="M2080"/>
  <c r="N2079"/>
  <c r="O2079" s="1"/>
  <c r="M2079"/>
  <c r="N2078"/>
  <c r="O2078" s="1"/>
  <c r="M2078"/>
  <c r="N2077"/>
  <c r="M2077"/>
  <c r="O2077" s="1"/>
  <c r="O2076"/>
  <c r="N2076"/>
  <c r="M2076"/>
  <c r="O2075"/>
  <c r="N2075"/>
  <c r="M2075"/>
  <c r="N2074"/>
  <c r="O2074" s="1"/>
  <c r="M2074"/>
  <c r="N2073"/>
  <c r="M2073"/>
  <c r="O2073" s="1"/>
  <c r="O2072"/>
  <c r="N2072"/>
  <c r="M2072"/>
  <c r="N2071"/>
  <c r="O2071" s="1"/>
  <c r="M2071"/>
  <c r="N2070"/>
  <c r="O2070" s="1"/>
  <c r="M2070"/>
  <c r="N2069"/>
  <c r="M2069"/>
  <c r="O2069" s="1"/>
  <c r="O2068"/>
  <c r="N2068"/>
  <c r="M2068"/>
  <c r="O2067"/>
  <c r="N2067"/>
  <c r="M2067"/>
  <c r="N2066"/>
  <c r="O2066" s="1"/>
  <c r="M2066"/>
  <c r="N2065"/>
  <c r="M2065"/>
  <c r="O2065" s="1"/>
  <c r="O2064"/>
  <c r="N2064"/>
  <c r="M2064"/>
  <c r="N2063"/>
  <c r="O2063" s="1"/>
  <c r="M2063"/>
  <c r="N2062"/>
  <c r="O2062" s="1"/>
  <c r="M2062"/>
  <c r="N2061"/>
  <c r="M2061"/>
  <c r="O2061" s="1"/>
  <c r="O2060"/>
  <c r="N2060"/>
  <c r="M2060"/>
  <c r="O2059"/>
  <c r="N2059"/>
  <c r="M2059"/>
  <c r="N2058"/>
  <c r="O2058" s="1"/>
  <c r="M2058"/>
  <c r="N2057"/>
  <c r="M2057"/>
  <c r="O2057" s="1"/>
  <c r="O2056"/>
  <c r="N2056"/>
  <c r="M2056"/>
  <c r="N2055"/>
  <c r="O2055" s="1"/>
  <c r="M2055"/>
  <c r="N2054"/>
  <c r="O2054" s="1"/>
  <c r="M2054"/>
  <c r="N2053"/>
  <c r="M2053"/>
  <c r="O2053" s="1"/>
  <c r="O2052"/>
  <c r="N2052"/>
  <c r="M2052"/>
  <c r="O2051"/>
  <c r="N2051"/>
  <c r="M2051"/>
  <c r="N2050"/>
  <c r="O2050" s="1"/>
  <c r="M2050"/>
  <c r="N2049"/>
  <c r="M2049"/>
  <c r="O2049" s="1"/>
  <c r="O2048"/>
  <c r="N2048"/>
  <c r="M2048"/>
  <c r="N2047"/>
  <c r="O2047" s="1"/>
  <c r="M2047"/>
  <c r="N2046"/>
  <c r="O2046" s="1"/>
  <c r="M2046"/>
  <c r="N2045"/>
  <c r="M2045"/>
  <c r="O2045" s="1"/>
  <c r="O2044"/>
  <c r="N2044"/>
  <c r="M2044"/>
  <c r="O2043"/>
  <c r="N2043"/>
  <c r="M2043"/>
  <c r="N2042"/>
  <c r="O2042" s="1"/>
  <c r="M2042"/>
  <c r="N2041"/>
  <c r="M2041"/>
  <c r="O2041" s="1"/>
  <c r="O2040"/>
  <c r="N2040"/>
  <c r="M2040"/>
  <c r="N2039"/>
  <c r="O2039" s="1"/>
  <c r="M2039"/>
  <c r="N2038"/>
  <c r="O2038" s="1"/>
  <c r="M2038"/>
  <c r="N2037"/>
  <c r="M2037"/>
  <c r="O2037" s="1"/>
  <c r="O2036"/>
  <c r="N2036"/>
  <c r="M2036"/>
  <c r="O2035"/>
  <c r="N2035"/>
  <c r="M2035"/>
  <c r="N2034"/>
  <c r="O2034" s="1"/>
  <c r="M2034"/>
  <c r="N2033"/>
  <c r="M2033"/>
  <c r="O2033" s="1"/>
  <c r="O2032"/>
  <c r="N2032"/>
  <c r="M2032"/>
  <c r="N2031"/>
  <c r="O2031" s="1"/>
  <c r="M2031"/>
  <c r="N2030"/>
  <c r="O2030" s="1"/>
  <c r="M2030"/>
  <c r="N2029"/>
  <c r="M2029"/>
  <c r="O2029" s="1"/>
  <c r="O2028"/>
  <c r="N2028"/>
  <c r="M2028"/>
  <c r="O2027"/>
  <c r="N2027"/>
  <c r="M2027"/>
  <c r="N2026"/>
  <c r="O2026" s="1"/>
  <c r="M2026"/>
  <c r="N2025"/>
  <c r="M2025"/>
  <c r="O2025" s="1"/>
  <c r="O2024"/>
  <c r="N2024"/>
  <c r="M2024"/>
  <c r="N2023"/>
  <c r="O2023" s="1"/>
  <c r="M2023"/>
  <c r="N2022"/>
  <c r="O2022" s="1"/>
  <c r="M2022"/>
  <c r="N2021"/>
  <c r="M2021"/>
  <c r="O2021" s="1"/>
  <c r="O2020"/>
  <c r="N2020"/>
  <c r="M2020"/>
  <c r="O2019"/>
  <c r="N2019"/>
  <c r="M2019"/>
  <c r="N2018"/>
  <c r="O2018" s="1"/>
  <c r="M2018"/>
  <c r="N2017"/>
  <c r="M2017"/>
  <c r="O2017" s="1"/>
  <c r="O2016"/>
  <c r="N2016"/>
  <c r="M2016"/>
  <c r="N2015"/>
  <c r="O2015" s="1"/>
  <c r="M2015"/>
  <c r="N2014"/>
  <c r="O2014" s="1"/>
  <c r="M2014"/>
  <c r="N2013"/>
  <c r="M2013"/>
  <c r="O2013" s="1"/>
  <c r="O2012"/>
  <c r="N2012"/>
  <c r="M2012"/>
  <c r="O2011"/>
  <c r="N2011"/>
  <c r="M2011"/>
  <c r="N2010"/>
  <c r="O2010" s="1"/>
  <c r="M2010"/>
  <c r="N2009"/>
  <c r="M2009"/>
  <c r="O2009" s="1"/>
  <c r="O2008"/>
  <c r="N2008"/>
  <c r="M2008"/>
  <c r="N2007"/>
  <c r="O2007" s="1"/>
  <c r="M2007"/>
  <c r="N2006"/>
  <c r="O2006" s="1"/>
  <c r="M2006"/>
  <c r="N2005"/>
  <c r="M2005"/>
  <c r="O2005" s="1"/>
  <c r="O2004"/>
  <c r="N2004"/>
  <c r="M2004"/>
  <c r="O2003"/>
  <c r="N2003"/>
  <c r="M2003"/>
  <c r="N2002"/>
  <c r="O2002" s="1"/>
  <c r="M2002"/>
  <c r="N2001"/>
  <c r="M2001"/>
  <c r="O2001" s="1"/>
  <c r="O2000"/>
  <c r="N2000"/>
  <c r="M2000"/>
  <c r="N1999"/>
  <c r="O1999" s="1"/>
  <c r="M1999"/>
  <c r="N1998"/>
  <c r="O1998" s="1"/>
  <c r="M1998"/>
  <c r="N1997"/>
  <c r="M1997"/>
  <c r="O1997" s="1"/>
  <c r="O1996"/>
  <c r="N1996"/>
  <c r="M1996"/>
  <c r="O1995"/>
  <c r="N1995"/>
  <c r="M1995"/>
  <c r="N1994"/>
  <c r="O1994" s="1"/>
  <c r="M1994"/>
  <c r="N1993"/>
  <c r="M1993"/>
  <c r="O1993" s="1"/>
  <c r="O1992"/>
  <c r="N1992"/>
  <c r="M1992"/>
  <c r="N1991"/>
  <c r="O1991" s="1"/>
  <c r="M1991"/>
  <c r="N1990"/>
  <c r="O1990" s="1"/>
  <c r="M1990"/>
  <c r="N1989"/>
  <c r="M1989"/>
  <c r="O1989" s="1"/>
  <c r="O1988"/>
  <c r="N1988"/>
  <c r="M1988"/>
  <c r="O1987"/>
  <c r="N1987"/>
  <c r="M1987"/>
  <c r="N1986"/>
  <c r="O1986" s="1"/>
  <c r="M1986"/>
  <c r="N1985"/>
  <c r="M1985"/>
  <c r="O1985" s="1"/>
  <c r="O1984"/>
  <c r="N1984"/>
  <c r="M1984"/>
  <c r="N1983"/>
  <c r="O1983" s="1"/>
  <c r="M1983"/>
  <c r="N1982"/>
  <c r="O1982" s="1"/>
  <c r="M1982"/>
  <c r="N1981"/>
  <c r="M1981"/>
  <c r="O1981" s="1"/>
  <c r="O1980"/>
  <c r="N1980"/>
  <c r="M1980"/>
  <c r="O1979"/>
  <c r="N1979"/>
  <c r="M1979"/>
  <c r="N1978"/>
  <c r="O1978" s="1"/>
  <c r="M1978"/>
  <c r="N1977"/>
  <c r="M1977"/>
  <c r="O1977" s="1"/>
  <c r="O1976"/>
  <c r="N1976"/>
  <c r="M1976"/>
  <c r="N1975"/>
  <c r="O1975" s="1"/>
  <c r="M1975"/>
  <c r="N1974"/>
  <c r="O1974" s="1"/>
  <c r="M1974"/>
  <c r="N1973"/>
  <c r="M1973"/>
  <c r="O1973" s="1"/>
  <c r="O1972"/>
  <c r="N1972"/>
  <c r="M1972"/>
  <c r="O1971"/>
  <c r="N1971"/>
  <c r="M1971"/>
  <c r="N1970"/>
  <c r="O1970" s="1"/>
  <c r="M1970"/>
  <c r="N1969"/>
  <c r="M1969"/>
  <c r="O1969" s="1"/>
  <c r="O1968"/>
  <c r="N1968"/>
  <c r="M1968"/>
  <c r="N1967"/>
  <c r="O1967" s="1"/>
  <c r="M1967"/>
  <c r="N1966"/>
  <c r="O1966" s="1"/>
  <c r="M1966"/>
  <c r="N1965"/>
  <c r="M1965"/>
  <c r="O1965" s="1"/>
  <c r="O1964"/>
  <c r="N1964"/>
  <c r="M1964"/>
  <c r="O1963"/>
  <c r="N1963"/>
  <c r="M1963"/>
  <c r="N1962"/>
  <c r="O1962" s="1"/>
  <c r="M1962"/>
  <c r="N1961"/>
  <c r="M1961"/>
  <c r="O1961" s="1"/>
  <c r="O1960"/>
  <c r="N1960"/>
  <c r="M1960"/>
  <c r="N1959"/>
  <c r="O1959" s="1"/>
  <c r="M1959"/>
  <c r="N1958"/>
  <c r="O1958" s="1"/>
  <c r="M1958"/>
  <c r="N1957"/>
  <c r="M1957"/>
  <c r="O1957" s="1"/>
  <c r="O1956"/>
  <c r="N1956"/>
  <c r="M1956"/>
  <c r="O1955"/>
  <c r="N1955"/>
  <c r="M1955"/>
  <c r="N1954"/>
  <c r="O1954" s="1"/>
  <c r="M1954"/>
  <c r="N1953"/>
  <c r="M1953"/>
  <c r="O1953" s="1"/>
  <c r="O1952"/>
  <c r="N1952"/>
  <c r="M1952"/>
  <c r="N1951"/>
  <c r="O1951" s="1"/>
  <c r="M1951"/>
  <c r="N1950"/>
  <c r="O1950" s="1"/>
  <c r="M1950"/>
  <c r="N1949"/>
  <c r="M1949"/>
  <c r="O1949" s="1"/>
  <c r="O1948"/>
  <c r="N1948"/>
  <c r="M1948"/>
  <c r="O1947"/>
  <c r="N1947"/>
  <c r="M1947"/>
  <c r="N1946"/>
  <c r="O1946" s="1"/>
  <c r="M1946"/>
  <c r="N1945"/>
  <c r="M1945"/>
  <c r="O1945" s="1"/>
  <c r="O1944"/>
  <c r="N1944"/>
  <c r="M1944"/>
  <c r="N1943"/>
  <c r="O1943" s="1"/>
  <c r="M1943"/>
  <c r="N1942"/>
  <c r="O1942" s="1"/>
  <c r="M1942"/>
  <c r="N1941"/>
  <c r="M1941"/>
  <c r="O1941" s="1"/>
  <c r="O1940"/>
  <c r="N1940"/>
  <c r="M1940"/>
  <c r="O1939"/>
  <c r="N1939"/>
  <c r="M1939"/>
  <c r="N1938"/>
  <c r="O1938" s="1"/>
  <c r="M1938"/>
  <c r="N1937"/>
  <c r="M1937"/>
  <c r="O1937" s="1"/>
  <c r="O1936"/>
  <c r="N1936"/>
  <c r="M1936"/>
  <c r="N1935"/>
  <c r="O1935" s="1"/>
  <c r="M1935"/>
  <c r="N1934"/>
  <c r="O1934" s="1"/>
  <c r="M1934"/>
  <c r="N1933"/>
  <c r="M1933"/>
  <c r="O1933" s="1"/>
  <c r="O1932"/>
  <c r="N1932"/>
  <c r="M1932"/>
  <c r="O1931"/>
  <c r="N1931"/>
  <c r="M1931"/>
  <c r="N1930"/>
  <c r="O1930" s="1"/>
  <c r="M1930"/>
  <c r="N1929"/>
  <c r="M1929"/>
  <c r="O1929" s="1"/>
  <c r="O1928"/>
  <c r="N1928"/>
  <c r="M1928"/>
  <c r="N1927"/>
  <c r="O1927" s="1"/>
  <c r="M1927"/>
  <c r="N1926"/>
  <c r="O1926" s="1"/>
  <c r="M1926"/>
  <c r="N1925"/>
  <c r="M1925"/>
  <c r="O1925" s="1"/>
  <c r="O1924"/>
  <c r="N1924"/>
  <c r="M1924"/>
  <c r="O1923"/>
  <c r="N1923"/>
  <c r="M1923"/>
  <c r="N1922"/>
  <c r="O1922" s="1"/>
  <c r="M1922"/>
  <c r="N1921"/>
  <c r="M1921"/>
  <c r="O1921" s="1"/>
  <c r="O1920"/>
  <c r="N1920"/>
  <c r="M1920"/>
  <c r="N1919"/>
  <c r="O1919" s="1"/>
  <c r="M1919"/>
  <c r="N1918"/>
  <c r="O1918" s="1"/>
  <c r="M1918"/>
  <c r="N1917"/>
  <c r="M1917"/>
  <c r="O1917" s="1"/>
  <c r="O1916"/>
  <c r="N1916"/>
  <c r="M1916"/>
  <c r="O1915"/>
  <c r="N1915"/>
  <c r="M1915"/>
  <c r="N1914"/>
  <c r="O1914" s="1"/>
  <c r="M1914"/>
  <c r="N1913"/>
  <c r="M1913"/>
  <c r="O1913" s="1"/>
  <c r="O1912"/>
  <c r="N1912"/>
  <c r="M1912"/>
  <c r="N1911"/>
  <c r="O1911" s="1"/>
  <c r="M1911"/>
  <c r="N1910"/>
  <c r="O1910" s="1"/>
  <c r="M1910"/>
  <c r="N1909"/>
  <c r="M1909"/>
  <c r="O1909" s="1"/>
  <c r="O1908"/>
  <c r="N1908"/>
  <c r="M1908"/>
  <c r="O1907"/>
  <c r="N1907"/>
  <c r="M1907"/>
  <c r="N1906"/>
  <c r="O1906" s="1"/>
  <c r="M1906"/>
  <c r="N1905"/>
  <c r="M1905"/>
  <c r="O1905" s="1"/>
  <c r="O1904"/>
  <c r="N1904"/>
  <c r="M1904"/>
  <c r="N1903"/>
  <c r="O1903" s="1"/>
  <c r="M1903"/>
  <c r="N1902"/>
  <c r="O1902" s="1"/>
  <c r="M1902"/>
  <c r="N1901"/>
  <c r="M1901"/>
  <c r="O1901" s="1"/>
  <c r="O1900"/>
  <c r="N1900"/>
  <c r="M1900"/>
  <c r="O1899"/>
  <c r="N1899"/>
  <c r="M1899"/>
  <c r="N1898"/>
  <c r="O1898" s="1"/>
  <c r="M1898"/>
  <c r="N1897"/>
  <c r="M1897"/>
  <c r="O1897" s="1"/>
  <c r="O1896"/>
  <c r="N1896"/>
  <c r="M1896"/>
  <c r="N1895"/>
  <c r="O1895" s="1"/>
  <c r="M1895"/>
  <c r="N1894"/>
  <c r="O1894" s="1"/>
  <c r="M1894"/>
  <c r="N1893"/>
  <c r="M1893"/>
  <c r="O1893" s="1"/>
  <c r="O1892"/>
  <c r="N1892"/>
  <c r="M1892"/>
  <c r="O1891"/>
  <c r="N1891"/>
  <c r="M1891"/>
  <c r="N1890"/>
  <c r="O1890" s="1"/>
  <c r="M1890"/>
  <c r="N1889"/>
  <c r="M1889"/>
  <c r="O1889" s="1"/>
  <c r="O1888"/>
  <c r="N1888"/>
  <c r="M1888"/>
  <c r="N1887"/>
  <c r="O1887" s="1"/>
  <c r="M1887"/>
  <c r="N1886"/>
  <c r="M1886"/>
  <c r="N1885"/>
  <c r="M1885"/>
  <c r="O1885" s="1"/>
  <c r="O1884"/>
  <c r="N1884"/>
  <c r="M1884"/>
  <c r="O1883"/>
  <c r="N1883"/>
  <c r="M1883"/>
  <c r="N1882"/>
  <c r="O1882" s="1"/>
  <c r="M1882"/>
  <c r="N1881"/>
  <c r="M1881"/>
  <c r="O1881" s="1"/>
  <c r="O1880"/>
  <c r="N1880"/>
  <c r="M1880"/>
  <c r="N1879"/>
  <c r="O1879" s="1"/>
  <c r="M1879"/>
  <c r="N1878"/>
  <c r="M1878"/>
  <c r="N1877"/>
  <c r="M1877"/>
  <c r="O1877" s="1"/>
  <c r="O1876"/>
  <c r="N1876"/>
  <c r="M1876"/>
  <c r="O1875"/>
  <c r="N1875"/>
  <c r="M1875"/>
  <c r="N1874"/>
  <c r="O1874" s="1"/>
  <c r="M1874"/>
  <c r="N1873"/>
  <c r="M1873"/>
  <c r="O1873" s="1"/>
  <c r="O1872"/>
  <c r="N1872"/>
  <c r="M1872"/>
  <c r="N1871"/>
  <c r="O1871" s="1"/>
  <c r="M1871"/>
  <c r="N1870"/>
  <c r="M1870"/>
  <c r="N1869"/>
  <c r="M1869"/>
  <c r="O1869" s="1"/>
  <c r="O1868"/>
  <c r="N1868"/>
  <c r="M1868"/>
  <c r="O1867"/>
  <c r="N1867"/>
  <c r="M1867"/>
  <c r="N1866"/>
  <c r="O1866" s="1"/>
  <c r="M1866"/>
  <c r="N1865"/>
  <c r="M1865"/>
  <c r="O1865" s="1"/>
  <c r="O1864"/>
  <c r="N1864"/>
  <c r="M1864"/>
  <c r="N1863"/>
  <c r="O1863" s="1"/>
  <c r="M1863"/>
  <c r="N1862"/>
  <c r="M1862"/>
  <c r="N1861"/>
  <c r="M1861"/>
  <c r="O1861" s="1"/>
  <c r="O1860"/>
  <c r="N1860"/>
  <c r="M1860"/>
  <c r="O1859"/>
  <c r="N1859"/>
  <c r="M1859"/>
  <c r="N1858"/>
  <c r="O1858" s="1"/>
  <c r="M1858"/>
  <c r="N1857"/>
  <c r="M1857"/>
  <c r="O1857" s="1"/>
  <c r="O1856"/>
  <c r="N1856"/>
  <c r="M1856"/>
  <c r="N1855"/>
  <c r="O1855" s="1"/>
  <c r="M1855"/>
  <c r="N1854"/>
  <c r="M1854"/>
  <c r="N1853"/>
  <c r="M1853"/>
  <c r="O1853" s="1"/>
  <c r="O1852"/>
  <c r="N1852"/>
  <c r="M1852"/>
  <c r="O1851"/>
  <c r="N1851"/>
  <c r="M1851"/>
  <c r="N1850"/>
  <c r="O1850" s="1"/>
  <c r="M1850"/>
  <c r="N1849"/>
  <c r="M1849"/>
  <c r="O1849" s="1"/>
  <c r="O1848"/>
  <c r="N1848"/>
  <c r="M1848"/>
  <c r="N1847"/>
  <c r="O1847" s="1"/>
  <c r="M1847"/>
  <c r="N1846"/>
  <c r="M1846"/>
  <c r="N1845"/>
  <c r="M1845"/>
  <c r="O1845" s="1"/>
  <c r="O1844"/>
  <c r="N1844"/>
  <c r="M1844"/>
  <c r="O1843"/>
  <c r="N1843"/>
  <c r="M1843"/>
  <c r="N1842"/>
  <c r="O1842" s="1"/>
  <c r="M1842"/>
  <c r="N1841"/>
  <c r="M1841"/>
  <c r="O1841" s="1"/>
  <c r="O1840"/>
  <c r="N1840"/>
  <c r="M1840"/>
  <c r="N1839"/>
  <c r="O1839" s="1"/>
  <c r="M1839"/>
  <c r="N1838"/>
  <c r="M1838"/>
  <c r="N1837"/>
  <c r="M1837"/>
  <c r="O1837" s="1"/>
  <c r="O1836"/>
  <c r="N1836"/>
  <c r="M1836"/>
  <c r="O1835"/>
  <c r="N1835"/>
  <c r="M1835"/>
  <c r="N1834"/>
  <c r="O1834" s="1"/>
  <c r="M1834"/>
  <c r="N1833"/>
  <c r="M1833"/>
  <c r="O1833" s="1"/>
  <c r="O1832"/>
  <c r="N1832"/>
  <c r="M1832"/>
  <c r="N1831"/>
  <c r="O1831" s="1"/>
  <c r="M1831"/>
  <c r="N1830"/>
  <c r="M1830"/>
  <c r="N1829"/>
  <c r="M1829"/>
  <c r="O1829" s="1"/>
  <c r="O1828"/>
  <c r="N1828"/>
  <c r="M1828"/>
  <c r="O1827"/>
  <c r="N1827"/>
  <c r="M1827"/>
  <c r="N1826"/>
  <c r="O1826" s="1"/>
  <c r="M1826"/>
  <c r="N1825"/>
  <c r="M1825"/>
  <c r="O1825" s="1"/>
  <c r="O1824"/>
  <c r="N1824"/>
  <c r="M1824"/>
  <c r="N1823"/>
  <c r="O1823" s="1"/>
  <c r="M1823"/>
  <c r="N1822"/>
  <c r="M1822"/>
  <c r="N1821"/>
  <c r="M1821"/>
  <c r="O1821" s="1"/>
  <c r="O1820"/>
  <c r="N1820"/>
  <c r="M1820"/>
  <c r="O1819"/>
  <c r="N1819"/>
  <c r="M1819"/>
  <c r="N1818"/>
  <c r="O1818" s="1"/>
  <c r="M1818"/>
  <c r="N1817"/>
  <c r="M1817"/>
  <c r="O1817" s="1"/>
  <c r="O1816"/>
  <c r="N1816"/>
  <c r="M1816"/>
  <c r="N1815"/>
  <c r="O1815" s="1"/>
  <c r="M1815"/>
  <c r="N1814"/>
  <c r="M1814"/>
  <c r="N1813"/>
  <c r="M1813"/>
  <c r="O1813" s="1"/>
  <c r="O1812"/>
  <c r="N1812"/>
  <c r="M1812"/>
  <c r="O1811"/>
  <c r="N1811"/>
  <c r="M1811"/>
  <c r="N1810"/>
  <c r="O1810" s="1"/>
  <c r="M1810"/>
  <c r="N1809"/>
  <c r="M1809"/>
  <c r="O1808"/>
  <c r="N1808"/>
  <c r="M1808"/>
  <c r="N1807"/>
  <c r="O1807" s="1"/>
  <c r="M1807"/>
  <c r="N1806"/>
  <c r="M1806"/>
  <c r="N1805"/>
  <c r="O1805" s="1"/>
  <c r="M1805"/>
  <c r="O1804"/>
  <c r="N1804"/>
  <c r="M1804"/>
  <c r="O1803"/>
  <c r="N1803"/>
  <c r="M1803"/>
  <c r="N1802"/>
  <c r="O1802" s="1"/>
  <c r="M1802"/>
  <c r="N1801"/>
  <c r="M1801"/>
  <c r="O1800"/>
  <c r="N1800"/>
  <c r="M1800"/>
  <c r="N1799"/>
  <c r="O1799" s="1"/>
  <c r="M1799"/>
  <c r="N1798"/>
  <c r="M1798"/>
  <c r="N1797"/>
  <c r="O1797" s="1"/>
  <c r="M1797"/>
  <c r="O1796"/>
  <c r="N1796"/>
  <c r="M1796"/>
  <c r="O1795"/>
  <c r="N1795"/>
  <c r="M1795"/>
  <c r="N1794"/>
  <c r="O1794" s="1"/>
  <c r="M1794"/>
  <c r="N1793"/>
  <c r="M1793"/>
  <c r="O1792"/>
  <c r="N1792"/>
  <c r="M1792"/>
  <c r="N1791"/>
  <c r="O1791" s="1"/>
  <c r="M1791"/>
  <c r="N1790"/>
  <c r="M1790"/>
  <c r="N1789"/>
  <c r="O1789" s="1"/>
  <c r="M1789"/>
  <c r="O1788"/>
  <c r="N1788"/>
  <c r="M1788"/>
  <c r="O1787"/>
  <c r="N1787"/>
  <c r="M1787"/>
  <c r="N1786"/>
  <c r="O1786" s="1"/>
  <c r="M1786"/>
  <c r="N1785"/>
  <c r="M1785"/>
  <c r="O1784"/>
  <c r="N1784"/>
  <c r="M1784"/>
  <c r="N1783"/>
  <c r="O1783" s="1"/>
  <c r="M1783"/>
  <c r="N1782"/>
  <c r="M1782"/>
  <c r="N1781"/>
  <c r="O1781" s="1"/>
  <c r="M1781"/>
  <c r="O1780"/>
  <c r="N1780"/>
  <c r="M1780"/>
  <c r="O1779"/>
  <c r="N1779"/>
  <c r="M1779"/>
  <c r="N1778"/>
  <c r="O1778" s="1"/>
  <c r="M1778"/>
  <c r="N1777"/>
  <c r="M1777"/>
  <c r="O1776"/>
  <c r="N1776"/>
  <c r="M1776"/>
  <c r="N1775"/>
  <c r="O1775" s="1"/>
  <c r="M1775"/>
  <c r="N1774"/>
  <c r="M1774"/>
  <c r="N1773"/>
  <c r="O1773" s="1"/>
  <c r="M1773"/>
  <c r="O1772"/>
  <c r="N1772"/>
  <c r="M1772"/>
  <c r="O1771"/>
  <c r="N1771"/>
  <c r="M1771"/>
  <c r="N1770"/>
  <c r="O1770" s="1"/>
  <c r="M1770"/>
  <c r="N1769"/>
  <c r="M1769"/>
  <c r="O1768"/>
  <c r="N1768"/>
  <c r="M1768"/>
  <c r="N1767"/>
  <c r="O1767" s="1"/>
  <c r="M1767"/>
  <c r="N1766"/>
  <c r="M1766"/>
  <c r="N1765"/>
  <c r="O1765" s="1"/>
  <c r="M1765"/>
  <c r="O1764"/>
  <c r="N1764"/>
  <c r="M1764"/>
  <c r="O1763"/>
  <c r="N1763"/>
  <c r="M1763"/>
  <c r="N1762"/>
  <c r="O1762" s="1"/>
  <c r="M1762"/>
  <c r="N1761"/>
  <c r="M1761"/>
  <c r="O1760"/>
  <c r="N1760"/>
  <c r="M1760"/>
  <c r="N1759"/>
  <c r="O1759" s="1"/>
  <c r="M1759"/>
  <c r="N1758"/>
  <c r="M1758"/>
  <c r="N1757"/>
  <c r="O1757" s="1"/>
  <c r="M1757"/>
  <c r="O1756"/>
  <c r="N1756"/>
  <c r="M1756"/>
  <c r="O1755"/>
  <c r="N1755"/>
  <c r="M1755"/>
  <c r="N1754"/>
  <c r="O1754" s="1"/>
  <c r="M1754"/>
  <c r="N1753"/>
  <c r="M1753"/>
  <c r="O1752"/>
  <c r="N1752"/>
  <c r="M1752"/>
  <c r="N1751"/>
  <c r="O1751" s="1"/>
  <c r="M1751"/>
  <c r="N1750"/>
  <c r="M1750"/>
  <c r="N1749"/>
  <c r="O1749" s="1"/>
  <c r="M1749"/>
  <c r="O1748"/>
  <c r="N1748"/>
  <c r="M1748"/>
  <c r="O1747"/>
  <c r="N1747"/>
  <c r="M1747"/>
  <c r="N1746"/>
  <c r="O1746" s="1"/>
  <c r="M1746"/>
  <c r="N1745"/>
  <c r="M1745"/>
  <c r="O1744"/>
  <c r="N1744"/>
  <c r="M1744"/>
  <c r="N1743"/>
  <c r="O1743" s="1"/>
  <c r="M1743"/>
  <c r="N1742"/>
  <c r="M1742"/>
  <c r="N1741"/>
  <c r="O1741" s="1"/>
  <c r="M1741"/>
  <c r="O1740"/>
  <c r="N1740"/>
  <c r="M1740"/>
  <c r="O1739"/>
  <c r="N1739"/>
  <c r="M1739"/>
  <c r="N1738"/>
  <c r="O1738" s="1"/>
  <c r="M1738"/>
  <c r="N1737"/>
  <c r="M1737"/>
  <c r="O1736"/>
  <c r="N1736"/>
  <c r="M1736"/>
  <c r="N1735"/>
  <c r="O1735" s="1"/>
  <c r="M1735"/>
  <c r="N1734"/>
  <c r="M1734"/>
  <c r="N1733"/>
  <c r="O1733" s="1"/>
  <c r="M1733"/>
  <c r="O1732"/>
  <c r="N1732"/>
  <c r="M1732"/>
  <c r="O1731"/>
  <c r="N1731"/>
  <c r="M1731"/>
  <c r="N1730"/>
  <c r="O1730" s="1"/>
  <c r="M1730"/>
  <c r="N1729"/>
  <c r="M1729"/>
  <c r="O1729" s="1"/>
  <c r="O1728"/>
  <c r="N1728"/>
  <c r="M1728"/>
  <c r="N1727"/>
  <c r="O1727" s="1"/>
  <c r="M1727"/>
  <c r="N1726"/>
  <c r="M1726"/>
  <c r="N1725"/>
  <c r="O1725" s="1"/>
  <c r="M1725"/>
  <c r="O1724"/>
  <c r="N1724"/>
  <c r="M1724"/>
  <c r="O1723"/>
  <c r="N1723"/>
  <c r="M1723"/>
  <c r="N1722"/>
  <c r="O1722" s="1"/>
  <c r="M1722"/>
  <c r="N1721"/>
  <c r="M1721"/>
  <c r="O1720"/>
  <c r="N1720"/>
  <c r="M1720"/>
  <c r="N1719"/>
  <c r="O1719" s="1"/>
  <c r="M1719"/>
  <c r="N1718"/>
  <c r="M1718"/>
  <c r="N1717"/>
  <c r="O1717" s="1"/>
  <c r="M1717"/>
  <c r="O1716"/>
  <c r="N1716"/>
  <c r="M1716"/>
  <c r="O1715"/>
  <c r="N1715"/>
  <c r="M1715"/>
  <c r="N1714"/>
  <c r="O1714" s="1"/>
  <c r="M1714"/>
  <c r="N1713"/>
  <c r="M1713"/>
  <c r="O1713" s="1"/>
  <c r="O1712"/>
  <c r="N1712"/>
  <c r="M1712"/>
  <c r="N1711"/>
  <c r="O1711" s="1"/>
  <c r="M1711"/>
  <c r="N1710"/>
  <c r="M1710"/>
  <c r="N1709"/>
  <c r="O1709" s="1"/>
  <c r="M1709"/>
  <c r="O1708"/>
  <c r="N1708"/>
  <c r="M1708"/>
  <c r="O1707"/>
  <c r="N1707"/>
  <c r="M1707"/>
  <c r="N1706"/>
  <c r="O1706" s="1"/>
  <c r="M1706"/>
  <c r="N1705"/>
  <c r="M1705"/>
  <c r="O1705" s="1"/>
  <c r="O1704"/>
  <c r="N1704"/>
  <c r="M1704"/>
  <c r="N1703"/>
  <c r="O1703" s="1"/>
  <c r="M1703"/>
  <c r="N1702"/>
  <c r="M1702"/>
  <c r="N1701"/>
  <c r="O1701" s="1"/>
  <c r="M1701"/>
  <c r="O1700"/>
  <c r="N1700"/>
  <c r="M1700"/>
  <c r="O1699"/>
  <c r="N1699"/>
  <c r="M1699"/>
  <c r="N1698"/>
  <c r="O1698" s="1"/>
  <c r="M1698"/>
  <c r="N1697"/>
  <c r="M1697"/>
  <c r="O1697" s="1"/>
  <c r="O1696"/>
  <c r="N1696"/>
  <c r="M1696"/>
  <c r="N1695"/>
  <c r="O1695" s="1"/>
  <c r="M1695"/>
  <c r="N1694"/>
  <c r="M1694"/>
  <c r="N1693"/>
  <c r="M1693"/>
  <c r="O1693" s="1"/>
  <c r="O1692"/>
  <c r="N1692"/>
  <c r="M1692"/>
  <c r="O1691"/>
  <c r="N1691"/>
  <c r="M1691"/>
  <c r="N1690"/>
  <c r="O1690" s="1"/>
  <c r="M1690"/>
  <c r="N1689"/>
  <c r="M1689"/>
  <c r="O1689" s="1"/>
  <c r="O1688"/>
  <c r="N1688"/>
  <c r="M1688"/>
  <c r="N1687"/>
  <c r="O1687" s="1"/>
  <c r="M1687"/>
  <c r="N1686"/>
  <c r="M1686"/>
  <c r="N1685"/>
  <c r="O1685" s="1"/>
  <c r="M1685"/>
  <c r="O1684"/>
  <c r="N1684"/>
  <c r="M1684"/>
  <c r="O1683"/>
  <c r="N1683"/>
  <c r="M1683"/>
  <c r="N1682"/>
  <c r="O1682" s="1"/>
  <c r="M1682"/>
  <c r="N1681"/>
  <c r="O1681" s="1"/>
  <c r="M1681"/>
  <c r="O1680"/>
  <c r="N1680"/>
  <c r="M1680"/>
  <c r="N1679"/>
  <c r="O1679" s="1"/>
  <c r="M1679"/>
  <c r="N1678"/>
  <c r="M1678"/>
  <c r="N1677"/>
  <c r="O1677" s="1"/>
  <c r="M1677"/>
  <c r="O1676"/>
  <c r="N1676"/>
  <c r="M1676"/>
  <c r="O1675"/>
  <c r="N1675"/>
  <c r="M1675"/>
  <c r="N1674"/>
  <c r="O1674" s="1"/>
  <c r="M1674"/>
  <c r="N1673"/>
  <c r="M1673"/>
  <c r="O1672"/>
  <c r="N1672"/>
  <c r="M1672"/>
  <c r="N1671"/>
  <c r="O1671" s="1"/>
  <c r="M1671"/>
  <c r="N1670"/>
  <c r="M1670"/>
  <c r="N1669"/>
  <c r="O1669" s="1"/>
  <c r="M1669"/>
  <c r="O1668"/>
  <c r="N1668"/>
  <c r="M1668"/>
  <c r="O1667"/>
  <c r="N1667"/>
  <c r="M1667"/>
  <c r="N1666"/>
  <c r="O1666" s="1"/>
  <c r="M1666"/>
  <c r="N1665"/>
  <c r="O1665" s="1"/>
  <c r="M1665"/>
  <c r="O1664"/>
  <c r="N1664"/>
  <c r="M1664"/>
  <c r="N1663"/>
  <c r="O1663" s="1"/>
  <c r="M1663"/>
  <c r="N1662"/>
  <c r="M1662"/>
  <c r="N1661"/>
  <c r="O1661" s="1"/>
  <c r="M1661"/>
  <c r="O1660"/>
  <c r="N1660"/>
  <c r="M1660"/>
  <c r="O1659"/>
  <c r="N1659"/>
  <c r="M1659"/>
  <c r="N1658"/>
  <c r="O1658" s="1"/>
  <c r="M1658"/>
  <c r="N1657"/>
  <c r="O1657" s="1"/>
  <c r="M1657"/>
  <c r="O1656"/>
  <c r="N1656"/>
  <c r="M1656"/>
  <c r="N1655"/>
  <c r="O1655" s="1"/>
  <c r="M1655"/>
  <c r="N1654"/>
  <c r="M1654"/>
  <c r="N1653"/>
  <c r="O1653" s="1"/>
  <c r="M1653"/>
  <c r="O1652"/>
  <c r="N1652"/>
  <c r="M1652"/>
  <c r="O1651"/>
  <c r="N1651"/>
  <c r="M1651"/>
  <c r="N1650"/>
  <c r="O1650" s="1"/>
  <c r="M1650"/>
  <c r="N1649"/>
  <c r="O1649" s="1"/>
  <c r="M1649"/>
  <c r="O1648"/>
  <c r="N1648"/>
  <c r="M1648"/>
  <c r="N1647"/>
  <c r="O1647" s="1"/>
  <c r="M1647"/>
  <c r="N1646"/>
  <c r="O1646" s="1"/>
  <c r="M1646"/>
  <c r="N1645"/>
  <c r="O1645" s="1"/>
  <c r="M1645"/>
  <c r="O1644"/>
  <c r="N1644"/>
  <c r="M1644"/>
  <c r="O1643"/>
  <c r="N1643"/>
  <c r="M1643"/>
  <c r="N1642"/>
  <c r="O1642" s="1"/>
  <c r="M1642"/>
  <c r="N1641"/>
  <c r="O1641" s="1"/>
  <c r="M1641"/>
  <c r="O1640"/>
  <c r="N1640"/>
  <c r="M1640"/>
  <c r="N1639"/>
  <c r="O1639" s="1"/>
  <c r="M1639"/>
  <c r="N1638"/>
  <c r="O1638" s="1"/>
  <c r="M1638"/>
  <c r="N1637"/>
  <c r="O1637" s="1"/>
  <c r="M1637"/>
  <c r="O1636"/>
  <c r="N1636"/>
  <c r="M1636"/>
  <c r="O1635"/>
  <c r="N1635"/>
  <c r="M1635"/>
  <c r="N1634"/>
  <c r="O1634" s="1"/>
  <c r="M1634"/>
  <c r="N1633"/>
  <c r="M1633"/>
  <c r="O1633" s="1"/>
  <c r="O1632"/>
  <c r="N1632"/>
  <c r="M1632"/>
  <c r="N1631"/>
  <c r="O1631" s="1"/>
  <c r="M1631"/>
  <c r="N1630"/>
  <c r="O1630" s="1"/>
  <c r="M1630"/>
  <c r="N1629"/>
  <c r="O1629" s="1"/>
  <c r="M1629"/>
  <c r="O1628"/>
  <c r="N1628"/>
  <c r="M1628"/>
  <c r="O1627"/>
  <c r="N1627"/>
  <c r="M1627"/>
  <c r="N1626"/>
  <c r="O1626" s="1"/>
  <c r="M1626"/>
  <c r="N1625"/>
  <c r="O1625" s="1"/>
  <c r="M1625"/>
  <c r="O1624"/>
  <c r="N1624"/>
  <c r="M1624"/>
  <c r="N1623"/>
  <c r="O1623" s="1"/>
  <c r="M1623"/>
  <c r="N1622"/>
  <c r="O1622" s="1"/>
  <c r="M1622"/>
  <c r="N1621"/>
  <c r="O1621" s="1"/>
  <c r="M1621"/>
  <c r="O1620"/>
  <c r="N1620"/>
  <c r="M1620"/>
  <c r="O1619"/>
  <c r="N1619"/>
  <c r="M1619"/>
  <c r="N1618"/>
  <c r="O1618" s="1"/>
  <c r="M1618"/>
  <c r="N1617"/>
  <c r="O1617" s="1"/>
  <c r="M1617"/>
  <c r="O1616"/>
  <c r="N1616"/>
  <c r="M1616"/>
  <c r="N1615"/>
  <c r="O1615" s="1"/>
  <c r="M1615"/>
  <c r="N1614"/>
  <c r="M1614"/>
  <c r="N1613"/>
  <c r="O1613" s="1"/>
  <c r="M1613"/>
  <c r="O1612"/>
  <c r="N1612"/>
  <c r="M1612"/>
  <c r="O1611"/>
  <c r="N1611"/>
  <c r="M1611"/>
  <c r="N1610"/>
  <c r="O1610" s="1"/>
  <c r="M1610"/>
  <c r="N1609"/>
  <c r="O1609" s="1"/>
  <c r="M1609"/>
  <c r="O1608"/>
  <c r="N1608"/>
  <c r="M1608"/>
  <c r="N1607"/>
  <c r="O1607" s="1"/>
  <c r="M1607"/>
  <c r="N1606"/>
  <c r="O1606" s="1"/>
  <c r="M1606"/>
  <c r="N1605"/>
  <c r="O1605" s="1"/>
  <c r="M1605"/>
  <c r="O1604"/>
  <c r="N1604"/>
  <c r="M1604"/>
  <c r="O1603"/>
  <c r="N1603"/>
  <c r="M1603"/>
  <c r="N1602"/>
  <c r="O1602" s="1"/>
  <c r="M1602"/>
  <c r="N1601"/>
  <c r="O1601" s="1"/>
  <c r="M1601"/>
  <c r="O1600"/>
  <c r="N1600"/>
  <c r="M1600"/>
  <c r="N1599"/>
  <c r="O1599" s="1"/>
  <c r="M1599"/>
  <c r="N1598"/>
  <c r="O1598" s="1"/>
  <c r="M1598"/>
  <c r="N1597"/>
  <c r="O1597" s="1"/>
  <c r="M1597"/>
  <c r="O1596"/>
  <c r="N1596"/>
  <c r="M1596"/>
  <c r="O1595"/>
  <c r="N1595"/>
  <c r="M1595"/>
  <c r="N1594"/>
  <c r="O1594" s="1"/>
  <c r="M1594"/>
  <c r="N1593"/>
  <c r="O1593" s="1"/>
  <c r="M1593"/>
  <c r="O1592"/>
  <c r="N1592"/>
  <c r="M1592"/>
  <c r="N1591"/>
  <c r="O1591" s="1"/>
  <c r="M1591"/>
  <c r="N1590"/>
  <c r="O1590" s="1"/>
  <c r="M1590"/>
  <c r="N1589"/>
  <c r="O1589" s="1"/>
  <c r="M1589"/>
  <c r="O1588"/>
  <c r="N1588"/>
  <c r="M1588"/>
  <c r="O1587"/>
  <c r="N1587"/>
  <c r="M1587"/>
  <c r="N1586"/>
  <c r="O1586" s="1"/>
  <c r="M1586"/>
  <c r="N1585"/>
  <c r="O1585" s="1"/>
  <c r="M1585"/>
  <c r="O1584"/>
  <c r="N1584"/>
  <c r="M1584"/>
  <c r="N1583"/>
  <c r="O1583" s="1"/>
  <c r="M1583"/>
  <c r="N1582"/>
  <c r="O1582" s="1"/>
  <c r="M1582"/>
  <c r="N1581"/>
  <c r="O1581" s="1"/>
  <c r="M1581"/>
  <c r="O1580"/>
  <c r="N1580"/>
  <c r="M1580"/>
  <c r="O1579"/>
  <c r="N1579"/>
  <c r="M1579"/>
  <c r="N1578"/>
  <c r="O1578" s="1"/>
  <c r="M1578"/>
  <c r="N1577"/>
  <c r="O1577" s="1"/>
  <c r="M1577"/>
  <c r="O1576"/>
  <c r="N1576"/>
  <c r="M1576"/>
  <c r="N1575"/>
  <c r="O1575" s="1"/>
  <c r="M1575"/>
  <c r="N1574"/>
  <c r="O1574" s="1"/>
  <c r="M1574"/>
  <c r="N1573"/>
  <c r="O1573" s="1"/>
  <c r="M1573"/>
  <c r="O1572"/>
  <c r="N1572"/>
  <c r="M1572"/>
  <c r="O1571"/>
  <c r="N1571"/>
  <c r="M1571"/>
  <c r="N1570"/>
  <c r="O1570" s="1"/>
  <c r="M1570"/>
  <c r="N1569"/>
  <c r="O1569" s="1"/>
  <c r="M1569"/>
  <c r="O1568"/>
  <c r="N1568"/>
  <c r="M1568"/>
  <c r="N1567"/>
  <c r="O1567" s="1"/>
  <c r="M1567"/>
  <c r="N1566"/>
  <c r="O1566" s="1"/>
  <c r="M1566"/>
  <c r="N1565"/>
  <c r="O1565" s="1"/>
  <c r="M1565"/>
  <c r="O1564"/>
  <c r="N1564"/>
  <c r="M1564"/>
  <c r="O1563"/>
  <c r="N1563"/>
  <c r="M1563"/>
  <c r="N1562"/>
  <c r="O1562" s="1"/>
  <c r="M1562"/>
  <c r="N1561"/>
  <c r="O1561" s="1"/>
  <c r="M1561"/>
  <c r="O1560"/>
  <c r="N1560"/>
  <c r="M1560"/>
  <c r="N1559"/>
  <c r="O1559" s="1"/>
  <c r="M1559"/>
  <c r="N1558"/>
  <c r="O1558" s="1"/>
  <c r="M1558"/>
  <c r="N1557"/>
  <c r="O1557" s="1"/>
  <c r="M1557"/>
  <c r="O1556"/>
  <c r="N1556"/>
  <c r="M1556"/>
  <c r="O1555"/>
  <c r="N1555"/>
  <c r="M1555"/>
  <c r="N1554"/>
  <c r="O1554" s="1"/>
  <c r="M1554"/>
  <c r="N1553"/>
  <c r="O1553" s="1"/>
  <c r="M1553"/>
  <c r="O1552"/>
  <c r="N1552"/>
  <c r="M1552"/>
  <c r="N1551"/>
  <c r="O1551" s="1"/>
  <c r="M1551"/>
  <c r="N1550"/>
  <c r="O1550" s="1"/>
  <c r="M1550"/>
  <c r="N1549"/>
  <c r="O1549" s="1"/>
  <c r="M1549"/>
  <c r="O1548"/>
  <c r="N1548"/>
  <c r="M1548"/>
  <c r="O1547"/>
  <c r="N1547"/>
  <c r="M1547"/>
  <c r="N1546"/>
  <c r="O1546" s="1"/>
  <c r="M1546"/>
  <c r="N1545"/>
  <c r="O1545" s="1"/>
  <c r="M1545"/>
  <c r="O1544"/>
  <c r="N1544"/>
  <c r="M1544"/>
  <c r="N1543"/>
  <c r="O1543" s="1"/>
  <c r="M1543"/>
  <c r="N1542"/>
  <c r="O1542" s="1"/>
  <c r="M1542"/>
  <c r="N1541"/>
  <c r="O1541" s="1"/>
  <c r="M1541"/>
  <c r="O1540"/>
  <c r="N1540"/>
  <c r="M1540"/>
  <c r="O1539"/>
  <c r="N1539"/>
  <c r="M1539"/>
  <c r="N1538"/>
  <c r="O1538" s="1"/>
  <c r="M1538"/>
  <c r="N1537"/>
  <c r="O1537" s="1"/>
  <c r="M1537"/>
  <c r="O1536"/>
  <c r="N1536"/>
  <c r="M1536"/>
  <c r="N1535"/>
  <c r="O1535" s="1"/>
  <c r="M1535"/>
  <c r="N1534"/>
  <c r="O1534" s="1"/>
  <c r="M1534"/>
  <c r="N1533"/>
  <c r="O1533" s="1"/>
  <c r="M1533"/>
  <c r="O1532"/>
  <c r="N1532"/>
  <c r="M1532"/>
  <c r="O1531"/>
  <c r="N1531"/>
  <c r="M1531"/>
  <c r="N1530"/>
  <c r="O1530" s="1"/>
  <c r="M1530"/>
  <c r="N1529"/>
  <c r="O1529" s="1"/>
  <c r="M1529"/>
  <c r="O1528"/>
  <c r="N1528"/>
  <c r="M1528"/>
  <c r="N1527"/>
  <c r="O1527" s="1"/>
  <c r="M1527"/>
  <c r="N1526"/>
  <c r="O1526" s="1"/>
  <c r="M1526"/>
  <c r="N1525"/>
  <c r="O1525" s="1"/>
  <c r="M1525"/>
  <c r="O1524"/>
  <c r="N1524"/>
  <c r="M1524"/>
  <c r="O1523"/>
  <c r="N1523"/>
  <c r="M1523"/>
  <c r="N1522"/>
  <c r="O1522" s="1"/>
  <c r="M1522"/>
  <c r="N1521"/>
  <c r="O1521" s="1"/>
  <c r="M1521"/>
  <c r="O1520"/>
  <c r="N1520"/>
  <c r="M1520"/>
  <c r="N1519"/>
  <c r="O1519" s="1"/>
  <c r="M1519"/>
  <c r="N1518"/>
  <c r="O1518" s="1"/>
  <c r="M1518"/>
  <c r="N1517"/>
  <c r="O1517" s="1"/>
  <c r="M1517"/>
  <c r="O1516"/>
  <c r="N1516"/>
  <c r="M1516"/>
  <c r="O1515"/>
  <c r="N1515"/>
  <c r="M1515"/>
  <c r="N1514"/>
  <c r="O1514" s="1"/>
  <c r="M1514"/>
  <c r="N1513"/>
  <c r="O1513" s="1"/>
  <c r="M1513"/>
  <c r="O1512"/>
  <c r="N1512"/>
  <c r="M1512"/>
  <c r="N1511"/>
  <c r="O1511" s="1"/>
  <c r="M1511"/>
  <c r="N1510"/>
  <c r="O1510" s="1"/>
  <c r="M1510"/>
  <c r="N1509"/>
  <c r="O1509" s="1"/>
  <c r="M1509"/>
  <c r="O1508"/>
  <c r="N1508"/>
  <c r="M1508"/>
  <c r="O1507"/>
  <c r="N1507"/>
  <c r="M1507"/>
  <c r="N1506"/>
  <c r="O1506" s="1"/>
  <c r="M1506"/>
  <c r="N1505"/>
  <c r="O1505" s="1"/>
  <c r="M1505"/>
  <c r="O1504"/>
  <c r="N1504"/>
  <c r="M1504"/>
  <c r="N1503"/>
  <c r="O1503" s="1"/>
  <c r="M1503"/>
  <c r="N1502"/>
  <c r="O1502" s="1"/>
  <c r="M1502"/>
  <c r="N1501"/>
  <c r="O1501" s="1"/>
  <c r="M1501"/>
  <c r="O1500"/>
  <c r="N1500"/>
  <c r="M1500"/>
  <c r="O1499"/>
  <c r="N1499"/>
  <c r="M1499"/>
  <c r="N1498"/>
  <c r="O1498" s="1"/>
  <c r="M1498"/>
  <c r="N1497"/>
  <c r="O1497" s="1"/>
  <c r="M1497"/>
  <c r="O1496"/>
  <c r="N1496"/>
  <c r="M1496"/>
  <c r="N1495"/>
  <c r="O1495" s="1"/>
  <c r="M1495"/>
  <c r="N1494"/>
  <c r="O1494" s="1"/>
  <c r="M1494"/>
  <c r="N1493"/>
  <c r="O1493" s="1"/>
  <c r="M1493"/>
  <c r="O1492"/>
  <c r="N1492"/>
  <c r="M1492"/>
  <c r="O1491"/>
  <c r="N1491"/>
  <c r="M1491"/>
  <c r="N1490"/>
  <c r="O1490" s="1"/>
  <c r="M1490"/>
  <c r="N1489"/>
  <c r="M1489"/>
  <c r="O1489" s="1"/>
  <c r="O1488"/>
  <c r="N1488"/>
  <c r="M1488"/>
  <c r="N1487"/>
  <c r="O1487" s="1"/>
  <c r="M1487"/>
  <c r="N1486"/>
  <c r="O1486" s="1"/>
  <c r="M1486"/>
  <c r="N1485"/>
  <c r="M1485"/>
  <c r="O1485" s="1"/>
  <c r="O1484"/>
  <c r="N1484"/>
  <c r="M1484"/>
  <c r="O1483"/>
  <c r="N1483"/>
  <c r="M1483"/>
  <c r="N1482"/>
  <c r="O1482" s="1"/>
  <c r="M1482"/>
  <c r="N1481"/>
  <c r="O1481" s="1"/>
  <c r="M1481"/>
  <c r="O1480"/>
  <c r="N1480"/>
  <c r="M1480"/>
  <c r="N1479"/>
  <c r="O1479" s="1"/>
  <c r="M1479"/>
  <c r="N1478"/>
  <c r="O1478" s="1"/>
  <c r="M1478"/>
  <c r="N1477"/>
  <c r="O1477" s="1"/>
  <c r="M1477"/>
  <c r="O1476"/>
  <c r="N1476"/>
  <c r="M1476"/>
  <c r="O1475"/>
  <c r="N1475"/>
  <c r="M1475"/>
  <c r="N1474"/>
  <c r="O1474" s="1"/>
  <c r="M1474"/>
  <c r="N1473"/>
  <c r="O1473" s="1"/>
  <c r="M1473"/>
  <c r="O1472"/>
  <c r="N1472"/>
  <c r="M1472"/>
  <c r="N1471"/>
  <c r="O1471" s="1"/>
  <c r="M1471"/>
  <c r="N1470"/>
  <c r="O1470" s="1"/>
  <c r="M1470"/>
  <c r="N1469"/>
  <c r="M1469"/>
  <c r="O1469" s="1"/>
  <c r="O1468"/>
  <c r="N1468"/>
  <c r="M1468"/>
  <c r="O1467"/>
  <c r="N1467"/>
  <c r="M1467"/>
  <c r="N1466"/>
  <c r="O1466" s="1"/>
  <c r="M1466"/>
  <c r="N1465"/>
  <c r="M1465"/>
  <c r="O1465" s="1"/>
  <c r="O1464"/>
  <c r="N1464"/>
  <c r="M1464"/>
  <c r="N1463"/>
  <c r="O1463" s="1"/>
  <c r="M1463"/>
  <c r="N1462"/>
  <c r="O1462" s="1"/>
  <c r="M1462"/>
  <c r="N1461"/>
  <c r="M1461"/>
  <c r="O1461" s="1"/>
  <c r="O1460"/>
  <c r="N1460"/>
  <c r="M1460"/>
  <c r="O1459"/>
  <c r="N1459"/>
  <c r="M1459"/>
  <c r="N1458"/>
  <c r="O1458" s="1"/>
  <c r="M1458"/>
  <c r="N1457"/>
  <c r="M1457"/>
  <c r="O1457" s="1"/>
  <c r="O1456"/>
  <c r="N1456"/>
  <c r="M1456"/>
  <c r="N1455"/>
  <c r="O1455" s="1"/>
  <c r="M1455"/>
  <c r="N1454"/>
  <c r="O1454" s="1"/>
  <c r="M1454"/>
  <c r="N1453"/>
  <c r="M1453"/>
  <c r="O1453" s="1"/>
  <c r="O1452"/>
  <c r="N1452"/>
  <c r="M1452"/>
  <c r="O1451"/>
  <c r="N1451"/>
  <c r="M1451"/>
  <c r="N1450"/>
  <c r="O1450" s="1"/>
  <c r="M1450"/>
  <c r="N1449"/>
  <c r="O1449" s="1"/>
  <c r="M1449"/>
  <c r="O1448"/>
  <c r="N1448"/>
  <c r="M1448"/>
  <c r="N1447"/>
  <c r="O1447" s="1"/>
  <c r="M1447"/>
  <c r="N1446"/>
  <c r="O1446" s="1"/>
  <c r="M1446"/>
  <c r="N1445"/>
  <c r="M1445"/>
  <c r="O1445" s="1"/>
  <c r="O1444"/>
  <c r="N1444"/>
  <c r="M1444"/>
  <c r="O1443"/>
  <c r="N1443"/>
  <c r="M1443"/>
  <c r="N1442"/>
  <c r="O1442" s="1"/>
  <c r="M1442"/>
  <c r="N1441"/>
  <c r="M1441"/>
  <c r="O1441" s="1"/>
  <c r="O1440"/>
  <c r="N1440"/>
  <c r="M1440"/>
  <c r="N1439"/>
  <c r="O1439" s="1"/>
  <c r="M1439"/>
  <c r="N1438"/>
  <c r="M1438"/>
  <c r="N1437"/>
  <c r="M1437"/>
  <c r="O1437" s="1"/>
  <c r="O1436"/>
  <c r="N1436"/>
  <c r="M1436"/>
  <c r="O1435"/>
  <c r="N1435"/>
  <c r="M1435"/>
  <c r="N1434"/>
  <c r="O1434" s="1"/>
  <c r="M1434"/>
  <c r="N1433"/>
  <c r="O1433" s="1"/>
  <c r="M1433"/>
  <c r="O1432"/>
  <c r="N1432"/>
  <c r="M1432"/>
  <c r="N1431"/>
  <c r="O1431" s="1"/>
  <c r="M1431"/>
  <c r="N1430"/>
  <c r="O1430" s="1"/>
  <c r="M1430"/>
  <c r="N1429"/>
  <c r="O1429" s="1"/>
  <c r="M1429"/>
  <c r="O1428"/>
  <c r="N1428"/>
  <c r="M1428"/>
  <c r="O1427"/>
  <c r="N1427"/>
  <c r="M1427"/>
  <c r="N1426"/>
  <c r="O1426" s="1"/>
  <c r="M1426"/>
  <c r="N1425"/>
  <c r="O1425" s="1"/>
  <c r="M1425"/>
  <c r="O1424"/>
  <c r="N1424"/>
  <c r="M1424"/>
  <c r="N1423"/>
  <c r="O1423" s="1"/>
  <c r="M1423"/>
  <c r="N1422"/>
  <c r="O1422" s="1"/>
  <c r="M1422"/>
  <c r="N1421"/>
  <c r="O1421" s="1"/>
  <c r="M1421"/>
  <c r="O1420"/>
  <c r="N1420"/>
  <c r="M1420"/>
  <c r="O1419"/>
  <c r="N1419"/>
  <c r="M1419"/>
  <c r="N1418"/>
  <c r="O1418" s="1"/>
  <c r="M1418"/>
  <c r="N1417"/>
  <c r="O1417" s="1"/>
  <c r="M1417"/>
  <c r="O1416"/>
  <c r="N1416"/>
  <c r="M1416"/>
  <c r="N1415"/>
  <c r="O1415" s="1"/>
  <c r="M1415"/>
  <c r="N1414"/>
  <c r="O1414" s="1"/>
  <c r="M1414"/>
  <c r="N1413"/>
  <c r="O1413" s="1"/>
  <c r="M1413"/>
  <c r="O1412"/>
  <c r="N1412"/>
  <c r="M1412"/>
  <c r="O1411"/>
  <c r="N1411"/>
  <c r="M1411"/>
  <c r="N1410"/>
  <c r="O1410" s="1"/>
  <c r="M1410"/>
  <c r="N1409"/>
  <c r="O1409" s="1"/>
  <c r="M1409"/>
  <c r="O1408"/>
  <c r="N1408"/>
  <c r="M1408"/>
  <c r="N1407"/>
  <c r="O1407" s="1"/>
  <c r="M1407"/>
  <c r="N1406"/>
  <c r="O1406" s="1"/>
  <c r="M1406"/>
  <c r="N1405"/>
  <c r="O1405" s="1"/>
  <c r="M1405"/>
  <c r="O1404"/>
  <c r="N1404"/>
  <c r="M1404"/>
  <c r="O1403"/>
  <c r="N1403"/>
  <c r="M1403"/>
  <c r="N1402"/>
  <c r="O1402" s="1"/>
  <c r="M1402"/>
  <c r="N1401"/>
  <c r="O1401" s="1"/>
  <c r="M1401"/>
  <c r="O1400"/>
  <c r="N1400"/>
  <c r="M1400"/>
  <c r="N1399"/>
  <c r="O1399" s="1"/>
  <c r="M1399"/>
  <c r="N1398"/>
  <c r="O1398" s="1"/>
  <c r="M1398"/>
  <c r="N1397"/>
  <c r="O1397" s="1"/>
  <c r="M1397"/>
  <c r="O1396"/>
  <c r="N1396"/>
  <c r="M1396"/>
  <c r="O1395"/>
  <c r="N1395"/>
  <c r="M1395"/>
  <c r="N1394"/>
  <c r="O1394" s="1"/>
  <c r="M1394"/>
  <c r="N1393"/>
  <c r="O1393" s="1"/>
  <c r="M1393"/>
  <c r="O1392"/>
  <c r="N1392"/>
  <c r="M1392"/>
  <c r="N1391"/>
  <c r="O1391" s="1"/>
  <c r="M1391"/>
  <c r="N1390"/>
  <c r="O1390" s="1"/>
  <c r="M1390"/>
  <c r="N1389"/>
  <c r="O1389" s="1"/>
  <c r="M1389"/>
  <c r="O1388"/>
  <c r="N1388"/>
  <c r="M1388"/>
  <c r="O1387"/>
  <c r="N1387"/>
  <c r="M1387"/>
  <c r="N1386"/>
  <c r="O1386" s="1"/>
  <c r="M1386"/>
  <c r="N1385"/>
  <c r="O1385" s="1"/>
  <c r="M1385"/>
  <c r="O1384"/>
  <c r="N1384"/>
  <c r="M1384"/>
  <c r="N1383"/>
  <c r="O1383" s="1"/>
  <c r="M1383"/>
  <c r="N1382"/>
  <c r="O1382" s="1"/>
  <c r="M1382"/>
  <c r="N1381"/>
  <c r="O1381" s="1"/>
  <c r="M1381"/>
  <c r="O1380"/>
  <c r="N1380"/>
  <c r="M1380"/>
  <c r="O1379"/>
  <c r="N1379"/>
  <c r="M1379"/>
  <c r="N1378"/>
  <c r="O1378" s="1"/>
  <c r="M1378"/>
  <c r="N1377"/>
  <c r="O1377" s="1"/>
  <c r="M1377"/>
  <c r="O1376"/>
  <c r="N1376"/>
  <c r="M1376"/>
  <c r="N1375"/>
  <c r="O1375" s="1"/>
  <c r="M1375"/>
  <c r="N1374"/>
  <c r="O1374" s="1"/>
  <c r="M1374"/>
  <c r="N1373"/>
  <c r="O1373" s="1"/>
  <c r="M1373"/>
  <c r="O1372"/>
  <c r="N1372"/>
  <c r="M1372"/>
  <c r="O1371"/>
  <c r="N1371"/>
  <c r="M1371"/>
  <c r="N1370"/>
  <c r="O1370" s="1"/>
  <c r="M1370"/>
  <c r="N1369"/>
  <c r="O1369" s="1"/>
  <c r="M1369"/>
  <c r="O1368"/>
  <c r="N1368"/>
  <c r="M1368"/>
  <c r="N1367"/>
  <c r="O1367" s="1"/>
  <c r="M1367"/>
  <c r="N1366"/>
  <c r="O1366" s="1"/>
  <c r="M1366"/>
  <c r="N1365"/>
  <c r="O1365" s="1"/>
  <c r="M1365"/>
  <c r="O1364"/>
  <c r="N1364"/>
  <c r="M1364"/>
  <c r="O1363"/>
  <c r="N1363"/>
  <c r="M1363"/>
  <c r="N1362"/>
  <c r="O1362" s="1"/>
  <c r="M1362"/>
  <c r="N1361"/>
  <c r="O1361" s="1"/>
  <c r="M1361"/>
  <c r="O1360"/>
  <c r="N1360"/>
  <c r="M1360"/>
  <c r="N1359"/>
  <c r="O1359" s="1"/>
  <c r="M1359"/>
  <c r="N1358"/>
  <c r="O1358" s="1"/>
  <c r="M1358"/>
  <c r="N1357"/>
  <c r="O1357" s="1"/>
  <c r="M1357"/>
  <c r="O1356"/>
  <c r="N1356"/>
  <c r="M1356"/>
  <c r="O1355"/>
  <c r="N1355"/>
  <c r="M1355"/>
  <c r="N1354"/>
  <c r="O1354" s="1"/>
  <c r="M1354"/>
  <c r="N1353"/>
  <c r="O1353" s="1"/>
  <c r="M1353"/>
  <c r="O1352"/>
  <c r="N1352"/>
  <c r="M1352"/>
  <c r="N1351"/>
  <c r="O1351" s="1"/>
  <c r="M1351"/>
  <c r="N1350"/>
  <c r="O1350" s="1"/>
  <c r="M1350"/>
  <c r="N1349"/>
  <c r="O1349" s="1"/>
  <c r="M1349"/>
  <c r="O1348"/>
  <c r="N1348"/>
  <c r="M1348"/>
  <c r="O1347"/>
  <c r="N1347"/>
  <c r="M1347"/>
  <c r="N1346"/>
  <c r="O1346" s="1"/>
  <c r="M1346"/>
  <c r="N1345"/>
  <c r="O1345" s="1"/>
  <c r="M1345"/>
  <c r="O1344"/>
  <c r="N1344"/>
  <c r="M1344"/>
  <c r="N1343"/>
  <c r="O1343" s="1"/>
  <c r="M1343"/>
  <c r="N1342"/>
  <c r="O1342" s="1"/>
  <c r="M1342"/>
  <c r="N1341"/>
  <c r="O1341" s="1"/>
  <c r="M1341"/>
  <c r="O1340"/>
  <c r="N1340"/>
  <c r="M1340"/>
  <c r="O1339"/>
  <c r="N1339"/>
  <c r="M1339"/>
  <c r="N1338"/>
  <c r="O1338" s="1"/>
  <c r="M1338"/>
  <c r="N1337"/>
  <c r="O1337" s="1"/>
  <c r="M1337"/>
  <c r="O1336"/>
  <c r="N1336"/>
  <c r="M1336"/>
  <c r="N1335"/>
  <c r="O1335" s="1"/>
  <c r="M1335"/>
  <c r="N1334"/>
  <c r="O1334" s="1"/>
  <c r="M1334"/>
  <c r="N1333"/>
  <c r="O1333" s="1"/>
  <c r="M1333"/>
  <c r="O1332"/>
  <c r="N1332"/>
  <c r="M1332"/>
  <c r="O1331"/>
  <c r="N1331"/>
  <c r="M1331"/>
  <c r="N1330"/>
  <c r="O1330" s="1"/>
  <c r="M1330"/>
  <c r="N1329"/>
  <c r="O1329" s="1"/>
  <c r="M1329"/>
  <c r="O1328"/>
  <c r="N1328"/>
  <c r="M1328"/>
  <c r="N1327"/>
  <c r="O1327" s="1"/>
  <c r="M1327"/>
  <c r="N1326"/>
  <c r="O1326" s="1"/>
  <c r="M1326"/>
  <c r="N1325"/>
  <c r="O1325" s="1"/>
  <c r="M1325"/>
  <c r="O1324"/>
  <c r="N1324"/>
  <c r="M1324"/>
  <c r="O1323"/>
  <c r="N1323"/>
  <c r="M1323"/>
  <c r="N1322"/>
  <c r="O1322" s="1"/>
  <c r="M1322"/>
  <c r="N1321"/>
  <c r="O1321" s="1"/>
  <c r="M1321"/>
  <c r="O1320"/>
  <c r="N1320"/>
  <c r="M1320"/>
  <c r="N1319"/>
  <c r="O1319" s="1"/>
  <c r="M1319"/>
  <c r="N1318"/>
  <c r="O1318" s="1"/>
  <c r="M1318"/>
  <c r="N1317"/>
  <c r="O1317" s="1"/>
  <c r="M1317"/>
  <c r="O1316"/>
  <c r="N1316"/>
  <c r="M1316"/>
  <c r="O1315"/>
  <c r="N1315"/>
  <c r="M1315"/>
  <c r="N1314"/>
  <c r="O1314" s="1"/>
  <c r="M1314"/>
  <c r="N1313"/>
  <c r="O1313" s="1"/>
  <c r="M1313"/>
  <c r="O1312"/>
  <c r="N1312"/>
  <c r="M1312"/>
  <c r="N1311"/>
  <c r="O1311" s="1"/>
  <c r="M1311"/>
  <c r="N1310"/>
  <c r="O1310" s="1"/>
  <c r="M1310"/>
  <c r="N1309"/>
  <c r="O1309" s="1"/>
  <c r="M1309"/>
  <c r="O1308"/>
  <c r="N1308"/>
  <c r="M1308"/>
  <c r="O1307"/>
  <c r="N1307"/>
  <c r="M1307"/>
  <c r="N1306"/>
  <c r="O1306" s="1"/>
  <c r="M1306"/>
  <c r="N1305"/>
  <c r="O1305" s="1"/>
  <c r="M1305"/>
  <c r="O1304"/>
  <c r="N1304"/>
  <c r="M1304"/>
  <c r="N1303"/>
  <c r="O1303" s="1"/>
  <c r="M1303"/>
  <c r="N1302"/>
  <c r="O1302" s="1"/>
  <c r="M1302"/>
  <c r="N1301"/>
  <c r="O1301" s="1"/>
  <c r="M1301"/>
  <c r="O1300"/>
  <c r="N1300"/>
  <c r="M1300"/>
  <c r="O1299"/>
  <c r="N1299"/>
  <c r="M1299"/>
  <c r="N1298"/>
  <c r="O1298" s="1"/>
  <c r="M1298"/>
  <c r="N1297"/>
  <c r="O1297" s="1"/>
  <c r="M1297"/>
  <c r="O1296"/>
  <c r="N1296"/>
  <c r="M1296"/>
  <c r="N1295"/>
  <c r="O1295" s="1"/>
  <c r="M1295"/>
  <c r="N1294"/>
  <c r="O1294" s="1"/>
  <c r="M1294"/>
  <c r="N1293"/>
  <c r="O1293" s="1"/>
  <c r="M1293"/>
  <c r="O1292"/>
  <c r="N1292"/>
  <c r="M1292"/>
  <c r="O1291"/>
  <c r="N1291"/>
  <c r="M1291"/>
  <c r="N1290"/>
  <c r="O1290" s="1"/>
  <c r="M1290"/>
  <c r="N1289"/>
  <c r="O1289" s="1"/>
  <c r="M1289"/>
  <c r="O1288"/>
  <c r="N1288"/>
  <c r="M1288"/>
  <c r="N1287"/>
  <c r="O1287" s="1"/>
  <c r="M1287"/>
  <c r="N1286"/>
  <c r="O1286" s="1"/>
  <c r="M1286"/>
  <c r="N1285"/>
  <c r="M1285"/>
  <c r="O1285" s="1"/>
  <c r="O1284"/>
  <c r="N1284"/>
  <c r="M1284"/>
  <c r="O1283"/>
  <c r="N1283"/>
  <c r="M1283"/>
  <c r="N1282"/>
  <c r="O1282" s="1"/>
  <c r="M1282"/>
  <c r="N1281"/>
  <c r="M1281"/>
  <c r="O1281" s="1"/>
  <c r="O1280"/>
  <c r="N1280"/>
  <c r="M1280"/>
  <c r="N1279"/>
  <c r="O1279" s="1"/>
  <c r="M1279"/>
  <c r="N1278"/>
  <c r="O1278" s="1"/>
  <c r="M1278"/>
  <c r="N1277"/>
  <c r="M1277"/>
  <c r="O1277" s="1"/>
  <c r="O1276"/>
  <c r="N1276"/>
  <c r="M1276"/>
  <c r="O1275"/>
  <c r="N1275"/>
  <c r="M1275"/>
  <c r="N1274"/>
  <c r="O1274" s="1"/>
  <c r="M1274"/>
  <c r="N1273"/>
  <c r="O1273" s="1"/>
  <c r="M1273"/>
  <c r="O1272"/>
  <c r="N1272"/>
  <c r="M1272"/>
  <c r="N1271"/>
  <c r="O1271" s="1"/>
  <c r="M1271"/>
  <c r="N1270"/>
  <c r="O1270" s="1"/>
  <c r="M1270"/>
  <c r="N1269"/>
  <c r="O1269" s="1"/>
  <c r="M1269"/>
  <c r="O1268"/>
  <c r="N1268"/>
  <c r="M1268"/>
  <c r="O1267"/>
  <c r="N1267"/>
  <c r="M1267"/>
  <c r="N1266"/>
  <c r="O1266" s="1"/>
  <c r="M1266"/>
  <c r="N1265"/>
  <c r="O1265" s="1"/>
  <c r="M1265"/>
  <c r="O1264"/>
  <c r="N1264"/>
  <c r="M1264"/>
  <c r="N1263"/>
  <c r="O1263" s="1"/>
  <c r="M1263"/>
  <c r="N1262"/>
  <c r="O1262" s="1"/>
  <c r="M1262"/>
  <c r="N1261"/>
  <c r="O1261" s="1"/>
  <c r="M1261"/>
  <c r="O1260"/>
  <c r="N1260"/>
  <c r="M1260"/>
  <c r="O1259"/>
  <c r="N1259"/>
  <c r="M1259"/>
  <c r="N1258"/>
  <c r="O1258" s="1"/>
  <c r="M1258"/>
  <c r="N1257"/>
  <c r="O1257" s="1"/>
  <c r="M1257"/>
  <c r="O1256"/>
  <c r="N1256"/>
  <c r="M1256"/>
  <c r="N1255"/>
  <c r="O1255" s="1"/>
  <c r="M1255"/>
  <c r="N1254"/>
  <c r="O1254" s="1"/>
  <c r="M1254"/>
  <c r="N1253"/>
  <c r="O1253" s="1"/>
  <c r="M1253"/>
  <c r="O1252"/>
  <c r="N1252"/>
  <c r="M1252"/>
  <c r="O1251"/>
  <c r="N1251"/>
  <c r="M1251"/>
  <c r="N1250"/>
  <c r="O1250" s="1"/>
  <c r="M1250"/>
  <c r="N1249"/>
  <c r="M1249"/>
  <c r="O1249" s="1"/>
  <c r="O1248"/>
  <c r="N1248"/>
  <c r="M1248"/>
  <c r="N1247"/>
  <c r="O1247" s="1"/>
  <c r="M1247"/>
  <c r="N1246"/>
  <c r="O1246" s="1"/>
  <c r="M1246"/>
  <c r="N1245"/>
  <c r="O1245" s="1"/>
  <c r="M1245"/>
  <c r="O1244"/>
  <c r="N1244"/>
  <c r="M1244"/>
  <c r="O1243"/>
  <c r="N1243"/>
  <c r="M1243"/>
  <c r="N1242"/>
  <c r="O1242" s="1"/>
  <c r="M1242"/>
  <c r="N1241"/>
  <c r="M1241"/>
  <c r="O1241" s="1"/>
  <c r="O1240"/>
  <c r="N1240"/>
  <c r="M1240"/>
  <c r="N1239"/>
  <c r="O1239" s="1"/>
  <c r="M1239"/>
  <c r="N1238"/>
  <c r="O1238" s="1"/>
  <c r="M1238"/>
  <c r="N1237"/>
  <c r="O1237" s="1"/>
  <c r="M1237"/>
  <c r="O1236"/>
  <c r="N1236"/>
  <c r="M1236"/>
  <c r="O1235"/>
  <c r="N1235"/>
  <c r="M1235"/>
  <c r="N1234"/>
  <c r="O1234" s="1"/>
  <c r="M1234"/>
  <c r="N1233"/>
  <c r="O1233" s="1"/>
  <c r="M1233"/>
  <c r="O1232"/>
  <c r="N1232"/>
  <c r="M1232"/>
  <c r="N1231"/>
  <c r="O1231" s="1"/>
  <c r="M1231"/>
  <c r="N1230"/>
  <c r="O1230" s="1"/>
  <c r="M1230"/>
  <c r="N1229"/>
  <c r="M1229"/>
  <c r="O1229" s="1"/>
  <c r="O1228"/>
  <c r="N1228"/>
  <c r="M1228"/>
  <c r="O1227"/>
  <c r="N1227"/>
  <c r="M1227"/>
  <c r="N1226"/>
  <c r="O1226" s="1"/>
  <c r="M1226"/>
  <c r="N1225"/>
  <c r="O1225" s="1"/>
  <c r="M1225"/>
  <c r="O1224"/>
  <c r="N1224"/>
  <c r="M1224"/>
  <c r="N1223"/>
  <c r="O1223" s="1"/>
  <c r="M1223"/>
  <c r="N1222"/>
  <c r="O1222" s="1"/>
  <c r="M1222"/>
  <c r="N1221"/>
  <c r="O1221" s="1"/>
  <c r="M1221"/>
  <c r="O1220"/>
  <c r="N1220"/>
  <c r="M1220"/>
  <c r="O1219"/>
  <c r="N1219"/>
  <c r="M1219"/>
  <c r="N1218"/>
  <c r="O1218" s="1"/>
  <c r="M1218"/>
  <c r="N1217"/>
  <c r="O1217" s="1"/>
  <c r="M1217"/>
  <c r="O1216"/>
  <c r="N1216"/>
  <c r="M1216"/>
  <c r="N1215"/>
  <c r="O1215" s="1"/>
  <c r="M1215"/>
  <c r="N1214"/>
  <c r="O1214" s="1"/>
  <c r="M1214"/>
  <c r="N1213"/>
  <c r="O1213" s="1"/>
  <c r="M1213"/>
  <c r="O1212"/>
  <c r="N1212"/>
  <c r="M1212"/>
  <c r="O1211"/>
  <c r="N1211"/>
  <c r="M1211"/>
  <c r="N1210"/>
  <c r="O1210" s="1"/>
  <c r="M1210"/>
  <c r="N1209"/>
  <c r="O1209" s="1"/>
  <c r="M1209"/>
  <c r="O1208"/>
  <c r="N1208"/>
  <c r="M1208"/>
  <c r="N1207"/>
  <c r="O1207" s="1"/>
  <c r="M1207"/>
  <c r="N1206"/>
  <c r="O1206" s="1"/>
  <c r="M1206"/>
  <c r="N1205"/>
  <c r="O1205" s="1"/>
  <c r="M1205"/>
  <c r="O1204"/>
  <c r="N1204"/>
  <c r="M1204"/>
  <c r="O1203"/>
  <c r="N1203"/>
  <c r="M1203"/>
  <c r="N1202"/>
  <c r="O1202" s="1"/>
  <c r="M1202"/>
  <c r="N1201"/>
  <c r="M1201"/>
  <c r="O1201" s="1"/>
  <c r="O1200"/>
  <c r="N1200"/>
  <c r="M1200"/>
  <c r="N1199"/>
  <c r="O1199" s="1"/>
  <c r="M1199"/>
  <c r="N1198"/>
  <c r="M1198"/>
  <c r="N1197"/>
  <c r="O1197" s="1"/>
  <c r="M1197"/>
  <c r="O1196"/>
  <c r="N1196"/>
  <c r="M1196"/>
  <c r="O1195"/>
  <c r="N1195"/>
  <c r="M1195"/>
  <c r="N1194"/>
  <c r="O1194" s="1"/>
  <c r="M1194"/>
  <c r="N1193"/>
  <c r="O1193" s="1"/>
  <c r="M1193"/>
  <c r="O1192"/>
  <c r="N1192"/>
  <c r="M1192"/>
  <c r="N1191"/>
  <c r="O1191" s="1"/>
  <c r="M1191"/>
  <c r="N1190"/>
  <c r="M1190"/>
  <c r="N1189"/>
  <c r="O1189" s="1"/>
  <c r="M1189"/>
  <c r="O1188"/>
  <c r="N1188"/>
  <c r="M1188"/>
  <c r="O1187"/>
  <c r="N1187"/>
  <c r="M1187"/>
  <c r="N1186"/>
  <c r="O1186" s="1"/>
  <c r="M1186"/>
  <c r="N1185"/>
  <c r="O1185" s="1"/>
  <c r="M1185"/>
  <c r="O1184"/>
  <c r="N1184"/>
  <c r="M1184"/>
  <c r="N1183"/>
  <c r="O1183" s="1"/>
  <c r="M1183"/>
  <c r="N1182"/>
  <c r="O1182" s="1"/>
  <c r="M1182"/>
  <c r="N1181"/>
  <c r="O1181" s="1"/>
  <c r="M1181"/>
  <c r="O1180"/>
  <c r="N1180"/>
  <c r="M1180"/>
  <c r="O1179"/>
  <c r="N1179"/>
  <c r="M1179"/>
  <c r="N1178"/>
  <c r="O1178" s="1"/>
  <c r="M1178"/>
  <c r="N1177"/>
  <c r="O1177" s="1"/>
  <c r="M1177"/>
  <c r="O1176"/>
  <c r="N1176"/>
  <c r="M1176"/>
  <c r="N1175"/>
  <c r="O1175" s="1"/>
  <c r="M1175"/>
  <c r="N1174"/>
  <c r="O1174" s="1"/>
  <c r="M1174"/>
  <c r="N1173"/>
  <c r="O1173" s="1"/>
  <c r="M1173"/>
  <c r="O1172"/>
  <c r="N1172"/>
  <c r="M1172"/>
  <c r="O1171"/>
  <c r="N1171"/>
  <c r="M1171"/>
  <c r="N1170"/>
  <c r="O1170" s="1"/>
  <c r="M1170"/>
  <c r="N1169"/>
  <c r="O1169" s="1"/>
  <c r="M1169"/>
  <c r="O1168"/>
  <c r="N1168"/>
  <c r="M1168"/>
  <c r="N1167"/>
  <c r="O1167" s="1"/>
  <c r="M1167"/>
  <c r="N1166"/>
  <c r="O1166" s="1"/>
  <c r="M1166"/>
  <c r="N1165"/>
  <c r="O1165" s="1"/>
  <c r="M1165"/>
  <c r="O1164"/>
  <c r="N1164"/>
  <c r="M1164"/>
  <c r="O1163"/>
  <c r="N1163"/>
  <c r="M1163"/>
  <c r="N1162"/>
  <c r="O1162" s="1"/>
  <c r="M1162"/>
  <c r="N1161"/>
  <c r="O1161" s="1"/>
  <c r="M1161"/>
  <c r="O1160"/>
  <c r="N1160"/>
  <c r="M1160"/>
  <c r="N1159"/>
  <c r="O1159" s="1"/>
  <c r="M1159"/>
  <c r="N1158"/>
  <c r="O1158" s="1"/>
  <c r="M1158"/>
  <c r="N1157"/>
  <c r="O1157" s="1"/>
  <c r="M1157"/>
  <c r="O1156"/>
  <c r="N1156"/>
  <c r="M1156"/>
  <c r="O1155"/>
  <c r="N1155"/>
  <c r="M1155"/>
  <c r="N1154"/>
  <c r="O1154" s="1"/>
  <c r="M1154"/>
  <c r="N1153"/>
  <c r="O1153" s="1"/>
  <c r="M1153"/>
  <c r="O1152"/>
  <c r="N1152"/>
  <c r="M1152"/>
  <c r="N1151"/>
  <c r="O1151" s="1"/>
  <c r="M1151"/>
  <c r="N1150"/>
  <c r="O1150" s="1"/>
  <c r="M1150"/>
  <c r="N1149"/>
  <c r="O1149" s="1"/>
  <c r="M1149"/>
  <c r="O1148"/>
  <c r="N1148"/>
  <c r="M1148"/>
  <c r="O1147"/>
  <c r="N1147"/>
  <c r="M1147"/>
  <c r="N1146"/>
  <c r="O1146" s="1"/>
  <c r="M1146"/>
  <c r="N1145"/>
  <c r="O1145" s="1"/>
  <c r="M1145"/>
  <c r="O1144"/>
  <c r="N1144"/>
  <c r="M1144"/>
  <c r="N1143"/>
  <c r="O1143" s="1"/>
  <c r="M1143"/>
  <c r="N1142"/>
  <c r="O1142" s="1"/>
  <c r="M1142"/>
  <c r="N1141"/>
  <c r="O1141" s="1"/>
  <c r="M1141"/>
  <c r="O1140"/>
  <c r="N1140"/>
  <c r="M1140"/>
  <c r="O1139"/>
  <c r="N1139"/>
  <c r="M1139"/>
  <c r="N1138"/>
  <c r="O1138" s="1"/>
  <c r="M1138"/>
  <c r="N1137"/>
  <c r="O1137" s="1"/>
  <c r="M1137"/>
  <c r="O1136"/>
  <c r="N1136"/>
  <c r="M1136"/>
  <c r="N1135"/>
  <c r="O1135" s="1"/>
  <c r="M1135"/>
  <c r="N1134"/>
  <c r="O1134" s="1"/>
  <c r="M1134"/>
  <c r="N1133"/>
  <c r="O1133" s="1"/>
  <c r="M1133"/>
  <c r="O1132"/>
  <c r="N1132"/>
  <c r="M1132"/>
  <c r="O1131"/>
  <c r="N1131"/>
  <c r="M1131"/>
  <c r="N1130"/>
  <c r="O1130" s="1"/>
  <c r="M1130"/>
  <c r="N1129"/>
  <c r="O1129" s="1"/>
  <c r="M1129"/>
  <c r="O1128"/>
  <c r="N1128"/>
  <c r="M1128"/>
  <c r="N1127"/>
  <c r="O1127" s="1"/>
  <c r="M1127"/>
  <c r="N1126"/>
  <c r="O1126" s="1"/>
  <c r="M1126"/>
  <c r="N1125"/>
  <c r="M1125"/>
  <c r="O1125" s="1"/>
  <c r="O1124"/>
  <c r="N1124"/>
  <c r="M1124"/>
  <c r="O1123"/>
  <c r="N1123"/>
  <c r="M1123"/>
  <c r="N1122"/>
  <c r="O1122" s="1"/>
  <c r="M1122"/>
  <c r="N1121"/>
  <c r="M1121"/>
  <c r="O1121" s="1"/>
  <c r="O1120"/>
  <c r="N1120"/>
  <c r="M1120"/>
  <c r="N1119"/>
  <c r="O1119" s="1"/>
  <c r="M1119"/>
  <c r="N1118"/>
  <c r="O1118" s="1"/>
  <c r="M1118"/>
  <c r="N1117"/>
  <c r="O1117" s="1"/>
  <c r="M1117"/>
  <c r="O1116"/>
  <c r="N1116"/>
  <c r="M1116"/>
  <c r="O1115"/>
  <c r="N1115"/>
  <c r="M1115"/>
  <c r="N1114"/>
  <c r="O1114" s="1"/>
  <c r="M1114"/>
  <c r="N1113"/>
  <c r="O1113" s="1"/>
  <c r="M1113"/>
  <c r="O1112"/>
  <c r="N1112"/>
  <c r="M1112"/>
  <c r="N1111"/>
  <c r="O1111" s="1"/>
  <c r="M1111"/>
  <c r="N1110"/>
  <c r="O1110" s="1"/>
  <c r="M1110"/>
  <c r="O1109"/>
  <c r="N1109"/>
  <c r="M1109"/>
  <c r="N1108"/>
  <c r="O1108" s="1"/>
  <c r="M1108"/>
  <c r="N1107"/>
  <c r="M1107"/>
  <c r="O1107" s="1"/>
  <c r="O1106"/>
  <c r="N1106"/>
  <c r="M1106"/>
  <c r="O1105"/>
  <c r="N1105"/>
  <c r="M1105"/>
  <c r="N1104"/>
  <c r="O1104" s="1"/>
  <c r="M1104"/>
  <c r="N1103"/>
  <c r="M1103"/>
  <c r="O1103" s="1"/>
  <c r="O1102"/>
  <c r="N1102"/>
  <c r="M1102"/>
  <c r="O1101"/>
  <c r="N1101"/>
  <c r="M1101"/>
  <c r="N1100"/>
  <c r="O1100" s="1"/>
  <c r="M1100"/>
  <c r="N1099"/>
  <c r="M1099"/>
  <c r="O1099" s="1"/>
  <c r="O1098"/>
  <c r="N1098"/>
  <c r="M1098"/>
  <c r="O1097"/>
  <c r="N1097"/>
  <c r="M1097"/>
  <c r="N1096"/>
  <c r="O1096" s="1"/>
  <c r="M1096"/>
  <c r="N1095"/>
  <c r="M1095"/>
  <c r="O1095" s="1"/>
  <c r="O1094"/>
  <c r="N1094"/>
  <c r="M1094"/>
  <c r="O1093"/>
  <c r="N1093"/>
  <c r="M1093"/>
  <c r="N1092"/>
  <c r="O1092" s="1"/>
  <c r="M1092"/>
  <c r="N1091"/>
  <c r="M1091"/>
  <c r="O1091" s="1"/>
  <c r="O1090"/>
  <c r="N1090"/>
  <c r="M1090"/>
  <c r="O1089"/>
  <c r="N1089"/>
  <c r="M1089"/>
  <c r="N1088"/>
  <c r="O1088" s="1"/>
  <c r="M1088"/>
  <c r="N1087"/>
  <c r="M1087"/>
  <c r="O1087" s="1"/>
  <c r="O1086"/>
  <c r="N1086"/>
  <c r="M1086"/>
  <c r="O1085"/>
  <c r="N1085"/>
  <c r="M1085"/>
  <c r="N1084"/>
  <c r="O1084" s="1"/>
  <c r="M1084"/>
  <c r="N1083"/>
  <c r="M1083"/>
  <c r="O1083" s="1"/>
  <c r="O1082"/>
  <c r="N1082"/>
  <c r="M1082"/>
  <c r="O1081"/>
  <c r="N1081"/>
  <c r="M1081"/>
  <c r="N1080"/>
  <c r="O1080" s="1"/>
  <c r="M1080"/>
  <c r="N1079"/>
  <c r="M1079"/>
  <c r="O1079" s="1"/>
  <c r="O1078"/>
  <c r="N1078"/>
  <c r="M1078"/>
  <c r="O1077"/>
  <c r="N1077"/>
  <c r="M1077"/>
  <c r="N1076"/>
  <c r="O1076" s="1"/>
  <c r="M1076"/>
  <c r="N1075"/>
  <c r="M1075"/>
  <c r="O1075" s="1"/>
  <c r="O1074"/>
  <c r="N1074"/>
  <c r="M1074"/>
  <c r="O1073"/>
  <c r="N1073"/>
  <c r="M1073"/>
  <c r="N1072"/>
  <c r="O1072" s="1"/>
  <c r="M1072"/>
  <c r="N1071"/>
  <c r="O1071" s="1"/>
  <c r="M1071"/>
  <c r="O1070"/>
  <c r="N1070"/>
  <c r="M1070"/>
  <c r="O1069"/>
  <c r="N1069"/>
  <c r="M1069"/>
  <c r="N1068"/>
  <c r="O1068" s="1"/>
  <c r="M1068"/>
  <c r="N1067"/>
  <c r="M1067"/>
  <c r="O1067" s="1"/>
  <c r="O1066"/>
  <c r="N1066"/>
  <c r="M1066"/>
  <c r="O1065"/>
  <c r="N1065"/>
  <c r="M1065"/>
  <c r="N1064"/>
  <c r="O1064" s="1"/>
  <c r="M1064"/>
  <c r="N1063"/>
  <c r="M1063"/>
  <c r="O1063" s="1"/>
  <c r="O1062"/>
  <c r="N1062"/>
  <c r="M1062"/>
  <c r="O1061"/>
  <c r="N1061"/>
  <c r="M1061"/>
  <c r="N1060"/>
  <c r="O1060" s="1"/>
  <c r="M1060"/>
  <c r="N1059"/>
  <c r="O1059" s="1"/>
  <c r="M1059"/>
  <c r="O1058"/>
  <c r="N1058"/>
  <c r="M1058"/>
  <c r="O1057"/>
  <c r="N1057"/>
  <c r="M1057"/>
  <c r="N1056"/>
  <c r="O1056" s="1"/>
  <c r="M1056"/>
  <c r="N1055"/>
  <c r="O1055" s="1"/>
  <c r="M1055"/>
  <c r="O1054"/>
  <c r="N1054"/>
  <c r="M1054"/>
  <c r="O1053"/>
  <c r="N1053"/>
  <c r="M1053"/>
  <c r="N1052"/>
  <c r="O1052" s="1"/>
  <c r="M1052"/>
  <c r="N1051"/>
  <c r="O1051" s="1"/>
  <c r="M1051"/>
  <c r="O1050"/>
  <c r="N1050"/>
  <c r="M1050"/>
  <c r="O1049"/>
  <c r="N1049"/>
  <c r="M1049"/>
  <c r="N1048"/>
  <c r="O1048" s="1"/>
  <c r="M1048"/>
  <c r="N1047"/>
  <c r="O1047" s="1"/>
  <c r="M1047"/>
  <c r="O1046"/>
  <c r="N1046"/>
  <c r="M1046"/>
  <c r="O1045"/>
  <c r="N1045"/>
  <c r="M1045"/>
  <c r="N1044"/>
  <c r="O1044" s="1"/>
  <c r="M1044"/>
  <c r="N1043"/>
  <c r="O1043" s="1"/>
  <c r="M1043"/>
  <c r="O1042"/>
  <c r="N1042"/>
  <c r="M1042"/>
  <c r="O1041"/>
  <c r="N1041"/>
  <c r="M1041"/>
  <c r="N1040"/>
  <c r="O1040" s="1"/>
  <c r="M1040"/>
  <c r="N1039"/>
  <c r="O1039" s="1"/>
  <c r="M1039"/>
  <c r="O1038"/>
  <c r="N1038"/>
  <c r="M1038"/>
  <c r="O1037"/>
  <c r="N1037"/>
  <c r="M1037"/>
  <c r="N1036"/>
  <c r="O1036" s="1"/>
  <c r="M1036"/>
  <c r="N1035"/>
  <c r="O1035" s="1"/>
  <c r="M1035"/>
  <c r="O1034"/>
  <c r="N1034"/>
  <c r="M1034"/>
  <c r="O1033"/>
  <c r="N1033"/>
  <c r="M1033"/>
  <c r="N1032"/>
  <c r="O1032" s="1"/>
  <c r="M1032"/>
  <c r="N1031"/>
  <c r="O1031" s="1"/>
  <c r="M1031"/>
  <c r="O1030"/>
  <c r="N1030"/>
  <c r="M1030"/>
  <c r="O1029"/>
  <c r="N1029"/>
  <c r="M1029"/>
  <c r="N1028"/>
  <c r="O1028" s="1"/>
  <c r="M1028"/>
  <c r="N1027"/>
  <c r="M1027"/>
  <c r="O1027" s="1"/>
  <c r="O1026"/>
  <c r="N1026"/>
  <c r="M1026"/>
  <c r="O1025"/>
  <c r="N1025"/>
  <c r="M1025"/>
  <c r="N1024"/>
  <c r="O1024" s="1"/>
  <c r="M1024"/>
  <c r="N1023"/>
  <c r="O1023" s="1"/>
  <c r="M1023"/>
  <c r="O1022"/>
  <c r="N1022"/>
  <c r="M1022"/>
  <c r="O1021"/>
  <c r="N1021"/>
  <c r="M1021"/>
  <c r="N1020"/>
  <c r="O1020" s="1"/>
  <c r="M1020"/>
  <c r="N1019"/>
  <c r="O1019" s="1"/>
  <c r="M1019"/>
  <c r="O1018"/>
  <c r="N1018"/>
  <c r="M1018"/>
  <c r="O1017"/>
  <c r="N1017"/>
  <c r="M1017"/>
  <c r="N1016"/>
  <c r="O1016" s="1"/>
  <c r="M1016"/>
  <c r="N1015"/>
  <c r="O1015" s="1"/>
  <c r="M1015"/>
  <c r="O1014"/>
  <c r="N1014"/>
  <c r="M1014"/>
  <c r="O1013"/>
  <c r="N1013"/>
  <c r="M1013"/>
  <c r="N1012"/>
  <c r="O1012" s="1"/>
  <c r="M1012"/>
  <c r="N1011"/>
  <c r="O1011" s="1"/>
  <c r="M1011"/>
  <c r="O1010"/>
  <c r="N1010"/>
  <c r="M1010"/>
  <c r="O1009"/>
  <c r="N1009"/>
  <c r="M1009"/>
  <c r="N1008"/>
  <c r="O1008" s="1"/>
  <c r="M1008"/>
  <c r="N1007"/>
  <c r="O1007" s="1"/>
  <c r="M1007"/>
  <c r="O1006"/>
  <c r="N1006"/>
  <c r="M1006"/>
  <c r="O1005"/>
  <c r="N1005"/>
  <c r="M1005"/>
  <c r="N1004"/>
  <c r="O1004" s="1"/>
  <c r="M1004"/>
  <c r="N1003"/>
  <c r="O1003" s="1"/>
  <c r="M1003"/>
  <c r="O1002"/>
  <c r="N1002"/>
  <c r="M1002"/>
  <c r="O1001"/>
  <c r="N1001"/>
  <c r="M1001"/>
  <c r="N1000"/>
  <c r="O1000" s="1"/>
  <c r="M1000"/>
  <c r="N999"/>
  <c r="O999" s="1"/>
  <c r="M999"/>
  <c r="O998"/>
  <c r="N998"/>
  <c r="M998"/>
  <c r="O997"/>
  <c r="N997"/>
  <c r="M997"/>
  <c r="N996"/>
  <c r="O996" s="1"/>
  <c r="M996"/>
  <c r="N995"/>
  <c r="O995" s="1"/>
  <c r="M995"/>
  <c r="O994"/>
  <c r="N994"/>
  <c r="M994"/>
  <c r="O993"/>
  <c r="N993"/>
  <c r="M993"/>
  <c r="N992"/>
  <c r="O992" s="1"/>
  <c r="M992"/>
  <c r="N991"/>
  <c r="O991" s="1"/>
  <c r="M991"/>
  <c r="O990"/>
  <c r="N990"/>
  <c r="M990"/>
  <c r="O989"/>
  <c r="N989"/>
  <c r="M989"/>
  <c r="N988"/>
  <c r="O988" s="1"/>
  <c r="M988"/>
  <c r="N987"/>
  <c r="O987" s="1"/>
  <c r="M987"/>
  <c r="O986"/>
  <c r="N986"/>
  <c r="M986"/>
  <c r="O985"/>
  <c r="N985"/>
  <c r="M985"/>
  <c r="N984"/>
  <c r="O984" s="1"/>
  <c r="M984"/>
  <c r="N983"/>
  <c r="O983" s="1"/>
  <c r="M983"/>
  <c r="O982"/>
  <c r="N982"/>
  <c r="M982"/>
  <c r="O981"/>
  <c r="N981"/>
  <c r="M981"/>
  <c r="N980"/>
  <c r="O980" s="1"/>
  <c r="M980"/>
  <c r="N979"/>
  <c r="O979" s="1"/>
  <c r="M979"/>
  <c r="O978"/>
  <c r="N978"/>
  <c r="M978"/>
  <c r="O977"/>
  <c r="N977"/>
  <c r="M977"/>
  <c r="N976"/>
  <c r="O976" s="1"/>
  <c r="M976"/>
  <c r="N975"/>
  <c r="O975" s="1"/>
  <c r="M975"/>
  <c r="O974"/>
  <c r="N974"/>
  <c r="M974"/>
  <c r="O973"/>
  <c r="N973"/>
  <c r="M973"/>
  <c r="N972"/>
  <c r="O972" s="1"/>
  <c r="M972"/>
  <c r="N971"/>
  <c r="O971" s="1"/>
  <c r="M971"/>
  <c r="O970"/>
  <c r="N970"/>
  <c r="M970"/>
  <c r="O969"/>
  <c r="N969"/>
  <c r="M969"/>
  <c r="N968"/>
  <c r="O968" s="1"/>
  <c r="M968"/>
  <c r="N967"/>
  <c r="O967" s="1"/>
  <c r="M967"/>
  <c r="O966"/>
  <c r="N966"/>
  <c r="M966"/>
  <c r="O965"/>
  <c r="N965"/>
  <c r="M965"/>
  <c r="N964"/>
  <c r="O964" s="1"/>
  <c r="M964"/>
  <c r="N963"/>
  <c r="O963" s="1"/>
  <c r="M963"/>
  <c r="O962"/>
  <c r="N962"/>
  <c r="M962"/>
  <c r="O961"/>
  <c r="N961"/>
  <c r="M961"/>
  <c r="N960"/>
  <c r="O960" s="1"/>
  <c r="M960"/>
  <c r="N959"/>
  <c r="O959" s="1"/>
  <c r="M959"/>
  <c r="O958"/>
  <c r="N958"/>
  <c r="M958"/>
  <c r="O957"/>
  <c r="N957"/>
  <c r="M957"/>
  <c r="N956"/>
  <c r="O956" s="1"/>
  <c r="M956"/>
  <c r="N955"/>
  <c r="O955" s="1"/>
  <c r="M955"/>
  <c r="O954"/>
  <c r="N954"/>
  <c r="M954"/>
  <c r="O953"/>
  <c r="N953"/>
  <c r="M953"/>
  <c r="N952"/>
  <c r="O952" s="1"/>
  <c r="M952"/>
  <c r="N951"/>
  <c r="O951" s="1"/>
  <c r="M951"/>
  <c r="O950"/>
  <c r="N950"/>
  <c r="M950"/>
  <c r="O949"/>
  <c r="N949"/>
  <c r="M949"/>
  <c r="N948"/>
  <c r="O948" s="1"/>
  <c r="M948"/>
  <c r="N947"/>
  <c r="O947" s="1"/>
  <c r="M947"/>
  <c r="O946"/>
  <c r="N946"/>
  <c r="M946"/>
  <c r="O945"/>
  <c r="N945"/>
  <c r="M945"/>
  <c r="N944"/>
  <c r="O944" s="1"/>
  <c r="M944"/>
  <c r="N943"/>
  <c r="O943" s="1"/>
  <c r="M943"/>
  <c r="O942"/>
  <c r="N942"/>
  <c r="M942"/>
  <c r="O941"/>
  <c r="N941"/>
  <c r="M941"/>
  <c r="N940"/>
  <c r="O940" s="1"/>
  <c r="M940"/>
  <c r="N939"/>
  <c r="O939" s="1"/>
  <c r="M939"/>
  <c r="O938"/>
  <c r="N938"/>
  <c r="M938"/>
  <c r="O937"/>
  <c r="N937"/>
  <c r="M937"/>
  <c r="N936"/>
  <c r="O936" s="1"/>
  <c r="M936"/>
  <c r="N935"/>
  <c r="O935" s="1"/>
  <c r="M935"/>
  <c r="O934"/>
  <c r="N934"/>
  <c r="M934"/>
  <c r="O933"/>
  <c r="N933"/>
  <c r="M933"/>
  <c r="N932"/>
  <c r="O932" s="1"/>
  <c r="M932"/>
  <c r="N931"/>
  <c r="O931" s="1"/>
  <c r="M931"/>
  <c r="O930"/>
  <c r="N930"/>
  <c r="M930"/>
  <c r="O929"/>
  <c r="N929"/>
  <c r="M929"/>
  <c r="N928"/>
  <c r="O928" s="1"/>
  <c r="M928"/>
  <c r="N927"/>
  <c r="O927" s="1"/>
  <c r="M927"/>
  <c r="O926"/>
  <c r="N926"/>
  <c r="M926"/>
  <c r="O925"/>
  <c r="N925"/>
  <c r="M925"/>
  <c r="N924"/>
  <c r="O924" s="1"/>
  <c r="M924"/>
  <c r="N923"/>
  <c r="O923" s="1"/>
  <c r="M923"/>
  <c r="O922"/>
  <c r="N922"/>
  <c r="M922"/>
  <c r="O921"/>
  <c r="N921"/>
  <c r="M921"/>
  <c r="N920"/>
  <c r="O920" s="1"/>
  <c r="M920"/>
  <c r="N919"/>
  <c r="O919" s="1"/>
  <c r="M919"/>
  <c r="O918"/>
  <c r="N918"/>
  <c r="M918"/>
  <c r="O917"/>
  <c r="N917"/>
  <c r="M917"/>
  <c r="N916"/>
  <c r="O916" s="1"/>
  <c r="M916"/>
  <c r="N915"/>
  <c r="O915" s="1"/>
  <c r="M915"/>
  <c r="O914"/>
  <c r="N914"/>
  <c r="M914"/>
  <c r="O913"/>
  <c r="N913"/>
  <c r="M913"/>
  <c r="N912"/>
  <c r="O912" s="1"/>
  <c r="M912"/>
  <c r="N911"/>
  <c r="O911" s="1"/>
  <c r="M911"/>
  <c r="O910"/>
  <c r="N910"/>
  <c r="M910"/>
  <c r="O909"/>
  <c r="N909"/>
  <c r="M909"/>
  <c r="N908"/>
  <c r="O908" s="1"/>
  <c r="M908"/>
  <c r="N907"/>
  <c r="O907" s="1"/>
  <c r="M907"/>
  <c r="O906"/>
  <c r="N906"/>
  <c r="M906"/>
  <c r="O905"/>
  <c r="N905"/>
  <c r="M905"/>
  <c r="N904"/>
  <c r="O904" s="1"/>
  <c r="M904"/>
  <c r="N903"/>
  <c r="O903" s="1"/>
  <c r="M903"/>
  <c r="O902"/>
  <c r="N902"/>
  <c r="M902"/>
  <c r="O901"/>
  <c r="N901"/>
  <c r="M901"/>
  <c r="N900"/>
  <c r="O900" s="1"/>
  <c r="M900"/>
  <c r="N899"/>
  <c r="O899" s="1"/>
  <c r="M899"/>
  <c r="O898"/>
  <c r="N898"/>
  <c r="M898"/>
  <c r="O897"/>
  <c r="N897"/>
  <c r="M897"/>
  <c r="N896"/>
  <c r="O896" s="1"/>
  <c r="M896"/>
  <c r="N895"/>
  <c r="O895" s="1"/>
  <c r="M895"/>
  <c r="O894"/>
  <c r="N894"/>
  <c r="M894"/>
  <c r="O893"/>
  <c r="N893"/>
  <c r="M893"/>
  <c r="N892"/>
  <c r="O892" s="1"/>
  <c r="M892"/>
  <c r="N891"/>
  <c r="O891" s="1"/>
  <c r="M891"/>
  <c r="O890"/>
  <c r="N890"/>
  <c r="M890"/>
  <c r="O889"/>
  <c r="N889"/>
  <c r="M889"/>
  <c r="N888"/>
  <c r="O888" s="1"/>
  <c r="M888"/>
  <c r="N887"/>
  <c r="O887" s="1"/>
  <c r="M887"/>
  <c r="O886"/>
  <c r="N886"/>
  <c r="M886"/>
  <c r="O885"/>
  <c r="N885"/>
  <c r="M885"/>
  <c r="N884"/>
  <c r="O884" s="1"/>
  <c r="M884"/>
  <c r="N883"/>
  <c r="O883" s="1"/>
  <c r="M883"/>
  <c r="O882"/>
  <c r="N882"/>
  <c r="M882"/>
  <c r="O881"/>
  <c r="N881"/>
  <c r="M881"/>
  <c r="N880"/>
  <c r="O880" s="1"/>
  <c r="M880"/>
  <c r="N879"/>
  <c r="O879" s="1"/>
  <c r="M879"/>
  <c r="O878"/>
  <c r="N878"/>
  <c r="M878"/>
  <c r="O877"/>
  <c r="N877"/>
  <c r="M877"/>
  <c r="N876"/>
  <c r="O876" s="1"/>
  <c r="M876"/>
  <c r="N875"/>
  <c r="O875" s="1"/>
  <c r="M875"/>
  <c r="O874"/>
  <c r="N874"/>
  <c r="M874"/>
  <c r="O873"/>
  <c r="N873"/>
  <c r="M873"/>
  <c r="N872"/>
  <c r="O872" s="1"/>
  <c r="M872"/>
  <c r="N871"/>
  <c r="O871" s="1"/>
  <c r="M871"/>
  <c r="O870"/>
  <c r="N870"/>
  <c r="M870"/>
  <c r="O869"/>
  <c r="N869"/>
  <c r="M869"/>
  <c r="N868"/>
  <c r="O868" s="1"/>
  <c r="M868"/>
  <c r="N867"/>
  <c r="O867" s="1"/>
  <c r="M867"/>
  <c r="O866"/>
  <c r="N866"/>
  <c r="M866"/>
  <c r="O865"/>
  <c r="N865"/>
  <c r="M865"/>
  <c r="N864"/>
  <c r="O864" s="1"/>
  <c r="M864"/>
  <c r="N863"/>
  <c r="O863" s="1"/>
  <c r="M863"/>
  <c r="O862"/>
  <c r="N862"/>
  <c r="M862"/>
  <c r="O861"/>
  <c r="N861"/>
  <c r="M861"/>
  <c r="N860"/>
  <c r="O860" s="1"/>
  <c r="M860"/>
  <c r="N859"/>
  <c r="O859" s="1"/>
  <c r="M859"/>
  <c r="O858"/>
  <c r="N858"/>
  <c r="M858"/>
  <c r="O857"/>
  <c r="N857"/>
  <c r="M857"/>
  <c r="N856"/>
  <c r="O856" s="1"/>
  <c r="M856"/>
  <c r="N855"/>
  <c r="O855" s="1"/>
  <c r="M855"/>
  <c r="O854"/>
  <c r="N854"/>
  <c r="M854"/>
  <c r="O853"/>
  <c r="N853"/>
  <c r="M853"/>
  <c r="N852"/>
  <c r="O852" s="1"/>
  <c r="M852"/>
  <c r="N851"/>
  <c r="O851" s="1"/>
  <c r="M851"/>
  <c r="O850"/>
  <c r="N850"/>
  <c r="M850"/>
  <c r="O849"/>
  <c r="N849"/>
  <c r="M849"/>
  <c r="N848"/>
  <c r="O848" s="1"/>
  <c r="M848"/>
  <c r="N847"/>
  <c r="O847" s="1"/>
  <c r="M847"/>
  <c r="O846"/>
  <c r="N846"/>
  <c r="M846"/>
  <c r="O845"/>
  <c r="N845"/>
  <c r="M845"/>
  <c r="N844"/>
  <c r="O844" s="1"/>
  <c r="M844"/>
  <c r="N843"/>
  <c r="O843" s="1"/>
  <c r="M843"/>
  <c r="O842"/>
  <c r="N842"/>
  <c r="M842"/>
  <c r="O841"/>
  <c r="N841"/>
  <c r="M841"/>
  <c r="N840"/>
  <c r="O840" s="1"/>
  <c r="M840"/>
  <c r="N839"/>
  <c r="O839" s="1"/>
  <c r="M839"/>
  <c r="O838"/>
  <c r="N838"/>
  <c r="M838"/>
  <c r="O837"/>
  <c r="N837"/>
  <c r="M837"/>
  <c r="N836"/>
  <c r="O836" s="1"/>
  <c r="M836"/>
  <c r="N835"/>
  <c r="O835" s="1"/>
  <c r="M835"/>
  <c r="O834"/>
  <c r="N834"/>
  <c r="M834"/>
  <c r="O833"/>
  <c r="N833"/>
  <c r="M833"/>
  <c r="N832"/>
  <c r="O832" s="1"/>
  <c r="M832"/>
  <c r="N831"/>
  <c r="O831" s="1"/>
  <c r="M831"/>
  <c r="O830"/>
  <c r="N830"/>
  <c r="M830"/>
  <c r="O829"/>
  <c r="N829"/>
  <c r="M829"/>
  <c r="N828"/>
  <c r="O828" s="1"/>
  <c r="M828"/>
  <c r="N827"/>
  <c r="O827" s="1"/>
  <c r="M827"/>
  <c r="O826"/>
  <c r="N826"/>
  <c r="M826"/>
  <c r="O825"/>
  <c r="N825"/>
  <c r="M825"/>
  <c r="N824"/>
  <c r="O824" s="1"/>
  <c r="M824"/>
  <c r="N823"/>
  <c r="O823" s="1"/>
  <c r="M823"/>
  <c r="O822"/>
  <c r="N822"/>
  <c r="M822"/>
  <c r="O821"/>
  <c r="N821"/>
  <c r="M821"/>
  <c r="N820"/>
  <c r="O820" s="1"/>
  <c r="M820"/>
  <c r="N819"/>
  <c r="O819" s="1"/>
  <c r="M819"/>
  <c r="O818"/>
  <c r="N818"/>
  <c r="M818"/>
  <c r="O817"/>
  <c r="N817"/>
  <c r="M817"/>
  <c r="N816"/>
  <c r="O816" s="1"/>
  <c r="M816"/>
  <c r="N815"/>
  <c r="O815" s="1"/>
  <c r="M815"/>
  <c r="O814"/>
  <c r="N814"/>
  <c r="M814"/>
  <c r="O813"/>
  <c r="N813"/>
  <c r="M813"/>
  <c r="N812"/>
  <c r="O812" s="1"/>
  <c r="M812"/>
  <c r="N811"/>
  <c r="O811" s="1"/>
  <c r="M811"/>
  <c r="O810"/>
  <c r="N810"/>
  <c r="M810"/>
  <c r="O809"/>
  <c r="N809"/>
  <c r="M809"/>
  <c r="N808"/>
  <c r="O808" s="1"/>
  <c r="M808"/>
  <c r="N807"/>
  <c r="O807" s="1"/>
  <c r="M807"/>
  <c r="O806"/>
  <c r="N806"/>
  <c r="M806"/>
  <c r="O805"/>
  <c r="N805"/>
  <c r="M805"/>
  <c r="N804"/>
  <c r="O804" s="1"/>
  <c r="M804"/>
  <c r="N803"/>
  <c r="O803" s="1"/>
  <c r="M803"/>
  <c r="O802"/>
  <c r="N802"/>
  <c r="M802"/>
  <c r="O801"/>
  <c r="N801"/>
  <c r="M801"/>
  <c r="N800"/>
  <c r="O800" s="1"/>
  <c r="M800"/>
  <c r="N799"/>
  <c r="O799" s="1"/>
  <c r="M799"/>
  <c r="O798"/>
  <c r="N798"/>
  <c r="M798"/>
  <c r="O797"/>
  <c r="N797"/>
  <c r="M797"/>
  <c r="N796"/>
  <c r="O796" s="1"/>
  <c r="M796"/>
  <c r="N795"/>
  <c r="O795" s="1"/>
  <c r="M795"/>
  <c r="O794"/>
  <c r="N794"/>
  <c r="M794"/>
  <c r="O793"/>
  <c r="N793"/>
  <c r="M793"/>
  <c r="N792"/>
  <c r="O792" s="1"/>
  <c r="M792"/>
  <c r="N791"/>
  <c r="O791" s="1"/>
  <c r="M791"/>
  <c r="O790"/>
  <c r="N790"/>
  <c r="M790"/>
  <c r="O789"/>
  <c r="N789"/>
  <c r="M789"/>
  <c r="N788"/>
  <c r="O788" s="1"/>
  <c r="M788"/>
  <c r="N787"/>
  <c r="O787" s="1"/>
  <c r="M787"/>
  <c r="O786"/>
  <c r="N786"/>
  <c r="M786"/>
  <c r="O785"/>
  <c r="N785"/>
  <c r="M785"/>
  <c r="N784"/>
  <c r="O784" s="1"/>
  <c r="M784"/>
  <c r="N783"/>
  <c r="O783" s="1"/>
  <c r="M783"/>
  <c r="O782"/>
  <c r="N782"/>
  <c r="M782"/>
  <c r="O781"/>
  <c r="N781"/>
  <c r="M781"/>
  <c r="N780"/>
  <c r="O780" s="1"/>
  <c r="M780"/>
  <c r="N779"/>
  <c r="O779" s="1"/>
  <c r="M779"/>
  <c r="O778"/>
  <c r="N778"/>
  <c r="M778"/>
  <c r="O777"/>
  <c r="N777"/>
  <c r="M777"/>
  <c r="N776"/>
  <c r="O776" s="1"/>
  <c r="M776"/>
  <c r="N775"/>
  <c r="O775" s="1"/>
  <c r="M775"/>
  <c r="O774"/>
  <c r="N774"/>
  <c r="M774"/>
  <c r="O773"/>
  <c r="N773"/>
  <c r="M773"/>
  <c r="N772"/>
  <c r="O772" s="1"/>
  <c r="M772"/>
  <c r="N771"/>
  <c r="O771" s="1"/>
  <c r="M771"/>
  <c r="O770"/>
  <c r="N770"/>
  <c r="M770"/>
  <c r="O769"/>
  <c r="N769"/>
  <c r="M769"/>
  <c r="N768"/>
  <c r="O768" s="1"/>
  <c r="M768"/>
  <c r="N767"/>
  <c r="O767" s="1"/>
  <c r="M767"/>
  <c r="O766"/>
  <c r="N766"/>
  <c r="M766"/>
  <c r="O765"/>
  <c r="N765"/>
  <c r="M765"/>
  <c r="N764"/>
  <c r="O764" s="1"/>
  <c r="M764"/>
  <c r="N763"/>
  <c r="O763" s="1"/>
  <c r="M763"/>
  <c r="O762"/>
  <c r="N762"/>
  <c r="M762"/>
  <c r="O761"/>
  <c r="N761"/>
  <c r="M761"/>
  <c r="N760"/>
  <c r="O760" s="1"/>
  <c r="M760"/>
  <c r="N759"/>
  <c r="O759" s="1"/>
  <c r="M759"/>
  <c r="O758"/>
  <c r="N758"/>
  <c r="M758"/>
  <c r="O757"/>
  <c r="N757"/>
  <c r="M757"/>
  <c r="N756"/>
  <c r="O756" s="1"/>
  <c r="M756"/>
  <c r="N755"/>
  <c r="O755" s="1"/>
  <c r="M755"/>
  <c r="O754"/>
  <c r="N754"/>
  <c r="M754"/>
  <c r="O753"/>
  <c r="N753"/>
  <c r="M753"/>
  <c r="N752"/>
  <c r="O752" s="1"/>
  <c r="M752"/>
  <c r="N751"/>
  <c r="O751" s="1"/>
  <c r="M751"/>
  <c r="O750"/>
  <c r="N750"/>
  <c r="M750"/>
  <c r="O749"/>
  <c r="N749"/>
  <c r="M749"/>
  <c r="N748"/>
  <c r="O748" s="1"/>
  <c r="M748"/>
  <c r="N747"/>
  <c r="O747" s="1"/>
  <c r="M747"/>
  <c r="O746"/>
  <c r="N746"/>
  <c r="M746"/>
  <c r="O745"/>
  <c r="N745"/>
  <c r="M745"/>
  <c r="N744"/>
  <c r="O744" s="1"/>
  <c r="M744"/>
  <c r="N743"/>
  <c r="O743" s="1"/>
  <c r="M743"/>
  <c r="O742"/>
  <c r="N742"/>
  <c r="M742"/>
  <c r="O741"/>
  <c r="N741"/>
  <c r="M741"/>
  <c r="N740"/>
  <c r="O740" s="1"/>
  <c r="M740"/>
  <c r="N739"/>
  <c r="O739" s="1"/>
  <c r="M739"/>
  <c r="O738"/>
  <c r="N738"/>
  <c r="M738"/>
  <c r="O737"/>
  <c r="N737"/>
  <c r="M737"/>
  <c r="N736"/>
  <c r="O736" s="1"/>
  <c r="M736"/>
  <c r="N735"/>
  <c r="O735" s="1"/>
  <c r="M735"/>
  <c r="O734"/>
  <c r="N734"/>
  <c r="M734"/>
  <c r="O733"/>
  <c r="N733"/>
  <c r="M733"/>
  <c r="N732"/>
  <c r="O732" s="1"/>
  <c r="M732"/>
  <c r="N731"/>
  <c r="O731" s="1"/>
  <c r="M731"/>
  <c r="O730"/>
  <c r="N730"/>
  <c r="M730"/>
  <c r="O729"/>
  <c r="N729"/>
  <c r="M729"/>
  <c r="N728"/>
  <c r="O728" s="1"/>
  <c r="M728"/>
  <c r="N727"/>
  <c r="O727" s="1"/>
  <c r="M727"/>
  <c r="O726"/>
  <c r="N726"/>
  <c r="M726"/>
  <c r="O725"/>
  <c r="N725"/>
  <c r="M725"/>
  <c r="N724"/>
  <c r="O724" s="1"/>
  <c r="M724"/>
  <c r="N723"/>
  <c r="O723" s="1"/>
  <c r="M723"/>
  <c r="O722"/>
  <c r="N722"/>
  <c r="M722"/>
  <c r="O721"/>
  <c r="N721"/>
  <c r="M721"/>
  <c r="N720"/>
  <c r="O720" s="1"/>
  <c r="M720"/>
  <c r="N719"/>
  <c r="O719" s="1"/>
  <c r="M719"/>
  <c r="O718"/>
  <c r="N718"/>
  <c r="M718"/>
  <c r="O717"/>
  <c r="N717"/>
  <c r="M717"/>
  <c r="N716"/>
  <c r="O716" s="1"/>
  <c r="M716"/>
  <c r="N715"/>
  <c r="O715" s="1"/>
  <c r="M715"/>
  <c r="O714"/>
  <c r="N714"/>
  <c r="M714"/>
  <c r="O713"/>
  <c r="N713"/>
  <c r="M713"/>
  <c r="N712"/>
  <c r="O712" s="1"/>
  <c r="M712"/>
  <c r="N711"/>
  <c r="O711" s="1"/>
  <c r="M711"/>
  <c r="O710"/>
  <c r="N710"/>
  <c r="M710"/>
  <c r="O709"/>
  <c r="N709"/>
  <c r="M709"/>
  <c r="N708"/>
  <c r="O708" s="1"/>
  <c r="M708"/>
  <c r="N707"/>
  <c r="O707" s="1"/>
  <c r="M707"/>
  <c r="O706"/>
  <c r="N706"/>
  <c r="M706"/>
  <c r="O705"/>
  <c r="N705"/>
  <c r="M705"/>
  <c r="N704"/>
  <c r="O704" s="1"/>
  <c r="M704"/>
  <c r="N703"/>
  <c r="O703" s="1"/>
  <c r="M703"/>
  <c r="O702"/>
  <c r="N702"/>
  <c r="M702"/>
  <c r="O701"/>
  <c r="N701"/>
  <c r="M701"/>
  <c r="N700"/>
  <c r="O700" s="1"/>
  <c r="M700"/>
  <c r="N699"/>
  <c r="O699" s="1"/>
  <c r="M699"/>
  <c r="O698"/>
  <c r="N698"/>
  <c r="M698"/>
  <c r="O697"/>
  <c r="N697"/>
  <c r="M697"/>
  <c r="N696"/>
  <c r="O696" s="1"/>
  <c r="M696"/>
  <c r="N695"/>
  <c r="O695" s="1"/>
  <c r="M695"/>
  <c r="O694"/>
  <c r="N694"/>
  <c r="M694"/>
  <c r="O693"/>
  <c r="N693"/>
  <c r="M693"/>
  <c r="N692"/>
  <c r="O692" s="1"/>
  <c r="M692"/>
  <c r="N691"/>
  <c r="O691" s="1"/>
  <c r="M691"/>
  <c r="O690"/>
  <c r="N690"/>
  <c r="M690"/>
  <c r="O689"/>
  <c r="N689"/>
  <c r="M689"/>
  <c r="N688"/>
  <c r="O688" s="1"/>
  <c r="M688"/>
  <c r="N687"/>
  <c r="O687" s="1"/>
  <c r="M687"/>
  <c r="O686"/>
  <c r="N686"/>
  <c r="M686"/>
  <c r="O685"/>
  <c r="N685"/>
  <c r="M685"/>
  <c r="N684"/>
  <c r="O684" s="1"/>
  <c r="M684"/>
  <c r="N683"/>
  <c r="O683" s="1"/>
  <c r="M683"/>
  <c r="O682"/>
  <c r="N682"/>
  <c r="M682"/>
  <c r="O681"/>
  <c r="N681"/>
  <c r="M681"/>
  <c r="N680"/>
  <c r="O680" s="1"/>
  <c r="M680"/>
  <c r="N679"/>
  <c r="O679" s="1"/>
  <c r="M679"/>
  <c r="O678"/>
  <c r="N678"/>
  <c r="M678"/>
  <c r="O677"/>
  <c r="N677"/>
  <c r="M677"/>
  <c r="N676"/>
  <c r="O676" s="1"/>
  <c r="M676"/>
  <c r="N675"/>
  <c r="O675" s="1"/>
  <c r="M675"/>
  <c r="O674"/>
  <c r="N674"/>
  <c r="M674"/>
  <c r="O673"/>
  <c r="N673"/>
  <c r="M673"/>
  <c r="N672"/>
  <c r="O672" s="1"/>
  <c r="M672"/>
  <c r="N671"/>
  <c r="O671" s="1"/>
  <c r="M671"/>
  <c r="O670"/>
  <c r="N670"/>
  <c r="M670"/>
  <c r="O669"/>
  <c r="N669"/>
  <c r="M669"/>
  <c r="N668"/>
  <c r="O668" s="1"/>
  <c r="M668"/>
  <c r="N667"/>
  <c r="O667" s="1"/>
  <c r="M667"/>
  <c r="O666"/>
  <c r="N666"/>
  <c r="M666"/>
  <c r="O665"/>
  <c r="N665"/>
  <c r="M665"/>
  <c r="N664"/>
  <c r="O664" s="1"/>
  <c r="M664"/>
  <c r="N663"/>
  <c r="O663" s="1"/>
  <c r="M663"/>
  <c r="O662"/>
  <c r="N662"/>
  <c r="M662"/>
  <c r="O661"/>
  <c r="N661"/>
  <c r="M661"/>
  <c r="N660"/>
  <c r="O660" s="1"/>
  <c r="M660"/>
  <c r="N659"/>
  <c r="O659" s="1"/>
  <c r="M659"/>
  <c r="O658"/>
  <c r="N658"/>
  <c r="M658"/>
  <c r="O657"/>
  <c r="N657"/>
  <c r="M657"/>
  <c r="N656"/>
  <c r="O656" s="1"/>
  <c r="M656"/>
  <c r="N655"/>
  <c r="O655" s="1"/>
  <c r="M655"/>
  <c r="O654"/>
  <c r="N654"/>
  <c r="M654"/>
  <c r="O653"/>
  <c r="N653"/>
  <c r="M653"/>
  <c r="N652"/>
  <c r="O652" s="1"/>
  <c r="M652"/>
  <c r="N651"/>
  <c r="O651" s="1"/>
  <c r="M651"/>
  <c r="O650"/>
  <c r="N650"/>
  <c r="M650"/>
  <c r="O649"/>
  <c r="N649"/>
  <c r="M649"/>
  <c r="N648"/>
  <c r="O648" s="1"/>
  <c r="M648"/>
  <c r="N647"/>
  <c r="O647" s="1"/>
  <c r="M647"/>
  <c r="O646"/>
  <c r="N646"/>
  <c r="M646"/>
  <c r="O645"/>
  <c r="N645"/>
  <c r="M645"/>
  <c r="N644"/>
  <c r="O644" s="1"/>
  <c r="M644"/>
  <c r="N643"/>
  <c r="O643" s="1"/>
  <c r="M643"/>
  <c r="O642"/>
  <c r="N642"/>
  <c r="M642"/>
  <c r="O641"/>
  <c r="N641"/>
  <c r="M641"/>
  <c r="N640"/>
  <c r="O640" s="1"/>
  <c r="M640"/>
  <c r="N639"/>
  <c r="O639" s="1"/>
  <c r="M639"/>
  <c r="O638"/>
  <c r="N638"/>
  <c r="M638"/>
  <c r="O637"/>
  <c r="N637"/>
  <c r="M637"/>
  <c r="N636"/>
  <c r="O636" s="1"/>
  <c r="M636"/>
  <c r="N635"/>
  <c r="O635" s="1"/>
  <c r="M635"/>
  <c r="O634"/>
  <c r="N634"/>
  <c r="M634"/>
  <c r="O633"/>
  <c r="N633"/>
  <c r="M633"/>
  <c r="N632"/>
  <c r="O632" s="1"/>
  <c r="M632"/>
  <c r="N631"/>
  <c r="O631" s="1"/>
  <c r="M631"/>
  <c r="O630"/>
  <c r="N630"/>
  <c r="M630"/>
  <c r="O629"/>
  <c r="N629"/>
  <c r="M629"/>
  <c r="N628"/>
  <c r="O628" s="1"/>
  <c r="M628"/>
  <c r="N627"/>
  <c r="O627" s="1"/>
  <c r="M627"/>
  <c r="O626"/>
  <c r="N626"/>
  <c r="M626"/>
  <c r="O625"/>
  <c r="N625"/>
  <c r="M625"/>
  <c r="N624"/>
  <c r="O624" s="1"/>
  <c r="M624"/>
  <c r="N623"/>
  <c r="O623" s="1"/>
  <c r="M623"/>
  <c r="O622"/>
  <c r="N622"/>
  <c r="M622"/>
  <c r="O621"/>
  <c r="N621"/>
  <c r="M621"/>
  <c r="N620"/>
  <c r="O620" s="1"/>
  <c r="M620"/>
  <c r="N619"/>
  <c r="O619" s="1"/>
  <c r="M619"/>
  <c r="O618"/>
  <c r="N618"/>
  <c r="M618"/>
  <c r="O617"/>
  <c r="N617"/>
  <c r="M617"/>
  <c r="N616"/>
  <c r="O616" s="1"/>
  <c r="M616"/>
  <c r="N615"/>
  <c r="O615" s="1"/>
  <c r="M615"/>
  <c r="O614"/>
  <c r="N614"/>
  <c r="M614"/>
  <c r="O613"/>
  <c r="N613"/>
  <c r="M613"/>
  <c r="N612"/>
  <c r="O612" s="1"/>
  <c r="M612"/>
  <c r="N611"/>
  <c r="O611" s="1"/>
  <c r="M611"/>
  <c r="O610"/>
  <c r="N610"/>
  <c r="M610"/>
  <c r="O609"/>
  <c r="N609"/>
  <c r="M609"/>
  <c r="N608"/>
  <c r="O608" s="1"/>
  <c r="M608"/>
  <c r="N607"/>
  <c r="O607" s="1"/>
  <c r="M607"/>
  <c r="O606"/>
  <c r="N606"/>
  <c r="M606"/>
  <c r="O605"/>
  <c r="N605"/>
  <c r="M605"/>
  <c r="N604"/>
  <c r="O604" s="1"/>
  <c r="M604"/>
  <c r="N603"/>
  <c r="O603" s="1"/>
  <c r="M603"/>
  <c r="O602"/>
  <c r="N602"/>
  <c r="M602"/>
  <c r="O601"/>
  <c r="N601"/>
  <c r="M601"/>
  <c r="N600"/>
  <c r="O600" s="1"/>
  <c r="M600"/>
  <c r="N599"/>
  <c r="O599" s="1"/>
  <c r="M599"/>
  <c r="O598"/>
  <c r="N598"/>
  <c r="M598"/>
  <c r="O597"/>
  <c r="N597"/>
  <c r="M597"/>
  <c r="N596"/>
  <c r="O596" s="1"/>
  <c r="M596"/>
  <c r="N595"/>
  <c r="O595" s="1"/>
  <c r="M595"/>
  <c r="O594"/>
  <c r="N594"/>
  <c r="M594"/>
  <c r="O593"/>
  <c r="N593"/>
  <c r="M593"/>
  <c r="N592"/>
  <c r="O592" s="1"/>
  <c r="M592"/>
  <c r="N591"/>
  <c r="O591" s="1"/>
  <c r="M591"/>
  <c r="O590"/>
  <c r="N590"/>
  <c r="M590"/>
  <c r="O589"/>
  <c r="N589"/>
  <c r="M589"/>
  <c r="N588"/>
  <c r="O588" s="1"/>
  <c r="M588"/>
  <c r="N587"/>
  <c r="O587" s="1"/>
  <c r="M587"/>
  <c r="O586"/>
  <c r="N586"/>
  <c r="M586"/>
  <c r="O585"/>
  <c r="N585"/>
  <c r="M585"/>
  <c r="N584"/>
  <c r="O584" s="1"/>
  <c r="M584"/>
  <c r="N583"/>
  <c r="O583" s="1"/>
  <c r="M583"/>
  <c r="O582"/>
  <c r="N582"/>
  <c r="M582"/>
  <c r="O581"/>
  <c r="N581"/>
  <c r="M581"/>
  <c r="N580"/>
  <c r="O580" s="1"/>
  <c r="M580"/>
  <c r="N579"/>
  <c r="M579"/>
  <c r="O579" s="1"/>
  <c r="O578"/>
  <c r="N578"/>
  <c r="M578"/>
  <c r="O577"/>
  <c r="N577"/>
  <c r="M577"/>
  <c r="N576"/>
  <c r="O576" s="1"/>
  <c r="M576"/>
  <c r="N575"/>
  <c r="M575"/>
  <c r="O575" s="1"/>
  <c r="O574"/>
  <c r="N574"/>
  <c r="M574"/>
  <c r="O573"/>
  <c r="N573"/>
  <c r="M573"/>
  <c r="N572"/>
  <c r="O572" s="1"/>
  <c r="M572"/>
  <c r="N571"/>
  <c r="M571"/>
  <c r="O571" s="1"/>
  <c r="O570"/>
  <c r="N570"/>
  <c r="M570"/>
  <c r="O569"/>
  <c r="N569"/>
  <c r="M569"/>
  <c r="N568"/>
  <c r="O568" s="1"/>
  <c r="M568"/>
  <c r="N567"/>
  <c r="M567"/>
  <c r="O567" s="1"/>
  <c r="O566"/>
  <c r="N566"/>
  <c r="M566"/>
  <c r="O565"/>
  <c r="N565"/>
  <c r="M565"/>
  <c r="N564"/>
  <c r="O564" s="1"/>
  <c r="M564"/>
  <c r="N563"/>
  <c r="M563"/>
  <c r="O563" s="1"/>
  <c r="O562"/>
  <c r="N562"/>
  <c r="M562"/>
  <c r="O561"/>
  <c r="N561"/>
  <c r="M561"/>
  <c r="N560"/>
  <c r="O560" s="1"/>
  <c r="M560"/>
  <c r="N559"/>
  <c r="M559"/>
  <c r="O559" s="1"/>
  <c r="O558"/>
  <c r="N558"/>
  <c r="M558"/>
  <c r="O557"/>
  <c r="N557"/>
  <c r="M557"/>
  <c r="N556"/>
  <c r="O556" s="1"/>
  <c r="M556"/>
  <c r="N555"/>
  <c r="M555"/>
  <c r="O555" s="1"/>
  <c r="O554"/>
  <c r="N554"/>
  <c r="M554"/>
  <c r="O553"/>
  <c r="N553"/>
  <c r="M553"/>
  <c r="N552"/>
  <c r="O552" s="1"/>
  <c r="M552"/>
  <c r="N551"/>
  <c r="M551"/>
  <c r="O551" s="1"/>
  <c r="O550"/>
  <c r="N550"/>
  <c r="M550"/>
  <c r="O549"/>
  <c r="N549"/>
  <c r="M549"/>
  <c r="N548"/>
  <c r="O548" s="1"/>
  <c r="M548"/>
  <c r="N547"/>
  <c r="M547"/>
  <c r="O547" s="1"/>
  <c r="O546"/>
  <c r="N546"/>
  <c r="M546"/>
  <c r="O545"/>
  <c r="N545"/>
  <c r="M545"/>
  <c r="N544"/>
  <c r="O544" s="1"/>
  <c r="M544"/>
  <c r="N543"/>
  <c r="M543"/>
  <c r="O543" s="1"/>
  <c r="O542"/>
  <c r="N542"/>
  <c r="M542"/>
  <c r="O541"/>
  <c r="N541"/>
  <c r="M541"/>
  <c r="N540"/>
  <c r="O540" s="1"/>
  <c r="M540"/>
  <c r="N539"/>
  <c r="M539"/>
  <c r="O539" s="1"/>
  <c r="O538"/>
  <c r="N538"/>
  <c r="M538"/>
  <c r="O537"/>
  <c r="N537"/>
  <c r="M537"/>
  <c r="N536"/>
  <c r="O536" s="1"/>
  <c r="M536"/>
  <c r="N535"/>
  <c r="M535"/>
  <c r="O535" s="1"/>
  <c r="O534"/>
  <c r="N534"/>
  <c r="M534"/>
  <c r="O533"/>
  <c r="N533"/>
  <c r="M533"/>
  <c r="N532"/>
  <c r="O532" s="1"/>
  <c r="M532"/>
  <c r="N531"/>
  <c r="M531"/>
  <c r="O531" s="1"/>
  <c r="O530"/>
  <c r="N530"/>
  <c r="M530"/>
  <c r="O529"/>
  <c r="N529"/>
  <c r="M529"/>
  <c r="N528"/>
  <c r="O528" s="1"/>
  <c r="M528"/>
  <c r="N527"/>
  <c r="M527"/>
  <c r="O527" s="1"/>
  <c r="O526"/>
  <c r="N526"/>
  <c r="M526"/>
  <c r="O525"/>
  <c r="N525"/>
  <c r="M525"/>
  <c r="N524"/>
  <c r="O524" s="1"/>
  <c r="M524"/>
  <c r="N523"/>
  <c r="M523"/>
  <c r="O523" s="1"/>
  <c r="O522"/>
  <c r="N522"/>
  <c r="M522"/>
  <c r="O521"/>
  <c r="N521"/>
  <c r="M521"/>
  <c r="N520"/>
  <c r="O520" s="1"/>
  <c r="M520"/>
  <c r="N519"/>
  <c r="M519"/>
  <c r="O519" s="1"/>
  <c r="O518"/>
  <c r="N518"/>
  <c r="M518"/>
  <c r="O517"/>
  <c r="N517"/>
  <c r="M517"/>
  <c r="N516"/>
  <c r="O516" s="1"/>
  <c r="M516"/>
  <c r="N515"/>
  <c r="M515"/>
  <c r="O515" s="1"/>
  <c r="O514"/>
  <c r="N514"/>
  <c r="M514"/>
  <c r="O513"/>
  <c r="N513"/>
  <c r="M513"/>
  <c r="N512"/>
  <c r="O512" s="1"/>
  <c r="M512"/>
  <c r="N511"/>
  <c r="M511"/>
  <c r="O511" s="1"/>
  <c r="O510"/>
  <c r="N510"/>
  <c r="M510"/>
  <c r="O509"/>
  <c r="N509"/>
  <c r="M509"/>
  <c r="N508"/>
  <c r="O508" s="1"/>
  <c r="M508"/>
  <c r="N507"/>
  <c r="M507"/>
  <c r="O507" s="1"/>
  <c r="O506"/>
  <c r="N506"/>
  <c r="M506"/>
  <c r="O505"/>
  <c r="N505"/>
  <c r="M505"/>
  <c r="N504"/>
  <c r="O504" s="1"/>
  <c r="M504"/>
  <c r="N503"/>
  <c r="M503"/>
  <c r="O503" s="1"/>
  <c r="O502"/>
  <c r="N502"/>
  <c r="M502"/>
  <c r="O501"/>
  <c r="N501"/>
  <c r="M501"/>
  <c r="N500"/>
  <c r="O500" s="1"/>
  <c r="M500"/>
  <c r="N499"/>
  <c r="M499"/>
  <c r="O499" s="1"/>
  <c r="O498"/>
  <c r="N498"/>
  <c r="M498"/>
  <c r="O497"/>
  <c r="N497"/>
  <c r="M497"/>
  <c r="N496"/>
  <c r="O496" s="1"/>
  <c r="M496"/>
  <c r="N495"/>
  <c r="M495"/>
  <c r="O495" s="1"/>
  <c r="O494"/>
  <c r="N494"/>
  <c r="M494"/>
  <c r="O493"/>
  <c r="N493"/>
  <c r="M493"/>
  <c r="N492"/>
  <c r="O492" s="1"/>
  <c r="M492"/>
  <c r="N491"/>
  <c r="M491"/>
  <c r="O491" s="1"/>
  <c r="O490"/>
  <c r="N490"/>
  <c r="M490"/>
  <c r="O489"/>
  <c r="N489"/>
  <c r="M489"/>
  <c r="N488"/>
  <c r="O488" s="1"/>
  <c r="M488"/>
  <c r="N487"/>
  <c r="M487"/>
  <c r="O487" s="1"/>
  <c r="O486"/>
  <c r="N486"/>
  <c r="M486"/>
  <c r="O485"/>
  <c r="N485"/>
  <c r="M485"/>
  <c r="N484"/>
  <c r="O484" s="1"/>
  <c r="M484"/>
  <c r="N483"/>
  <c r="M483"/>
  <c r="O483" s="1"/>
  <c r="O482"/>
  <c r="N482"/>
  <c r="M482"/>
  <c r="O481"/>
  <c r="N481"/>
  <c r="M481"/>
  <c r="N480"/>
  <c r="O480" s="1"/>
  <c r="M480"/>
  <c r="N479"/>
  <c r="M479"/>
  <c r="O479" s="1"/>
  <c r="O478"/>
  <c r="N478"/>
  <c r="M478"/>
  <c r="O477"/>
  <c r="N477"/>
  <c r="M477"/>
  <c r="N476"/>
  <c r="O476" s="1"/>
  <c r="M476"/>
  <c r="N475"/>
  <c r="M475"/>
  <c r="O475" s="1"/>
  <c r="O474"/>
  <c r="N474"/>
  <c r="M474"/>
  <c r="O473"/>
  <c r="N473"/>
  <c r="M473"/>
  <c r="N472"/>
  <c r="E3965" s="1"/>
  <c r="M472"/>
  <c r="N471"/>
  <c r="M471"/>
  <c r="O471" s="1"/>
  <c r="O470"/>
  <c r="N470"/>
  <c r="M470"/>
  <c r="O469"/>
  <c r="N469"/>
  <c r="M469"/>
  <c r="N468"/>
  <c r="O468" s="1"/>
  <c r="M468"/>
  <c r="N467"/>
  <c r="M467"/>
  <c r="O467" s="1"/>
  <c r="O466"/>
  <c r="N466"/>
  <c r="M466"/>
  <c r="O465"/>
  <c r="N465"/>
  <c r="M465"/>
  <c r="N464"/>
  <c r="O464" s="1"/>
  <c r="M464"/>
  <c r="N463"/>
  <c r="M463"/>
  <c r="O463" s="1"/>
  <c r="O462"/>
  <c r="N462"/>
  <c r="M462"/>
  <c r="O461"/>
  <c r="N461"/>
  <c r="M461"/>
  <c r="N460"/>
  <c r="O460" s="1"/>
  <c r="M460"/>
  <c r="N459"/>
  <c r="M459"/>
  <c r="O459" s="1"/>
  <c r="O458"/>
  <c r="N458"/>
  <c r="M458"/>
  <c r="O457"/>
  <c r="N457"/>
  <c r="M457"/>
  <c r="N456"/>
  <c r="O456" s="1"/>
  <c r="M456"/>
  <c r="N455"/>
  <c r="M455"/>
  <c r="O455" s="1"/>
  <c r="O454"/>
  <c r="N454"/>
  <c r="M454"/>
  <c r="O453"/>
  <c r="N453"/>
  <c r="M453"/>
  <c r="N452"/>
  <c r="O452" s="1"/>
  <c r="M452"/>
  <c r="N451"/>
  <c r="M451"/>
  <c r="O451" s="1"/>
  <c r="O450"/>
  <c r="N450"/>
  <c r="M450"/>
  <c r="O449"/>
  <c r="N449"/>
  <c r="M449"/>
  <c r="N448"/>
  <c r="O448" s="1"/>
  <c r="M448"/>
  <c r="N447"/>
  <c r="M447"/>
  <c r="O447" s="1"/>
  <c r="O446"/>
  <c r="N446"/>
  <c r="M446"/>
  <c r="O445"/>
  <c r="N445"/>
  <c r="M445"/>
  <c r="N444"/>
  <c r="O444" s="1"/>
  <c r="M444"/>
  <c r="N443"/>
  <c r="M443"/>
  <c r="O443" s="1"/>
  <c r="O442"/>
  <c r="N442"/>
  <c r="M442"/>
  <c r="O441"/>
  <c r="N441"/>
  <c r="M441"/>
  <c r="N440"/>
  <c r="O440" s="1"/>
  <c r="M440"/>
  <c r="N439"/>
  <c r="M439"/>
  <c r="O439" s="1"/>
  <c r="O438"/>
  <c r="N438"/>
  <c r="M438"/>
  <c r="O437"/>
  <c r="N437"/>
  <c r="M437"/>
  <c r="N436"/>
  <c r="O436" s="1"/>
  <c r="M436"/>
  <c r="N435"/>
  <c r="M435"/>
  <c r="O435" s="1"/>
  <c r="O434"/>
  <c r="N434"/>
  <c r="M434"/>
  <c r="O433"/>
  <c r="N433"/>
  <c r="M433"/>
  <c r="N432"/>
  <c r="O432" s="1"/>
  <c r="M432"/>
  <c r="N431"/>
  <c r="M431"/>
  <c r="O431" s="1"/>
  <c r="O430"/>
  <c r="N430"/>
  <c r="M430"/>
  <c r="O429"/>
  <c r="N429"/>
  <c r="M429"/>
  <c r="N428"/>
  <c r="O428" s="1"/>
  <c r="M428"/>
  <c r="N427"/>
  <c r="M427"/>
  <c r="O427" s="1"/>
  <c r="O426"/>
  <c r="N426"/>
  <c r="M426"/>
  <c r="O425"/>
  <c r="N425"/>
  <c r="M425"/>
  <c r="N424"/>
  <c r="O424" s="1"/>
  <c r="M424"/>
  <c r="N423"/>
  <c r="M423"/>
  <c r="O423" s="1"/>
  <c r="O422"/>
  <c r="N422"/>
  <c r="M422"/>
  <c r="O421"/>
  <c r="N421"/>
  <c r="M421"/>
  <c r="N420"/>
  <c r="O420" s="1"/>
  <c r="M420"/>
  <c r="N419"/>
  <c r="M419"/>
  <c r="O419" s="1"/>
  <c r="O418"/>
  <c r="N418"/>
  <c r="M418"/>
  <c r="O417"/>
  <c r="N417"/>
  <c r="M417"/>
  <c r="N416"/>
  <c r="O416" s="1"/>
  <c r="M416"/>
  <c r="N415"/>
  <c r="M415"/>
  <c r="O415" s="1"/>
  <c r="O414"/>
  <c r="N414"/>
  <c r="M414"/>
  <c r="O413"/>
  <c r="N413"/>
  <c r="M413"/>
  <c r="N412"/>
  <c r="O412" s="1"/>
  <c r="M412"/>
  <c r="N411"/>
  <c r="M411"/>
  <c r="O411" s="1"/>
  <c r="O410"/>
  <c r="N410"/>
  <c r="M410"/>
  <c r="O409"/>
  <c r="N409"/>
  <c r="M409"/>
  <c r="N408"/>
  <c r="O408" s="1"/>
  <c r="M408"/>
  <c r="N407"/>
  <c r="M407"/>
  <c r="O407" s="1"/>
  <c r="O406"/>
  <c r="N406"/>
  <c r="M406"/>
  <c r="O405"/>
  <c r="N405"/>
  <c r="M405"/>
  <c r="N404"/>
  <c r="O404" s="1"/>
  <c r="M404"/>
  <c r="N403"/>
  <c r="M403"/>
  <c r="O403" s="1"/>
  <c r="O402"/>
  <c r="N402"/>
  <c r="M402"/>
  <c r="O401"/>
  <c r="N401"/>
  <c r="M401"/>
  <c r="N400"/>
  <c r="O400" s="1"/>
  <c r="M400"/>
  <c r="N399"/>
  <c r="M399"/>
  <c r="O399" s="1"/>
  <c r="O398"/>
  <c r="N398"/>
  <c r="M398"/>
  <c r="O397"/>
  <c r="N397"/>
  <c r="M397"/>
  <c r="N396"/>
  <c r="O396" s="1"/>
  <c r="M396"/>
  <c r="N395"/>
  <c r="M395"/>
  <c r="O395" s="1"/>
  <c r="O394"/>
  <c r="N394"/>
  <c r="M394"/>
  <c r="O393"/>
  <c r="N393"/>
  <c r="M393"/>
  <c r="N392"/>
  <c r="O392" s="1"/>
  <c r="M392"/>
  <c r="N391"/>
  <c r="M391"/>
  <c r="O391" s="1"/>
  <c r="O390"/>
  <c r="N390"/>
  <c r="M390"/>
  <c r="O389"/>
  <c r="N389"/>
  <c r="M389"/>
  <c r="N388"/>
  <c r="O388" s="1"/>
  <c r="M388"/>
  <c r="N387"/>
  <c r="M387"/>
  <c r="O387" s="1"/>
  <c r="O386"/>
  <c r="N386"/>
  <c r="M386"/>
  <c r="O385"/>
  <c r="N385"/>
  <c r="M385"/>
  <c r="N384"/>
  <c r="O384" s="1"/>
  <c r="M384"/>
  <c r="N383"/>
  <c r="M383"/>
  <c r="O383" s="1"/>
  <c r="O382"/>
  <c r="N382"/>
  <c r="M382"/>
  <c r="O381"/>
  <c r="N381"/>
  <c r="M381"/>
  <c r="N380"/>
  <c r="O380" s="1"/>
  <c r="M380"/>
  <c r="N379"/>
  <c r="M379"/>
  <c r="O379" s="1"/>
  <c r="O378"/>
  <c r="N378"/>
  <c r="M378"/>
  <c r="O377"/>
  <c r="N377"/>
  <c r="M377"/>
  <c r="N376"/>
  <c r="O376" s="1"/>
  <c r="M376"/>
  <c r="N375"/>
  <c r="M375"/>
  <c r="O375" s="1"/>
  <c r="O374"/>
  <c r="N374"/>
  <c r="M374"/>
  <c r="O373"/>
  <c r="N373"/>
  <c r="M373"/>
  <c r="N372"/>
  <c r="O372" s="1"/>
  <c r="M372"/>
  <c r="N371"/>
  <c r="M371"/>
  <c r="O371" s="1"/>
  <c r="O370"/>
  <c r="N370"/>
  <c r="M370"/>
  <c r="O369"/>
  <c r="N369"/>
  <c r="M369"/>
  <c r="N368"/>
  <c r="O368" s="1"/>
  <c r="M368"/>
  <c r="N367"/>
  <c r="M367"/>
  <c r="O367" s="1"/>
  <c r="O366"/>
  <c r="N366"/>
  <c r="M366"/>
  <c r="O365"/>
  <c r="N365"/>
  <c r="M365"/>
  <c r="N364"/>
  <c r="O364" s="1"/>
  <c r="M364"/>
  <c r="N363"/>
  <c r="M363"/>
  <c r="O363" s="1"/>
  <c r="O362"/>
  <c r="N362"/>
  <c r="M362"/>
  <c r="O361"/>
  <c r="N361"/>
  <c r="M361"/>
  <c r="N360"/>
  <c r="O360" s="1"/>
  <c r="M360"/>
  <c r="N359"/>
  <c r="M359"/>
  <c r="O359" s="1"/>
  <c r="O358"/>
  <c r="N358"/>
  <c r="M358"/>
  <c r="O357"/>
  <c r="N357"/>
  <c r="M357"/>
  <c r="N356"/>
  <c r="O356" s="1"/>
  <c r="M356"/>
  <c r="N355"/>
  <c r="M355"/>
  <c r="O355" s="1"/>
  <c r="O354"/>
  <c r="N354"/>
  <c r="M354"/>
  <c r="O353"/>
  <c r="N353"/>
  <c r="M353"/>
  <c r="N352"/>
  <c r="O352" s="1"/>
  <c r="M352"/>
  <c r="N351"/>
  <c r="M351"/>
  <c r="O351" s="1"/>
  <c r="O350"/>
  <c r="N350"/>
  <c r="M350"/>
  <c r="O349"/>
  <c r="N349"/>
  <c r="M349"/>
  <c r="N348"/>
  <c r="O348" s="1"/>
  <c r="M348"/>
  <c r="N347"/>
  <c r="M347"/>
  <c r="O347" s="1"/>
  <c r="O346"/>
  <c r="N346"/>
  <c r="M346"/>
  <c r="O345"/>
  <c r="N345"/>
  <c r="M345"/>
  <c r="N344"/>
  <c r="O344" s="1"/>
  <c r="M344"/>
  <c r="N343"/>
  <c r="M343"/>
  <c r="O343" s="1"/>
  <c r="O342"/>
  <c r="N342"/>
  <c r="M342"/>
  <c r="O341"/>
  <c r="N341"/>
  <c r="M341"/>
  <c r="N340"/>
  <c r="O340" s="1"/>
  <c r="M340"/>
  <c r="N339"/>
  <c r="M339"/>
  <c r="O339" s="1"/>
  <c r="O338"/>
  <c r="N338"/>
  <c r="M338"/>
  <c r="O337"/>
  <c r="N337"/>
  <c r="M337"/>
  <c r="N336"/>
  <c r="O336" s="1"/>
  <c r="M336"/>
  <c r="N335"/>
  <c r="M335"/>
  <c r="O335" s="1"/>
  <c r="O334"/>
  <c r="N334"/>
  <c r="M334"/>
  <c r="O333"/>
  <c r="N333"/>
  <c r="M333"/>
  <c r="N332"/>
  <c r="O332" s="1"/>
  <c r="M332"/>
  <c r="N331"/>
  <c r="M331"/>
  <c r="O331" s="1"/>
  <c r="O330"/>
  <c r="N330"/>
  <c r="M330"/>
  <c r="O329"/>
  <c r="N329"/>
  <c r="M329"/>
  <c r="N328"/>
  <c r="O328" s="1"/>
  <c r="M328"/>
  <c r="N327"/>
  <c r="M327"/>
  <c r="O327" s="1"/>
  <c r="O326"/>
  <c r="N326"/>
  <c r="M326"/>
  <c r="O325"/>
  <c r="N325"/>
  <c r="M325"/>
  <c r="N324"/>
  <c r="O324" s="1"/>
  <c r="M324"/>
  <c r="N323"/>
  <c r="M323"/>
  <c r="O323" s="1"/>
  <c r="O322"/>
  <c r="N322"/>
  <c r="M322"/>
  <c r="O321"/>
  <c r="N321"/>
  <c r="M321"/>
  <c r="N320"/>
  <c r="O320" s="1"/>
  <c r="M320"/>
  <c r="N319"/>
  <c r="M319"/>
  <c r="O319" s="1"/>
  <c r="O318"/>
  <c r="N318"/>
  <c r="M318"/>
  <c r="O317"/>
  <c r="N317"/>
  <c r="M317"/>
  <c r="N316"/>
  <c r="O316" s="1"/>
  <c r="M316"/>
  <c r="N315"/>
  <c r="M315"/>
  <c r="O315" s="1"/>
  <c r="O314"/>
  <c r="N314"/>
  <c r="M314"/>
  <c r="O313"/>
  <c r="N313"/>
  <c r="M313"/>
  <c r="N312"/>
  <c r="O312" s="1"/>
  <c r="M312"/>
  <c r="N311"/>
  <c r="M311"/>
  <c r="O311" s="1"/>
  <c r="O310"/>
  <c r="N310"/>
  <c r="M310"/>
  <c r="O309"/>
  <c r="N309"/>
  <c r="M309"/>
  <c r="N308"/>
  <c r="O308" s="1"/>
  <c r="M308"/>
  <c r="N307"/>
  <c r="M307"/>
  <c r="O307" s="1"/>
  <c r="O306"/>
  <c r="N306"/>
  <c r="M306"/>
  <c r="O305"/>
  <c r="N305"/>
  <c r="M305"/>
  <c r="N304"/>
  <c r="O304" s="1"/>
  <c r="M304"/>
  <c r="N303"/>
  <c r="M303"/>
  <c r="O303" s="1"/>
  <c r="O302"/>
  <c r="N302"/>
  <c r="M302"/>
  <c r="O301"/>
  <c r="N301"/>
  <c r="M301"/>
  <c r="N300"/>
  <c r="O300" s="1"/>
  <c r="M300"/>
  <c r="N299"/>
  <c r="M299"/>
  <c r="O299" s="1"/>
  <c r="O298"/>
  <c r="N298"/>
  <c r="M298"/>
  <c r="O297"/>
  <c r="N297"/>
  <c r="M297"/>
  <c r="N296"/>
  <c r="O296" s="1"/>
  <c r="M296"/>
  <c r="N295"/>
  <c r="M295"/>
  <c r="O295" s="1"/>
  <c r="O294"/>
  <c r="N294"/>
  <c r="M294"/>
  <c r="O293"/>
  <c r="N293"/>
  <c r="M293"/>
  <c r="N292"/>
  <c r="O292" s="1"/>
  <c r="M292"/>
  <c r="N291"/>
  <c r="M291"/>
  <c r="O291" s="1"/>
  <c r="O290"/>
  <c r="N290"/>
  <c r="M290"/>
  <c r="O289"/>
  <c r="N289"/>
  <c r="M289"/>
  <c r="N288"/>
  <c r="O288" s="1"/>
  <c r="M288"/>
  <c r="N287"/>
  <c r="M287"/>
  <c r="O287" s="1"/>
  <c r="O286"/>
  <c r="N286"/>
  <c r="M286"/>
  <c r="O285"/>
  <c r="N285"/>
  <c r="M285"/>
  <c r="N284"/>
  <c r="O284" s="1"/>
  <c r="M284"/>
  <c r="N283"/>
  <c r="M283"/>
  <c r="O283" s="1"/>
  <c r="O282"/>
  <c r="N282"/>
  <c r="M282"/>
  <c r="O281"/>
  <c r="N281"/>
  <c r="M281"/>
  <c r="N280"/>
  <c r="O280" s="1"/>
  <c r="M280"/>
  <c r="N279"/>
  <c r="M279"/>
  <c r="O279" s="1"/>
  <c r="O278"/>
  <c r="N278"/>
  <c r="M278"/>
  <c r="O277"/>
  <c r="N277"/>
  <c r="M277"/>
  <c r="N276"/>
  <c r="O276" s="1"/>
  <c r="M276"/>
  <c r="N275"/>
  <c r="M275"/>
  <c r="O275" s="1"/>
  <c r="O274"/>
  <c r="N274"/>
  <c r="M274"/>
  <c r="O273"/>
  <c r="N273"/>
  <c r="M273"/>
  <c r="N272"/>
  <c r="O272" s="1"/>
  <c r="M272"/>
  <c r="N271"/>
  <c r="M271"/>
  <c r="O271" s="1"/>
  <c r="O270"/>
  <c r="N270"/>
  <c r="M270"/>
  <c r="O269"/>
  <c r="N269"/>
  <c r="M269"/>
  <c r="N268"/>
  <c r="O268" s="1"/>
  <c r="M268"/>
  <c r="N267"/>
  <c r="M267"/>
  <c r="O267" s="1"/>
  <c r="O266"/>
  <c r="N266"/>
  <c r="M266"/>
  <c r="O265"/>
  <c r="N265"/>
  <c r="M265"/>
  <c r="N264"/>
  <c r="O264" s="1"/>
  <c r="M264"/>
  <c r="N263"/>
  <c r="M263"/>
  <c r="O263" s="1"/>
  <c r="O262"/>
  <c r="N262"/>
  <c r="M262"/>
  <c r="O261"/>
  <c r="N261"/>
  <c r="M261"/>
  <c r="N260"/>
  <c r="O260" s="1"/>
  <c r="M260"/>
  <c r="N259"/>
  <c r="M259"/>
  <c r="O259" s="1"/>
  <c r="O258"/>
  <c r="N258"/>
  <c r="M258"/>
  <c r="O257"/>
  <c r="N257"/>
  <c r="M257"/>
  <c r="N256"/>
  <c r="O256" s="1"/>
  <c r="M256"/>
  <c r="N255"/>
  <c r="M255"/>
  <c r="O255" s="1"/>
  <c r="O254"/>
  <c r="N254"/>
  <c r="M254"/>
  <c r="O253"/>
  <c r="N253"/>
  <c r="M253"/>
  <c r="N252"/>
  <c r="O252" s="1"/>
  <c r="M252"/>
  <c r="N251"/>
  <c r="M251"/>
  <c r="O251" s="1"/>
  <c r="O250"/>
  <c r="N250"/>
  <c r="M250"/>
  <c r="O249"/>
  <c r="N249"/>
  <c r="M249"/>
  <c r="N248"/>
  <c r="O248" s="1"/>
  <c r="M248"/>
  <c r="N247"/>
  <c r="M247"/>
  <c r="O247" s="1"/>
  <c r="O246"/>
  <c r="N246"/>
  <c r="M246"/>
  <c r="O245"/>
  <c r="N245"/>
  <c r="M245"/>
  <c r="N244"/>
  <c r="O244" s="1"/>
  <c r="M244"/>
  <c r="N243"/>
  <c r="M243"/>
  <c r="O243" s="1"/>
  <c r="O242"/>
  <c r="N242"/>
  <c r="M242"/>
  <c r="O241"/>
  <c r="N241"/>
  <c r="M241"/>
  <c r="N240"/>
  <c r="O240" s="1"/>
  <c r="M240"/>
  <c r="N239"/>
  <c r="M239"/>
  <c r="O239" s="1"/>
  <c r="O238"/>
  <c r="N238"/>
  <c r="M238"/>
  <c r="O237"/>
  <c r="N237"/>
  <c r="M237"/>
  <c r="N236"/>
  <c r="O236" s="1"/>
  <c r="M236"/>
  <c r="N235"/>
  <c r="M235"/>
  <c r="O235" s="1"/>
  <c r="O234"/>
  <c r="N234"/>
  <c r="M234"/>
  <c r="O233"/>
  <c r="N233"/>
  <c r="M233"/>
  <c r="N232"/>
  <c r="O232" s="1"/>
  <c r="M232"/>
  <c r="N231"/>
  <c r="M231"/>
  <c r="O231" s="1"/>
  <c r="O230"/>
  <c r="N230"/>
  <c r="M230"/>
  <c r="O229"/>
  <c r="N229"/>
  <c r="M229"/>
  <c r="N228"/>
  <c r="O228" s="1"/>
  <c r="M228"/>
  <c r="N227"/>
  <c r="M227"/>
  <c r="O227" s="1"/>
  <c r="O226"/>
  <c r="N226"/>
  <c r="M226"/>
  <c r="O225"/>
  <c r="N225"/>
  <c r="M225"/>
  <c r="N224"/>
  <c r="O224" s="1"/>
  <c r="M224"/>
  <c r="N223"/>
  <c r="M223"/>
  <c r="O223" s="1"/>
  <c r="O222"/>
  <c r="N222"/>
  <c r="M222"/>
  <c r="O221"/>
  <c r="N221"/>
  <c r="M221"/>
  <c r="N220"/>
  <c r="O220" s="1"/>
  <c r="M220"/>
  <c r="N219"/>
  <c r="M219"/>
  <c r="O219" s="1"/>
  <c r="O218"/>
  <c r="N218"/>
  <c r="M218"/>
  <c r="O217"/>
  <c r="N217"/>
  <c r="M217"/>
  <c r="N216"/>
  <c r="O216" s="1"/>
  <c r="M216"/>
  <c r="N215"/>
  <c r="M215"/>
  <c r="O215" s="1"/>
  <c r="O214"/>
  <c r="N214"/>
  <c r="M214"/>
  <c r="O213"/>
  <c r="N213"/>
  <c r="M213"/>
  <c r="N212"/>
  <c r="O212" s="1"/>
  <c r="M212"/>
  <c r="N211"/>
  <c r="M211"/>
  <c r="O211" s="1"/>
  <c r="O210"/>
  <c r="N210"/>
  <c r="M210"/>
  <c r="O209"/>
  <c r="N209"/>
  <c r="M209"/>
  <c r="N208"/>
  <c r="O208" s="1"/>
  <c r="M208"/>
  <c r="N207"/>
  <c r="M207"/>
  <c r="O207" s="1"/>
  <c r="O206"/>
  <c r="N206"/>
  <c r="M206"/>
  <c r="O205"/>
  <c r="N205"/>
  <c r="M205"/>
  <c r="N204"/>
  <c r="O204" s="1"/>
  <c r="M204"/>
  <c r="N203"/>
  <c r="M203"/>
  <c r="O203" s="1"/>
  <c r="O202"/>
  <c r="N202"/>
  <c r="M202"/>
  <c r="O201"/>
  <c r="N201"/>
  <c r="M201"/>
  <c r="N200"/>
  <c r="O200" s="1"/>
  <c r="M200"/>
  <c r="N199"/>
  <c r="M199"/>
  <c r="O199" s="1"/>
  <c r="O198"/>
  <c r="N198"/>
  <c r="M198"/>
  <c r="O197"/>
  <c r="N197"/>
  <c r="M197"/>
  <c r="N196"/>
  <c r="O196" s="1"/>
  <c r="M196"/>
  <c r="N195"/>
  <c r="M195"/>
  <c r="O195" s="1"/>
  <c r="O194"/>
  <c r="N194"/>
  <c r="M194"/>
  <c r="O193"/>
  <c r="N193"/>
  <c r="M193"/>
  <c r="N192"/>
  <c r="O192" s="1"/>
  <c r="M192"/>
  <c r="N191"/>
  <c r="M191"/>
  <c r="O191" s="1"/>
  <c r="O190"/>
  <c r="N190"/>
  <c r="M190"/>
  <c r="O189"/>
  <c r="N189"/>
  <c r="M189"/>
  <c r="N188"/>
  <c r="O188" s="1"/>
  <c r="M188"/>
  <c r="N187"/>
  <c r="M187"/>
  <c r="O187" s="1"/>
  <c r="O186"/>
  <c r="N186"/>
  <c r="M186"/>
  <c r="O185"/>
  <c r="N185"/>
  <c r="M185"/>
  <c r="N184"/>
  <c r="O184" s="1"/>
  <c r="M184"/>
  <c r="N183"/>
  <c r="M183"/>
  <c r="O183" s="1"/>
  <c r="O182"/>
  <c r="N182"/>
  <c r="M182"/>
  <c r="O181"/>
  <c r="N181"/>
  <c r="M181"/>
  <c r="N180"/>
  <c r="O180" s="1"/>
  <c r="M180"/>
  <c r="N179"/>
  <c r="M179"/>
  <c r="O179" s="1"/>
  <c r="O178"/>
  <c r="N178"/>
  <c r="M178"/>
  <c r="O177"/>
  <c r="N177"/>
  <c r="M177"/>
  <c r="N176"/>
  <c r="O176" s="1"/>
  <c r="M176"/>
  <c r="N175"/>
  <c r="M175"/>
  <c r="O175" s="1"/>
  <c r="O174"/>
  <c r="N174"/>
  <c r="M174"/>
  <c r="O173"/>
  <c r="N173"/>
  <c r="M173"/>
  <c r="N172"/>
  <c r="O172" s="1"/>
  <c r="M172"/>
  <c r="N171"/>
  <c r="M171"/>
  <c r="O171" s="1"/>
  <c r="O170"/>
  <c r="N170"/>
  <c r="M170"/>
  <c r="O169"/>
  <c r="N169"/>
  <c r="M169"/>
  <c r="N168"/>
  <c r="O168" s="1"/>
  <c r="M168"/>
  <c r="N167"/>
  <c r="M167"/>
  <c r="O167" s="1"/>
  <c r="O166"/>
  <c r="N166"/>
  <c r="M166"/>
  <c r="O165"/>
  <c r="N165"/>
  <c r="M165"/>
  <c r="N164"/>
  <c r="O164" s="1"/>
  <c r="M164"/>
  <c r="N163"/>
  <c r="M163"/>
  <c r="O163" s="1"/>
  <c r="O162"/>
  <c r="N162"/>
  <c r="M162"/>
  <c r="O161"/>
  <c r="N161"/>
  <c r="M161"/>
  <c r="N160"/>
  <c r="O160" s="1"/>
  <c r="M160"/>
  <c r="N159"/>
  <c r="M159"/>
  <c r="O159" s="1"/>
  <c r="O158"/>
  <c r="N158"/>
  <c r="M158"/>
  <c r="O157"/>
  <c r="N157"/>
  <c r="M157"/>
  <c r="N156"/>
  <c r="O156" s="1"/>
  <c r="M156"/>
  <c r="N155"/>
  <c r="M155"/>
  <c r="O155" s="1"/>
  <c r="O154"/>
  <c r="N154"/>
  <c r="M154"/>
  <c r="O153"/>
  <c r="N153"/>
  <c r="M153"/>
  <c r="N152"/>
  <c r="O152" s="1"/>
  <c r="M152"/>
  <c r="N151"/>
  <c r="M151"/>
  <c r="O151" s="1"/>
  <c r="O150"/>
  <c r="N150"/>
  <c r="M150"/>
  <c r="O149"/>
  <c r="N149"/>
  <c r="M149"/>
  <c r="N148"/>
  <c r="O148" s="1"/>
  <c r="M148"/>
  <c r="N147"/>
  <c r="M147"/>
  <c r="O147" s="1"/>
  <c r="O146"/>
  <c r="N146"/>
  <c r="M146"/>
  <c r="O145"/>
  <c r="N145"/>
  <c r="M145"/>
  <c r="N144"/>
  <c r="O144" s="1"/>
  <c r="M144"/>
  <c r="N143"/>
  <c r="M143"/>
  <c r="O143" s="1"/>
  <c r="O142"/>
  <c r="N142"/>
  <c r="M142"/>
  <c r="O141"/>
  <c r="N141"/>
  <c r="M141"/>
  <c r="N140"/>
  <c r="O140" s="1"/>
  <c r="M140"/>
  <c r="N139"/>
  <c r="M139"/>
  <c r="O139" s="1"/>
  <c r="O138"/>
  <c r="N138"/>
  <c r="M138"/>
  <c r="O137"/>
  <c r="N137"/>
  <c r="M137"/>
  <c r="N136"/>
  <c r="O136" s="1"/>
  <c r="M136"/>
  <c r="N135"/>
  <c r="M135"/>
  <c r="O135" s="1"/>
  <c r="O134"/>
  <c r="N134"/>
  <c r="M134"/>
  <c r="O133"/>
  <c r="N133"/>
  <c r="M133"/>
  <c r="N132"/>
  <c r="O132" s="1"/>
  <c r="M132"/>
  <c r="N131"/>
  <c r="M131"/>
  <c r="O131" s="1"/>
  <c r="O130"/>
  <c r="N130"/>
  <c r="M130"/>
  <c r="O129"/>
  <c r="N129"/>
  <c r="M129"/>
  <c r="N128"/>
  <c r="O128" s="1"/>
  <c r="M128"/>
  <c r="N127"/>
  <c r="M127"/>
  <c r="O127" s="1"/>
  <c r="O126"/>
  <c r="N126"/>
  <c r="M126"/>
  <c r="O125"/>
  <c r="N125"/>
  <c r="M125"/>
  <c r="N124"/>
  <c r="O124" s="1"/>
  <c r="M124"/>
  <c r="N123"/>
  <c r="M123"/>
  <c r="O123" s="1"/>
  <c r="O122"/>
  <c r="N122"/>
  <c r="M122"/>
  <c r="O121"/>
  <c r="N121"/>
  <c r="M121"/>
  <c r="N120"/>
  <c r="O120" s="1"/>
  <c r="M120"/>
  <c r="N119"/>
  <c r="M119"/>
  <c r="O119" s="1"/>
  <c r="O118"/>
  <c r="N118"/>
  <c r="M118"/>
  <c r="O117"/>
  <c r="N117"/>
  <c r="M117"/>
  <c r="N116"/>
  <c r="O116" s="1"/>
  <c r="M116"/>
  <c r="N115"/>
  <c r="M115"/>
  <c r="O115" s="1"/>
  <c r="O114"/>
  <c r="N114"/>
  <c r="M114"/>
  <c r="O113"/>
  <c r="N113"/>
  <c r="M113"/>
  <c r="N112"/>
  <c r="O112" s="1"/>
  <c r="M112"/>
  <c r="N111"/>
  <c r="M111"/>
  <c r="O111" s="1"/>
  <c r="O110"/>
  <c r="N110"/>
  <c r="M110"/>
  <c r="O109"/>
  <c r="N109"/>
  <c r="M109"/>
  <c r="N108"/>
  <c r="O108" s="1"/>
  <c r="M108"/>
  <c r="N107"/>
  <c r="M107"/>
  <c r="O107" s="1"/>
  <c r="O106"/>
  <c r="N106"/>
  <c r="M106"/>
  <c r="O105"/>
  <c r="N105"/>
  <c r="M105"/>
  <c r="N104"/>
  <c r="O104" s="1"/>
  <c r="M104"/>
  <c r="N103"/>
  <c r="M103"/>
  <c r="O103" s="1"/>
  <c r="O102"/>
  <c r="N102"/>
  <c r="M102"/>
  <c r="O101"/>
  <c r="N101"/>
  <c r="M101"/>
  <c r="N100"/>
  <c r="O100" s="1"/>
  <c r="M100"/>
  <c r="N99"/>
  <c r="M99"/>
  <c r="O99" s="1"/>
  <c r="O98"/>
  <c r="N98"/>
  <c r="M98"/>
  <c r="O97"/>
  <c r="N97"/>
  <c r="M97"/>
  <c r="N96"/>
  <c r="O96" s="1"/>
  <c r="M96"/>
  <c r="N95"/>
  <c r="M95"/>
  <c r="O95" s="1"/>
  <c r="O94"/>
  <c r="N94"/>
  <c r="M94"/>
  <c r="O93"/>
  <c r="N93"/>
  <c r="M93"/>
  <c r="N92"/>
  <c r="O92" s="1"/>
  <c r="M92"/>
  <c r="N91"/>
  <c r="M91"/>
  <c r="O91" s="1"/>
  <c r="O90"/>
  <c r="N90"/>
  <c r="M90"/>
  <c r="O89"/>
  <c r="N89"/>
  <c r="M89"/>
  <c r="N88"/>
  <c r="O88" s="1"/>
  <c r="M88"/>
  <c r="N87"/>
  <c r="M87"/>
  <c r="O87" s="1"/>
  <c r="O86"/>
  <c r="N86"/>
  <c r="M86"/>
  <c r="O85"/>
  <c r="N85"/>
  <c r="M85"/>
  <c r="N84"/>
  <c r="O84" s="1"/>
  <c r="M84"/>
  <c r="N83"/>
  <c r="M83"/>
  <c r="O83" s="1"/>
  <c r="O82"/>
  <c r="N82"/>
  <c r="M82"/>
  <c r="O81"/>
  <c r="N81"/>
  <c r="M81"/>
  <c r="N80"/>
  <c r="O80" s="1"/>
  <c r="M80"/>
  <c r="N79"/>
  <c r="M79"/>
  <c r="O79" s="1"/>
  <c r="O78"/>
  <c r="N78"/>
  <c r="M78"/>
  <c r="O77"/>
  <c r="N77"/>
  <c r="M77"/>
  <c r="N76"/>
  <c r="O76" s="1"/>
  <c r="M76"/>
  <c r="N75"/>
  <c r="M75"/>
  <c r="O75" s="1"/>
  <c r="O74"/>
  <c r="N74"/>
  <c r="M74"/>
  <c r="O73"/>
  <c r="N73"/>
  <c r="M73"/>
  <c r="N72"/>
  <c r="O72" s="1"/>
  <c r="M72"/>
  <c r="N71"/>
  <c r="M71"/>
  <c r="O71" s="1"/>
  <c r="O70"/>
  <c r="N70"/>
  <c r="M70"/>
  <c r="O69"/>
  <c r="N69"/>
  <c r="M69"/>
  <c r="N68"/>
  <c r="O68" s="1"/>
  <c r="M68"/>
  <c r="N67"/>
  <c r="M67"/>
  <c r="O67" s="1"/>
  <c r="O66"/>
  <c r="N66"/>
  <c r="M66"/>
  <c r="O65"/>
  <c r="N65"/>
  <c r="M65"/>
  <c r="N64"/>
  <c r="O64" s="1"/>
  <c r="M64"/>
  <c r="N63"/>
  <c r="M63"/>
  <c r="O63" s="1"/>
  <c r="O62"/>
  <c r="N62"/>
  <c r="M62"/>
  <c r="O61"/>
  <c r="N61"/>
  <c r="M61"/>
  <c r="N60"/>
  <c r="O60" s="1"/>
  <c r="M60"/>
  <c r="N59"/>
  <c r="M59"/>
  <c r="O59" s="1"/>
  <c r="O58"/>
  <c r="N58"/>
  <c r="M58"/>
  <c r="O57"/>
  <c r="N57"/>
  <c r="M57"/>
  <c r="N56"/>
  <c r="O56" s="1"/>
  <c r="M56"/>
  <c r="N55"/>
  <c r="M55"/>
  <c r="O55" s="1"/>
  <c r="O54"/>
  <c r="N54"/>
  <c r="M54"/>
  <c r="O53"/>
  <c r="N53"/>
  <c r="M53"/>
  <c r="N52"/>
  <c r="O52" s="1"/>
  <c r="M52"/>
  <c r="N51"/>
  <c r="M51"/>
  <c r="O51" s="1"/>
  <c r="O50"/>
  <c r="N50"/>
  <c r="M50"/>
  <c r="O49"/>
  <c r="N49"/>
  <c r="M49"/>
  <c r="N48"/>
  <c r="O48" s="1"/>
  <c r="M48"/>
  <c r="N47"/>
  <c r="M47"/>
  <c r="O47" s="1"/>
  <c r="O46"/>
  <c r="N46"/>
  <c r="M46"/>
  <c r="O45"/>
  <c r="N45"/>
  <c r="M45"/>
  <c r="N44"/>
  <c r="O44" s="1"/>
  <c r="M44"/>
  <c r="N43"/>
  <c r="M43"/>
  <c r="O43" s="1"/>
  <c r="O42"/>
  <c r="N42"/>
  <c r="M42"/>
  <c r="O41"/>
  <c r="N41"/>
  <c r="M41"/>
  <c r="N40"/>
  <c r="O40" s="1"/>
  <c r="M40"/>
  <c r="N39"/>
  <c r="M39"/>
  <c r="O39" s="1"/>
  <c r="O38"/>
  <c r="N38"/>
  <c r="M38"/>
  <c r="O37"/>
  <c r="N37"/>
  <c r="M37"/>
  <c r="N36"/>
  <c r="O36" s="1"/>
  <c r="M36"/>
  <c r="N35"/>
  <c r="M35"/>
  <c r="O35" s="1"/>
  <c r="O34"/>
  <c r="N34"/>
  <c r="M34"/>
  <c r="O33"/>
  <c r="N33"/>
  <c r="M33"/>
  <c r="N32"/>
  <c r="O32" s="1"/>
  <c r="M32"/>
  <c r="N31"/>
  <c r="M31"/>
  <c r="O31" s="1"/>
  <c r="O30"/>
  <c r="N30"/>
  <c r="M30"/>
  <c r="O29"/>
  <c r="N29"/>
  <c r="M29"/>
  <c r="N28"/>
  <c r="O28" s="1"/>
  <c r="M28"/>
  <c r="N27"/>
  <c r="M27"/>
  <c r="O27" s="1"/>
  <c r="O26"/>
  <c r="N26"/>
  <c r="M26"/>
  <c r="O25"/>
  <c r="N25"/>
  <c r="M25"/>
  <c r="N24"/>
  <c r="O24" s="1"/>
  <c r="M24"/>
  <c r="N23"/>
  <c r="M23"/>
  <c r="O23" s="1"/>
  <c r="O22"/>
  <c r="N22"/>
  <c r="M22"/>
  <c r="O21"/>
  <c r="N21"/>
  <c r="M21"/>
  <c r="N20"/>
  <c r="O20" s="1"/>
  <c r="M20"/>
  <c r="N19"/>
  <c r="M19"/>
  <c r="O19" s="1"/>
  <c r="O18"/>
  <c r="N18"/>
  <c r="M18"/>
  <c r="O17"/>
  <c r="N17"/>
  <c r="M17"/>
  <c r="N16"/>
  <c r="O16" s="1"/>
  <c r="M16"/>
  <c r="N15"/>
  <c r="M15"/>
  <c r="O15" s="1"/>
  <c r="O14"/>
  <c r="N14"/>
  <c r="M14"/>
  <c r="O13"/>
  <c r="N13"/>
  <c r="M13"/>
  <c r="N12"/>
  <c r="O12" s="1"/>
  <c r="M12"/>
  <c r="N11"/>
  <c r="M11"/>
  <c r="O11" s="1"/>
  <c r="O10"/>
  <c r="N10"/>
  <c r="M10"/>
  <c r="O9"/>
  <c r="N9"/>
  <c r="M9"/>
  <c r="N8"/>
  <c r="O8" s="1"/>
  <c r="M8"/>
  <c r="N7"/>
  <c r="O7" s="1"/>
  <c r="M7"/>
  <c r="N6"/>
  <c r="O6" s="1"/>
  <c r="M6"/>
  <c r="N5"/>
  <c r="O5" s="1"/>
  <c r="M5"/>
  <c r="N4"/>
  <c r="O4" s="1"/>
  <c r="M4"/>
  <c r="N3"/>
  <c r="O3" s="1"/>
  <c r="M3"/>
  <c r="N2"/>
  <c r="E3962" s="1"/>
  <c r="M2"/>
  <c r="C19" i="19"/>
  <c r="C17"/>
  <c r="F29"/>
  <c r="C21" s="1"/>
  <c r="AE6" i="25"/>
  <c r="AE3"/>
  <c r="AE7"/>
  <c r="AE5"/>
  <c r="AE4"/>
  <c r="AE2"/>
  <c r="F77" i="1" l="1"/>
  <c r="F65"/>
  <c r="F53"/>
  <c r="F41"/>
  <c r="F29"/>
  <c r="F74"/>
  <c r="F62"/>
  <c r="F50"/>
  <c r="F38"/>
  <c r="F26"/>
  <c r="F14"/>
  <c r="F17"/>
  <c r="F8" i="3"/>
  <c r="F5"/>
  <c r="B8" i="4"/>
  <c r="F7" i="3"/>
  <c r="C15" i="19"/>
  <c r="E23" i="2"/>
  <c r="Q35"/>
  <c r="O35"/>
  <c r="L35"/>
  <c r="I35"/>
  <c r="S35"/>
  <c r="Q48"/>
  <c r="O48"/>
  <c r="L48"/>
  <c r="I48"/>
  <c r="S48"/>
  <c r="Q59"/>
  <c r="O59"/>
  <c r="L59"/>
  <c r="I59"/>
  <c r="S59"/>
  <c r="I16"/>
  <c r="S16"/>
  <c r="Q16"/>
  <c r="O16"/>
  <c r="L16"/>
  <c r="I27"/>
  <c r="S27"/>
  <c r="Q27"/>
  <c r="O27"/>
  <c r="L27"/>
  <c r="I38"/>
  <c r="S38"/>
  <c r="Q38"/>
  <c r="O38"/>
  <c r="L38"/>
  <c r="I49"/>
  <c r="S49"/>
  <c r="Q49"/>
  <c r="O49"/>
  <c r="L49"/>
  <c r="I61"/>
  <c r="S61"/>
  <c r="Q61"/>
  <c r="O61"/>
  <c r="L61"/>
  <c r="L8"/>
  <c r="I8"/>
  <c r="S8"/>
  <c r="Q8"/>
  <c r="O8"/>
  <c r="L19"/>
  <c r="I19"/>
  <c r="S19"/>
  <c r="Q19"/>
  <c r="O19"/>
  <c r="L30"/>
  <c r="I30"/>
  <c r="S30"/>
  <c r="Q30"/>
  <c r="O30"/>
  <c r="L41"/>
  <c r="I41"/>
  <c r="S41"/>
  <c r="Q41"/>
  <c r="O41"/>
  <c r="L51"/>
  <c r="I51"/>
  <c r="S51"/>
  <c r="Q51"/>
  <c r="O51"/>
  <c r="L64"/>
  <c r="I64"/>
  <c r="S64"/>
  <c r="Q64"/>
  <c r="O64"/>
  <c r="O25"/>
  <c r="L25"/>
  <c r="I25"/>
  <c r="S25"/>
  <c r="Q25"/>
  <c r="O36"/>
  <c r="L36"/>
  <c r="I36"/>
  <c r="S36"/>
  <c r="Q36"/>
  <c r="Q6"/>
  <c r="O6"/>
  <c r="L6"/>
  <c r="I6"/>
  <c r="S6"/>
  <c r="Q17"/>
  <c r="O17"/>
  <c r="L17"/>
  <c r="I17"/>
  <c r="S17"/>
  <c r="Q28"/>
  <c r="O28"/>
  <c r="L28"/>
  <c r="I28"/>
  <c r="S28"/>
  <c r="Q39"/>
  <c r="O39"/>
  <c r="L39"/>
  <c r="I39"/>
  <c r="S39"/>
  <c r="Q62"/>
  <c r="O62"/>
  <c r="L62"/>
  <c r="I62"/>
  <c r="S62"/>
  <c r="I9"/>
  <c r="S9"/>
  <c r="Q9"/>
  <c r="O9"/>
  <c r="L9"/>
  <c r="I20"/>
  <c r="S20"/>
  <c r="Q20"/>
  <c r="O20"/>
  <c r="L20"/>
  <c r="I52"/>
  <c r="S52"/>
  <c r="Q52"/>
  <c r="O52"/>
  <c r="L52"/>
  <c r="L12"/>
  <c r="I12"/>
  <c r="S12"/>
  <c r="Q12"/>
  <c r="O12"/>
  <c r="L44"/>
  <c r="I44"/>
  <c r="S44"/>
  <c r="Q44"/>
  <c r="O44"/>
  <c r="O7"/>
  <c r="L7"/>
  <c r="I7"/>
  <c r="S7"/>
  <c r="Q7"/>
  <c r="O18"/>
  <c r="L18"/>
  <c r="I18"/>
  <c r="S18"/>
  <c r="Q18"/>
  <c r="O29"/>
  <c r="L29"/>
  <c r="I29"/>
  <c r="S29"/>
  <c r="Q29"/>
  <c r="O40"/>
  <c r="L40"/>
  <c r="I40"/>
  <c r="S40"/>
  <c r="Q40"/>
  <c r="O50"/>
  <c r="L50"/>
  <c r="I50"/>
  <c r="S50"/>
  <c r="Q50"/>
  <c r="O63"/>
  <c r="L63"/>
  <c r="I63"/>
  <c r="S63"/>
  <c r="Q63"/>
  <c r="Q10"/>
  <c r="O10"/>
  <c r="L10"/>
  <c r="I10"/>
  <c r="S10"/>
  <c r="Q21"/>
  <c r="O21"/>
  <c r="L21"/>
  <c r="I21"/>
  <c r="S21"/>
  <c r="Q42"/>
  <c r="O42"/>
  <c r="L42"/>
  <c r="I42"/>
  <c r="S42"/>
  <c r="Q53"/>
  <c r="O53"/>
  <c r="L53"/>
  <c r="I53"/>
  <c r="S53"/>
  <c r="I13"/>
  <c r="S13"/>
  <c r="Q13"/>
  <c r="O13"/>
  <c r="L13"/>
  <c r="I32"/>
  <c r="S32"/>
  <c r="Q32"/>
  <c r="O32"/>
  <c r="L32"/>
  <c r="L24"/>
  <c r="I24"/>
  <c r="S24"/>
  <c r="Q24"/>
  <c r="O24"/>
  <c r="L46"/>
  <c r="I46"/>
  <c r="S46"/>
  <c r="Q46"/>
  <c r="O46"/>
  <c r="L57"/>
  <c r="I57"/>
  <c r="S57"/>
  <c r="Q57"/>
  <c r="O57"/>
  <c r="O11"/>
  <c r="L11"/>
  <c r="I11"/>
  <c r="S11"/>
  <c r="Q11"/>
  <c r="O22"/>
  <c r="L22"/>
  <c r="I22"/>
  <c r="S22"/>
  <c r="Q22"/>
  <c r="O31"/>
  <c r="L31"/>
  <c r="I31"/>
  <c r="S31"/>
  <c r="Q31"/>
  <c r="O43"/>
  <c r="L43"/>
  <c r="I43"/>
  <c r="S43"/>
  <c r="Q43"/>
  <c r="O54"/>
  <c r="L54"/>
  <c r="I54"/>
  <c r="S54"/>
  <c r="Q54"/>
  <c r="O65"/>
  <c r="L65"/>
  <c r="I65"/>
  <c r="S65"/>
  <c r="Q65"/>
  <c r="Q14"/>
  <c r="O14"/>
  <c r="L14"/>
  <c r="I14"/>
  <c r="S14"/>
  <c r="Q33"/>
  <c r="O33"/>
  <c r="L33"/>
  <c r="I33"/>
  <c r="S33"/>
  <c r="Q55"/>
  <c r="O55"/>
  <c r="L55"/>
  <c r="I55"/>
  <c r="S55"/>
  <c r="I47"/>
  <c r="S47"/>
  <c r="Q47"/>
  <c r="O47"/>
  <c r="L47"/>
  <c r="I58"/>
  <c r="S58"/>
  <c r="Q58"/>
  <c r="O58"/>
  <c r="L58"/>
  <c r="L15"/>
  <c r="I15"/>
  <c r="S15"/>
  <c r="Q15"/>
  <c r="O15"/>
  <c r="L26"/>
  <c r="I26"/>
  <c r="S26"/>
  <c r="Q26"/>
  <c r="O26"/>
  <c r="L37"/>
  <c r="I37"/>
  <c r="S37"/>
  <c r="Q37"/>
  <c r="O37"/>
  <c r="L60"/>
  <c r="I60"/>
  <c r="S60"/>
  <c r="Q60"/>
  <c r="O60"/>
  <c r="O34"/>
  <c r="L34"/>
  <c r="I34"/>
  <c r="S34"/>
  <c r="Q34"/>
  <c r="O45"/>
  <c r="L45"/>
  <c r="I45"/>
  <c r="S45"/>
  <c r="Q45"/>
  <c r="O56"/>
  <c r="L56"/>
  <c r="I56"/>
  <c r="S56"/>
  <c r="Q56"/>
  <c r="C20" i="19"/>
  <c r="C5"/>
  <c r="D3966" i="25"/>
  <c r="D3965"/>
  <c r="O3319"/>
  <c r="E3978"/>
  <c r="E3977"/>
  <c r="E3966"/>
  <c r="O2"/>
  <c r="O472"/>
  <c r="O2497"/>
  <c r="O2522"/>
  <c r="O2561"/>
  <c r="O2586"/>
  <c r="O2625"/>
  <c r="O2650"/>
  <c r="O2689"/>
  <c r="O2714"/>
  <c r="O2753"/>
  <c r="O2778"/>
  <c r="O2817"/>
  <c r="O2842"/>
  <c r="O2881"/>
  <c r="O2906"/>
  <c r="O2945"/>
  <c r="O2970"/>
  <c r="F3968"/>
  <c r="D3963"/>
  <c r="D3962"/>
  <c r="G3962"/>
  <c r="D3974"/>
  <c r="O3228"/>
  <c r="O1190"/>
  <c r="O1198"/>
  <c r="O1438"/>
  <c r="O1614"/>
  <c r="O1654"/>
  <c r="O1662"/>
  <c r="O1670"/>
  <c r="O1673"/>
  <c r="O1678"/>
  <c r="O1686"/>
  <c r="O1694"/>
  <c r="O1702"/>
  <c r="O1710"/>
  <c r="O1718"/>
  <c r="O1721"/>
  <c r="O1726"/>
  <c r="O1734"/>
  <c r="O1737"/>
  <c r="O1742"/>
  <c r="O1745"/>
  <c r="O1750"/>
  <c r="O1753"/>
  <c r="O1758"/>
  <c r="O1761"/>
  <c r="O1766"/>
  <c r="O1769"/>
  <c r="O1774"/>
  <c r="O1777"/>
  <c r="O1782"/>
  <c r="O1785"/>
  <c r="O1790"/>
  <c r="O1793"/>
  <c r="O1798"/>
  <c r="O1801"/>
  <c r="O1806"/>
  <c r="O1809"/>
  <c r="O1814"/>
  <c r="O1822"/>
  <c r="O1830"/>
  <c r="O1838"/>
  <c r="O1846"/>
  <c r="O1854"/>
  <c r="O1862"/>
  <c r="O1870"/>
  <c r="O1878"/>
  <c r="O1886"/>
  <c r="E3974"/>
  <c r="D3978"/>
  <c r="E3963"/>
  <c r="D3969"/>
  <c r="D3972"/>
  <c r="O2477"/>
  <c r="O2493"/>
  <c r="O2509"/>
  <c r="F3971" s="1"/>
  <c r="O2525"/>
  <c r="O2541"/>
  <c r="O2557"/>
  <c r="O2573"/>
  <c r="O2589"/>
  <c r="O2605"/>
  <c r="O2621"/>
  <c r="O2637"/>
  <c r="O2653"/>
  <c r="O2669"/>
  <c r="O2685"/>
  <c r="O2701"/>
  <c r="O2717"/>
  <c r="O2733"/>
  <c r="O2749"/>
  <c r="O2765"/>
  <c r="O2781"/>
  <c r="O2797"/>
  <c r="O2813"/>
  <c r="O2829"/>
  <c r="O2845"/>
  <c r="O2861"/>
  <c r="O2877"/>
  <c r="O2893"/>
  <c r="O2909"/>
  <c r="O2925"/>
  <c r="O2941"/>
  <c r="O2957"/>
  <c r="O2973"/>
  <c r="O2989"/>
  <c r="O3005"/>
  <c r="D3968"/>
  <c r="E3968"/>
  <c r="E3969"/>
  <c r="E3971"/>
  <c r="E3972"/>
  <c r="D3971"/>
  <c r="E3975"/>
  <c r="O3227"/>
  <c r="D3975"/>
  <c r="C18" i="19"/>
  <c r="N130" i="23"/>
  <c r="L130"/>
  <c r="N129"/>
  <c r="N128"/>
  <c r="N127"/>
  <c r="N126"/>
  <c r="N124"/>
  <c r="N123"/>
  <c r="J119"/>
  <c r="K130" s="1"/>
  <c r="J118"/>
  <c r="M130" s="1"/>
  <c r="M134" s="1"/>
  <c r="J117"/>
  <c r="J116"/>
  <c r="J115"/>
  <c r="J114"/>
  <c r="J113"/>
  <c r="J112"/>
  <c r="J111"/>
  <c r="J110"/>
  <c r="J109"/>
  <c r="J108"/>
  <c r="L129" s="1"/>
  <c r="J107"/>
  <c r="K129" s="1"/>
  <c r="J106"/>
  <c r="M129" s="1"/>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M128" s="1"/>
  <c r="J43"/>
  <c r="J42"/>
  <c r="J41"/>
  <c r="J40"/>
  <c r="J39"/>
  <c r="J38"/>
  <c r="J37"/>
  <c r="J36"/>
  <c r="J35"/>
  <c r="J34"/>
  <c r="J33"/>
  <c r="J32"/>
  <c r="J31"/>
  <c r="J30"/>
  <c r="J29"/>
  <c r="J28"/>
  <c r="M127" s="1"/>
  <c r="J27"/>
  <c r="J26"/>
  <c r="J25"/>
  <c r="J24"/>
  <c r="J23"/>
  <c r="J22"/>
  <c r="J21"/>
  <c r="J20"/>
  <c r="J19"/>
  <c r="J18"/>
  <c r="J17"/>
  <c r="J16"/>
  <c r="L126" s="1"/>
  <c r="J15"/>
  <c r="K126" s="1"/>
  <c r="J14"/>
  <c r="J13"/>
  <c r="M126" s="1"/>
  <c r="J12"/>
  <c r="L125" s="1"/>
  <c r="J11"/>
  <c r="J10"/>
  <c r="J9"/>
  <c r="J8"/>
  <c r="K124" s="1"/>
  <c r="J7"/>
  <c r="J6"/>
  <c r="L124" s="1"/>
  <c r="J5"/>
  <c r="J4"/>
  <c r="K123" s="1"/>
  <c r="J3"/>
  <c r="J2"/>
  <c r="L123" s="1"/>
  <c r="F73" i="1" l="1"/>
  <c r="F61"/>
  <c r="F49"/>
  <c r="F37"/>
  <c r="F25"/>
  <c r="F20" i="3" s="1"/>
  <c r="F76" i="1"/>
  <c r="F64"/>
  <c r="F52"/>
  <c r="F40"/>
  <c r="F28"/>
  <c r="F78"/>
  <c r="F66"/>
  <c r="F54"/>
  <c r="F42"/>
  <c r="F30"/>
  <c r="C16" i="19"/>
  <c r="F15" i="1" s="1"/>
  <c r="F12" i="3" s="1"/>
  <c r="F13" i="1"/>
  <c r="F10" i="3" s="1"/>
  <c r="F16" i="1"/>
  <c r="F13" i="3" s="1"/>
  <c r="F9"/>
  <c r="F18" i="1"/>
  <c r="F15" i="3"/>
  <c r="F16"/>
  <c r="F17"/>
  <c r="F6"/>
  <c r="F11"/>
  <c r="E3998" i="25"/>
  <c r="F3998" s="1"/>
  <c r="E3999"/>
  <c r="F3999" s="1"/>
  <c r="E3997"/>
  <c r="F3997" s="1"/>
  <c r="F3962"/>
  <c r="F3977"/>
  <c r="F3978"/>
  <c r="F3966"/>
  <c r="F3965"/>
  <c r="E3996"/>
  <c r="F3996" s="1"/>
  <c r="E3994"/>
  <c r="F3994" s="1"/>
  <c r="E3992"/>
  <c r="F3992" s="1"/>
  <c r="E3990"/>
  <c r="F3990" s="1"/>
  <c r="E3995"/>
  <c r="F3995" s="1"/>
  <c r="E3993"/>
  <c r="F3993" s="1"/>
  <c r="E3991"/>
  <c r="F3991" s="1"/>
  <c r="F3972"/>
  <c r="F3974"/>
  <c r="K134" i="23"/>
  <c r="L127"/>
  <c r="L128"/>
  <c r="L133" s="1"/>
  <c r="K127"/>
  <c r="K128"/>
  <c r="K133" s="1"/>
  <c r="M123"/>
  <c r="M133" s="1"/>
  <c r="M124"/>
  <c r="M125"/>
  <c r="K125"/>
  <c r="F75" i="1" l="1"/>
  <c r="F63"/>
  <c r="F51"/>
  <c r="F39"/>
  <c r="F27"/>
  <c r="F22" i="3" s="1"/>
  <c r="F24"/>
  <c r="F19"/>
  <c r="F18"/>
  <c r="F30"/>
  <c r="F23"/>
  <c r="F14"/>
  <c r="F25"/>
  <c r="F21"/>
  <c r="F28"/>
  <c r="E3988" i="25"/>
  <c r="F3988" s="1"/>
  <c r="E3986"/>
  <c r="F3986" s="1"/>
  <c r="E3984"/>
  <c r="F3984" s="1"/>
  <c r="E3989"/>
  <c r="F3989" s="1"/>
  <c r="E3987"/>
  <c r="F3987" s="1"/>
  <c r="E3985"/>
  <c r="F3985" s="1"/>
  <c r="L134" i="23"/>
  <c r="F36" i="3" l="1"/>
  <c r="F27"/>
  <c r="F29"/>
  <c r="F31"/>
  <c r="F26"/>
  <c r="F33"/>
  <c r="F40"/>
  <c r="F48" l="1"/>
  <c r="F34"/>
  <c r="F37"/>
  <c r="F39"/>
  <c r="F32"/>
  <c r="F43"/>
  <c r="F41"/>
  <c r="F38"/>
  <c r="F46"/>
  <c r="F35"/>
  <c r="E6" i="2"/>
  <c r="I86" s="1"/>
  <c r="E7"/>
  <c r="E8"/>
  <c r="E9"/>
  <c r="E10"/>
  <c r="E11"/>
  <c r="E12"/>
  <c r="E13"/>
  <c r="E14"/>
  <c r="E15"/>
  <c r="E16"/>
  <c r="E17"/>
  <c r="E18"/>
  <c r="E19"/>
  <c r="E20"/>
  <c r="E21"/>
  <c r="E22"/>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S86" l="1"/>
  <c r="O89"/>
  <c r="S92"/>
  <c r="Q91"/>
  <c r="O90"/>
  <c r="Q92"/>
  <c r="S90"/>
  <c r="L88"/>
  <c r="Q86"/>
  <c r="I89"/>
  <c r="L86"/>
  <c r="O91"/>
  <c r="I91"/>
  <c r="Q90"/>
  <c r="L89"/>
  <c r="O86"/>
  <c r="O88"/>
  <c r="L87"/>
  <c r="L91"/>
  <c r="L92"/>
  <c r="O87"/>
  <c r="S87"/>
  <c r="L90"/>
  <c r="S91"/>
  <c r="O92"/>
  <c r="I87"/>
  <c r="Q87"/>
  <c r="Q89"/>
  <c r="S88"/>
  <c r="I90"/>
  <c r="S89"/>
  <c r="Q88"/>
  <c r="I92"/>
  <c r="I88"/>
  <c r="O95"/>
  <c r="L95"/>
  <c r="Q95"/>
  <c r="I95"/>
  <c r="S95"/>
  <c r="L94"/>
  <c r="O93"/>
  <c r="L93"/>
  <c r="S93"/>
  <c r="I94"/>
  <c r="S94"/>
  <c r="Q93"/>
  <c r="O94"/>
  <c r="I93"/>
  <c r="Q94"/>
  <c r="O105"/>
  <c r="J27" i="4" s="1"/>
  <c r="S96" i="2"/>
  <c r="L99"/>
  <c r="L97"/>
  <c r="Q99"/>
  <c r="Q102"/>
  <c r="Q104"/>
  <c r="I105"/>
  <c r="D27" i="4" s="1"/>
  <c r="O101" i="2"/>
  <c r="L98"/>
  <c r="S97"/>
  <c r="L104"/>
  <c r="O100"/>
  <c r="I99"/>
  <c r="I96"/>
  <c r="S104"/>
  <c r="S99"/>
  <c r="Q105"/>
  <c r="L27" i="4" s="1"/>
  <c r="L105" i="2"/>
  <c r="L102"/>
  <c r="Q97"/>
  <c r="L100"/>
  <c r="O103"/>
  <c r="S101"/>
  <c r="S102"/>
  <c r="I97"/>
  <c r="S100"/>
  <c r="O99"/>
  <c r="L103"/>
  <c r="L101"/>
  <c r="Q103"/>
  <c r="Q101"/>
  <c r="O98"/>
  <c r="L96"/>
  <c r="S98"/>
  <c r="O96"/>
  <c r="O104"/>
  <c r="S105"/>
  <c r="N27" i="4" s="1"/>
  <c r="I102" i="2"/>
  <c r="Q100"/>
  <c r="I103"/>
  <c r="O97"/>
  <c r="I100"/>
  <c r="S103"/>
  <c r="I101"/>
  <c r="Q98"/>
  <c r="O102"/>
  <c r="I98"/>
  <c r="Q96"/>
  <c r="I104"/>
  <c r="F45" i="3"/>
  <c r="F47"/>
  <c r="F44"/>
  <c r="F58"/>
  <c r="F51"/>
  <c r="F54"/>
  <c r="F49"/>
  <c r="F42"/>
  <c r="F52"/>
  <c r="F53"/>
  <c r="F62" l="1"/>
  <c r="F59"/>
  <c r="F61"/>
  <c r="F57"/>
  <c r="F63"/>
  <c r="F50"/>
  <c r="F64"/>
  <c r="F55"/>
  <c r="F56"/>
  <c r="F60" l="1"/>
  <c r="A8" i="4"/>
  <c r="A9"/>
  <c r="A10"/>
  <c r="A11"/>
  <c r="A12"/>
  <c r="A13"/>
  <c r="A14"/>
  <c r="A15"/>
  <c r="A16"/>
  <c r="A17"/>
  <c r="A18"/>
  <c r="A19"/>
  <c r="A20"/>
  <c r="A21"/>
  <c r="A22"/>
  <c r="A23"/>
  <c r="A24"/>
  <c r="A25"/>
  <c r="A26"/>
  <c r="C54" i="6" l="1"/>
  <c r="C55"/>
  <c r="C56"/>
  <c r="C57"/>
  <c r="C58"/>
  <c r="C59"/>
  <c r="C60"/>
  <c r="C61"/>
  <c r="C62"/>
  <c r="C63"/>
  <c r="C64"/>
  <c r="C65"/>
  <c r="C66"/>
  <c r="C67"/>
  <c r="C68"/>
  <c r="C50"/>
  <c r="C51"/>
  <c r="C52"/>
  <c r="C53"/>
  <c r="B80" l="1"/>
  <c r="H5" i="30" s="1"/>
  <c r="B94" i="6"/>
  <c r="H19" i="30" s="1"/>
  <c r="B86" i="6"/>
  <c r="H11" i="30" s="1"/>
  <c r="B95" i="6"/>
  <c r="H20" i="30" s="1"/>
  <c r="B81" i="6"/>
  <c r="H6" i="30" s="1"/>
  <c r="B92" i="6"/>
  <c r="H17" i="30" s="1"/>
  <c r="B84" i="6"/>
  <c r="H9" i="30" s="1"/>
  <c r="B91" i="6"/>
  <c r="H16" i="30" s="1"/>
  <c r="B83" i="6"/>
  <c r="H8" i="30" s="1"/>
  <c r="B96" i="6"/>
  <c r="H21" i="30" s="1"/>
  <c r="B93" i="6"/>
  <c r="H18" i="30" s="1"/>
  <c r="B85" i="6"/>
  <c r="H10" i="30" s="1"/>
  <c r="B87" i="6"/>
  <c r="H12" i="30" s="1"/>
  <c r="B88" i="6"/>
  <c r="H13" i="30" s="1"/>
  <c r="B97" i="6"/>
  <c r="H22" i="30" s="1"/>
  <c r="B90" i="6"/>
  <c r="H15" i="30" s="1"/>
  <c r="B82" i="6"/>
  <c r="H7" i="30" s="1"/>
  <c r="B79" i="6"/>
  <c r="H4" i="30" s="1"/>
  <c r="B78" i="6"/>
  <c r="H3" i="30" s="1"/>
  <c r="B89" i="6"/>
  <c r="H14" i="30" s="1"/>
  <c r="X141" i="6" l="1"/>
  <c r="X142" s="1"/>
  <c r="W141"/>
  <c r="W142" s="1"/>
  <c r="V141"/>
  <c r="V142" s="1"/>
  <c r="U141"/>
  <c r="U142" s="1"/>
  <c r="T141"/>
  <c r="T142" s="1"/>
  <c r="S141"/>
  <c r="S142" s="1"/>
  <c r="R141"/>
  <c r="R142" s="1"/>
  <c r="Q141"/>
  <c r="Q142" s="1"/>
  <c r="P141"/>
  <c r="P142" s="1"/>
  <c r="O141"/>
  <c r="O142" s="1"/>
  <c r="N141"/>
  <c r="N142" s="1"/>
  <c r="M141"/>
  <c r="M142" s="1"/>
  <c r="L141"/>
  <c r="L142" s="1"/>
  <c r="K141"/>
  <c r="K142" s="1"/>
  <c r="J141"/>
  <c r="J142" s="1"/>
  <c r="I141"/>
  <c r="I142" s="1"/>
  <c r="H141"/>
  <c r="H142" s="1"/>
  <c r="G141"/>
  <c r="G142" s="1"/>
  <c r="F141"/>
  <c r="F142" s="1"/>
  <c r="E141"/>
  <c r="E142" s="1"/>
  <c r="X104"/>
  <c r="X105" s="1"/>
  <c r="W104"/>
  <c r="W105" s="1"/>
  <c r="V104"/>
  <c r="V105" s="1"/>
  <c r="U104"/>
  <c r="U105" s="1"/>
  <c r="T104"/>
  <c r="T105" s="1"/>
  <c r="S104"/>
  <c r="S105" s="1"/>
  <c r="R104"/>
  <c r="R105" s="1"/>
  <c r="Q104"/>
  <c r="Q105" s="1"/>
  <c r="P104"/>
  <c r="P105" s="1"/>
  <c r="O104"/>
  <c r="O105" s="1"/>
  <c r="N104"/>
  <c r="N105" s="1"/>
  <c r="M104"/>
  <c r="M105" s="1"/>
  <c r="L104"/>
  <c r="L105" s="1"/>
  <c r="K104"/>
  <c r="K105" s="1"/>
  <c r="J104"/>
  <c r="J105" s="1"/>
  <c r="I104"/>
  <c r="I105" s="1"/>
  <c r="H104"/>
  <c r="H105" s="1"/>
  <c r="G104"/>
  <c r="G105" s="1"/>
  <c r="F104"/>
  <c r="F105" s="1"/>
  <c r="E104"/>
  <c r="E105" s="1"/>
  <c r="X76"/>
  <c r="X77" s="1"/>
  <c r="W76"/>
  <c r="W77" s="1"/>
  <c r="V76"/>
  <c r="V77" s="1"/>
  <c r="U76"/>
  <c r="U77" s="1"/>
  <c r="T76"/>
  <c r="T77" s="1"/>
  <c r="S76"/>
  <c r="S77" s="1"/>
  <c r="R76"/>
  <c r="R77" s="1"/>
  <c r="Q76"/>
  <c r="Q77" s="1"/>
  <c r="P76"/>
  <c r="P77" s="1"/>
  <c r="O76"/>
  <c r="O77" s="1"/>
  <c r="N76"/>
  <c r="N77" s="1"/>
  <c r="M76"/>
  <c r="M77" s="1"/>
  <c r="L76"/>
  <c r="L77" s="1"/>
  <c r="K76"/>
  <c r="K77" s="1"/>
  <c r="J76"/>
  <c r="J77" s="1"/>
  <c r="I76"/>
  <c r="I77" s="1"/>
  <c r="H76"/>
  <c r="H77" s="1"/>
  <c r="G76"/>
  <c r="G77" s="1"/>
  <c r="F76"/>
  <c r="F77" s="1"/>
  <c r="E76"/>
  <c r="E77" s="1"/>
  <c r="C75"/>
  <c r="C22"/>
  <c r="A21" s="1"/>
  <c r="A11"/>
  <c r="C9"/>
  <c r="D141" l="1"/>
  <c r="C48"/>
  <c r="W48" l="1"/>
  <c r="S48"/>
  <c r="O48"/>
  <c r="K48"/>
  <c r="G48"/>
  <c r="X48"/>
  <c r="T48"/>
  <c r="P48"/>
  <c r="L48"/>
  <c r="H48"/>
  <c r="U48"/>
  <c r="Q48"/>
  <c r="M48"/>
  <c r="I48"/>
  <c r="E48"/>
  <c r="V48"/>
  <c r="R48"/>
  <c r="N48"/>
  <c r="J48"/>
  <c r="F48"/>
  <c r="A47"/>
  <c r="J11" i="4" l="1"/>
  <c r="J8"/>
  <c r="J14" l="1"/>
  <c r="L13"/>
  <c r="J10"/>
  <c r="J13"/>
  <c r="N14"/>
  <c r="J25"/>
  <c r="J9"/>
  <c r="N8"/>
  <c r="L8"/>
  <c r="N11"/>
  <c r="L11"/>
  <c r="J16"/>
  <c r="L9"/>
  <c r="N9"/>
  <c r="L24"/>
  <c r="N23"/>
  <c r="N10"/>
  <c r="N13"/>
  <c r="N15"/>
  <c r="N25"/>
  <c r="L14"/>
  <c r="L10"/>
  <c r="J23" l="1"/>
  <c r="J22"/>
  <c r="L19"/>
  <c r="J20"/>
  <c r="N26"/>
  <c r="J19"/>
  <c r="N17"/>
  <c r="L25"/>
  <c r="L23"/>
  <c r="J24"/>
  <c r="L26"/>
  <c r="L22"/>
  <c r="J21"/>
  <c r="N19"/>
  <c r="N20"/>
  <c r="L20"/>
  <c r="J26"/>
  <c r="L17"/>
  <c r="N24"/>
  <c r="L21"/>
  <c r="L15"/>
  <c r="N16"/>
  <c r="J18"/>
  <c r="N12"/>
  <c r="N21"/>
  <c r="L18"/>
  <c r="N22"/>
  <c r="J15"/>
  <c r="J17"/>
  <c r="N18"/>
  <c r="J12"/>
  <c r="L12"/>
  <c r="L16"/>
  <c r="D13"/>
  <c r="D10"/>
  <c r="D15"/>
  <c r="D11"/>
  <c r="D9"/>
  <c r="D8"/>
  <c r="D14"/>
  <c r="D25" l="1"/>
  <c r="D20"/>
  <c r="D26"/>
  <c r="D23"/>
  <c r="D24"/>
  <c r="D19"/>
  <c r="D22"/>
  <c r="D21"/>
  <c r="D18"/>
  <c r="D12"/>
  <c r="D17"/>
  <c r="D16"/>
  <c r="G8" i="5" l="1"/>
  <c r="E8"/>
  <c r="F9"/>
  <c r="E7"/>
  <c r="H8" l="1"/>
  <c r="F6"/>
  <c r="F8"/>
  <c r="F7"/>
  <c r="H9"/>
  <c r="G9"/>
  <c r="E9"/>
  <c r="E6"/>
  <c r="H7"/>
  <c r="H6"/>
  <c r="G7"/>
  <c r="G6"/>
  <c r="A78" i="6" l="1"/>
  <c r="G3" i="30" s="1"/>
  <c r="A96" i="6"/>
  <c r="G21" i="30" s="1"/>
  <c r="B40" i="6"/>
  <c r="B39"/>
  <c r="B36"/>
  <c r="B41"/>
  <c r="B38"/>
  <c r="B37"/>
  <c r="B42"/>
  <c r="B30"/>
  <c r="B29"/>
  <c r="B27"/>
  <c r="B28"/>
  <c r="B34"/>
  <c r="B31"/>
  <c r="B26"/>
  <c r="B23"/>
  <c r="B24"/>
  <c r="B25"/>
  <c r="B35"/>
  <c r="B33"/>
  <c r="B32"/>
  <c r="A83"/>
  <c r="G8" i="30" s="1"/>
  <c r="A80" i="6" l="1"/>
  <c r="G5" i="30" s="1"/>
  <c r="A82" i="6"/>
  <c r="G7" i="30" s="1"/>
  <c r="A88" i="6"/>
  <c r="G13" i="30" s="1"/>
  <c r="A91" i="6"/>
  <c r="G16" i="30" s="1"/>
  <c r="A95" i="6"/>
  <c r="G20" i="30" s="1"/>
  <c r="A97" i="6"/>
  <c r="G22" i="30" s="1"/>
  <c r="A92" i="6"/>
  <c r="G17" i="30" s="1"/>
  <c r="A86" i="6"/>
  <c r="G11" i="30" s="1"/>
  <c r="A87" i="6"/>
  <c r="G12" i="30" s="1"/>
  <c r="A93" i="6"/>
  <c r="G18" i="30" s="1"/>
  <c r="A85" i="6"/>
  <c r="G10" i="30" s="1"/>
  <c r="A94" i="6"/>
  <c r="G19" i="30" s="1"/>
  <c r="A81" i="6"/>
  <c r="G6" i="30" s="1"/>
  <c r="A79" i="6"/>
  <c r="G4" i="30" s="1"/>
  <c r="A89" i="6"/>
  <c r="G14" i="30" s="1"/>
  <c r="A84" i="6"/>
  <c r="G9" i="30" s="1"/>
  <c r="A90" i="6" l="1"/>
  <c r="G15" i="30" s="1"/>
  <c r="Y107" i="6" l="1"/>
  <c r="Y106"/>
  <c r="Y143" s="1"/>
  <c r="R106" l="1"/>
  <c r="R143" s="1"/>
  <c r="R107"/>
  <c r="K106"/>
  <c r="K143" s="1"/>
  <c r="K107"/>
  <c r="I107"/>
  <c r="I106"/>
  <c r="I143" s="1"/>
  <c r="L107"/>
  <c r="L106"/>
  <c r="L143" s="1"/>
  <c r="H106"/>
  <c r="H143" s="1"/>
  <c r="H107"/>
  <c r="S106"/>
  <c r="S143" s="1"/>
  <c r="S107"/>
  <c r="W106"/>
  <c r="W143" s="1"/>
  <c r="W107"/>
  <c r="F106"/>
  <c r="F143" s="1"/>
  <c r="F107"/>
  <c r="T106"/>
  <c r="T143" s="1"/>
  <c r="T107"/>
  <c r="M107"/>
  <c r="M106"/>
  <c r="M143" s="1"/>
  <c r="N106"/>
  <c r="N143" s="1"/>
  <c r="N107"/>
  <c r="Q107"/>
  <c r="Q106"/>
  <c r="Q143" s="1"/>
  <c r="E107"/>
  <c r="E106"/>
  <c r="E143" s="1"/>
  <c r="X106"/>
  <c r="X143" s="1"/>
  <c r="X107"/>
  <c r="J107"/>
  <c r="J106"/>
  <c r="J143" s="1"/>
  <c r="O107"/>
  <c r="O106"/>
  <c r="O143" s="1"/>
  <c r="U107"/>
  <c r="U106"/>
  <c r="U143" s="1"/>
  <c r="G106"/>
  <c r="G143" s="1"/>
  <c r="G107"/>
  <c r="V106"/>
  <c r="V143" s="1"/>
  <c r="V107"/>
  <c r="P107"/>
  <c r="P106"/>
  <c r="P143" s="1"/>
  <c r="Y144"/>
  <c r="K144" l="1"/>
  <c r="S144"/>
  <c r="E144"/>
  <c r="F144"/>
  <c r="N144"/>
  <c r="V144"/>
  <c r="X144"/>
  <c r="P144"/>
  <c r="U144"/>
  <c r="O144"/>
  <c r="T144"/>
  <c r="H144"/>
  <c r="I144"/>
  <c r="G144"/>
  <c r="J144"/>
  <c r="W144"/>
  <c r="R144"/>
  <c r="Q144"/>
  <c r="M144"/>
  <c r="L144"/>
  <c r="Y108" l="1"/>
  <c r="Y145" s="1"/>
  <c r="X108" l="1"/>
  <c r="X145" s="1"/>
  <c r="H108"/>
  <c r="H145" s="1"/>
  <c r="G108"/>
  <c r="G145" s="1"/>
  <c r="K108"/>
  <c r="K145" s="1"/>
  <c r="J108"/>
  <c r="J145" s="1"/>
  <c r="F108"/>
  <c r="F145" s="1"/>
  <c r="V108"/>
  <c r="V145" s="1"/>
  <c r="S108"/>
  <c r="S145" s="1"/>
  <c r="Q108"/>
  <c r="Q145" s="1"/>
  <c r="M108"/>
  <c r="M145" s="1"/>
  <c r="T108"/>
  <c r="T145" s="1"/>
  <c r="R108"/>
  <c r="R145" s="1"/>
  <c r="L108"/>
  <c r="L145" s="1"/>
  <c r="E108"/>
  <c r="E145" s="1"/>
  <c r="P108"/>
  <c r="P145" s="1"/>
  <c r="N108"/>
  <c r="N145" s="1"/>
  <c r="O108"/>
  <c r="O145" s="1"/>
  <c r="W108"/>
  <c r="W145" s="1"/>
  <c r="U108"/>
  <c r="U145" s="1"/>
  <c r="I108"/>
  <c r="I145" s="1"/>
  <c r="H110" l="1"/>
  <c r="H111"/>
  <c r="H109"/>
  <c r="H146" s="1"/>
  <c r="H112"/>
  <c r="H113"/>
  <c r="H114"/>
  <c r="H116"/>
  <c r="H115"/>
  <c r="E109"/>
  <c r="E146" s="1"/>
  <c r="E110"/>
  <c r="E111"/>
  <c r="E112"/>
  <c r="E113"/>
  <c r="E114"/>
  <c r="E116"/>
  <c r="E115"/>
  <c r="M109"/>
  <c r="M146" s="1"/>
  <c r="M111"/>
  <c r="M110"/>
  <c r="M112"/>
  <c r="M115"/>
  <c r="M113"/>
  <c r="M116"/>
  <c r="M114"/>
  <c r="W109"/>
  <c r="W146" s="1"/>
  <c r="W111"/>
  <c r="W110"/>
  <c r="W115"/>
  <c r="W114"/>
  <c r="W116"/>
  <c r="W113"/>
  <c r="W112"/>
  <c r="N110"/>
  <c r="N111"/>
  <c r="N109"/>
  <c r="N146" s="1"/>
  <c r="N114"/>
  <c r="N116"/>
  <c r="N113"/>
  <c r="N112"/>
  <c r="N115"/>
  <c r="S110"/>
  <c r="S109"/>
  <c r="S146" s="1"/>
  <c r="S111"/>
  <c r="S113"/>
  <c r="S112"/>
  <c r="S114"/>
  <c r="S116"/>
  <c r="S115"/>
  <c r="Q111"/>
  <c r="Q110"/>
  <c r="Q109"/>
  <c r="Q146" s="1"/>
  <c r="Q113"/>
  <c r="Q115"/>
  <c r="Q116"/>
  <c r="Q114"/>
  <c r="Q112"/>
  <c r="T109"/>
  <c r="T146" s="1"/>
  <c r="T111"/>
  <c r="T110"/>
  <c r="T116"/>
  <c r="T112"/>
  <c r="T114"/>
  <c r="T113"/>
  <c r="T115"/>
  <c r="X111"/>
  <c r="X109"/>
  <c r="X146" s="1"/>
  <c r="X110"/>
  <c r="X113"/>
  <c r="X114"/>
  <c r="X112"/>
  <c r="X115"/>
  <c r="X116"/>
  <c r="O109"/>
  <c r="O146" s="1"/>
  <c r="O110"/>
  <c r="O111"/>
  <c r="O112"/>
  <c r="O116"/>
  <c r="O113"/>
  <c r="O115"/>
  <c r="O114"/>
  <c r="Y111"/>
  <c r="Y109"/>
  <c r="Y146" s="1"/>
  <c r="Y110"/>
  <c r="Y112"/>
  <c r="Y116"/>
  <c r="Y113"/>
  <c r="Y115"/>
  <c r="Y114"/>
  <c r="K109"/>
  <c r="K146" s="1"/>
  <c r="K111"/>
  <c r="K110"/>
  <c r="K115"/>
  <c r="K114"/>
  <c r="K112"/>
  <c r="K113"/>
  <c r="K116"/>
  <c r="J110"/>
  <c r="J111"/>
  <c r="J109"/>
  <c r="J146" s="1"/>
  <c r="J114"/>
  <c r="J113"/>
  <c r="J115"/>
  <c r="J116"/>
  <c r="J112"/>
  <c r="F110"/>
  <c r="F111"/>
  <c r="F109"/>
  <c r="F146" s="1"/>
  <c r="F113"/>
  <c r="F114"/>
  <c r="F115"/>
  <c r="F112"/>
  <c r="F116"/>
  <c r="L111"/>
  <c r="L110"/>
  <c r="L109"/>
  <c r="L146" s="1"/>
  <c r="L116"/>
  <c r="L114"/>
  <c r="L112"/>
  <c r="L115"/>
  <c r="L113"/>
  <c r="G110"/>
  <c r="G109"/>
  <c r="G146" s="1"/>
  <c r="G111"/>
  <c r="G115"/>
  <c r="G116"/>
  <c r="G112"/>
  <c r="G114"/>
  <c r="G113"/>
  <c r="U110"/>
  <c r="U111"/>
  <c r="U109"/>
  <c r="U146" s="1"/>
  <c r="U112"/>
  <c r="U114"/>
  <c r="U115"/>
  <c r="U113"/>
  <c r="U116"/>
  <c r="P111"/>
  <c r="P110"/>
  <c r="P109"/>
  <c r="P146" s="1"/>
  <c r="P114"/>
  <c r="P113"/>
  <c r="P115"/>
  <c r="P116"/>
  <c r="P112"/>
  <c r="R109"/>
  <c r="R146" s="1"/>
  <c r="R111"/>
  <c r="R110"/>
  <c r="R113"/>
  <c r="R114"/>
  <c r="R112"/>
  <c r="R149" s="1"/>
  <c r="R116"/>
  <c r="R115"/>
  <c r="I109"/>
  <c r="I146" s="1"/>
  <c r="I110"/>
  <c r="I111"/>
  <c r="I115"/>
  <c r="I114"/>
  <c r="I116"/>
  <c r="I113"/>
  <c r="I112"/>
  <c r="V110"/>
  <c r="V111"/>
  <c r="V109"/>
  <c r="V146" s="1"/>
  <c r="V112"/>
  <c r="V114"/>
  <c r="V115"/>
  <c r="V113"/>
  <c r="V116"/>
  <c r="T150" l="1"/>
  <c r="J152"/>
  <c r="Y150"/>
  <c r="R152"/>
  <c r="Y149"/>
  <c r="F149"/>
  <c r="F151"/>
  <c r="J149"/>
  <c r="Y151"/>
  <c r="W149"/>
  <c r="M151"/>
  <c r="R150"/>
  <c r="L149"/>
  <c r="K147"/>
  <c r="H151"/>
  <c r="H149"/>
  <c r="Q151"/>
  <c r="V151"/>
  <c r="P152"/>
  <c r="U152"/>
  <c r="F152"/>
  <c r="J147"/>
  <c r="Y152"/>
  <c r="O148"/>
  <c r="Q153"/>
  <c r="M153"/>
  <c r="V149"/>
  <c r="R148"/>
  <c r="P150"/>
  <c r="U149"/>
  <c r="L148"/>
  <c r="K152"/>
  <c r="O152"/>
  <c r="O149"/>
  <c r="X149"/>
  <c r="T147"/>
  <c r="Q150"/>
  <c r="W153"/>
  <c r="W147"/>
  <c r="M148"/>
  <c r="H150"/>
  <c r="F148"/>
  <c r="N149"/>
  <c r="I149"/>
  <c r="I153"/>
  <c r="I147"/>
  <c r="R151"/>
  <c r="P153"/>
  <c r="P148"/>
  <c r="U150"/>
  <c r="G152"/>
  <c r="G148"/>
  <c r="L150"/>
  <c r="L152"/>
  <c r="F153"/>
  <c r="J148"/>
  <c r="K153"/>
  <c r="K149"/>
  <c r="Y147"/>
  <c r="O150"/>
  <c r="X153"/>
  <c r="X151"/>
  <c r="X147"/>
  <c r="T149"/>
  <c r="Q147"/>
  <c r="S150"/>
  <c r="S147"/>
  <c r="N152"/>
  <c r="W151"/>
  <c r="M149"/>
  <c r="E152"/>
  <c r="E150"/>
  <c r="E147"/>
  <c r="H152"/>
  <c r="H147"/>
  <c r="G150"/>
  <c r="S151"/>
  <c r="N147"/>
  <c r="W150"/>
  <c r="M150"/>
  <c r="E148"/>
  <c r="H148"/>
  <c r="T151"/>
  <c r="V152"/>
  <c r="V147"/>
  <c r="I148"/>
  <c r="U153"/>
  <c r="U147"/>
  <c r="G153"/>
  <c r="J151"/>
  <c r="V153"/>
  <c r="V150"/>
  <c r="V148"/>
  <c r="R153"/>
  <c r="R147"/>
  <c r="P149"/>
  <c r="P151"/>
  <c r="P147"/>
  <c r="U151"/>
  <c r="U148"/>
  <c r="G151"/>
  <c r="G147"/>
  <c r="L151"/>
  <c r="L147"/>
  <c r="F150"/>
  <c r="F147"/>
  <c r="J153"/>
  <c r="K151"/>
  <c r="K148"/>
  <c r="Y148"/>
  <c r="O151"/>
  <c r="O153"/>
  <c r="O147"/>
  <c r="X152"/>
  <c r="X148"/>
  <c r="T153"/>
  <c r="Q149"/>
  <c r="Q152"/>
  <c r="S152"/>
  <c r="S153"/>
  <c r="S149"/>
  <c r="N150"/>
  <c r="N151"/>
  <c r="N148"/>
  <c r="W152"/>
  <c r="M152"/>
  <c r="M147"/>
  <c r="E151"/>
  <c r="H153"/>
  <c r="I150"/>
  <c r="I151"/>
  <c r="I152"/>
  <c r="G149"/>
  <c r="L153"/>
  <c r="J150"/>
  <c r="K150"/>
  <c r="Y153"/>
  <c r="X150"/>
  <c r="T152"/>
  <c r="T148"/>
  <c r="Q148"/>
  <c r="S148"/>
  <c r="N153"/>
  <c r="W148"/>
  <c r="E153"/>
  <c r="E149"/>
  <c r="T7" i="2" l="1"/>
  <c r="H47"/>
  <c r="R47"/>
  <c r="J38"/>
  <c r="J98" s="1"/>
  <c r="E20" i="4" s="1"/>
  <c r="T17" i="2"/>
  <c r="H46"/>
  <c r="J48"/>
  <c r="H56"/>
  <c r="T16"/>
  <c r="T28"/>
  <c r="J36"/>
  <c r="P16"/>
  <c r="N38"/>
  <c r="J8"/>
  <c r="M28"/>
  <c r="J26"/>
  <c r="N28"/>
  <c r="K46"/>
  <c r="T37"/>
  <c r="R7"/>
  <c r="R87" s="1"/>
  <c r="M9" i="4" s="1"/>
  <c r="P28" i="2"/>
  <c r="T18"/>
  <c r="J17"/>
  <c r="R16"/>
  <c r="N16"/>
  <c r="H58"/>
  <c r="K37"/>
  <c r="R46"/>
  <c r="H26"/>
  <c r="K57"/>
  <c r="P38"/>
  <c r="N18"/>
  <c r="N47"/>
  <c r="J57"/>
  <c r="K26"/>
  <c r="R8"/>
  <c r="N37"/>
  <c r="P47"/>
  <c r="H18"/>
  <c r="H17"/>
  <c r="K6"/>
  <c r="J46"/>
  <c r="R17"/>
  <c r="R28"/>
  <c r="T27"/>
  <c r="P46"/>
  <c r="H16"/>
  <c r="P36"/>
  <c r="K36"/>
  <c r="T48"/>
  <c r="N36"/>
  <c r="M8"/>
  <c r="J37"/>
  <c r="H7"/>
  <c r="M6"/>
  <c r="H28"/>
  <c r="M37"/>
  <c r="J6"/>
  <c r="J86" s="1"/>
  <c r="E8" i="4" s="1"/>
  <c r="N58" i="2"/>
  <c r="R58"/>
  <c r="J7"/>
  <c r="K28"/>
  <c r="H6"/>
  <c r="H86" s="1"/>
  <c r="C8" i="4" s="1"/>
  <c r="J47" i="2"/>
  <c r="J58"/>
  <c r="K8"/>
  <c r="K88" s="1"/>
  <c r="F10" i="4" s="1"/>
  <c r="N27" i="2"/>
  <c r="R48"/>
  <c r="K48"/>
  <c r="K56"/>
  <c r="N57"/>
  <c r="M16"/>
  <c r="M36"/>
  <c r="R56"/>
  <c r="P6"/>
  <c r="N8"/>
  <c r="N88" s="1"/>
  <c r="I10" i="4" s="1"/>
  <c r="K18" i="2"/>
  <c r="R38"/>
  <c r="H37"/>
  <c r="M48"/>
  <c r="M56"/>
  <c r="N56"/>
  <c r="M27"/>
  <c r="M38"/>
  <c r="M98" s="1"/>
  <c r="H20" i="4" s="1"/>
  <c r="R6" i="2"/>
  <c r="K58"/>
  <c r="R57"/>
  <c r="R37"/>
  <c r="R97" s="1"/>
  <c r="M19" i="4" s="1"/>
  <c r="P17" i="2"/>
  <c r="P58"/>
  <c r="P18"/>
  <c r="T46"/>
  <c r="N26"/>
  <c r="K47"/>
  <c r="T47"/>
  <c r="H38"/>
  <c r="H98" s="1"/>
  <c r="C20" i="4" s="1"/>
  <c r="J18" i="2"/>
  <c r="T6"/>
  <c r="H48"/>
  <c r="P7"/>
  <c r="P87" s="1"/>
  <c r="K9" i="4" s="1"/>
  <c r="K17" i="2"/>
  <c r="J27"/>
  <c r="K27"/>
  <c r="P56"/>
  <c r="T58"/>
  <c r="H27"/>
  <c r="M58"/>
  <c r="T38"/>
  <c r="T98" s="1"/>
  <c r="O20" i="4" s="1"/>
  <c r="M26" i="2"/>
  <c r="T8"/>
  <c r="T88" s="1"/>
  <c r="O10" i="4" s="1"/>
  <c r="H57" i="2"/>
  <c r="P48"/>
  <c r="R27"/>
  <c r="R18"/>
  <c r="M7"/>
  <c r="N46"/>
  <c r="R26"/>
  <c r="R36"/>
  <c r="R96" s="1"/>
  <c r="M18" i="4" s="1"/>
  <c r="T36" i="2"/>
  <c r="M17"/>
  <c r="P26"/>
  <c r="J28"/>
  <c r="H36"/>
  <c r="K7"/>
  <c r="K87" s="1"/>
  <c r="F9" i="4" s="1"/>
  <c r="T56" i="2"/>
  <c r="P27"/>
  <c r="M57"/>
  <c r="K38"/>
  <c r="K98" s="1"/>
  <c r="F20" i="4" s="1"/>
  <c r="N6" i="2"/>
  <c r="N86" s="1"/>
  <c r="I8" i="4" s="1"/>
  <c r="M47" i="2"/>
  <c r="T57"/>
  <c r="M18"/>
  <c r="P37"/>
  <c r="N7"/>
  <c r="N87" s="1"/>
  <c r="I9" i="4" s="1"/>
  <c r="P57" i="2"/>
  <c r="P8"/>
  <c r="P88" s="1"/>
  <c r="K10" i="4" s="1"/>
  <c r="J56" i="2"/>
  <c r="H8"/>
  <c r="H88" s="1"/>
  <c r="C10" i="4" s="1"/>
  <c r="N17" i="2"/>
  <c r="M46"/>
  <c r="J16"/>
  <c r="N48"/>
  <c r="K16"/>
  <c r="T26"/>
  <c r="A32" i="6"/>
  <c r="A36"/>
  <c r="A34"/>
  <c r="A40"/>
  <c r="R22" i="2"/>
  <c r="K52"/>
  <c r="P62"/>
  <c r="R11"/>
  <c r="N52"/>
  <c r="N64"/>
  <c r="K12"/>
  <c r="N44"/>
  <c r="H23"/>
  <c r="M13"/>
  <c r="M43"/>
  <c r="K21"/>
  <c r="N32"/>
  <c r="N11"/>
  <c r="K51"/>
  <c r="H14"/>
  <c r="M54"/>
  <c r="R32"/>
  <c r="H24"/>
  <c r="H12"/>
  <c r="N53"/>
  <c r="R14"/>
  <c r="K54"/>
  <c r="J63"/>
  <c r="K32"/>
  <c r="J43"/>
  <c r="J21"/>
  <c r="T62"/>
  <c r="H61"/>
  <c r="N61"/>
  <c r="J61"/>
  <c r="H21"/>
  <c r="N34"/>
  <c r="P42"/>
  <c r="P102" s="1"/>
  <c r="K24" i="4" s="1"/>
  <c r="P44" i="2"/>
  <c r="P12"/>
  <c r="P13"/>
  <c r="H63"/>
  <c r="N22"/>
  <c r="H34"/>
  <c r="J13"/>
  <c r="K53"/>
  <c r="R21"/>
  <c r="T34"/>
  <c r="P52"/>
  <c r="H31"/>
  <c r="T12"/>
  <c r="K63"/>
  <c r="P61"/>
  <c r="K22"/>
  <c r="J31"/>
  <c r="M12"/>
  <c r="T41"/>
  <c r="H43"/>
  <c r="H103" s="1"/>
  <c r="C25" i="4" s="1"/>
  <c r="K23" i="2"/>
  <c r="J34"/>
  <c r="N62"/>
  <c r="J12"/>
  <c r="T63"/>
  <c r="M53"/>
  <c r="R42"/>
  <c r="T53"/>
  <c r="T33"/>
  <c r="P24"/>
  <c r="M31"/>
  <c r="N14"/>
  <c r="N94" s="1"/>
  <c r="I16" i="4" s="1"/>
  <c r="T42" i="2"/>
  <c r="J42"/>
  <c r="T64"/>
  <c r="K31"/>
  <c r="N13"/>
  <c r="J64"/>
  <c r="T32"/>
  <c r="P14"/>
  <c r="T13"/>
  <c r="N42"/>
  <c r="N102" s="1"/>
  <c r="I24" i="4" s="1"/>
  <c r="K14" i="2"/>
  <c r="T54"/>
  <c r="P23"/>
  <c r="M23"/>
  <c r="T52"/>
  <c r="R64"/>
  <c r="N51"/>
  <c r="M62"/>
  <c r="J23"/>
  <c r="K61"/>
  <c r="H53"/>
  <c r="K42"/>
  <c r="K102" s="1"/>
  <c r="F24" i="4" s="1"/>
  <c r="K43" i="2"/>
  <c r="M21"/>
  <c r="T14"/>
  <c r="P64"/>
  <c r="K64"/>
  <c r="P22"/>
  <c r="P33"/>
  <c r="T31"/>
  <c r="K41"/>
  <c r="H54"/>
  <c r="M63"/>
  <c r="M41"/>
  <c r="R13"/>
  <c r="P32"/>
  <c r="T22"/>
  <c r="K13"/>
  <c r="K93" s="1"/>
  <c r="F15" i="4" s="1"/>
  <c r="R44" i="2"/>
  <c r="N54"/>
  <c r="P31"/>
  <c r="R61"/>
  <c r="H33"/>
  <c r="P41"/>
  <c r="P101" s="1"/>
  <c r="K23" i="4" s="1"/>
  <c r="H11" i="2"/>
  <c r="K44"/>
  <c r="K104" s="1"/>
  <c r="F26" i="4" s="1"/>
  <c r="H32" i="2"/>
  <c r="M22"/>
  <c r="T23"/>
  <c r="R53"/>
  <c r="M14"/>
  <c r="J14"/>
  <c r="J94" s="1"/>
  <c r="E16" i="4" s="1"/>
  <c r="H42" i="2"/>
  <c r="M44"/>
  <c r="M104" s="1"/>
  <c r="H26" i="4" s="1"/>
  <c r="R52" i="2"/>
  <c r="J44"/>
  <c r="P21"/>
  <c r="T24"/>
  <c r="M51"/>
  <c r="M52"/>
  <c r="R43"/>
  <c r="M42"/>
  <c r="M102" s="1"/>
  <c r="H24" i="4" s="1"/>
  <c r="N23" i="2"/>
  <c r="J53"/>
  <c r="M33"/>
  <c r="T43"/>
  <c r="T103" s="1"/>
  <c r="O25" i="4" s="1"/>
  <c r="T21" i="2"/>
  <c r="T51"/>
  <c r="J62"/>
  <c r="M24"/>
  <c r="R54"/>
  <c r="R23"/>
  <c r="J41"/>
  <c r="J33"/>
  <c r="H64"/>
  <c r="K24"/>
  <c r="N41"/>
  <c r="R34"/>
  <c r="R51"/>
  <c r="P43"/>
  <c r="K34"/>
  <c r="N33"/>
  <c r="N12"/>
  <c r="N92" s="1"/>
  <c r="I14" i="4" s="1"/>
  <c r="J11" i="2"/>
  <c r="J91" s="1"/>
  <c r="E13" i="4" s="1"/>
  <c r="H13" i="2"/>
  <c r="H93" s="1"/>
  <c r="C15" i="4" s="1"/>
  <c r="T11" i="2"/>
  <c r="T91" s="1"/>
  <c r="O13" i="4" s="1"/>
  <c r="M64" i="2"/>
  <c r="J32"/>
  <c r="J51"/>
  <c r="H62"/>
  <c r="J24"/>
  <c r="J52"/>
  <c r="R62"/>
  <c r="T61"/>
  <c r="H52"/>
  <c r="H22"/>
  <c r="K62"/>
  <c r="R24"/>
  <c r="M34"/>
  <c r="N43"/>
  <c r="T44"/>
  <c r="N31"/>
  <c r="H44"/>
  <c r="R33"/>
  <c r="H41"/>
  <c r="M61"/>
  <c r="P54"/>
  <c r="N63"/>
  <c r="P63"/>
  <c r="R31"/>
  <c r="P51"/>
  <c r="R63"/>
  <c r="J22"/>
  <c r="M32"/>
  <c r="K33"/>
  <c r="P53"/>
  <c r="K11"/>
  <c r="P11"/>
  <c r="P91" s="1"/>
  <c r="K13" i="4" s="1"/>
  <c r="M11" i="2"/>
  <c r="J54"/>
  <c r="P34"/>
  <c r="H51"/>
  <c r="R12"/>
  <c r="N21"/>
  <c r="N24"/>
  <c r="R41"/>
  <c r="R101" s="1"/>
  <c r="M23" i="4" s="1"/>
  <c r="A26" i="6"/>
  <c r="A24"/>
  <c r="A31"/>
  <c r="A37"/>
  <c r="A29"/>
  <c r="A35"/>
  <c r="A38"/>
  <c r="A28"/>
  <c r="P35" i="2"/>
  <c r="R55"/>
  <c r="N15"/>
  <c r="N45"/>
  <c r="N105" s="1"/>
  <c r="I27" i="4" s="1"/>
  <c r="H55" i="2"/>
  <c r="R65"/>
  <c r="H65"/>
  <c r="K45"/>
  <c r="K105" s="1"/>
  <c r="F27" i="4" s="1"/>
  <c r="H35" i="2"/>
  <c r="R45"/>
  <c r="R105" s="1"/>
  <c r="M27" i="4" s="1"/>
  <c r="T25" i="2"/>
  <c r="M45"/>
  <c r="M105" s="1"/>
  <c r="H27" i="4" s="1"/>
  <c r="P25" i="2"/>
  <c r="P45"/>
  <c r="P65"/>
  <c r="K15"/>
  <c r="K95" s="1"/>
  <c r="F17" i="4" s="1"/>
  <c r="P15" i="2"/>
  <c r="P95" s="1"/>
  <c r="K17" i="4" s="1"/>
  <c r="R25" i="2"/>
  <c r="R35"/>
  <c r="T35"/>
  <c r="N65"/>
  <c r="T65"/>
  <c r="R15"/>
  <c r="J45"/>
  <c r="M55"/>
  <c r="H25"/>
  <c r="H15"/>
  <c r="J35"/>
  <c r="K35"/>
  <c r="M35"/>
  <c r="T55"/>
  <c r="J55"/>
  <c r="K55"/>
  <c r="K65"/>
  <c r="K25"/>
  <c r="T15"/>
  <c r="T95" s="1"/>
  <c r="O17" i="4" s="1"/>
  <c r="M15" i="2"/>
  <c r="J15"/>
  <c r="M25"/>
  <c r="P55"/>
  <c r="J65"/>
  <c r="N35"/>
  <c r="N55"/>
  <c r="T45"/>
  <c r="T105" s="1"/>
  <c r="O27" i="4" s="1"/>
  <c r="H45" i="2"/>
  <c r="H105" s="1"/>
  <c r="C27" i="4" s="1"/>
  <c r="N25" i="2"/>
  <c r="M65"/>
  <c r="J25"/>
  <c r="A30" i="6"/>
  <c r="A42"/>
  <c r="K50" i="2"/>
  <c r="M19"/>
  <c r="N30"/>
  <c r="T10"/>
  <c r="K59"/>
  <c r="J29"/>
  <c r="M30"/>
  <c r="J50"/>
  <c r="N50"/>
  <c r="H19"/>
  <c r="T40"/>
  <c r="R29"/>
  <c r="N59"/>
  <c r="M40"/>
  <c r="P39"/>
  <c r="T9"/>
  <c r="H60"/>
  <c r="K20"/>
  <c r="M39"/>
  <c r="K10"/>
  <c r="J9"/>
  <c r="H9"/>
  <c r="H89" s="1"/>
  <c r="C11" i="4" s="1"/>
  <c r="P9" i="2"/>
  <c r="T50"/>
  <c r="H49"/>
  <c r="P60"/>
  <c r="P10"/>
  <c r="H39"/>
  <c r="R60"/>
  <c r="N40"/>
  <c r="R9"/>
  <c r="P19"/>
  <c r="M20"/>
  <c r="N19"/>
  <c r="H29"/>
  <c r="K39"/>
  <c r="N9"/>
  <c r="N29"/>
  <c r="T39"/>
  <c r="M29"/>
  <c r="R30"/>
  <c r="T19"/>
  <c r="M49"/>
  <c r="J60"/>
  <c r="P49"/>
  <c r="R20"/>
  <c r="N20"/>
  <c r="J40"/>
  <c r="J100" s="1"/>
  <c r="E22" i="4" s="1"/>
  <c r="R50" i="2"/>
  <c r="M59"/>
  <c r="N49"/>
  <c r="T30"/>
  <c r="T49"/>
  <c r="K9"/>
  <c r="T59"/>
  <c r="P50"/>
  <c r="R39"/>
  <c r="H59"/>
  <c r="P20"/>
  <c r="M10"/>
  <c r="M90" s="1"/>
  <c r="H12" i="4" s="1"/>
  <c r="P59" i="2"/>
  <c r="N60"/>
  <c r="P40"/>
  <c r="K49"/>
  <c r="J49"/>
  <c r="T60"/>
  <c r="R49"/>
  <c r="J19"/>
  <c r="T20"/>
  <c r="K60"/>
  <c r="M50"/>
  <c r="N10"/>
  <c r="N90" s="1"/>
  <c r="I12" i="4" s="1"/>
  <c r="H10" i="2"/>
  <c r="K40"/>
  <c r="K100" s="1"/>
  <c r="F22" i="4" s="1"/>
  <c r="R19" i="2"/>
  <c r="P29"/>
  <c r="R59"/>
  <c r="K19"/>
  <c r="K29"/>
  <c r="J39"/>
  <c r="M9"/>
  <c r="P30"/>
  <c r="R40"/>
  <c r="R100" s="1"/>
  <c r="M22" i="4" s="1"/>
  <c r="J20" i="2"/>
  <c r="H50"/>
  <c r="M60"/>
  <c r="J30"/>
  <c r="J10"/>
  <c r="J90" s="1"/>
  <c r="E12" i="4" s="1"/>
  <c r="H20" i="2"/>
  <c r="R10"/>
  <c r="R90" s="1"/>
  <c r="M12" i="4" s="1"/>
  <c r="H40" i="2"/>
  <c r="H100" s="1"/>
  <c r="C22" i="4" s="1"/>
  <c r="H30" i="2"/>
  <c r="K30"/>
  <c r="J59"/>
  <c r="N39"/>
  <c r="N99" s="1"/>
  <c r="I21" i="4" s="1"/>
  <c r="T29" i="2"/>
  <c r="A25" i="6"/>
  <c r="A23"/>
  <c r="A27"/>
  <c r="A41"/>
  <c r="A33"/>
  <c r="A39"/>
  <c r="K89" i="2" l="1"/>
  <c r="F11" i="4" s="1"/>
  <c r="N100" i="2"/>
  <c r="I22" i="4" s="1"/>
  <c r="M100" i="2"/>
  <c r="H22" i="4" s="1"/>
  <c r="J105" i="2"/>
  <c r="E27" i="4" s="1"/>
  <c r="M101" i="2"/>
  <c r="H23" i="4" s="1"/>
  <c r="J102" i="2"/>
  <c r="E24" i="4" s="1"/>
  <c r="M92" i="2"/>
  <c r="H14" i="4" s="1"/>
  <c r="P92" i="2"/>
  <c r="K14" i="4" s="1"/>
  <c r="H92" i="2"/>
  <c r="C14" i="4" s="1"/>
  <c r="H94" i="2"/>
  <c r="C16" i="4" s="1"/>
  <c r="N104" i="2"/>
  <c r="I26" i="4" s="1"/>
  <c r="R91" i="2"/>
  <c r="M13" i="4" s="1"/>
  <c r="M88" i="2"/>
  <c r="H10" i="4" s="1"/>
  <c r="P96" i="2"/>
  <c r="K18" i="4" s="1"/>
  <c r="R88" i="2"/>
  <c r="M10" i="4" s="1"/>
  <c r="P100" i="2"/>
  <c r="K22" i="4" s="1"/>
  <c r="T99" i="2"/>
  <c r="O21" i="4" s="1"/>
  <c r="R89" i="2"/>
  <c r="M11" i="4" s="1"/>
  <c r="P90" i="2"/>
  <c r="K12" i="4" s="1"/>
  <c r="P89" i="2"/>
  <c r="K11" i="4" s="1"/>
  <c r="M99" i="2"/>
  <c r="H21" i="4" s="1"/>
  <c r="P99" i="2"/>
  <c r="K21" i="4" s="1"/>
  <c r="T100" i="2"/>
  <c r="O22" i="4" s="1"/>
  <c r="M95" i="2"/>
  <c r="H17" i="4" s="1"/>
  <c r="R92" i="2"/>
  <c r="M14" i="4" s="1"/>
  <c r="M91" i="2"/>
  <c r="H13" i="4" s="1"/>
  <c r="H104" i="2"/>
  <c r="C26" i="4" s="1"/>
  <c r="M94" i="2"/>
  <c r="H16" i="4" s="1"/>
  <c r="R104" i="2"/>
  <c r="M26" i="4" s="1"/>
  <c r="R93" i="2"/>
  <c r="M15" i="4" s="1"/>
  <c r="K101" i="2"/>
  <c r="F23" i="4" s="1"/>
  <c r="K103" i="2"/>
  <c r="F25" i="4" s="1"/>
  <c r="K94" i="2"/>
  <c r="F16" i="4" s="1"/>
  <c r="R102" i="2"/>
  <c r="M24" i="4" s="1"/>
  <c r="T101" i="2"/>
  <c r="O23" i="4" s="1"/>
  <c r="J93" i="2"/>
  <c r="E15" i="4" s="1"/>
  <c r="P93" i="2"/>
  <c r="K15" i="4" s="1"/>
  <c r="P97" i="2"/>
  <c r="K19" i="4" s="1"/>
  <c r="R86" i="2"/>
  <c r="M8" i="4" s="1"/>
  <c r="M96" i="2"/>
  <c r="H18" i="4" s="1"/>
  <c r="J87" i="2"/>
  <c r="E9" i="4" s="1"/>
  <c r="M97" i="2"/>
  <c r="H19" i="4" s="1"/>
  <c r="J97" i="2"/>
  <c r="E19" i="4" s="1"/>
  <c r="K96" i="2"/>
  <c r="F18" i="4" s="1"/>
  <c r="K86" i="2"/>
  <c r="F8" i="4" s="1"/>
  <c r="N97" i="2"/>
  <c r="I19" i="4" s="1"/>
  <c r="N98" i="2"/>
  <c r="I20" i="4" s="1"/>
  <c r="T87" i="2"/>
  <c r="O9" i="4" s="1"/>
  <c r="J99" i="2"/>
  <c r="E21" i="4" s="1"/>
  <c r="K99" i="2"/>
  <c r="F21" i="4" s="1"/>
  <c r="H99" i="2"/>
  <c r="C21" i="4" s="1"/>
  <c r="K90" i="2"/>
  <c r="F12" i="4" s="1"/>
  <c r="T89" i="2"/>
  <c r="O11" i="4" s="1"/>
  <c r="T90" i="2"/>
  <c r="O12" i="4" s="1"/>
  <c r="J95" i="2"/>
  <c r="E17" i="4" s="1"/>
  <c r="P105" i="2"/>
  <c r="K27" i="4" s="1"/>
  <c r="N103" i="2"/>
  <c r="I25" i="4" s="1"/>
  <c r="P103" i="2"/>
  <c r="K25" i="4" s="1"/>
  <c r="J104" i="2"/>
  <c r="E26" i="4" s="1"/>
  <c r="P94" i="2"/>
  <c r="K16" i="4" s="1"/>
  <c r="J92" i="2"/>
  <c r="E14" i="4" s="1"/>
  <c r="J103" i="2"/>
  <c r="E25" i="4" s="1"/>
  <c r="R94" i="2"/>
  <c r="M16" i="4" s="1"/>
  <c r="N91" i="2"/>
  <c r="I13" i="4" s="1"/>
  <c r="M93" i="2"/>
  <c r="H15" i="4" s="1"/>
  <c r="T86" i="2"/>
  <c r="O8" i="4" s="1"/>
  <c r="R98" i="2"/>
  <c r="M20" i="4" s="1"/>
  <c r="H87" i="2"/>
  <c r="C9" i="4" s="1"/>
  <c r="J88" i="2"/>
  <c r="E10" i="4" s="1"/>
  <c r="M89" i="2"/>
  <c r="H11" i="4" s="1"/>
  <c r="H90" i="2"/>
  <c r="C12" i="4" s="1"/>
  <c r="R99" i="2"/>
  <c r="M21" i="4" s="1"/>
  <c r="N89" i="2"/>
  <c r="I11" i="4" s="1"/>
  <c r="J89" i="2"/>
  <c r="E11" i="4" s="1"/>
  <c r="H95" i="2"/>
  <c r="C17" i="4" s="1"/>
  <c r="R95" i="2"/>
  <c r="M17" i="4" s="1"/>
  <c r="N95" i="2"/>
  <c r="I17" i="4" s="1"/>
  <c r="K91" i="2"/>
  <c r="F13" i="4" s="1"/>
  <c r="H101" i="2"/>
  <c r="C23" i="4" s="1"/>
  <c r="T104" i="2"/>
  <c r="O26" i="4" s="1"/>
  <c r="N101" i="2"/>
  <c r="I23" i="4" s="1"/>
  <c r="J101" i="2"/>
  <c r="E23" i="4" s="1"/>
  <c r="R103" i="2"/>
  <c r="M25" i="4" s="1"/>
  <c r="H102" i="2"/>
  <c r="C24" i="4" s="1"/>
  <c r="H91" i="2"/>
  <c r="C13" i="4" s="1"/>
  <c r="T94" i="2"/>
  <c r="O16" i="4" s="1"/>
  <c r="T93" i="2"/>
  <c r="O15" i="4" s="1"/>
  <c r="N93" i="2"/>
  <c r="I15" i="4" s="1"/>
  <c r="T102" i="2"/>
  <c r="O24" i="4" s="1"/>
  <c r="T92" i="2"/>
  <c r="O14" i="4" s="1"/>
  <c r="P104" i="2"/>
  <c r="K26" i="4" s="1"/>
  <c r="M103" i="2"/>
  <c r="H25" i="4" s="1"/>
  <c r="K92" i="2"/>
  <c r="F14" i="4" s="1"/>
  <c r="H96" i="2"/>
  <c r="C18" i="4" s="1"/>
  <c r="T96" i="2"/>
  <c r="O18" i="4" s="1"/>
  <c r="M87" i="2"/>
  <c r="H9" i="4" s="1"/>
  <c r="H97" i="2"/>
  <c r="C19" i="4" s="1"/>
  <c r="P86" i="2"/>
  <c r="K8" i="4" s="1"/>
  <c r="M86" i="2"/>
  <c r="H8" i="4" s="1"/>
  <c r="N96" i="2"/>
  <c r="I18" i="4" s="1"/>
  <c r="P98" i="2"/>
  <c r="K20" i="4" s="1"/>
  <c r="K97" i="2"/>
  <c r="F19" i="4" s="1"/>
  <c r="T97" i="2"/>
  <c r="O19" i="4" s="1"/>
  <c r="J96" i="2"/>
  <c r="E18" i="4" s="1"/>
  <c r="O14" i="6" l="1"/>
  <c r="G15"/>
  <c r="X16"/>
  <c r="H15"/>
  <c r="S16"/>
  <c r="X14"/>
  <c r="R16"/>
  <c r="L16"/>
  <c r="V14"/>
  <c r="F15"/>
  <c r="Q15"/>
  <c r="X15"/>
  <c r="N15"/>
  <c r="W16"/>
  <c r="M13"/>
  <c r="N14"/>
  <c r="R13"/>
  <c r="T16"/>
  <c r="U15"/>
  <c r="M15"/>
  <c r="I15"/>
  <c r="P14"/>
  <c r="N13"/>
  <c r="I16"/>
  <c r="R14"/>
  <c r="E15"/>
  <c r="G13"/>
  <c r="F14"/>
  <c r="U13"/>
  <c r="U18" s="1"/>
  <c r="H16"/>
  <c r="P13"/>
  <c r="V13"/>
  <c r="Q16"/>
  <c r="V16"/>
  <c r="O15"/>
  <c r="H14"/>
  <c r="K16"/>
  <c r="E14"/>
  <c r="H13"/>
  <c r="J16"/>
  <c r="M16"/>
  <c r="L15"/>
  <c r="V15"/>
  <c r="M14"/>
  <c r="T14"/>
  <c r="X13"/>
  <c r="X18" s="1"/>
  <c r="L14"/>
  <c r="U16"/>
  <c r="S15"/>
  <c r="P16"/>
  <c r="U14"/>
  <c r="K15"/>
  <c r="J15"/>
  <c r="G16"/>
  <c r="Q13"/>
  <c r="S13"/>
  <c r="G14"/>
  <c r="O16"/>
  <c r="I13"/>
  <c r="R15"/>
  <c r="Q14"/>
  <c r="F16"/>
  <c r="J13"/>
  <c r="E13"/>
  <c r="T15"/>
  <c r="E16"/>
  <c r="F13"/>
  <c r="S14"/>
  <c r="J14"/>
  <c r="N16"/>
  <c r="K14"/>
  <c r="W15"/>
  <c r="K13"/>
  <c r="K18" s="1"/>
  <c r="P15"/>
  <c r="W14"/>
  <c r="I14"/>
  <c r="O13"/>
  <c r="O18" s="1"/>
  <c r="L13"/>
  <c r="L18" s="1"/>
  <c r="T13"/>
  <c r="W13"/>
  <c r="M41" l="1"/>
  <c r="M67" s="1"/>
  <c r="M96" s="1"/>
  <c r="S21" i="30" s="1"/>
  <c r="M24" i="6"/>
  <c r="M50" s="1"/>
  <c r="M79" s="1"/>
  <c r="S4" i="30" s="1"/>
  <c r="M31" i="6"/>
  <c r="M57" s="1"/>
  <c r="M86" s="1"/>
  <c r="M34"/>
  <c r="M60" s="1"/>
  <c r="M89" s="1"/>
  <c r="S14" i="30" s="1"/>
  <c r="M37" i="6"/>
  <c r="M63" s="1"/>
  <c r="M92" s="1"/>
  <c r="S17" i="30" s="1"/>
  <c r="M38" i="6"/>
  <c r="M64" s="1"/>
  <c r="M93" s="1"/>
  <c r="S18" i="30" s="1"/>
  <c r="M39" i="6"/>
  <c r="M65" s="1"/>
  <c r="M94" s="1"/>
  <c r="S19" i="30" s="1"/>
  <c r="M28" i="6"/>
  <c r="M54" s="1"/>
  <c r="M83" s="1"/>
  <c r="S8" i="30" s="1"/>
  <c r="M40" i="6"/>
  <c r="M66" s="1"/>
  <c r="M95" s="1"/>
  <c r="S20" i="30" s="1"/>
  <c r="M30" i="6"/>
  <c r="M56" s="1"/>
  <c r="M85" s="1"/>
  <c r="S10" i="30" s="1"/>
  <c r="M29" i="6"/>
  <c r="M55" s="1"/>
  <c r="M84" s="1"/>
  <c r="S9" i="30" s="1"/>
  <c r="M32" i="6"/>
  <c r="M58" s="1"/>
  <c r="M87" s="1"/>
  <c r="S12" i="30" s="1"/>
  <c r="M23" i="6"/>
  <c r="M42"/>
  <c r="M68" s="1"/>
  <c r="M97" s="1"/>
  <c r="S22" i="30" s="1"/>
  <c r="M35" i="6"/>
  <c r="M61" s="1"/>
  <c r="M90" s="1"/>
  <c r="S15" i="30" s="1"/>
  <c r="M36" i="6"/>
  <c r="M62" s="1"/>
  <c r="M91" s="1"/>
  <c r="S16" i="30" s="1"/>
  <c r="M27" i="6"/>
  <c r="M53" s="1"/>
  <c r="M82" s="1"/>
  <c r="S7" i="30" s="1"/>
  <c r="M26" i="6"/>
  <c r="M52" s="1"/>
  <c r="M81" s="1"/>
  <c r="S6" i="30" s="1"/>
  <c r="M33" i="6"/>
  <c r="M59" s="1"/>
  <c r="M88" s="1"/>
  <c r="S13" i="30" s="1"/>
  <c r="M25" i="6"/>
  <c r="M51" s="1"/>
  <c r="M80" s="1"/>
  <c r="S5" i="30" s="1"/>
  <c r="Q30" i="6"/>
  <c r="Q56" s="1"/>
  <c r="Q85" s="1"/>
  <c r="W10" i="30" s="1"/>
  <c r="Q42" i="6"/>
  <c r="Q68" s="1"/>
  <c r="Q97" s="1"/>
  <c r="W22" i="30" s="1"/>
  <c r="Q36" i="6"/>
  <c r="Q62" s="1"/>
  <c r="Q91" s="1"/>
  <c r="W16" i="30" s="1"/>
  <c r="Q33" i="6"/>
  <c r="Q59" s="1"/>
  <c r="Q88" s="1"/>
  <c r="W13" i="30" s="1"/>
  <c r="Q25" i="6"/>
  <c r="Q51" s="1"/>
  <c r="Q80" s="1"/>
  <c r="W5" i="30" s="1"/>
  <c r="Q38" i="6"/>
  <c r="Q64" s="1"/>
  <c r="Q93" s="1"/>
  <c r="W18" i="30" s="1"/>
  <c r="Q39" i="6"/>
  <c r="Q65" s="1"/>
  <c r="Q94" s="1"/>
  <c r="W19" i="30" s="1"/>
  <c r="Q28" i="6"/>
  <c r="Q54" s="1"/>
  <c r="Q83" s="1"/>
  <c r="W8" i="30" s="1"/>
  <c r="Q37" i="6"/>
  <c r="Q63" s="1"/>
  <c r="Q92" s="1"/>
  <c r="W17" i="30" s="1"/>
  <c r="Q23" i="6"/>
  <c r="Q34"/>
  <c r="Q60" s="1"/>
  <c r="Q89" s="1"/>
  <c r="W14" i="30" s="1"/>
  <c r="Q40" i="6"/>
  <c r="Q66" s="1"/>
  <c r="Q95" s="1"/>
  <c r="W20" i="30" s="1"/>
  <c r="Q27" i="6"/>
  <c r="Q53" s="1"/>
  <c r="Q82" s="1"/>
  <c r="W7" i="30" s="1"/>
  <c r="Q26" i="6"/>
  <c r="Q52" s="1"/>
  <c r="Q81" s="1"/>
  <c r="W6" i="30" s="1"/>
  <c r="Q41" i="6"/>
  <c r="Q67" s="1"/>
  <c r="Q96" s="1"/>
  <c r="W21" i="30" s="1"/>
  <c r="Q35" i="6"/>
  <c r="Q61" s="1"/>
  <c r="Q90" s="1"/>
  <c r="W15" i="30" s="1"/>
  <c r="Q31" i="6"/>
  <c r="Q57" s="1"/>
  <c r="Q86" s="1"/>
  <c r="Q29"/>
  <c r="Q55" s="1"/>
  <c r="Q84" s="1"/>
  <c r="W9" i="30" s="1"/>
  <c r="Q32" i="6"/>
  <c r="Q58" s="1"/>
  <c r="Q87" s="1"/>
  <c r="W12" i="30" s="1"/>
  <c r="Q24" i="6"/>
  <c r="Q50" s="1"/>
  <c r="Q79" s="1"/>
  <c r="W4" i="30" s="1"/>
  <c r="N39" i="6"/>
  <c r="N65" s="1"/>
  <c r="N94" s="1"/>
  <c r="T19" i="30" s="1"/>
  <c r="N28" i="6"/>
  <c r="N54" s="1"/>
  <c r="N83" s="1"/>
  <c r="T8" i="30" s="1"/>
  <c r="N29" i="6"/>
  <c r="N55" s="1"/>
  <c r="N84" s="1"/>
  <c r="T9" i="30" s="1"/>
  <c r="N26" i="6"/>
  <c r="N52" s="1"/>
  <c r="N81" s="1"/>
  <c r="T6" i="30" s="1"/>
  <c r="N24" i="6"/>
  <c r="N50" s="1"/>
  <c r="N79" s="1"/>
  <c r="T4" i="30" s="1"/>
  <c r="N38" i="6"/>
  <c r="N64" s="1"/>
  <c r="N93" s="1"/>
  <c r="T18" i="30" s="1"/>
  <c r="N34" i="6"/>
  <c r="N60" s="1"/>
  <c r="N89" s="1"/>
  <c r="T14" i="30" s="1"/>
  <c r="N31" i="6"/>
  <c r="N57" s="1"/>
  <c r="N86" s="1"/>
  <c r="N40"/>
  <c r="N66" s="1"/>
  <c r="N95" s="1"/>
  <c r="T20" i="30" s="1"/>
  <c r="N27" i="6"/>
  <c r="N53" s="1"/>
  <c r="N82" s="1"/>
  <c r="T7" i="30" s="1"/>
  <c r="N42" i="6"/>
  <c r="N68" s="1"/>
  <c r="N97" s="1"/>
  <c r="T22" i="30" s="1"/>
  <c r="N36" i="6"/>
  <c r="N62" s="1"/>
  <c r="N91" s="1"/>
  <c r="T16" i="30" s="1"/>
  <c r="N41" i="6"/>
  <c r="N67" s="1"/>
  <c r="N96" s="1"/>
  <c r="T21" i="30" s="1"/>
  <c r="N25" i="6"/>
  <c r="N51" s="1"/>
  <c r="N80" s="1"/>
  <c r="T5" i="30" s="1"/>
  <c r="N37" i="6"/>
  <c r="N63" s="1"/>
  <c r="N92" s="1"/>
  <c r="T17" i="30" s="1"/>
  <c r="N23" i="6"/>
  <c r="N35"/>
  <c r="N61" s="1"/>
  <c r="N90" s="1"/>
  <c r="T15" i="30" s="1"/>
  <c r="N30" i="6"/>
  <c r="N56" s="1"/>
  <c r="N85" s="1"/>
  <c r="T10" i="30" s="1"/>
  <c r="N32" i="6"/>
  <c r="N58" s="1"/>
  <c r="N87" s="1"/>
  <c r="T12" i="30" s="1"/>
  <c r="N33" i="6"/>
  <c r="N59" s="1"/>
  <c r="N88" s="1"/>
  <c r="T13" i="30" s="1"/>
  <c r="F29" i="6"/>
  <c r="F55" s="1"/>
  <c r="F84" s="1"/>
  <c r="L9" i="30" s="1"/>
  <c r="F26" i="6"/>
  <c r="F52" s="1"/>
  <c r="F81" s="1"/>
  <c r="L6" i="30" s="1"/>
  <c r="F33" i="6"/>
  <c r="F59" s="1"/>
  <c r="F88" s="1"/>
  <c r="L13" i="30" s="1"/>
  <c r="F31" i="6"/>
  <c r="F57" s="1"/>
  <c r="F86" s="1"/>
  <c r="F40"/>
  <c r="F66" s="1"/>
  <c r="F95" s="1"/>
  <c r="L20" i="30" s="1"/>
  <c r="F39" i="6"/>
  <c r="F65" s="1"/>
  <c r="F94" s="1"/>
  <c r="L19" i="30" s="1"/>
  <c r="F28" i="6"/>
  <c r="F54" s="1"/>
  <c r="F83" s="1"/>
  <c r="L8" i="30" s="1"/>
  <c r="F36" i="6"/>
  <c r="F62" s="1"/>
  <c r="F91" s="1"/>
  <c r="L16" i="30" s="1"/>
  <c r="F37" i="6"/>
  <c r="F63" s="1"/>
  <c r="F92" s="1"/>
  <c r="L17" i="30" s="1"/>
  <c r="F27" i="6"/>
  <c r="F53" s="1"/>
  <c r="F82" s="1"/>
  <c r="L7" i="30" s="1"/>
  <c r="F32" i="6"/>
  <c r="F58" s="1"/>
  <c r="F87" s="1"/>
  <c r="L12" i="30" s="1"/>
  <c r="F23" i="6"/>
  <c r="F42"/>
  <c r="F68" s="1"/>
  <c r="F97" s="1"/>
  <c r="L22" i="30" s="1"/>
  <c r="F34" i="6"/>
  <c r="F60" s="1"/>
  <c r="F89" s="1"/>
  <c r="L14" i="30" s="1"/>
  <c r="F30" i="6"/>
  <c r="F56" s="1"/>
  <c r="F85" s="1"/>
  <c r="L10" i="30" s="1"/>
  <c r="F38" i="6"/>
  <c r="F64" s="1"/>
  <c r="F93" s="1"/>
  <c r="L18" i="30" s="1"/>
  <c r="F41" i="6"/>
  <c r="F67" s="1"/>
  <c r="F96" s="1"/>
  <c r="L21" i="30" s="1"/>
  <c r="F35" i="6"/>
  <c r="F61" s="1"/>
  <c r="F90" s="1"/>
  <c r="L15" i="30" s="1"/>
  <c r="F24" i="6"/>
  <c r="F50" s="1"/>
  <c r="F79" s="1"/>
  <c r="L4" i="30" s="1"/>
  <c r="F25" i="6"/>
  <c r="F51" s="1"/>
  <c r="F80" s="1"/>
  <c r="L5" i="30" s="1"/>
  <c r="G28" i="6"/>
  <c r="G54" s="1"/>
  <c r="G83" s="1"/>
  <c r="M8" i="30" s="1"/>
  <c r="G32" i="6"/>
  <c r="G58" s="1"/>
  <c r="G87" s="1"/>
  <c r="M12" i="30" s="1"/>
  <c r="G33" i="6"/>
  <c r="G59" s="1"/>
  <c r="G88" s="1"/>
  <c r="M13" i="30" s="1"/>
  <c r="G31" i="6"/>
  <c r="G57" s="1"/>
  <c r="G86" s="1"/>
  <c r="G39"/>
  <c r="G65" s="1"/>
  <c r="G94" s="1"/>
  <c r="M19" i="30" s="1"/>
  <c r="G27" i="6"/>
  <c r="G53" s="1"/>
  <c r="G82" s="1"/>
  <c r="M7" i="30" s="1"/>
  <c r="G26" i="6"/>
  <c r="G52" s="1"/>
  <c r="G81" s="1"/>
  <c r="M6" i="30" s="1"/>
  <c r="G41" i="6"/>
  <c r="G67" s="1"/>
  <c r="G96" s="1"/>
  <c r="M21" i="30" s="1"/>
  <c r="G24" i="6"/>
  <c r="G50" s="1"/>
  <c r="G79" s="1"/>
  <c r="M4" i="30" s="1"/>
  <c r="G36" i="6"/>
  <c r="G62" s="1"/>
  <c r="G91" s="1"/>
  <c r="M16" i="30" s="1"/>
  <c r="G25" i="6"/>
  <c r="G51" s="1"/>
  <c r="G80" s="1"/>
  <c r="M5" i="30" s="1"/>
  <c r="G38" i="6"/>
  <c r="G64" s="1"/>
  <c r="G93" s="1"/>
  <c r="M18" i="30" s="1"/>
  <c r="G30" i="6"/>
  <c r="G56" s="1"/>
  <c r="G85" s="1"/>
  <c r="M10" i="30" s="1"/>
  <c r="G29" i="6"/>
  <c r="G55" s="1"/>
  <c r="G84" s="1"/>
  <c r="M9" i="30" s="1"/>
  <c r="G23" i="6"/>
  <c r="G42"/>
  <c r="G68" s="1"/>
  <c r="G97" s="1"/>
  <c r="M22" i="30" s="1"/>
  <c r="G34" i="6"/>
  <c r="G60" s="1"/>
  <c r="G89" s="1"/>
  <c r="M14" i="30" s="1"/>
  <c r="G37" i="6"/>
  <c r="G63" s="1"/>
  <c r="G92" s="1"/>
  <c r="M17" i="30" s="1"/>
  <c r="G40" i="6"/>
  <c r="G66" s="1"/>
  <c r="G95" s="1"/>
  <c r="M20" i="30" s="1"/>
  <c r="G35" i="6"/>
  <c r="G61" s="1"/>
  <c r="G90" s="1"/>
  <c r="M15" i="30" s="1"/>
  <c r="V40" i="6"/>
  <c r="V66" s="1"/>
  <c r="V95" s="1"/>
  <c r="AB20" i="30" s="1"/>
  <c r="V32" i="6"/>
  <c r="V58" s="1"/>
  <c r="V87" s="1"/>
  <c r="AB12" i="30" s="1"/>
  <c r="V23" i="6"/>
  <c r="V42"/>
  <c r="V68" s="1"/>
  <c r="V97" s="1"/>
  <c r="AB22" i="30" s="1"/>
  <c r="V38" i="6"/>
  <c r="V64" s="1"/>
  <c r="V93" s="1"/>
  <c r="AB18" i="30" s="1"/>
  <c r="V35" i="6"/>
  <c r="V61" s="1"/>
  <c r="V90" s="1"/>
  <c r="AB15" i="30" s="1"/>
  <c r="V24" i="6"/>
  <c r="V50" s="1"/>
  <c r="V79" s="1"/>
  <c r="AB4" i="30" s="1"/>
  <c r="V25" i="6"/>
  <c r="V51" s="1"/>
  <c r="V80" s="1"/>
  <c r="AB5" i="30" s="1"/>
  <c r="V39" i="6"/>
  <c r="V65" s="1"/>
  <c r="V94" s="1"/>
  <c r="AB19" i="30" s="1"/>
  <c r="V28" i="6"/>
  <c r="V54" s="1"/>
  <c r="V83" s="1"/>
  <c r="AB8" i="30" s="1"/>
  <c r="V30" i="6"/>
  <c r="V56" s="1"/>
  <c r="V85" s="1"/>
  <c r="AB10" i="30" s="1"/>
  <c r="V36" i="6"/>
  <c r="V62" s="1"/>
  <c r="V91" s="1"/>
  <c r="AB16" i="30" s="1"/>
  <c r="V33" i="6"/>
  <c r="V59" s="1"/>
  <c r="V88" s="1"/>
  <c r="AB13" i="30" s="1"/>
  <c r="V31" i="6"/>
  <c r="V57" s="1"/>
  <c r="V86" s="1"/>
  <c r="V34"/>
  <c r="V60" s="1"/>
  <c r="V89" s="1"/>
  <c r="AB14" i="30" s="1"/>
  <c r="V26" i="6"/>
  <c r="V52" s="1"/>
  <c r="V81" s="1"/>
  <c r="AB6" i="30" s="1"/>
  <c r="V41" i="6"/>
  <c r="V67" s="1"/>
  <c r="V96" s="1"/>
  <c r="AB21" i="30" s="1"/>
  <c r="V37" i="6"/>
  <c r="V63" s="1"/>
  <c r="V92" s="1"/>
  <c r="AB17" i="30" s="1"/>
  <c r="V27" i="6"/>
  <c r="V53" s="1"/>
  <c r="V82" s="1"/>
  <c r="AB7" i="30" s="1"/>
  <c r="V29" i="6"/>
  <c r="V55" s="1"/>
  <c r="V84" s="1"/>
  <c r="AB9" i="30" s="1"/>
  <c r="T40" i="6"/>
  <c r="T66" s="1"/>
  <c r="T95" s="1"/>
  <c r="Z20" i="30" s="1"/>
  <c r="T27" i="6"/>
  <c r="T53" s="1"/>
  <c r="T82" s="1"/>
  <c r="Z7" i="30" s="1"/>
  <c r="T35" i="6"/>
  <c r="T61" s="1"/>
  <c r="T90" s="1"/>
  <c r="Z15" i="30" s="1"/>
  <c r="T24" i="6"/>
  <c r="T50" s="1"/>
  <c r="T79" s="1"/>
  <c r="Z4" i="30" s="1"/>
  <c r="T38" i="6"/>
  <c r="T64" s="1"/>
  <c r="T93" s="1"/>
  <c r="Z18" i="30" s="1"/>
  <c r="T29" i="6"/>
  <c r="T55" s="1"/>
  <c r="T84" s="1"/>
  <c r="Z9" i="30" s="1"/>
  <c r="T26" i="6"/>
  <c r="T52" s="1"/>
  <c r="T81" s="1"/>
  <c r="Z6" i="30" s="1"/>
  <c r="T33" i="6"/>
  <c r="T59" s="1"/>
  <c r="T88" s="1"/>
  <c r="Z13" i="30" s="1"/>
  <c r="T39" i="6"/>
  <c r="T65" s="1"/>
  <c r="T94" s="1"/>
  <c r="Z19" i="30" s="1"/>
  <c r="T37" i="6"/>
  <c r="T63" s="1"/>
  <c r="T92" s="1"/>
  <c r="Z17" i="30" s="1"/>
  <c r="T23" i="6"/>
  <c r="T36"/>
  <c r="T62" s="1"/>
  <c r="T91" s="1"/>
  <c r="Z16" i="30" s="1"/>
  <c r="T25" i="6"/>
  <c r="T51" s="1"/>
  <c r="T80" s="1"/>
  <c r="Z5" i="30" s="1"/>
  <c r="T31" i="6"/>
  <c r="T57" s="1"/>
  <c r="T86" s="1"/>
  <c r="T28"/>
  <c r="T54" s="1"/>
  <c r="T83" s="1"/>
  <c r="Z8" i="30" s="1"/>
  <c r="T30" i="6"/>
  <c r="T56" s="1"/>
  <c r="T85" s="1"/>
  <c r="Z10" i="30" s="1"/>
  <c r="T32" i="6"/>
  <c r="T58" s="1"/>
  <c r="T87" s="1"/>
  <c r="Z12" i="30" s="1"/>
  <c r="T41" i="6"/>
  <c r="T67" s="1"/>
  <c r="T96" s="1"/>
  <c r="Z21" i="30" s="1"/>
  <c r="T42" i="6"/>
  <c r="T68" s="1"/>
  <c r="T97" s="1"/>
  <c r="Z22" i="30" s="1"/>
  <c r="T34" i="6"/>
  <c r="T60" s="1"/>
  <c r="T89" s="1"/>
  <c r="Z14" i="30" s="1"/>
  <c r="W28" i="6"/>
  <c r="W54" s="1"/>
  <c r="W83" s="1"/>
  <c r="AC8" i="30" s="1"/>
  <c r="W29" i="6"/>
  <c r="W55" s="1"/>
  <c r="W84" s="1"/>
  <c r="AC9" i="30" s="1"/>
  <c r="W32" i="6"/>
  <c r="W58" s="1"/>
  <c r="W87" s="1"/>
  <c r="AC12" i="30" s="1"/>
  <c r="W42" i="6"/>
  <c r="W68" s="1"/>
  <c r="W97" s="1"/>
  <c r="AC22" i="30" s="1"/>
  <c r="W24" i="6"/>
  <c r="W50" s="1"/>
  <c r="W79" s="1"/>
  <c r="AC4" i="30" s="1"/>
  <c r="W36" i="6"/>
  <c r="W62" s="1"/>
  <c r="W91" s="1"/>
  <c r="AC16" i="30" s="1"/>
  <c r="W31" i="6"/>
  <c r="W57" s="1"/>
  <c r="W86" s="1"/>
  <c r="W39"/>
  <c r="W65" s="1"/>
  <c r="W94" s="1"/>
  <c r="AC19" i="30" s="1"/>
  <c r="W40" i="6"/>
  <c r="W66" s="1"/>
  <c r="W95" s="1"/>
  <c r="AC20" i="30" s="1"/>
  <c r="W25" i="6"/>
  <c r="W51" s="1"/>
  <c r="W80" s="1"/>
  <c r="AC5" i="30" s="1"/>
  <c r="W37" i="6"/>
  <c r="W63" s="1"/>
  <c r="W92" s="1"/>
  <c r="AC17" i="30" s="1"/>
  <c r="W27" i="6"/>
  <c r="W53" s="1"/>
  <c r="W82" s="1"/>
  <c r="AC7" i="30" s="1"/>
  <c r="W30" i="6"/>
  <c r="W56" s="1"/>
  <c r="W85" s="1"/>
  <c r="AC10" i="30" s="1"/>
  <c r="W38" i="6"/>
  <c r="W64" s="1"/>
  <c r="W93" s="1"/>
  <c r="AC18" i="30" s="1"/>
  <c r="W26" i="6"/>
  <c r="W52" s="1"/>
  <c r="W81" s="1"/>
  <c r="AC6" i="30" s="1"/>
  <c r="W23" i="6"/>
  <c r="W41"/>
  <c r="W67" s="1"/>
  <c r="W96" s="1"/>
  <c r="AC21" i="30" s="1"/>
  <c r="W35" i="6"/>
  <c r="W61" s="1"/>
  <c r="W90" s="1"/>
  <c r="AC15" i="30" s="1"/>
  <c r="W33" i="6"/>
  <c r="W59" s="1"/>
  <c r="W88" s="1"/>
  <c r="AC13" i="30" s="1"/>
  <c r="W34" i="6"/>
  <c r="W60" s="1"/>
  <c r="W89" s="1"/>
  <c r="AC14" i="30" s="1"/>
  <c r="R39" i="6"/>
  <c r="R65" s="1"/>
  <c r="R94" s="1"/>
  <c r="X19" i="30" s="1"/>
  <c r="R41" i="6"/>
  <c r="R67" s="1"/>
  <c r="R96" s="1"/>
  <c r="X21" i="30" s="1"/>
  <c r="R25" i="6"/>
  <c r="R51" s="1"/>
  <c r="R80" s="1"/>
  <c r="X5" i="30" s="1"/>
  <c r="R31" i="6"/>
  <c r="R57" s="1"/>
  <c r="R86" s="1"/>
  <c r="R27"/>
  <c r="R53" s="1"/>
  <c r="R82" s="1"/>
  <c r="X7" i="30" s="1"/>
  <c r="R30" i="6"/>
  <c r="R56" s="1"/>
  <c r="R85" s="1"/>
  <c r="X10" i="30" s="1"/>
  <c r="R23" i="6"/>
  <c r="R38"/>
  <c r="R64" s="1"/>
  <c r="R93" s="1"/>
  <c r="X18" i="30" s="1"/>
  <c r="R37" i="6"/>
  <c r="R63" s="1"/>
  <c r="R92" s="1"/>
  <c r="X17" i="30" s="1"/>
  <c r="R33" i="6"/>
  <c r="R59" s="1"/>
  <c r="R88" s="1"/>
  <c r="X13" i="30" s="1"/>
  <c r="R34" i="6"/>
  <c r="R60" s="1"/>
  <c r="R89" s="1"/>
  <c r="X14" i="30" s="1"/>
  <c r="R40" i="6"/>
  <c r="R66" s="1"/>
  <c r="R95" s="1"/>
  <c r="X20" i="30" s="1"/>
  <c r="R29" i="6"/>
  <c r="R55" s="1"/>
  <c r="R84" s="1"/>
  <c r="X9" i="30" s="1"/>
  <c r="R26" i="6"/>
  <c r="R52" s="1"/>
  <c r="R81" s="1"/>
  <c r="X6" i="30" s="1"/>
  <c r="R32" i="6"/>
  <c r="R58" s="1"/>
  <c r="R87" s="1"/>
  <c r="X12" i="30" s="1"/>
  <c r="R42" i="6"/>
  <c r="R68" s="1"/>
  <c r="R97" s="1"/>
  <c r="X22" i="30" s="1"/>
  <c r="R24" i="6"/>
  <c r="R50" s="1"/>
  <c r="R79" s="1"/>
  <c r="X4" i="30" s="1"/>
  <c r="R36" i="6"/>
  <c r="R62" s="1"/>
  <c r="R91" s="1"/>
  <c r="X16" i="30" s="1"/>
  <c r="R28" i="6"/>
  <c r="R54" s="1"/>
  <c r="R83" s="1"/>
  <c r="X8" i="30" s="1"/>
  <c r="R35" i="6"/>
  <c r="R61" s="1"/>
  <c r="R90" s="1"/>
  <c r="X15" i="30" s="1"/>
  <c r="X37" i="6"/>
  <c r="X63" s="1"/>
  <c r="X92" s="1"/>
  <c r="AD17" i="30" s="1"/>
  <c r="Z27" i="6"/>
  <c r="Y82" s="1"/>
  <c r="AE7" i="30" s="1"/>
  <c r="X30" i="6"/>
  <c r="X56" s="1"/>
  <c r="X85" s="1"/>
  <c r="AD10" i="30" s="1"/>
  <c r="X23" i="6"/>
  <c r="Z23"/>
  <c r="X42"/>
  <c r="X68" s="1"/>
  <c r="X97" s="1"/>
  <c r="AD22" i="30" s="1"/>
  <c r="Z35" i="6"/>
  <c r="Y90" s="1"/>
  <c r="AE15" i="30" s="1"/>
  <c r="X36" i="6"/>
  <c r="X62" s="1"/>
  <c r="X91" s="1"/>
  <c r="AD16" i="30" s="1"/>
  <c r="Z31" i="6"/>
  <c r="Y86" s="1"/>
  <c r="X40"/>
  <c r="X66" s="1"/>
  <c r="X95" s="1"/>
  <c r="AD20" i="30" s="1"/>
  <c r="Z34" i="6"/>
  <c r="Y89" s="1"/>
  <c r="AE14" i="30" s="1"/>
  <c r="X39" i="6"/>
  <c r="X65" s="1"/>
  <c r="X94" s="1"/>
  <c r="AD19" i="30" s="1"/>
  <c r="Z39" i="6"/>
  <c r="Y94" s="1"/>
  <c r="AE19" i="30" s="1"/>
  <c r="Z28" i="6"/>
  <c r="Y83" s="1"/>
  <c r="AE8" i="30" s="1"/>
  <c r="Z37" i="6"/>
  <c r="Y92" s="1"/>
  <c r="AE17" i="30" s="1"/>
  <c r="Z40" i="6"/>
  <c r="Y95" s="1"/>
  <c r="AE20" i="30" s="1"/>
  <c r="X29" i="6"/>
  <c r="X55" s="1"/>
  <c r="X84" s="1"/>
  <c r="AD9" i="30" s="1"/>
  <c r="X26" i="6"/>
  <c r="X52" s="1"/>
  <c r="X81" s="1"/>
  <c r="AD6" i="30" s="1"/>
  <c r="Z26" i="6"/>
  <c r="Y81" s="1"/>
  <c r="AE6" i="30" s="1"/>
  <c r="X32" i="6"/>
  <c r="X58" s="1"/>
  <c r="X87" s="1"/>
  <c r="AD12" i="30" s="1"/>
  <c r="X41" i="6"/>
  <c r="X67" s="1"/>
  <c r="X96" s="1"/>
  <c r="AD21" i="30" s="1"/>
  <c r="Z42" i="6"/>
  <c r="Y97" s="1"/>
  <c r="AE22" i="30" s="1"/>
  <c r="X35" i="6"/>
  <c r="X61" s="1"/>
  <c r="X90" s="1"/>
  <c r="AD15" i="30" s="1"/>
  <c r="X24" i="6"/>
  <c r="X50" s="1"/>
  <c r="X79" s="1"/>
  <c r="AD4" i="30" s="1"/>
  <c r="Z24" i="6"/>
  <c r="Y79" s="1"/>
  <c r="AE4" i="30" s="1"/>
  <c r="Z33" i="6"/>
  <c r="Y88" s="1"/>
  <c r="AE13" i="30" s="1"/>
  <c r="Z25" i="6"/>
  <c r="Y80" s="1"/>
  <c r="AE5" i="30" s="1"/>
  <c r="Z38" i="6"/>
  <c r="Y93" s="1"/>
  <c r="AE18" i="30" s="1"/>
  <c r="Z30" i="6"/>
  <c r="Y85" s="1"/>
  <c r="AE10" i="30" s="1"/>
  <c r="Z29" i="6"/>
  <c r="Y84" s="1"/>
  <c r="AE9" i="30" s="1"/>
  <c r="Z32" i="6"/>
  <c r="Y87" s="1"/>
  <c r="AE12" i="30" s="1"/>
  <c r="Z41" i="6"/>
  <c r="Y96" s="1"/>
  <c r="AE21" i="30" s="1"/>
  <c r="Z36" i="6"/>
  <c r="Y91" s="1"/>
  <c r="AE16" i="30" s="1"/>
  <c r="X34" i="6"/>
  <c r="X60" s="1"/>
  <c r="X89" s="1"/>
  <c r="AD14" i="30" s="1"/>
  <c r="X28" i="6"/>
  <c r="X54" s="1"/>
  <c r="X83" s="1"/>
  <c r="AD8" i="30" s="1"/>
  <c r="X27" i="6"/>
  <c r="X53" s="1"/>
  <c r="X82" s="1"/>
  <c r="AD7" i="30" s="1"/>
  <c r="X33" i="6"/>
  <c r="X59" s="1"/>
  <c r="X88" s="1"/>
  <c r="AD13" i="30" s="1"/>
  <c r="X25" i="6"/>
  <c r="X51" s="1"/>
  <c r="X80" s="1"/>
  <c r="AD5" i="30" s="1"/>
  <c r="X38" i="6"/>
  <c r="X64" s="1"/>
  <c r="X93" s="1"/>
  <c r="AD18" i="30" s="1"/>
  <c r="X31" i="6"/>
  <c r="X57" s="1"/>
  <c r="X86" s="1"/>
  <c r="R18"/>
  <c r="T18"/>
  <c r="F18"/>
  <c r="J18"/>
  <c r="I18"/>
  <c r="Q18"/>
  <c r="H18"/>
  <c r="P18"/>
  <c r="G18"/>
  <c r="N18"/>
  <c r="M18"/>
  <c r="K37"/>
  <c r="K63" s="1"/>
  <c r="K92" s="1"/>
  <c r="Q17" i="30" s="1"/>
  <c r="K26" i="6"/>
  <c r="K52" s="1"/>
  <c r="K81" s="1"/>
  <c r="Q6" i="30" s="1"/>
  <c r="K32" i="6"/>
  <c r="K58" s="1"/>
  <c r="K87" s="1"/>
  <c r="Q12" i="30" s="1"/>
  <c r="K41" i="6"/>
  <c r="K67" s="1"/>
  <c r="K96" s="1"/>
  <c r="Q21" i="30" s="1"/>
  <c r="K42" i="6"/>
  <c r="K68" s="1"/>
  <c r="K97" s="1"/>
  <c r="Q22" i="30" s="1"/>
  <c r="K36" i="6"/>
  <c r="K62" s="1"/>
  <c r="K91" s="1"/>
  <c r="Q16" i="30" s="1"/>
  <c r="K33" i="6"/>
  <c r="K59" s="1"/>
  <c r="K88" s="1"/>
  <c r="Q13" i="30" s="1"/>
  <c r="K31" i="6"/>
  <c r="K57" s="1"/>
  <c r="K86" s="1"/>
  <c r="K28"/>
  <c r="K54" s="1"/>
  <c r="K83" s="1"/>
  <c r="Q8" i="30" s="1"/>
  <c r="K40" i="6"/>
  <c r="K66" s="1"/>
  <c r="K95" s="1"/>
  <c r="Q20" i="30" s="1"/>
  <c r="K30" i="6"/>
  <c r="K56" s="1"/>
  <c r="K85" s="1"/>
  <c r="Q10" i="30" s="1"/>
  <c r="K29" i="6"/>
  <c r="K55" s="1"/>
  <c r="K84" s="1"/>
  <c r="Q9" i="30" s="1"/>
  <c r="K25" i="6"/>
  <c r="K51" s="1"/>
  <c r="K80" s="1"/>
  <c r="Q5" i="30" s="1"/>
  <c r="K34" i="6"/>
  <c r="K60" s="1"/>
  <c r="K89" s="1"/>
  <c r="Q14" i="30" s="1"/>
  <c r="K27" i="6"/>
  <c r="K53" s="1"/>
  <c r="K82" s="1"/>
  <c r="Q7" i="30" s="1"/>
  <c r="K23" i="6"/>
  <c r="K35"/>
  <c r="K61" s="1"/>
  <c r="K90" s="1"/>
  <c r="Q15" i="30" s="1"/>
  <c r="K24" i="6"/>
  <c r="K50" s="1"/>
  <c r="K79" s="1"/>
  <c r="Q4" i="30" s="1"/>
  <c r="K38" i="6"/>
  <c r="K64" s="1"/>
  <c r="K93" s="1"/>
  <c r="Q18" i="30" s="1"/>
  <c r="K39" i="6"/>
  <c r="K65" s="1"/>
  <c r="K94" s="1"/>
  <c r="Q19" i="30" s="1"/>
  <c r="S25" i="6"/>
  <c r="S51" s="1"/>
  <c r="S80" s="1"/>
  <c r="Y5" i="30" s="1"/>
  <c r="S34" i="6"/>
  <c r="S60" s="1"/>
  <c r="S89" s="1"/>
  <c r="Y14" i="30" s="1"/>
  <c r="S27" i="6"/>
  <c r="S53" s="1"/>
  <c r="S82" s="1"/>
  <c r="Y7" i="30" s="1"/>
  <c r="S32" i="6"/>
  <c r="S58" s="1"/>
  <c r="S87" s="1"/>
  <c r="Y12" i="30" s="1"/>
  <c r="S35" i="6"/>
  <c r="S61" s="1"/>
  <c r="S90" s="1"/>
  <c r="Y15" i="30" s="1"/>
  <c r="S28" i="6"/>
  <c r="S54" s="1"/>
  <c r="S83" s="1"/>
  <c r="Y8" i="30" s="1"/>
  <c r="S37" i="6"/>
  <c r="S63" s="1"/>
  <c r="S92" s="1"/>
  <c r="Y17" i="30" s="1"/>
  <c r="S30" i="6"/>
  <c r="S56" s="1"/>
  <c r="S85" s="1"/>
  <c r="Y10" i="30" s="1"/>
  <c r="S29" i="6"/>
  <c r="S55" s="1"/>
  <c r="S84" s="1"/>
  <c r="Y9" i="30" s="1"/>
  <c r="S26" i="6"/>
  <c r="S52" s="1"/>
  <c r="S81" s="1"/>
  <c r="Y6" i="30" s="1"/>
  <c r="S42" i="6"/>
  <c r="S68" s="1"/>
  <c r="S97" s="1"/>
  <c r="Y22" i="30" s="1"/>
  <c r="S36" i="6"/>
  <c r="S62" s="1"/>
  <c r="S91" s="1"/>
  <c r="Y16" i="30" s="1"/>
  <c r="S38" i="6"/>
  <c r="S64" s="1"/>
  <c r="S93" s="1"/>
  <c r="Y18" i="30" s="1"/>
  <c r="S40" i="6"/>
  <c r="S66" s="1"/>
  <c r="S95" s="1"/>
  <c r="Y20" i="30" s="1"/>
  <c r="S41" i="6"/>
  <c r="S67" s="1"/>
  <c r="S96" s="1"/>
  <c r="Y21" i="30" s="1"/>
  <c r="S39" i="6"/>
  <c r="S65" s="1"/>
  <c r="S94" s="1"/>
  <c r="Y19" i="30" s="1"/>
  <c r="S23" i="6"/>
  <c r="S24"/>
  <c r="S50" s="1"/>
  <c r="S79" s="1"/>
  <c r="Y4" i="30" s="1"/>
  <c r="S33" i="6"/>
  <c r="S59" s="1"/>
  <c r="S88" s="1"/>
  <c r="Y13" i="30" s="1"/>
  <c r="S31" i="6"/>
  <c r="S57" s="1"/>
  <c r="S86" s="1"/>
  <c r="E27"/>
  <c r="E53" s="1"/>
  <c r="E82" s="1"/>
  <c r="E33"/>
  <c r="E59" s="1"/>
  <c r="E88" s="1"/>
  <c r="E34"/>
  <c r="E60" s="1"/>
  <c r="E89" s="1"/>
  <c r="E28"/>
  <c r="E54" s="1"/>
  <c r="E83" s="1"/>
  <c r="E30"/>
  <c r="E56" s="1"/>
  <c r="E85" s="1"/>
  <c r="E42"/>
  <c r="E68" s="1"/>
  <c r="E97" s="1"/>
  <c r="E24"/>
  <c r="E50" s="1"/>
  <c r="E79" s="1"/>
  <c r="E37"/>
  <c r="E63" s="1"/>
  <c r="E92" s="1"/>
  <c r="E29"/>
  <c r="E55" s="1"/>
  <c r="E84" s="1"/>
  <c r="E23"/>
  <c r="E41"/>
  <c r="E67" s="1"/>
  <c r="E96" s="1"/>
  <c r="E39"/>
  <c r="E65" s="1"/>
  <c r="E94" s="1"/>
  <c r="E32"/>
  <c r="E58" s="1"/>
  <c r="E87" s="1"/>
  <c r="E35"/>
  <c r="E61" s="1"/>
  <c r="E90" s="1"/>
  <c r="E36"/>
  <c r="E62" s="1"/>
  <c r="E91" s="1"/>
  <c r="E25"/>
  <c r="E51" s="1"/>
  <c r="E80" s="1"/>
  <c r="E31"/>
  <c r="E57" s="1"/>
  <c r="E86" s="1"/>
  <c r="E40"/>
  <c r="E66" s="1"/>
  <c r="E95" s="1"/>
  <c r="E26"/>
  <c r="E52" s="1"/>
  <c r="E81" s="1"/>
  <c r="E38"/>
  <c r="E64" s="1"/>
  <c r="E93" s="1"/>
  <c r="O40"/>
  <c r="O66" s="1"/>
  <c r="O95" s="1"/>
  <c r="U20" i="30" s="1"/>
  <c r="O30" i="6"/>
  <c r="O56" s="1"/>
  <c r="O85" s="1"/>
  <c r="U10" i="30" s="1"/>
  <c r="O23" i="6"/>
  <c r="O42"/>
  <c r="O68" s="1"/>
  <c r="O97" s="1"/>
  <c r="U22" i="30" s="1"/>
  <c r="O33" i="6"/>
  <c r="O59" s="1"/>
  <c r="O88" s="1"/>
  <c r="U13" i="30" s="1"/>
  <c r="O25" i="6"/>
  <c r="O51" s="1"/>
  <c r="O80" s="1"/>
  <c r="U5" i="30" s="1"/>
  <c r="O34" i="6"/>
  <c r="O60" s="1"/>
  <c r="O89" s="1"/>
  <c r="U14" i="30" s="1"/>
  <c r="O39" i="6"/>
  <c r="O65" s="1"/>
  <c r="O94" s="1"/>
  <c r="U19" i="30" s="1"/>
  <c r="O28" i="6"/>
  <c r="O54" s="1"/>
  <c r="O83" s="1"/>
  <c r="U8" i="30" s="1"/>
  <c r="O26" i="6"/>
  <c r="O52" s="1"/>
  <c r="O81" s="1"/>
  <c r="U6" i="30" s="1"/>
  <c r="O41" i="6"/>
  <c r="O67" s="1"/>
  <c r="O96" s="1"/>
  <c r="U21" i="30" s="1"/>
  <c r="O35" i="6"/>
  <c r="O61" s="1"/>
  <c r="O90" s="1"/>
  <c r="U15" i="30" s="1"/>
  <c r="O27" i="6"/>
  <c r="O53" s="1"/>
  <c r="O82" s="1"/>
  <c r="U7" i="30" s="1"/>
  <c r="O29" i="6"/>
  <c r="O55" s="1"/>
  <c r="O84" s="1"/>
  <c r="U9" i="30" s="1"/>
  <c r="O32" i="6"/>
  <c r="O58" s="1"/>
  <c r="O87" s="1"/>
  <c r="U12" i="30" s="1"/>
  <c r="O36" i="6"/>
  <c r="O62" s="1"/>
  <c r="O91" s="1"/>
  <c r="U16" i="30" s="1"/>
  <c r="O37" i="6"/>
  <c r="O63" s="1"/>
  <c r="O92" s="1"/>
  <c r="U17" i="30" s="1"/>
  <c r="O24" i="6"/>
  <c r="O50" s="1"/>
  <c r="O79" s="1"/>
  <c r="U4" i="30" s="1"/>
  <c r="O38" i="6"/>
  <c r="O64" s="1"/>
  <c r="O93" s="1"/>
  <c r="U18" i="30" s="1"/>
  <c r="O31" i="6"/>
  <c r="O57" s="1"/>
  <c r="O86" s="1"/>
  <c r="P39"/>
  <c r="P65" s="1"/>
  <c r="P94" s="1"/>
  <c r="V19" i="30" s="1"/>
  <c r="P37" i="6"/>
  <c r="P63" s="1"/>
  <c r="P92" s="1"/>
  <c r="V17" i="30" s="1"/>
  <c r="P30" i="6"/>
  <c r="P56" s="1"/>
  <c r="P85" s="1"/>
  <c r="V10" i="30" s="1"/>
  <c r="P29" i="6"/>
  <c r="P55" s="1"/>
  <c r="P84" s="1"/>
  <c r="V9" i="30" s="1"/>
  <c r="P35" i="6"/>
  <c r="P61" s="1"/>
  <c r="P90" s="1"/>
  <c r="V15" i="30" s="1"/>
  <c r="P24" i="6"/>
  <c r="P50" s="1"/>
  <c r="P79" s="1"/>
  <c r="V4" i="30" s="1"/>
  <c r="P36" i="6"/>
  <c r="P62" s="1"/>
  <c r="P91" s="1"/>
  <c r="V16" i="30" s="1"/>
  <c r="P32" i="6"/>
  <c r="P58" s="1"/>
  <c r="P87" s="1"/>
  <c r="V12" i="30" s="1"/>
  <c r="P40" i="6"/>
  <c r="P66" s="1"/>
  <c r="P95" s="1"/>
  <c r="V20" i="30" s="1"/>
  <c r="P23" i="6"/>
  <c r="P41"/>
  <c r="P67" s="1"/>
  <c r="P96" s="1"/>
  <c r="V21" i="30" s="1"/>
  <c r="P31" i="6"/>
  <c r="P57" s="1"/>
  <c r="P86" s="1"/>
  <c r="P34"/>
  <c r="P60" s="1"/>
  <c r="P89" s="1"/>
  <c r="V14" i="30" s="1"/>
  <c r="P28" i="6"/>
  <c r="P54" s="1"/>
  <c r="P83" s="1"/>
  <c r="V8" i="30" s="1"/>
  <c r="P26" i="6"/>
  <c r="P52" s="1"/>
  <c r="P81" s="1"/>
  <c r="V6" i="30" s="1"/>
  <c r="P42" i="6"/>
  <c r="P68" s="1"/>
  <c r="P97" s="1"/>
  <c r="V22" i="30" s="1"/>
  <c r="P33" i="6"/>
  <c r="P59" s="1"/>
  <c r="P88" s="1"/>
  <c r="V13" i="30" s="1"/>
  <c r="P25" i="6"/>
  <c r="P51" s="1"/>
  <c r="P80" s="1"/>
  <c r="V5" i="30" s="1"/>
  <c r="P38" i="6"/>
  <c r="P64" s="1"/>
  <c r="P93" s="1"/>
  <c r="V18" i="30" s="1"/>
  <c r="P27" i="6"/>
  <c r="P53" s="1"/>
  <c r="P82" s="1"/>
  <c r="V7" i="30" s="1"/>
  <c r="H40" i="6"/>
  <c r="H66" s="1"/>
  <c r="H95" s="1"/>
  <c r="N20" i="30" s="1"/>
  <c r="H29" i="6"/>
  <c r="H55" s="1"/>
  <c r="H84" s="1"/>
  <c r="N9" i="30" s="1"/>
  <c r="H26" i="6"/>
  <c r="H52" s="1"/>
  <c r="H81" s="1"/>
  <c r="N6" i="30" s="1"/>
  <c r="H32" i="6"/>
  <c r="H58" s="1"/>
  <c r="H87" s="1"/>
  <c r="N12" i="30" s="1"/>
  <c r="H41" i="6"/>
  <c r="H67" s="1"/>
  <c r="H96" s="1"/>
  <c r="N21" i="30" s="1"/>
  <c r="H35" i="6"/>
  <c r="H61" s="1"/>
  <c r="H90" s="1"/>
  <c r="N15" i="30" s="1"/>
  <c r="H38" i="6"/>
  <c r="H64" s="1"/>
  <c r="H93" s="1"/>
  <c r="N18" i="30" s="1"/>
  <c r="H37" i="6"/>
  <c r="H63" s="1"/>
  <c r="H92" s="1"/>
  <c r="N17" i="30" s="1"/>
  <c r="H27" i="6"/>
  <c r="H53" s="1"/>
  <c r="H82" s="1"/>
  <c r="N7" i="30" s="1"/>
  <c r="H23" i="6"/>
  <c r="H34"/>
  <c r="H60" s="1"/>
  <c r="H89" s="1"/>
  <c r="N14" i="30" s="1"/>
  <c r="H28" i="6"/>
  <c r="H54" s="1"/>
  <c r="H83" s="1"/>
  <c r="N8" i="30" s="1"/>
  <c r="H31" i="6"/>
  <c r="H57" s="1"/>
  <c r="H86" s="1"/>
  <c r="H39"/>
  <c r="H65" s="1"/>
  <c r="H94" s="1"/>
  <c r="N19" i="30" s="1"/>
  <c r="H30" i="6"/>
  <c r="H56" s="1"/>
  <c r="H85" s="1"/>
  <c r="N10" i="30" s="1"/>
  <c r="H42" i="6"/>
  <c r="H68" s="1"/>
  <c r="H97" s="1"/>
  <c r="N22" i="30" s="1"/>
  <c r="H24" i="6"/>
  <c r="H50" s="1"/>
  <c r="H79" s="1"/>
  <c r="N4" i="30" s="1"/>
  <c r="H33" i="6"/>
  <c r="H59" s="1"/>
  <c r="H88" s="1"/>
  <c r="N13" i="30" s="1"/>
  <c r="H25" i="6"/>
  <c r="H51" s="1"/>
  <c r="H80" s="1"/>
  <c r="N5" i="30" s="1"/>
  <c r="H36" i="6"/>
  <c r="H62" s="1"/>
  <c r="H91" s="1"/>
  <c r="N16" i="30" s="1"/>
  <c r="U28" i="6"/>
  <c r="U54" s="1"/>
  <c r="U83" s="1"/>
  <c r="AA8" i="30" s="1"/>
  <c r="U37" i="6"/>
  <c r="U63" s="1"/>
  <c r="U92" s="1"/>
  <c r="AA17" i="30" s="1"/>
  <c r="U26" i="6"/>
  <c r="U52" s="1"/>
  <c r="U81" s="1"/>
  <c r="AA6" i="30" s="1"/>
  <c r="U23" i="6"/>
  <c r="U36"/>
  <c r="U62" s="1"/>
  <c r="U91" s="1"/>
  <c r="AA16" i="30" s="1"/>
  <c r="U38" i="6"/>
  <c r="U64" s="1"/>
  <c r="U93" s="1"/>
  <c r="AA18" i="30" s="1"/>
  <c r="U34" i="6"/>
  <c r="U60" s="1"/>
  <c r="U89" s="1"/>
  <c r="AA14" i="30" s="1"/>
  <c r="U40" i="6"/>
  <c r="U66" s="1"/>
  <c r="U95" s="1"/>
  <c r="AA20" i="30" s="1"/>
  <c r="U30" i="6"/>
  <c r="U56" s="1"/>
  <c r="U85" s="1"/>
  <c r="AA10" i="30" s="1"/>
  <c r="U41" i="6"/>
  <c r="U67" s="1"/>
  <c r="U96" s="1"/>
  <c r="AA21" i="30" s="1"/>
  <c r="U42" i="6"/>
  <c r="U68" s="1"/>
  <c r="U97" s="1"/>
  <c r="AA22" i="30" s="1"/>
  <c r="U39" i="6"/>
  <c r="U65" s="1"/>
  <c r="U94" s="1"/>
  <c r="AA19" i="30" s="1"/>
  <c r="U32" i="6"/>
  <c r="U58" s="1"/>
  <c r="U87" s="1"/>
  <c r="AA12" i="30" s="1"/>
  <c r="U35" i="6"/>
  <c r="U61" s="1"/>
  <c r="U90" s="1"/>
  <c r="AA15" i="30" s="1"/>
  <c r="U24" i="6"/>
  <c r="U50" s="1"/>
  <c r="U79" s="1"/>
  <c r="AA4" i="30" s="1"/>
  <c r="U33" i="6"/>
  <c r="U59" s="1"/>
  <c r="U88" s="1"/>
  <c r="AA13" i="30" s="1"/>
  <c r="U31" i="6"/>
  <c r="U57" s="1"/>
  <c r="U86" s="1"/>
  <c r="U27"/>
  <c r="U53" s="1"/>
  <c r="U82" s="1"/>
  <c r="AA7" i="30" s="1"/>
  <c r="U29" i="6"/>
  <c r="U55" s="1"/>
  <c r="U84" s="1"/>
  <c r="AA9" i="30" s="1"/>
  <c r="U25" i="6"/>
  <c r="U51" s="1"/>
  <c r="U80" s="1"/>
  <c r="AA5" i="30" s="1"/>
  <c r="J39" i="6"/>
  <c r="J65" s="1"/>
  <c r="J94" s="1"/>
  <c r="P19" i="30" s="1"/>
  <c r="J28" i="6"/>
  <c r="J54" s="1"/>
  <c r="J83" s="1"/>
  <c r="P8" i="30" s="1"/>
  <c r="J40" i="6"/>
  <c r="J66" s="1"/>
  <c r="J95" s="1"/>
  <c r="P20" i="30" s="1"/>
  <c r="J27" i="6"/>
  <c r="J53" s="1"/>
  <c r="J82" s="1"/>
  <c r="P7" i="30" s="1"/>
  <c r="J30" i="6"/>
  <c r="J56" s="1"/>
  <c r="J85" s="1"/>
  <c r="P10" i="30" s="1"/>
  <c r="J26" i="6"/>
  <c r="J52" s="1"/>
  <c r="J81" s="1"/>
  <c r="P6" i="30" s="1"/>
  <c r="J41" i="6"/>
  <c r="J67" s="1"/>
  <c r="J96" s="1"/>
  <c r="P21" i="30" s="1"/>
  <c r="J33" i="6"/>
  <c r="J59" s="1"/>
  <c r="J88" s="1"/>
  <c r="P13" i="30" s="1"/>
  <c r="J31" i="6"/>
  <c r="J57" s="1"/>
  <c r="J86" s="1"/>
  <c r="J29"/>
  <c r="J55" s="1"/>
  <c r="J84" s="1"/>
  <c r="P9" i="30" s="1"/>
  <c r="J25" i="6"/>
  <c r="J51" s="1"/>
  <c r="J80" s="1"/>
  <c r="P5" i="30" s="1"/>
  <c r="J38" i="6"/>
  <c r="J64" s="1"/>
  <c r="J93" s="1"/>
  <c r="P18" i="30" s="1"/>
  <c r="J34" i="6"/>
  <c r="J60" s="1"/>
  <c r="J89" s="1"/>
  <c r="P14" i="30" s="1"/>
  <c r="J35" i="6"/>
  <c r="J61" s="1"/>
  <c r="J90" s="1"/>
  <c r="P15" i="30" s="1"/>
  <c r="J37" i="6"/>
  <c r="J63" s="1"/>
  <c r="J92" s="1"/>
  <c r="P17" i="30" s="1"/>
  <c r="J32" i="6"/>
  <c r="J58" s="1"/>
  <c r="J87" s="1"/>
  <c r="P12" i="30" s="1"/>
  <c r="J23" i="6"/>
  <c r="J42"/>
  <c r="J68" s="1"/>
  <c r="J97" s="1"/>
  <c r="P22" i="30" s="1"/>
  <c r="J24" i="6"/>
  <c r="J50" s="1"/>
  <c r="J79" s="1"/>
  <c r="P4" i="30" s="1"/>
  <c r="J36" i="6"/>
  <c r="J62" s="1"/>
  <c r="J91" s="1"/>
  <c r="P16" i="30" s="1"/>
  <c r="I35" i="6"/>
  <c r="I61" s="1"/>
  <c r="I90" s="1"/>
  <c r="O15" i="30" s="1"/>
  <c r="I27" i="6"/>
  <c r="I53" s="1"/>
  <c r="I82" s="1"/>
  <c r="O7" i="30" s="1"/>
  <c r="I28" i="6"/>
  <c r="I54" s="1"/>
  <c r="I83" s="1"/>
  <c r="O8" i="30" s="1"/>
  <c r="I29" i="6"/>
  <c r="I55" s="1"/>
  <c r="I84" s="1"/>
  <c r="O9" i="30" s="1"/>
  <c r="I32" i="6"/>
  <c r="I58" s="1"/>
  <c r="I87" s="1"/>
  <c r="O12" i="30" s="1"/>
  <c r="I40" i="6"/>
  <c r="I66" s="1"/>
  <c r="I95" s="1"/>
  <c r="O20" i="30" s="1"/>
  <c r="I33" i="6"/>
  <c r="I59" s="1"/>
  <c r="I88" s="1"/>
  <c r="O13" i="30" s="1"/>
  <c r="I37" i="6"/>
  <c r="I63" s="1"/>
  <c r="I92" s="1"/>
  <c r="O17" i="30" s="1"/>
  <c r="I23" i="6"/>
  <c r="I42"/>
  <c r="I68" s="1"/>
  <c r="I97" s="1"/>
  <c r="O22" i="30" s="1"/>
  <c r="I24" i="6"/>
  <c r="I50" s="1"/>
  <c r="I79" s="1"/>
  <c r="O4" i="30" s="1"/>
  <c r="I36" i="6"/>
  <c r="I62" s="1"/>
  <c r="I91" s="1"/>
  <c r="O16" i="30" s="1"/>
  <c r="I38" i="6"/>
  <c r="I64" s="1"/>
  <c r="I93" s="1"/>
  <c r="O18" i="30" s="1"/>
  <c r="I31" i="6"/>
  <c r="I57" s="1"/>
  <c r="I86" s="1"/>
  <c r="I39"/>
  <c r="I65" s="1"/>
  <c r="I94" s="1"/>
  <c r="O19" i="30" s="1"/>
  <c r="I30" i="6"/>
  <c r="I56" s="1"/>
  <c r="I85" s="1"/>
  <c r="O10" i="30" s="1"/>
  <c r="I26" i="6"/>
  <c r="I52" s="1"/>
  <c r="I81" s="1"/>
  <c r="O6" i="30" s="1"/>
  <c r="I41" i="6"/>
  <c r="I67" s="1"/>
  <c r="I96" s="1"/>
  <c r="O21" i="30" s="1"/>
  <c r="I25" i="6"/>
  <c r="I51" s="1"/>
  <c r="I80" s="1"/>
  <c r="O5" i="30" s="1"/>
  <c r="I34" i="6"/>
  <c r="I60" s="1"/>
  <c r="I89" s="1"/>
  <c r="O14" i="30" s="1"/>
  <c r="L39" i="6"/>
  <c r="L65" s="1"/>
  <c r="L94" s="1"/>
  <c r="R19" i="30" s="1"/>
  <c r="L37" i="6"/>
  <c r="L63" s="1"/>
  <c r="L92" s="1"/>
  <c r="R17" i="30" s="1"/>
  <c r="L40" i="6"/>
  <c r="L66" s="1"/>
  <c r="L95" s="1"/>
  <c r="R20" i="30" s="1"/>
  <c r="L27" i="6"/>
  <c r="L53" s="1"/>
  <c r="L82" s="1"/>
  <c r="R7" i="30" s="1"/>
  <c r="L25" i="6"/>
  <c r="L51" s="1"/>
  <c r="L80" s="1"/>
  <c r="R5" i="30" s="1"/>
  <c r="L34" i="6"/>
  <c r="L60" s="1"/>
  <c r="L89" s="1"/>
  <c r="R14" i="30" s="1"/>
  <c r="L42" i="6"/>
  <c r="L68" s="1"/>
  <c r="L97" s="1"/>
  <c r="R22" i="30" s="1"/>
  <c r="L24" i="6"/>
  <c r="L50" s="1"/>
  <c r="L79" s="1"/>
  <c r="R4" i="30" s="1"/>
  <c r="L38" i="6"/>
  <c r="L64" s="1"/>
  <c r="L93" s="1"/>
  <c r="R18" i="30" s="1"/>
  <c r="L28" i="6"/>
  <c r="L54" s="1"/>
  <c r="L83" s="1"/>
  <c r="R8" i="30" s="1"/>
  <c r="L23" i="6"/>
  <c r="L35"/>
  <c r="L61" s="1"/>
  <c r="L90" s="1"/>
  <c r="R15" i="30" s="1"/>
  <c r="L36" i="6"/>
  <c r="L62" s="1"/>
  <c r="L91" s="1"/>
  <c r="R16" i="30" s="1"/>
  <c r="L33" i="6"/>
  <c r="L59" s="1"/>
  <c r="L88" s="1"/>
  <c r="R13" i="30" s="1"/>
  <c r="L31" i="6"/>
  <c r="L57" s="1"/>
  <c r="L86" s="1"/>
  <c r="L30"/>
  <c r="L56" s="1"/>
  <c r="L85" s="1"/>
  <c r="R10" i="30" s="1"/>
  <c r="L29" i="6"/>
  <c r="L55" s="1"/>
  <c r="L84" s="1"/>
  <c r="R9" i="30" s="1"/>
  <c r="L26" i="6"/>
  <c r="L52" s="1"/>
  <c r="L81" s="1"/>
  <c r="R6" i="30" s="1"/>
  <c r="L32" i="6"/>
  <c r="L58" s="1"/>
  <c r="L87" s="1"/>
  <c r="R12" i="30" s="1"/>
  <c r="L41" i="6"/>
  <c r="L67" s="1"/>
  <c r="L96" s="1"/>
  <c r="R21" i="30" s="1"/>
  <c r="W18" i="6"/>
  <c r="E18"/>
  <c r="S18"/>
  <c r="V18"/>
  <c r="H49" l="1"/>
  <c r="H44"/>
  <c r="AA90"/>
  <c r="K15" i="30"/>
  <c r="E44" i="6"/>
  <c r="E49"/>
  <c r="K13" i="30"/>
  <c r="AA88" i="6"/>
  <c r="Y119"/>
  <c r="Y118"/>
  <c r="Y155" s="1"/>
  <c r="Y120"/>
  <c r="Y157" s="1"/>
  <c r="Y121"/>
  <c r="AE11" i="30"/>
  <c r="Y123" i="6"/>
  <c r="Y160" s="1"/>
  <c r="Y117"/>
  <c r="Y154" s="1"/>
  <c r="Y122"/>
  <c r="Y159" s="1"/>
  <c r="Y78"/>
  <c r="Z44"/>
  <c r="M44"/>
  <c r="M49"/>
  <c r="L49"/>
  <c r="L44"/>
  <c r="AA91"/>
  <c r="K16" i="30"/>
  <c r="AA89" i="6"/>
  <c r="K14" i="30"/>
  <c r="U44" i="6"/>
  <c r="U49"/>
  <c r="P122"/>
  <c r="P120"/>
  <c r="P157" s="1"/>
  <c r="P121"/>
  <c r="P118"/>
  <c r="V11" i="30"/>
  <c r="P117" i="6"/>
  <c r="P154" s="1"/>
  <c r="P123"/>
  <c r="P160" s="1"/>
  <c r="P119"/>
  <c r="P156" s="1"/>
  <c r="O121"/>
  <c r="O117"/>
  <c r="O154" s="1"/>
  <c r="O123"/>
  <c r="O120"/>
  <c r="U11" i="30"/>
  <c r="O122" i="6"/>
  <c r="O159" s="1"/>
  <c r="O118"/>
  <c r="O119"/>
  <c r="AA93"/>
  <c r="K18" i="30"/>
  <c r="AA80" i="6"/>
  <c r="K5" i="30"/>
  <c r="AA94" i="6"/>
  <c r="K19" i="30"/>
  <c r="AA92" i="6"/>
  <c r="K17" i="30"/>
  <c r="AA83" i="6"/>
  <c r="K8" i="30"/>
  <c r="S120" i="6"/>
  <c r="S157" s="1"/>
  <c r="S122"/>
  <c r="S117"/>
  <c r="S154" s="1"/>
  <c r="S123"/>
  <c r="S160" s="1"/>
  <c r="S121"/>
  <c r="S158" s="1"/>
  <c r="S118"/>
  <c r="S155" s="1"/>
  <c r="S119"/>
  <c r="Y11" i="30"/>
  <c r="K44" i="6"/>
  <c r="K49"/>
  <c r="Q11" i="30"/>
  <c r="K117" i="6"/>
  <c r="K154" s="1"/>
  <c r="K123"/>
  <c r="K121"/>
  <c r="K158" s="1"/>
  <c r="K120"/>
  <c r="K122"/>
  <c r="K159" s="1"/>
  <c r="K118"/>
  <c r="K119"/>
  <c r="R44"/>
  <c r="R49"/>
  <c r="W118"/>
  <c r="W123"/>
  <c r="W120"/>
  <c r="AC11" i="30"/>
  <c r="W121" i="6"/>
  <c r="W158" s="1"/>
  <c r="W122"/>
  <c r="W119"/>
  <c r="W117"/>
  <c r="W154" s="1"/>
  <c r="T44"/>
  <c r="T49"/>
  <c r="V44"/>
  <c r="V49"/>
  <c r="G44"/>
  <c r="G49"/>
  <c r="M121"/>
  <c r="S11" i="30"/>
  <c r="M123" i="6"/>
  <c r="M160" s="1"/>
  <c r="M118"/>
  <c r="M119"/>
  <c r="M120"/>
  <c r="M157" s="1"/>
  <c r="M117"/>
  <c r="M154" s="1"/>
  <c r="M122"/>
  <c r="M159" s="1"/>
  <c r="I122"/>
  <c r="I120"/>
  <c r="I157" s="1"/>
  <c r="O11" i="30"/>
  <c r="I121" i="6"/>
  <c r="I118"/>
  <c r="I123"/>
  <c r="I160" s="1"/>
  <c r="I117"/>
  <c r="I154" s="1"/>
  <c r="I119"/>
  <c r="I156" s="1"/>
  <c r="P49"/>
  <c r="P44"/>
  <c r="K20" i="30"/>
  <c r="AA95" i="6"/>
  <c r="K22" i="30"/>
  <c r="AA97" i="6"/>
  <c r="Q118"/>
  <c r="Q155" s="1"/>
  <c r="Q123"/>
  <c r="Q160" s="1"/>
  <c r="Q117"/>
  <c r="Q154" s="1"/>
  <c r="W11" i="30"/>
  <c r="Q120" i="6"/>
  <c r="Q121"/>
  <c r="Q122"/>
  <c r="Q119"/>
  <c r="Q156" s="1"/>
  <c r="L121"/>
  <c r="L119"/>
  <c r="L122"/>
  <c r="L118"/>
  <c r="L155" s="1"/>
  <c r="L117"/>
  <c r="L154" s="1"/>
  <c r="L123"/>
  <c r="L160" s="1"/>
  <c r="R11" i="30"/>
  <c r="L120" i="6"/>
  <c r="L157" s="1"/>
  <c r="O44"/>
  <c r="O49"/>
  <c r="AA81"/>
  <c r="K6" i="30"/>
  <c r="AA96" i="6"/>
  <c r="K21" i="30"/>
  <c r="K4"/>
  <c r="AA79" i="6"/>
  <c r="T117"/>
  <c r="T154" s="1"/>
  <c r="T119"/>
  <c r="T122"/>
  <c r="Z11" i="30"/>
  <c r="T118" i="6"/>
  <c r="T155" s="1"/>
  <c r="T121"/>
  <c r="T158" s="1"/>
  <c r="T120"/>
  <c r="T123"/>
  <c r="T160" s="1"/>
  <c r="V118"/>
  <c r="V122"/>
  <c r="V123"/>
  <c r="V117"/>
  <c r="V154" s="1"/>
  <c r="AB11" i="30"/>
  <c r="V121" i="6"/>
  <c r="V119"/>
  <c r="V120"/>
  <c r="V157" s="1"/>
  <c r="Q44"/>
  <c r="Q49"/>
  <c r="I49"/>
  <c r="I44"/>
  <c r="J49"/>
  <c r="J44"/>
  <c r="J123"/>
  <c r="J119"/>
  <c r="J156" s="1"/>
  <c r="J120"/>
  <c r="P11" i="30"/>
  <c r="J121" i="6"/>
  <c r="J117"/>
  <c r="J154" s="1"/>
  <c r="J122"/>
  <c r="J159" s="1"/>
  <c r="J118"/>
  <c r="U122"/>
  <c r="U121"/>
  <c r="U123"/>
  <c r="U160" s="1"/>
  <c r="U118"/>
  <c r="AA11" i="30"/>
  <c r="U120" i="6"/>
  <c r="U157" s="1"/>
  <c r="U117"/>
  <c r="U154" s="1"/>
  <c r="U119"/>
  <c r="U156" s="1"/>
  <c r="H120"/>
  <c r="N11" i="30"/>
  <c r="H118" i="6"/>
  <c r="H155" s="1"/>
  <c r="H122"/>
  <c r="H119"/>
  <c r="H123"/>
  <c r="H160" s="1"/>
  <c r="H117"/>
  <c r="H154" s="1"/>
  <c r="H121"/>
  <c r="H158" s="1"/>
  <c r="E121"/>
  <c r="AA86"/>
  <c r="E117"/>
  <c r="E154" s="1"/>
  <c r="E118"/>
  <c r="E119"/>
  <c r="E120"/>
  <c r="E157" s="1"/>
  <c r="E122"/>
  <c r="E159" s="1"/>
  <c r="K11" i="30"/>
  <c r="E123" i="6"/>
  <c r="AA87"/>
  <c r="K12" i="30"/>
  <c r="AA84" i="6"/>
  <c r="K9" i="30"/>
  <c r="K10"/>
  <c r="AA85" i="6"/>
  <c r="K7" i="30"/>
  <c r="AA82" i="6"/>
  <c r="S44"/>
  <c r="S49"/>
  <c r="AD11" i="30"/>
  <c r="X117" i="6"/>
  <c r="X154" s="1"/>
  <c r="X118"/>
  <c r="X155" s="1"/>
  <c r="X122"/>
  <c r="X159" s="1"/>
  <c r="X119"/>
  <c r="X121"/>
  <c r="X123"/>
  <c r="X160" s="1"/>
  <c r="X120"/>
  <c r="X157" s="1"/>
  <c r="X49"/>
  <c r="X44"/>
  <c r="R123"/>
  <c r="R160" s="1"/>
  <c r="R117"/>
  <c r="R154" s="1"/>
  <c r="R121"/>
  <c r="R158" s="1"/>
  <c r="R120"/>
  <c r="R118"/>
  <c r="R155" s="1"/>
  <c r="X11" i="30"/>
  <c r="R119" i="6"/>
  <c r="R122"/>
  <c r="W49"/>
  <c r="W44"/>
  <c r="M11" i="30"/>
  <c r="G118" i="6"/>
  <c r="G120"/>
  <c r="G157" s="1"/>
  <c r="G123"/>
  <c r="G160" s="1"/>
  <c r="G122"/>
  <c r="G119"/>
  <c r="G156" s="1"/>
  <c r="G117"/>
  <c r="G154" s="1"/>
  <c r="G121"/>
  <c r="F49"/>
  <c r="F44"/>
  <c r="F121"/>
  <c r="F158" s="1"/>
  <c r="L11" i="30"/>
  <c r="F119" i="6"/>
  <c r="F120"/>
  <c r="F117"/>
  <c r="F154" s="1"/>
  <c r="F122"/>
  <c r="F118"/>
  <c r="F123"/>
  <c r="N49"/>
  <c r="N44"/>
  <c r="N117"/>
  <c r="N154" s="1"/>
  <c r="N120"/>
  <c r="N121"/>
  <c r="N158" s="1"/>
  <c r="N123"/>
  <c r="T11" i="30"/>
  <c r="N118" i="6"/>
  <c r="N119"/>
  <c r="N156" s="1"/>
  <c r="N122"/>
  <c r="N78" l="1"/>
  <c r="N70"/>
  <c r="V78"/>
  <c r="V70"/>
  <c r="R78"/>
  <c r="R70"/>
  <c r="E70"/>
  <c r="E78"/>
  <c r="S70"/>
  <c r="S78"/>
  <c r="I70"/>
  <c r="I78"/>
  <c r="P78"/>
  <c r="P70"/>
  <c r="L70"/>
  <c r="L78"/>
  <c r="Y136"/>
  <c r="Y129"/>
  <c r="Y124"/>
  <c r="Y161" s="1"/>
  <c r="Y133"/>
  <c r="Y125"/>
  <c r="Y162" s="1"/>
  <c r="Y127"/>
  <c r="Y164" s="1"/>
  <c r="AE3" i="30"/>
  <c r="Y126" i="6"/>
  <c r="Y99"/>
  <c r="Y128"/>
  <c r="Y165" s="1"/>
  <c r="Y131"/>
  <c r="Y132"/>
  <c r="Y169" s="1"/>
  <c r="Y135"/>
  <c r="Y172" s="1"/>
  <c r="Y130"/>
  <c r="Y167" s="1"/>
  <c r="Y137"/>
  <c r="Y134"/>
  <c r="Y171" s="1"/>
  <c r="H70"/>
  <c r="H78"/>
  <c r="N160"/>
  <c r="G158"/>
  <c r="AA100"/>
  <c r="V155"/>
  <c r="L158"/>
  <c r="W155"/>
  <c r="K155"/>
  <c r="O160"/>
  <c r="P158"/>
  <c r="N155"/>
  <c r="N157"/>
  <c r="F160"/>
  <c r="F157"/>
  <c r="G155"/>
  <c r="R159"/>
  <c r="R157"/>
  <c r="X158"/>
  <c r="E160"/>
  <c r="E156"/>
  <c r="E158"/>
  <c r="H156"/>
  <c r="H157"/>
  <c r="U159"/>
  <c r="J158"/>
  <c r="J160"/>
  <c r="V156"/>
  <c r="V160"/>
  <c r="T157"/>
  <c r="T159"/>
  <c r="L159"/>
  <c r="Q159"/>
  <c r="I155"/>
  <c r="I159"/>
  <c r="M156"/>
  <c r="M158"/>
  <c r="W156"/>
  <c r="W157"/>
  <c r="K157"/>
  <c r="S156"/>
  <c r="O158"/>
  <c r="P159"/>
  <c r="Y156"/>
  <c r="W78"/>
  <c r="W70"/>
  <c r="J78"/>
  <c r="J70"/>
  <c r="F78"/>
  <c r="F70"/>
  <c r="X78"/>
  <c r="X70"/>
  <c r="Q70"/>
  <c r="Q78"/>
  <c r="O78"/>
  <c r="O70"/>
  <c r="G78"/>
  <c r="G70"/>
  <c r="T70"/>
  <c r="T78"/>
  <c r="K70"/>
  <c r="K78"/>
  <c r="U78"/>
  <c r="U70"/>
  <c r="M70"/>
  <c r="M78"/>
  <c r="U158"/>
  <c r="N159"/>
  <c r="F159"/>
  <c r="J157"/>
  <c r="Q157"/>
  <c r="K160"/>
  <c r="O155"/>
  <c r="F155"/>
  <c r="F156"/>
  <c r="G159"/>
  <c r="R156"/>
  <c r="X156"/>
  <c r="E155"/>
  <c r="H159"/>
  <c r="U155"/>
  <c r="J155"/>
  <c r="V158"/>
  <c r="V159"/>
  <c r="T156"/>
  <c r="L156"/>
  <c r="Q158"/>
  <c r="I158"/>
  <c r="M155"/>
  <c r="W159"/>
  <c r="W160"/>
  <c r="K156"/>
  <c r="S159"/>
  <c r="O156"/>
  <c r="O157"/>
  <c r="P155"/>
  <c r="Y158"/>
  <c r="T128" l="1"/>
  <c r="T134"/>
  <c r="T171" s="1"/>
  <c r="T126"/>
  <c r="T163" s="1"/>
  <c r="T132"/>
  <c r="T125"/>
  <c r="T135"/>
  <c r="T172" s="1"/>
  <c r="T130"/>
  <c r="T167" s="1"/>
  <c r="T129"/>
  <c r="T166" s="1"/>
  <c r="T137"/>
  <c r="T124"/>
  <c r="T161" s="1"/>
  <c r="T127"/>
  <c r="T164" s="1"/>
  <c r="Z3" i="30"/>
  <c r="T131" i="6"/>
  <c r="T99"/>
  <c r="T136"/>
  <c r="T133"/>
  <c r="T170" s="1"/>
  <c r="P135"/>
  <c r="P134"/>
  <c r="P171" s="1"/>
  <c r="P133"/>
  <c r="P124"/>
  <c r="P161" s="1"/>
  <c r="V3" i="30"/>
  <c r="P130" i="6"/>
  <c r="P167" s="1"/>
  <c r="P137"/>
  <c r="P131"/>
  <c r="P129"/>
  <c r="P128"/>
  <c r="P165" s="1"/>
  <c r="P136"/>
  <c r="P173" s="1"/>
  <c r="P126"/>
  <c r="P127"/>
  <c r="P164" s="1"/>
  <c r="P125"/>
  <c r="P162" s="1"/>
  <c r="P132"/>
  <c r="P169" s="1"/>
  <c r="P99"/>
  <c r="N126"/>
  <c r="N135"/>
  <c r="N172" s="1"/>
  <c r="N131"/>
  <c r="N168" s="1"/>
  <c r="T3" i="30"/>
  <c r="N125" i="6"/>
  <c r="N136"/>
  <c r="N173" s="1"/>
  <c r="N134"/>
  <c r="N171" s="1"/>
  <c r="N132"/>
  <c r="N127"/>
  <c r="N164" s="1"/>
  <c r="N99"/>
  <c r="N129"/>
  <c r="N166" s="1"/>
  <c r="N133"/>
  <c r="N170" s="1"/>
  <c r="N128"/>
  <c r="N165" s="1"/>
  <c r="N137"/>
  <c r="N174" s="1"/>
  <c r="N124"/>
  <c r="N161" s="1"/>
  <c r="N130"/>
  <c r="S133"/>
  <c r="S170" s="1"/>
  <c r="S99"/>
  <c r="S136"/>
  <c r="S173" s="1"/>
  <c r="S128"/>
  <c r="S131"/>
  <c r="S129"/>
  <c r="S166" s="1"/>
  <c r="S135"/>
  <c r="S172" s="1"/>
  <c r="S132"/>
  <c r="S134"/>
  <c r="S171" s="1"/>
  <c r="S124"/>
  <c r="S161" s="1"/>
  <c r="S126"/>
  <c r="S163" s="1"/>
  <c r="S125"/>
  <c r="S130"/>
  <c r="Y3" i="30"/>
  <c r="S137" i="6"/>
  <c r="S174" s="1"/>
  <c r="S127"/>
  <c r="M125"/>
  <c r="M129"/>
  <c r="M166" s="1"/>
  <c r="M130"/>
  <c r="M126"/>
  <c r="M132"/>
  <c r="M134"/>
  <c r="S3" i="30"/>
  <c r="M127" i="6"/>
  <c r="M164" s="1"/>
  <c r="M131"/>
  <c r="M133"/>
  <c r="M170" s="1"/>
  <c r="M135"/>
  <c r="M136"/>
  <c r="M99"/>
  <c r="M124"/>
  <c r="M161" s="1"/>
  <c r="M128"/>
  <c r="M165" s="1"/>
  <c r="M137"/>
  <c r="M174" s="1"/>
  <c r="K133"/>
  <c r="K130"/>
  <c r="K167" s="1"/>
  <c r="K126"/>
  <c r="K137"/>
  <c r="K136"/>
  <c r="K135"/>
  <c r="K132"/>
  <c r="K99"/>
  <c r="K129"/>
  <c r="K166" s="1"/>
  <c r="K134"/>
  <c r="K171" s="1"/>
  <c r="K124"/>
  <c r="K161" s="1"/>
  <c r="K128"/>
  <c r="Q3" i="30"/>
  <c r="K125" i="6"/>
  <c r="K162" s="1"/>
  <c r="K131"/>
  <c r="K127"/>
  <c r="Q134"/>
  <c r="Q137"/>
  <c r="Q174" s="1"/>
  <c r="Q129"/>
  <c r="Q131"/>
  <c r="Q136"/>
  <c r="Q125"/>
  <c r="Q162" s="1"/>
  <c r="Q128"/>
  <c r="Q165" s="1"/>
  <c r="Q126"/>
  <c r="Q135"/>
  <c r="Q172" s="1"/>
  <c r="Q133"/>
  <c r="W3" i="30"/>
  <c r="Q127" i="6"/>
  <c r="Q164" s="1"/>
  <c r="Q124"/>
  <c r="Q161" s="1"/>
  <c r="Q132"/>
  <c r="Q169" s="1"/>
  <c r="Q130"/>
  <c r="Q167" s="1"/>
  <c r="Q99"/>
  <c r="V126"/>
  <c r="V99"/>
  <c r="AB3" i="30"/>
  <c r="V136" i="6"/>
  <c r="V127"/>
  <c r="V164" s="1"/>
  <c r="V129"/>
  <c r="V137"/>
  <c r="V174" s="1"/>
  <c r="V130"/>
  <c r="V134"/>
  <c r="V128"/>
  <c r="V165" s="1"/>
  <c r="V125"/>
  <c r="V162" s="1"/>
  <c r="V131"/>
  <c r="V168" s="1"/>
  <c r="V135"/>
  <c r="V172" s="1"/>
  <c r="V132"/>
  <c r="V169" s="1"/>
  <c r="V133"/>
  <c r="V124"/>
  <c r="V161" s="1"/>
  <c r="Y173"/>
  <c r="Y166"/>
  <c r="Y176" s="1"/>
  <c r="Y174"/>
  <c r="Y168"/>
  <c r="AA70"/>
  <c r="R127"/>
  <c r="R164" s="1"/>
  <c r="R99"/>
  <c r="R129"/>
  <c r="R134"/>
  <c r="X3" i="30"/>
  <c r="R125" i="6"/>
  <c r="R130"/>
  <c r="R167" s="1"/>
  <c r="R133"/>
  <c r="R132"/>
  <c r="R169" s="1"/>
  <c r="R124"/>
  <c r="R161" s="1"/>
  <c r="R128"/>
  <c r="R137"/>
  <c r="R135"/>
  <c r="R172" s="1"/>
  <c r="R131"/>
  <c r="R168" s="1"/>
  <c r="R126"/>
  <c r="R136"/>
  <c r="G131"/>
  <c r="G168" s="1"/>
  <c r="G135"/>
  <c r="G172" s="1"/>
  <c r="G128"/>
  <c r="G134"/>
  <c r="G171" s="1"/>
  <c r="G137"/>
  <c r="G174" s="1"/>
  <c r="G129"/>
  <c r="G166" s="1"/>
  <c r="G127"/>
  <c r="M3" i="30"/>
  <c r="G99" i="6"/>
  <c r="G136"/>
  <c r="G173" s="1"/>
  <c r="G133"/>
  <c r="G126"/>
  <c r="G163" s="1"/>
  <c r="G132"/>
  <c r="G169" s="1"/>
  <c r="G124"/>
  <c r="G161" s="1"/>
  <c r="G125"/>
  <c r="G130"/>
  <c r="F131"/>
  <c r="L3" i="30"/>
  <c r="F133" i="6"/>
  <c r="F125"/>
  <c r="F162" s="1"/>
  <c r="F130"/>
  <c r="F137"/>
  <c r="F174" s="1"/>
  <c r="F136"/>
  <c r="F128"/>
  <c r="F135"/>
  <c r="F172" s="1"/>
  <c r="F134"/>
  <c r="F171" s="1"/>
  <c r="F126"/>
  <c r="F127"/>
  <c r="F164" s="1"/>
  <c r="F129"/>
  <c r="F166" s="1"/>
  <c r="F99"/>
  <c r="F124"/>
  <c r="F161" s="1"/>
  <c r="F132"/>
  <c r="W135"/>
  <c r="W132"/>
  <c r="W169" s="1"/>
  <c r="W131"/>
  <c r="W133"/>
  <c r="W128"/>
  <c r="W165" s="1"/>
  <c r="W124"/>
  <c r="W161" s="1"/>
  <c r="W130"/>
  <c r="AC3" i="30"/>
  <c r="W134" i="6"/>
  <c r="W171" s="1"/>
  <c r="W125"/>
  <c r="W162" s="1"/>
  <c r="W129"/>
  <c r="W99"/>
  <c r="W136"/>
  <c r="W173" s="1"/>
  <c r="W126"/>
  <c r="W163" s="1"/>
  <c r="W137"/>
  <c r="W127"/>
  <c r="H126"/>
  <c r="H163" s="1"/>
  <c r="H131"/>
  <c r="H168" s="1"/>
  <c r="H134"/>
  <c r="H130"/>
  <c r="H132"/>
  <c r="H169" s="1"/>
  <c r="H136"/>
  <c r="H127"/>
  <c r="H125"/>
  <c r="H162" s="1"/>
  <c r="H135"/>
  <c r="H172" s="1"/>
  <c r="H128"/>
  <c r="H165" s="1"/>
  <c r="H124"/>
  <c r="H161" s="1"/>
  <c r="H99"/>
  <c r="H129"/>
  <c r="H166" s="1"/>
  <c r="N3" i="30"/>
  <c r="H137" i="6"/>
  <c r="H133"/>
  <c r="U124"/>
  <c r="U161" s="1"/>
  <c r="U135"/>
  <c r="U126"/>
  <c r="U128"/>
  <c r="U134"/>
  <c r="U171" s="1"/>
  <c r="U129"/>
  <c r="U166" s="1"/>
  <c r="U132"/>
  <c r="U130"/>
  <c r="U137"/>
  <c r="U174" s="1"/>
  <c r="U125"/>
  <c r="U133"/>
  <c r="U170" s="1"/>
  <c r="U127"/>
  <c r="U164" s="1"/>
  <c r="U99"/>
  <c r="AA3" i="30"/>
  <c r="U131" i="6"/>
  <c r="U168" s="1"/>
  <c r="U136"/>
  <c r="U3" i="30"/>
  <c r="O132" i="6"/>
  <c r="O169" s="1"/>
  <c r="O130"/>
  <c r="O135"/>
  <c r="O126"/>
  <c r="O163" s="1"/>
  <c r="O129"/>
  <c r="O99"/>
  <c r="O133"/>
  <c r="O124"/>
  <c r="O161" s="1"/>
  <c r="O128"/>
  <c r="O134"/>
  <c r="O137"/>
  <c r="O136"/>
  <c r="O173" s="1"/>
  <c r="O127"/>
  <c r="O125"/>
  <c r="O131"/>
  <c r="O168" s="1"/>
  <c r="X130"/>
  <c r="X167" s="1"/>
  <c r="X129"/>
  <c r="X99"/>
  <c r="X127"/>
  <c r="X128"/>
  <c r="X165" s="1"/>
  <c r="X132"/>
  <c r="X169" s="1"/>
  <c r="X131"/>
  <c r="X126"/>
  <c r="X124"/>
  <c r="X161" s="1"/>
  <c r="X137"/>
  <c r="X174" s="1"/>
  <c r="X135"/>
  <c r="X125"/>
  <c r="AD3" i="30"/>
  <c r="X133" i="6"/>
  <c r="X170" s="1"/>
  <c r="X134"/>
  <c r="X136"/>
  <c r="X173" s="1"/>
  <c r="J134"/>
  <c r="J171" s="1"/>
  <c r="J132"/>
  <c r="P3" i="30"/>
  <c r="J137" i="6"/>
  <c r="J127"/>
  <c r="J164" s="1"/>
  <c r="J131"/>
  <c r="J135"/>
  <c r="J133"/>
  <c r="J125"/>
  <c r="J162" s="1"/>
  <c r="J124"/>
  <c r="J161" s="1"/>
  <c r="J129"/>
  <c r="J126"/>
  <c r="J128"/>
  <c r="J165" s="1"/>
  <c r="J130"/>
  <c r="J167" s="1"/>
  <c r="J99"/>
  <c r="J136"/>
  <c r="J173" s="1"/>
  <c r="R3" i="30"/>
  <c r="L126" i="6"/>
  <c r="L163" s="1"/>
  <c r="L128"/>
  <c r="L131"/>
  <c r="L130"/>
  <c r="L167" s="1"/>
  <c r="L133"/>
  <c r="L124"/>
  <c r="L161" s="1"/>
  <c r="L99"/>
  <c r="L132"/>
  <c r="L169" s="1"/>
  <c r="L134"/>
  <c r="L171" s="1"/>
  <c r="L135"/>
  <c r="L125"/>
  <c r="L162" s="1"/>
  <c r="L137"/>
  <c r="L174" s="1"/>
  <c r="L136"/>
  <c r="L173" s="1"/>
  <c r="L129"/>
  <c r="L166" s="1"/>
  <c r="L127"/>
  <c r="I129"/>
  <c r="I166" s="1"/>
  <c r="I135"/>
  <c r="I172" s="1"/>
  <c r="I133"/>
  <c r="I134"/>
  <c r="I171" s="1"/>
  <c r="I124"/>
  <c r="I161" s="1"/>
  <c r="I99"/>
  <c r="I130"/>
  <c r="I126"/>
  <c r="I125"/>
  <c r="I162" s="1"/>
  <c r="I132"/>
  <c r="I127"/>
  <c r="O3" i="30"/>
  <c r="I137" i="6"/>
  <c r="I174" s="1"/>
  <c r="I131"/>
  <c r="I168" s="1"/>
  <c r="I136"/>
  <c r="I128"/>
  <c r="I165" s="1"/>
  <c r="E136"/>
  <c r="E129"/>
  <c r="E166" s="1"/>
  <c r="E128"/>
  <c r="E125"/>
  <c r="E124"/>
  <c r="E161" s="1"/>
  <c r="E137"/>
  <c r="E99"/>
  <c r="E127"/>
  <c r="E164" s="1"/>
  <c r="E130"/>
  <c r="E167" s="1"/>
  <c r="K3" i="30"/>
  <c r="E126" i="6"/>
  <c r="E133"/>
  <c r="E135"/>
  <c r="E100"/>
  <c r="AA78"/>
  <c r="B99" s="1"/>
  <c r="E132"/>
  <c r="E134"/>
  <c r="E171" s="1"/>
  <c r="E131"/>
  <c r="Y163"/>
  <c r="Y170"/>
  <c r="E172" l="1"/>
  <c r="E173"/>
  <c r="W172"/>
  <c r="F167"/>
  <c r="F168"/>
  <c r="F176" s="1"/>
  <c r="V166"/>
  <c r="Q170"/>
  <c r="K172"/>
  <c r="M171"/>
  <c r="AA99"/>
  <c r="C10"/>
  <c r="E168"/>
  <c r="E174"/>
  <c r="E176" s="1"/>
  <c r="E177" s="1"/>
  <c r="F177" s="1"/>
  <c r="G177" s="1"/>
  <c r="H177" s="1"/>
  <c r="I177" s="1"/>
  <c r="J177" s="1"/>
  <c r="K177" s="1"/>
  <c r="L177" s="1"/>
  <c r="I169"/>
  <c r="L170"/>
  <c r="J168"/>
  <c r="J169"/>
  <c r="J176" s="1"/>
  <c r="X166"/>
  <c r="O164"/>
  <c r="O165"/>
  <c r="O166"/>
  <c r="U162"/>
  <c r="U176" s="1"/>
  <c r="U172"/>
  <c r="H173"/>
  <c r="F100"/>
  <c r="G100" s="1"/>
  <c r="H100" s="1"/>
  <c r="I100" s="1"/>
  <c r="J100" s="1"/>
  <c r="K100" s="1"/>
  <c r="L100" s="1"/>
  <c r="M100" s="1"/>
  <c r="N100" s="1"/>
  <c r="O100" s="1"/>
  <c r="P100" s="1"/>
  <c r="Q100" s="1"/>
  <c r="R100" s="1"/>
  <c r="S100" s="1"/>
  <c r="T100" s="1"/>
  <c r="U100" s="1"/>
  <c r="V100" s="1"/>
  <c r="W100" s="1"/>
  <c r="X100" s="1"/>
  <c r="R162"/>
  <c r="K168"/>
  <c r="K169"/>
  <c r="M167"/>
  <c r="P174"/>
  <c r="P170"/>
  <c r="T173"/>
  <c r="E163"/>
  <c r="E165"/>
  <c r="I173"/>
  <c r="I176" s="1"/>
  <c r="I164"/>
  <c r="I167"/>
  <c r="I170"/>
  <c r="L172"/>
  <c r="L165"/>
  <c r="J166"/>
  <c r="J172"/>
  <c r="X171"/>
  <c r="X176" s="1"/>
  <c r="X172"/>
  <c r="X168"/>
  <c r="O162"/>
  <c r="O171"/>
  <c r="O167"/>
  <c r="U169"/>
  <c r="U163"/>
  <c r="H174"/>
  <c r="H176" s="1"/>
  <c r="H164"/>
  <c r="H171"/>
  <c r="W174"/>
  <c r="W176" s="1"/>
  <c r="W166"/>
  <c r="W167"/>
  <c r="W168"/>
  <c r="F163"/>
  <c r="F173"/>
  <c r="F170"/>
  <c r="G162"/>
  <c r="G170"/>
  <c r="G176" s="1"/>
  <c r="G164"/>
  <c r="G165"/>
  <c r="R163"/>
  <c r="R165"/>
  <c r="R176" s="1"/>
  <c r="R166"/>
  <c r="V167"/>
  <c r="V173"/>
  <c r="Q163"/>
  <c r="Q168"/>
  <c r="K164"/>
  <c r="K165"/>
  <c r="K174"/>
  <c r="K176" s="1"/>
  <c r="M173"/>
  <c r="M163"/>
  <c r="S164"/>
  <c r="S162"/>
  <c r="S169"/>
  <c r="S165"/>
  <c r="N167"/>
  <c r="N169"/>
  <c r="N176" s="1"/>
  <c r="P163"/>
  <c r="P168"/>
  <c r="T169"/>
  <c r="V170"/>
  <c r="V176" s="1"/>
  <c r="Q166"/>
  <c r="K163"/>
  <c r="M172"/>
  <c r="E169"/>
  <c r="E170"/>
  <c r="E162"/>
  <c r="I163"/>
  <c r="L164"/>
  <c r="L176" s="1"/>
  <c r="L168"/>
  <c r="J163"/>
  <c r="J170"/>
  <c r="J174"/>
  <c r="X162"/>
  <c r="X163"/>
  <c r="X164"/>
  <c r="O174"/>
  <c r="O176" s="1"/>
  <c r="O170"/>
  <c r="O172"/>
  <c r="U173"/>
  <c r="U167"/>
  <c r="U165"/>
  <c r="H170"/>
  <c r="H167"/>
  <c r="W164"/>
  <c r="W170"/>
  <c r="F169"/>
  <c r="F165"/>
  <c r="G167"/>
  <c r="R173"/>
  <c r="R174"/>
  <c r="R170"/>
  <c r="R171"/>
  <c r="V171"/>
  <c r="V163"/>
  <c r="Q173"/>
  <c r="Q176" s="1"/>
  <c r="Q171"/>
  <c r="K173"/>
  <c r="K170"/>
  <c r="M168"/>
  <c r="M176" s="1"/>
  <c r="M169"/>
  <c r="M162"/>
  <c r="S167"/>
  <c r="S168"/>
  <c r="S176" s="1"/>
  <c r="N162"/>
  <c r="N163"/>
  <c r="P166"/>
  <c r="P172"/>
  <c r="P176" s="1"/>
  <c r="T168"/>
  <c r="T174"/>
  <c r="T176" s="1"/>
  <c r="T162"/>
  <c r="T165"/>
  <c r="M177" l="1"/>
  <c r="N177" s="1"/>
  <c r="O177" s="1"/>
  <c r="P177" s="1"/>
  <c r="Q177" s="1"/>
  <c r="R177" s="1"/>
  <c r="S177" s="1"/>
  <c r="T177" s="1"/>
  <c r="U177" s="1"/>
  <c r="V177" s="1"/>
  <c r="W177" s="1"/>
  <c r="X177" s="1"/>
</calcChain>
</file>

<file path=xl/comments1.xml><?xml version="1.0" encoding="utf-8"?>
<comments xmlns="http://schemas.openxmlformats.org/spreadsheetml/2006/main">
  <authors>
    <author>Tina Jayaweera</author>
  </authors>
  <commentList>
    <comment ref="B22" authorId="0">
      <text>
        <r>
          <rPr>
            <b/>
            <sz val="9"/>
            <color indexed="81"/>
            <rFont val="Tahoma"/>
            <family val="2"/>
          </rPr>
          <t>Tina Jayaweera:</t>
        </r>
        <r>
          <rPr>
            <sz val="9"/>
            <color indexed="81"/>
            <rFont val="Tahoma"/>
            <family val="2"/>
          </rPr>
          <t xml:space="preserve">
Accounts for portion of region served by HVAC system type</t>
        </r>
      </text>
    </comment>
  </commentList>
</comments>
</file>

<file path=xl/comments2.xml><?xml version="1.0" encoding="utf-8"?>
<comments xmlns="http://schemas.openxmlformats.org/spreadsheetml/2006/main">
  <authors>
    <author xml:space="preserve"> </author>
    <author>Tina Jayaweera</author>
  </authors>
  <commentList>
    <comment ref="I6"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O6"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A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B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C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D7" authorId="0">
      <text>
        <r>
          <rPr>
            <b/>
            <sz val="8"/>
            <color indexed="81"/>
            <rFont val="Tahoma"/>
            <family val="2"/>
          </rPr>
          <t xml:space="preserve"> :ProCost</t>
        </r>
        <r>
          <rPr>
            <sz val="8"/>
            <color indexed="81"/>
            <rFont val="Tahoma"/>
            <family val="2"/>
          </rPr>
          <t xml:space="preserve">
Physical life of the measure in years.  Must be &gt;=1.</t>
        </r>
      </text>
    </comment>
    <comment ref="E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F7"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G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H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I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J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K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L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M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N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O7" authorId="0">
      <text>
        <r>
          <rPr>
            <b/>
            <sz val="8"/>
            <color indexed="81"/>
            <rFont val="Tahoma"/>
            <family val="2"/>
          </rPr>
          <t xml:space="preserve"> :</t>
        </r>
        <r>
          <rPr>
            <sz val="8"/>
            <color indexed="81"/>
            <rFont val="Tahoma"/>
            <family val="2"/>
          </rPr>
          <t xml:space="preserve">
Annual gas savings, or increases, in therms.</t>
        </r>
      </text>
    </comment>
    <comment ref="P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BH54"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54"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54"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54"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H79"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79"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79"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79"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List>
</comments>
</file>

<file path=xl/comments3.xml><?xml version="1.0" encoding="utf-8"?>
<comments xmlns="http://schemas.openxmlformats.org/spreadsheetml/2006/main">
  <authors>
    <author xml:space="preserve"> </author>
  </authors>
  <commentList>
    <comment ref="N4"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T4"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F5"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G5"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H5"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I5" authorId="0">
      <text>
        <r>
          <rPr>
            <b/>
            <sz val="8"/>
            <color indexed="81"/>
            <rFont val="Tahoma"/>
            <family val="2"/>
          </rPr>
          <t xml:space="preserve"> :ProCost</t>
        </r>
        <r>
          <rPr>
            <sz val="8"/>
            <color indexed="81"/>
            <rFont val="Tahoma"/>
            <family val="2"/>
          </rPr>
          <t xml:space="preserve">
Physical life of the measure in years.  Must be &gt;=1.</t>
        </r>
      </text>
    </comment>
    <comment ref="J5"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K5"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L5"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M5"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N5"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O5"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P5"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Q5"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R5"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S5"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T5" authorId="0">
      <text>
        <r>
          <rPr>
            <b/>
            <sz val="8"/>
            <color indexed="81"/>
            <rFont val="Tahoma"/>
            <family val="2"/>
          </rPr>
          <t xml:space="preserve"> :</t>
        </r>
        <r>
          <rPr>
            <sz val="8"/>
            <color indexed="81"/>
            <rFont val="Tahoma"/>
            <family val="2"/>
          </rPr>
          <t xml:space="preserve">
Annual gas savings, or increases, in therms.</t>
        </r>
      </text>
    </comment>
    <comment ref="U5"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N84"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T84"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F85"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G85"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H85"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I85" authorId="0">
      <text>
        <r>
          <rPr>
            <b/>
            <sz val="8"/>
            <color indexed="81"/>
            <rFont val="Tahoma"/>
            <family val="2"/>
          </rPr>
          <t xml:space="preserve"> :ProCost</t>
        </r>
        <r>
          <rPr>
            <sz val="8"/>
            <color indexed="81"/>
            <rFont val="Tahoma"/>
            <family val="2"/>
          </rPr>
          <t xml:space="preserve">
Physical life of the measure in years.  Must be &gt;=1.</t>
        </r>
      </text>
    </comment>
    <comment ref="J85"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K85"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L85"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M85"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N85"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O85"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P85"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Q85"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R85"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S85"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T85" authorId="0">
      <text>
        <r>
          <rPr>
            <b/>
            <sz val="8"/>
            <color indexed="81"/>
            <rFont val="Tahoma"/>
            <family val="2"/>
          </rPr>
          <t xml:space="preserve"> :</t>
        </r>
        <r>
          <rPr>
            <sz val="8"/>
            <color indexed="81"/>
            <rFont val="Tahoma"/>
            <family val="2"/>
          </rPr>
          <t xml:space="preserve">
Annual gas savings, or increases, in therms.</t>
        </r>
      </text>
    </comment>
    <comment ref="U85"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List>
</comments>
</file>

<file path=xl/comments4.xml><?xml version="1.0" encoding="utf-8"?>
<comments xmlns="http://schemas.openxmlformats.org/spreadsheetml/2006/main">
  <authors>
    <author xml:space="preserve"> </author>
  </authors>
  <commentList>
    <comment ref="J3"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P3"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B4"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C4"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D4"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E4" authorId="0">
      <text>
        <r>
          <rPr>
            <b/>
            <sz val="8"/>
            <color indexed="81"/>
            <rFont val="Tahoma"/>
            <family val="2"/>
          </rPr>
          <t xml:space="preserve"> :ProCost</t>
        </r>
        <r>
          <rPr>
            <sz val="8"/>
            <color indexed="81"/>
            <rFont val="Tahoma"/>
            <family val="2"/>
          </rPr>
          <t xml:space="preserve">
Physical life of the measure in years.  Must be &gt;=1.</t>
        </r>
      </text>
    </comment>
    <comment ref="F4"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G4"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H4"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I4"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J4"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K4"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L4"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M4"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N4"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O4"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P4" authorId="0">
      <text>
        <r>
          <rPr>
            <b/>
            <sz val="8"/>
            <color indexed="81"/>
            <rFont val="Tahoma"/>
            <family val="2"/>
          </rPr>
          <t xml:space="preserve"> :</t>
        </r>
        <r>
          <rPr>
            <sz val="8"/>
            <color indexed="81"/>
            <rFont val="Tahoma"/>
            <family val="2"/>
          </rPr>
          <t xml:space="preserve">
Annual gas savings, or increases, in therms.</t>
        </r>
      </text>
    </comment>
    <comment ref="Q4"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List>
</comments>
</file>

<file path=xl/comments5.xml><?xml version="1.0" encoding="utf-8"?>
<comments xmlns="http://schemas.openxmlformats.org/spreadsheetml/2006/main">
  <authors>
    <author xml:space="preserve"> </author>
  </authors>
  <commentList>
    <comment ref="J6"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P6"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B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C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D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E7" authorId="0">
      <text>
        <r>
          <rPr>
            <b/>
            <sz val="8"/>
            <color indexed="81"/>
            <rFont val="Tahoma"/>
            <family val="2"/>
          </rPr>
          <t xml:space="preserve"> :ProCost</t>
        </r>
        <r>
          <rPr>
            <sz val="8"/>
            <color indexed="81"/>
            <rFont val="Tahoma"/>
            <family val="2"/>
          </rPr>
          <t xml:space="preserve">
Physical life of the measure in years.  Must be &gt;=1.</t>
        </r>
      </text>
    </comment>
    <comment ref="F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G7"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H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I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J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K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L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M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N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O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P7" authorId="0">
      <text>
        <r>
          <rPr>
            <b/>
            <sz val="8"/>
            <color indexed="81"/>
            <rFont val="Tahoma"/>
            <family val="2"/>
          </rPr>
          <t xml:space="preserve"> :</t>
        </r>
        <r>
          <rPr>
            <sz val="8"/>
            <color indexed="81"/>
            <rFont val="Tahoma"/>
            <family val="2"/>
          </rPr>
          <t xml:space="preserve">
Annual gas savings, or increases, in therms.</t>
        </r>
      </text>
    </comment>
    <comment ref="Q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List>
</comments>
</file>

<file path=xl/comments6.xml><?xml version="1.0" encoding="utf-8"?>
<comments xmlns="http://schemas.openxmlformats.org/spreadsheetml/2006/main">
  <authors>
    <author>Adam Hadley</author>
  </authors>
  <commentList>
    <comment ref="C15" authorId="0">
      <text>
        <r>
          <rPr>
            <b/>
            <sz val="9"/>
            <color indexed="81"/>
            <rFont val="Tahoma"/>
            <family val="2"/>
          </rPr>
          <t>Adam Hadley:</t>
        </r>
        <r>
          <rPr>
            <sz val="9"/>
            <color indexed="81"/>
            <rFont val="Tahoma"/>
            <family val="2"/>
          </rPr>
          <t xml:space="preserve">
Class 30 to class 22 $1.36/sqft based on June 2009 RTF meeting.</t>
        </r>
      </text>
    </comment>
    <comment ref="C16" authorId="0">
      <text>
        <r>
          <rPr>
            <b/>
            <sz val="9"/>
            <color indexed="81"/>
            <rFont val="Tahoma"/>
            <family val="2"/>
          </rPr>
          <t>Adam Hadley:</t>
        </r>
        <r>
          <rPr>
            <sz val="9"/>
            <color indexed="81"/>
            <rFont val="Tahoma"/>
            <family val="2"/>
          </rPr>
          <t xml:space="preserve">
Class 30 to class 22 $1.36/sqft based on June 2009 RTF meeting.</t>
        </r>
      </text>
    </comment>
    <comment ref="C20" authorId="0">
      <text>
        <r>
          <rPr>
            <b/>
            <sz val="9"/>
            <color indexed="81"/>
            <rFont val="Tahoma"/>
            <family val="2"/>
          </rPr>
          <t>Adam Hadley:</t>
        </r>
        <r>
          <rPr>
            <sz val="9"/>
            <color indexed="81"/>
            <rFont val="Tahoma"/>
            <family val="2"/>
          </rPr>
          <t xml:space="preserve">
Class 30 to class 22 $1.36/sqft based on June 2009 RTF meeting.</t>
        </r>
      </text>
    </comment>
    <comment ref="C21" authorId="0">
      <text>
        <r>
          <rPr>
            <b/>
            <sz val="9"/>
            <color indexed="81"/>
            <rFont val="Tahoma"/>
            <family val="2"/>
          </rPr>
          <t>Adam Hadley:</t>
        </r>
        <r>
          <rPr>
            <sz val="9"/>
            <color indexed="81"/>
            <rFont val="Tahoma"/>
            <family val="2"/>
          </rPr>
          <t xml:space="preserve">
Assumes $250 (in 2000's) per house per 0.1 ACHn reduction, average house size is 1602 sqft.</t>
        </r>
      </text>
    </comment>
  </commentList>
</comments>
</file>

<file path=xl/sharedStrings.xml><?xml version="1.0" encoding="utf-8"?>
<sst xmlns="http://schemas.openxmlformats.org/spreadsheetml/2006/main" count="34831" uniqueCount="6505">
  <si>
    <t>Data Set Name</t>
  </si>
  <si>
    <t>Costs must be denominated in the same year as 'Input Cost Reference Year' =</t>
  </si>
  <si>
    <t>Input Data</t>
  </si>
  <si>
    <t>Periodic Replacement Costs and Savings and Replacement Period</t>
  </si>
  <si>
    <t>Gas Inputs</t>
  </si>
  <si>
    <t>Category Name</t>
  </si>
  <si>
    <t>Measure Name</t>
  </si>
  <si>
    <t>Savings (kwh/yr)</t>
  </si>
  <si>
    <t>Life (yrs)</t>
  </si>
  <si>
    <t>Capital Cost</t>
  </si>
  <si>
    <t>Annual O&amp;M</t>
  </si>
  <si>
    <t>Shape Pointer</t>
  </si>
  <si>
    <t>Non-E Val ($/yr)</t>
  </si>
  <si>
    <t>Cost 1 ($)</t>
  </si>
  <si>
    <t xml:space="preserve">Period 1 </t>
  </si>
  <si>
    <t>Cost 2 ($)</t>
  </si>
  <si>
    <t>Period 2</t>
  </si>
  <si>
    <t>Cost 3 ($)</t>
  </si>
  <si>
    <t>Period 3</t>
  </si>
  <si>
    <t>Savings (therms/yr)</t>
  </si>
  <si>
    <t>Measure  Index</t>
  </si>
  <si>
    <t>ResWX</t>
  </si>
  <si>
    <t>Segment</t>
  </si>
  <si>
    <t>Vintage</t>
  </si>
  <si>
    <t>Single Family</t>
  </si>
  <si>
    <t>FloorSqft</t>
  </si>
  <si>
    <t>WindowSqft</t>
  </si>
  <si>
    <t>AtticSqft</t>
  </si>
  <si>
    <t>Measure Index Name</t>
  </si>
  <si>
    <t>Shaped Savings Results; By Category and sorted by TRC BC ratio</t>
  </si>
  <si>
    <t>Category</t>
  </si>
  <si>
    <t>Measure</t>
  </si>
  <si>
    <t>Busbar Savings</t>
  </si>
  <si>
    <t>First Cost</t>
  </si>
  <si>
    <t>Admin Cost</t>
  </si>
  <si>
    <t>First Year Program Cost</t>
  </si>
  <si>
    <t>PV Cost</t>
  </si>
  <si>
    <t>PV Benefits</t>
  </si>
  <si>
    <t>Unit Program Cost: First Year Program Cost in $/average annual kW saved</t>
  </si>
  <si>
    <t>Utility System Net Levelized Cost (Net of T&amp;D Capacity Benefits, Act Credit &amp; Risk-Mitigation) in mills/kWh</t>
  </si>
  <si>
    <t>TRC Net Levelized Cost (Net of All Benefits) in mills/kWh</t>
  </si>
  <si>
    <t>TRC B/C Ratio</t>
  </si>
  <si>
    <t>Net Electric &amp; Gas System CO2 Avoided (Lifetime Tons)</t>
  </si>
  <si>
    <t>Jan</t>
  </si>
  <si>
    <t>Feb</t>
  </si>
  <si>
    <t>Mar</t>
  </si>
  <si>
    <t>Apr</t>
  </si>
  <si>
    <t>May</t>
  </si>
  <si>
    <t>Jun</t>
  </si>
  <si>
    <t>Jul</t>
  </si>
  <si>
    <t>Aug</t>
  </si>
  <si>
    <t>Sep</t>
  </si>
  <si>
    <t>Oct</t>
  </si>
  <si>
    <t>Nov</t>
  </si>
  <si>
    <t>Dec</t>
  </si>
  <si>
    <t>Infiltration</t>
  </si>
  <si>
    <t>HZ1</t>
  </si>
  <si>
    <t>HZ2</t>
  </si>
  <si>
    <t>HZ3</t>
  </si>
  <si>
    <t/>
  </si>
  <si>
    <t>WINDOW CL30 Prime Window Replacement of Single Pane Base</t>
  </si>
  <si>
    <t>WINDOW CL30 Prime Window Replacement of Double Pane Base</t>
  </si>
  <si>
    <t>WINDOW CL22 Prime Window Replacement of Single Pane Base</t>
  </si>
  <si>
    <t>WINDOW CL22 Prime Window Replacement of Double Pane Base</t>
  </si>
  <si>
    <t>Electric FAF</t>
  </si>
  <si>
    <t>Electric Zonal</t>
  </si>
  <si>
    <t>Heat Pump</t>
  </si>
  <si>
    <t>Apply per Home saturations to adjust savings &amp; cost</t>
  </si>
  <si>
    <t>Methodology</t>
  </si>
  <si>
    <t>Retrofit</t>
  </si>
  <si>
    <t>Retro</t>
  </si>
  <si>
    <t>Measure Bundle</t>
  </si>
  <si>
    <t>Report Year</t>
  </si>
  <si>
    <t>Multifamily - Low Rise</t>
  </si>
  <si>
    <t>Multifamily - High Rise</t>
  </si>
  <si>
    <t>Manufactured</t>
  </si>
  <si>
    <t>REG_TOTAL_STOCK_# HOMES</t>
  </si>
  <si>
    <t>Total Regional Stock</t>
  </si>
  <si>
    <t>Applicability</t>
  </si>
  <si>
    <t>Achievability =&gt;</t>
  </si>
  <si>
    <t>Homes Treated Max</t>
  </si>
  <si>
    <t>SUPPLY CURVE SAVINGS BY BUNDLE</t>
  </si>
  <si>
    <t>kWh per home</t>
  </si>
  <si>
    <t>lvlcost</t>
  </si>
  <si>
    <t>segment</t>
  </si>
  <si>
    <t>measure</t>
  </si>
  <si>
    <t>RECOMBINE MEASURE BUNDLES INTO SUPPLY CURVE CUMULATIVE</t>
  </si>
  <si>
    <t>Block 1: &lt;= 0 mills/kWh</t>
  </si>
  <si>
    <t>&gt;=-9999</t>
  </si>
  <si>
    <t>&lt;=0</t>
  </si>
  <si>
    <t>&gt;0</t>
  </si>
  <si>
    <t>&lt;=10</t>
  </si>
  <si>
    <t>Block 3: 10-20 mills/kWh</t>
  </si>
  <si>
    <t>&gt;10</t>
  </si>
  <si>
    <t>&lt;=20</t>
  </si>
  <si>
    <t>Block 4: 20-30 mills/kWh</t>
  </si>
  <si>
    <t>&gt;20</t>
  </si>
  <si>
    <t>&lt;=30</t>
  </si>
  <si>
    <t>Block 5: 30-40 mills/kWh</t>
  </si>
  <si>
    <t>&gt;30</t>
  </si>
  <si>
    <t>&lt;=40</t>
  </si>
  <si>
    <t>Block 6: 40-50 mills/kWh</t>
  </si>
  <si>
    <t>&gt;40</t>
  </si>
  <si>
    <t>&lt;=50</t>
  </si>
  <si>
    <t>Block 7: 50-60 mills/kWh</t>
  </si>
  <si>
    <t>&gt;50</t>
  </si>
  <si>
    <t>&lt;=60</t>
  </si>
  <si>
    <t>Block 8: 60-70 mills/kWh</t>
  </si>
  <si>
    <t>&gt;60</t>
  </si>
  <si>
    <t>&lt;=70</t>
  </si>
  <si>
    <t>Block 9: 70-80 mills/kWh</t>
  </si>
  <si>
    <t>&gt;70</t>
  </si>
  <si>
    <t>&lt;=80</t>
  </si>
  <si>
    <t>Block 10: 80-90 mills/kWh</t>
  </si>
  <si>
    <t>&gt;80</t>
  </si>
  <si>
    <t>&lt;=90</t>
  </si>
  <si>
    <t>Block 11: 90-100 mills/kWh</t>
  </si>
  <si>
    <t>&gt;90</t>
  </si>
  <si>
    <t>&lt;=100</t>
  </si>
  <si>
    <t>Block 12: 100-110 mills/kWh</t>
  </si>
  <si>
    <t>&gt;100</t>
  </si>
  <si>
    <t>&lt;=110</t>
  </si>
  <si>
    <t>Block 13: 110-120 mills/kWh</t>
  </si>
  <si>
    <t>&gt;110</t>
  </si>
  <si>
    <t>&lt;=120</t>
  </si>
  <si>
    <t>Block 14: 120-130 mills/kWh</t>
  </si>
  <si>
    <t>&gt;120</t>
  </si>
  <si>
    <t>&lt;=130</t>
  </si>
  <si>
    <t>Block 15: 130-140 mills/kWh</t>
  </si>
  <si>
    <t>&gt;130</t>
  </si>
  <si>
    <t>&lt;=140</t>
  </si>
  <si>
    <t>Block 16: 140-150 mills/kWh</t>
  </si>
  <si>
    <t>&gt;140</t>
  </si>
  <si>
    <t>&lt;=150</t>
  </si>
  <si>
    <t>Block 17: 150-160 mills/kWh</t>
  </si>
  <si>
    <t>&gt;150</t>
  </si>
  <si>
    <t>&lt;=160</t>
  </si>
  <si>
    <t>Block 18: 160-170 mills/kWh</t>
  </si>
  <si>
    <t>&gt;160</t>
  </si>
  <si>
    <t>&lt;=170</t>
  </si>
  <si>
    <t>Block 19: 170-180 mills/kWh</t>
  </si>
  <si>
    <t>&gt;170</t>
  </si>
  <si>
    <t>&lt;=180</t>
  </si>
  <si>
    <t>Block 20: 180-190 mills/kWh</t>
  </si>
  <si>
    <t>&gt;180</t>
  </si>
  <si>
    <t>&lt;=190</t>
  </si>
  <si>
    <t>Block 21: 190-200 mills/kWh</t>
  </si>
  <si>
    <t>&gt;190</t>
  </si>
  <si>
    <t>&lt;=200</t>
  </si>
  <si>
    <t>&gt;200</t>
  </si>
  <si>
    <t>&lt;=9999</t>
  </si>
  <si>
    <t>RECOMBINE MEASURE BUNDLES INTO SUPPLY CURVE INCREMENTAL</t>
  </si>
  <si>
    <t>siteid</t>
  </si>
  <si>
    <t>svy_wt</t>
  </si>
  <si>
    <t>ID</t>
  </si>
  <si>
    <t>MT</t>
  </si>
  <si>
    <t>R11</t>
  </si>
  <si>
    <t>R19</t>
  </si>
  <si>
    <t>R30</t>
  </si>
  <si>
    <t>DHP</t>
  </si>
  <si>
    <t>GeneralNotes</t>
  </si>
  <si>
    <t>Other</t>
  </si>
  <si>
    <t>R31-R40</t>
  </si>
  <si>
    <t>476</t>
  </si>
  <si>
    <t>u_window</t>
  </si>
  <si>
    <t>HVAC</t>
  </si>
  <si>
    <t>Region</t>
  </si>
  <si>
    <t>WINDOW CL30 Prime Window Replacement of Single Pane Base_Electric FAF</t>
  </si>
  <si>
    <t>WINDOW CL30 Prime Window Replacement of Double Pane Base_Electric FAF</t>
  </si>
  <si>
    <t>WINDOW CL22 Prime Window Replacement of Single Pane Base_Electric FAF</t>
  </si>
  <si>
    <t>WINDOW CL22 Prime Window Replacement of Double Pane Base_Electric FAF</t>
  </si>
  <si>
    <t>WINDOW CL30 Prime Window Replacement of Single Pane Base_Heat Pump</t>
  </si>
  <si>
    <t>WINDOW CL30 Prime Window Replacement of Double Pane Base_Heat Pump</t>
  </si>
  <si>
    <t>WINDOW CL22 Prime Window Replacement of Single Pane Base_Heat Pump</t>
  </si>
  <si>
    <t>WINDOW CL22 Prime Window Replacement of Double Pane Base_Heat Pump</t>
  </si>
  <si>
    <t>None</t>
  </si>
  <si>
    <t>='[7P Forecasts D1.xlsx]Res Forecast (Base Case)'!$D$5</t>
  </si>
  <si>
    <t># HOMES</t>
  </si>
  <si>
    <t>Portion of region</t>
  </si>
  <si>
    <t>Space</t>
  </si>
  <si>
    <t>HZ</t>
  </si>
  <si>
    <t>CONCATENATE</t>
  </si>
  <si>
    <t>Item</t>
  </si>
  <si>
    <t>Methods &amp; Sources</t>
  </si>
  <si>
    <t>Note</t>
  </si>
  <si>
    <t>Measures Described</t>
  </si>
  <si>
    <t>Energy Savings Calculation Basis</t>
  </si>
  <si>
    <t>Applicable Stock</t>
  </si>
  <si>
    <t>Baseline Saturation</t>
  </si>
  <si>
    <t>Permutations</t>
  </si>
  <si>
    <t>Costs</t>
  </si>
  <si>
    <t>Measure Life</t>
  </si>
  <si>
    <t>Savings Shape</t>
  </si>
  <si>
    <t>Single Family Weatherization</t>
  </si>
  <si>
    <t>Measure:</t>
  </si>
  <si>
    <t>7P Updates</t>
  </si>
  <si>
    <t>Baseline HVAC Loads</t>
  </si>
  <si>
    <t>Achievability Ramp Rate</t>
  </si>
  <si>
    <t>Attic, floor, wall Insulation, window, and infiltration improvements</t>
  </si>
  <si>
    <t>SEEM models</t>
  </si>
  <si>
    <t>RBSA based on existing levels of insulation (grouped)</t>
  </si>
  <si>
    <t>ETO database</t>
  </si>
  <si>
    <t>RTF assumptions</t>
  </si>
  <si>
    <t>Retro in 10</t>
  </si>
  <si>
    <t>Wx programs have had long duration</t>
  </si>
  <si>
    <t>6P used 15yr retro</t>
  </si>
  <si>
    <t>Somewhat new increments based on RTF work</t>
  </si>
  <si>
    <t>SEEM models, RTF</t>
  </si>
  <si>
    <t>Retro or LO</t>
  </si>
  <si>
    <t>Early Retrofit Parameters</t>
  </si>
  <si>
    <t>R or L</t>
  </si>
  <si>
    <t>Savings 2
(kWh)</t>
  </si>
  <si>
    <t>Remaining
Life (yrs)</t>
  </si>
  <si>
    <t>Salvage Value ($)</t>
  </si>
  <si>
    <t>R</t>
  </si>
  <si>
    <t>PROGRAMCODE</t>
  </si>
  <si>
    <t>MEASURECODE</t>
  </si>
  <si>
    <t>MEASUREDESC</t>
  </si>
  <si>
    <t>MEASUREID</t>
  </si>
  <si>
    <t>RECOGNIZEDT</t>
  </si>
  <si>
    <t>KWHANNUAL</t>
  </si>
  <si>
    <t>THERMANNUAL</t>
  </si>
  <si>
    <t>ETOINCENTIVE</t>
  </si>
  <si>
    <t>COSTINSTALL</t>
  </si>
  <si>
    <t>Cost/Sq Ft</t>
  </si>
  <si>
    <t>MHS</t>
  </si>
  <si>
    <t>Cost/SF</t>
  </si>
  <si>
    <t>Median</t>
  </si>
  <si>
    <t>GDP Deflator</t>
  </si>
  <si>
    <t>Incremental R</t>
  </si>
  <si>
    <t>Windows - Single Pane to Class 22</t>
  </si>
  <si>
    <t>Windows - Double Pane to Class 22</t>
  </si>
  <si>
    <t>Windows - Single Pane to Class 30</t>
  </si>
  <si>
    <t>Windows - Double Pane to Class 30</t>
  </si>
  <si>
    <t>Windows - Class 35 to Class 30</t>
  </si>
  <si>
    <t>Windows - Class 35 to Class 22</t>
  </si>
  <si>
    <t>Average</t>
  </si>
  <si>
    <t>Changed to 2012$</t>
  </si>
  <si>
    <t>ResSHWX</t>
  </si>
  <si>
    <t>ResMFWx_v2.2</t>
  </si>
  <si>
    <t>Residential Weatherization - Multi Family</t>
  </si>
  <si>
    <t>SQ_Ft</t>
  </si>
  <si>
    <t>EXT_Pane</t>
  </si>
  <si>
    <t>Existing_U</t>
  </si>
  <si>
    <t>New_U</t>
  </si>
  <si>
    <t>QTY</t>
  </si>
  <si>
    <t>U-factor</t>
  </si>
  <si>
    <t>MFWINDOWE32S</t>
  </si>
  <si>
    <t>MF Windows U-value - .32 to .30, single glazing, electric</t>
  </si>
  <si>
    <t>M00000282971</t>
  </si>
  <si>
    <t>2916</t>
  </si>
  <si>
    <t>1</t>
  </si>
  <si>
    <t>1.17</t>
  </si>
  <si>
    <t>.35</t>
  </si>
  <si>
    <t>167</t>
  </si>
  <si>
    <t>M00000307672</t>
  </si>
  <si>
    <t>620</t>
  </si>
  <si>
    <t>30</t>
  </si>
  <si>
    <t>M00000350115</t>
  </si>
  <si>
    <t>2106</t>
  </si>
  <si>
    <t>MFWINDOWG32</t>
  </si>
  <si>
    <t>MF Windows U-value - .32 to .30, gas</t>
  </si>
  <si>
    <t>M00000280047</t>
  </si>
  <si>
    <t>20944</t>
  </si>
  <si>
    <t>1039</t>
  </si>
  <si>
    <t>MFWINDOWE32D</t>
  </si>
  <si>
    <t>MF Windows U-value - .32 to .30, double glazing, electric</t>
  </si>
  <si>
    <t>M00000303828</t>
  </si>
  <si>
    <t>2415</t>
  </si>
  <si>
    <t>.34</t>
  </si>
  <si>
    <t>76</t>
  </si>
  <si>
    <t>M00000303834</t>
  </si>
  <si>
    <t>1816</t>
  </si>
  <si>
    <t>115</t>
  </si>
  <si>
    <t>M00000299125</t>
  </si>
  <si>
    <t>2005</t>
  </si>
  <si>
    <t>113</t>
  </si>
  <si>
    <t>M00000300600</t>
  </si>
  <si>
    <t>2549</t>
  </si>
  <si>
    <t>119</t>
  </si>
  <si>
    <t>M00000314664</t>
  </si>
  <si>
    <t>536</t>
  </si>
  <si>
    <t>37</t>
  </si>
  <si>
    <t>M00000284447</t>
  </si>
  <si>
    <t>332</t>
  </si>
  <si>
    <t>20</t>
  </si>
  <si>
    <t>M00000309419</t>
  </si>
  <si>
    <t>2726</t>
  </si>
  <si>
    <t>.33</t>
  </si>
  <si>
    <t>111</t>
  </si>
  <si>
    <t>M00000314626</t>
  </si>
  <si>
    <t>1714</t>
  </si>
  <si>
    <t>.32</t>
  </si>
  <si>
    <t>65</t>
  </si>
  <si>
    <t>M00000272353</t>
  </si>
  <si>
    <t>1593</t>
  </si>
  <si>
    <t>71</t>
  </si>
  <si>
    <t>M00000300612</t>
  </si>
  <si>
    <t>1030</t>
  </si>
  <si>
    <t>50</t>
  </si>
  <si>
    <t>M00000300624</t>
  </si>
  <si>
    <t>3978</t>
  </si>
  <si>
    <t>180</t>
  </si>
  <si>
    <t>M00000301610</t>
  </si>
  <si>
    <t>1646</t>
  </si>
  <si>
    <t>70</t>
  </si>
  <si>
    <t>M00000305141</t>
  </si>
  <si>
    <t>3686</t>
  </si>
  <si>
    <t>172</t>
  </si>
  <si>
    <t>M00000309426</t>
  </si>
  <si>
    <t>2416</t>
  </si>
  <si>
    <t>75</t>
  </si>
  <si>
    <t>M00000321918</t>
  </si>
  <si>
    <t>720</t>
  </si>
  <si>
    <t>M00000328147</t>
  </si>
  <si>
    <t>1106</t>
  </si>
  <si>
    <t>58</t>
  </si>
  <si>
    <t>M00000331433</t>
  </si>
  <si>
    <t>1263</t>
  </si>
  <si>
    <t>213</t>
  </si>
  <si>
    <t>M00000331549</t>
  </si>
  <si>
    <t>1665</t>
  </si>
  <si>
    <t>77</t>
  </si>
  <si>
    <t>M00000350020</t>
  </si>
  <si>
    <t>4708</t>
  </si>
  <si>
    <t>M00000366012</t>
  </si>
  <si>
    <t>699</t>
  </si>
  <si>
    <t>40</t>
  </si>
  <si>
    <t>M00000315429</t>
  </si>
  <si>
    <t>337</t>
  </si>
  <si>
    <t>31</t>
  </si>
  <si>
    <t>M00000363791</t>
  </si>
  <si>
    <t>492</t>
  </si>
  <si>
    <t>39</t>
  </si>
  <si>
    <t>M00000356134</t>
  </si>
  <si>
    <t>790</t>
  </si>
  <si>
    <t>.78</t>
  </si>
  <si>
    <t>.31</t>
  </si>
  <si>
    <t>38</t>
  </si>
  <si>
    <t>M00000282962</t>
  </si>
  <si>
    <t>2376</t>
  </si>
  <si>
    <t>199</t>
  </si>
  <si>
    <t>M00000323709</t>
  </si>
  <si>
    <t>411</t>
  </si>
  <si>
    <t>22</t>
  </si>
  <si>
    <t>M00000326011</t>
  </si>
  <si>
    <t>1162</t>
  </si>
  <si>
    <t>51</t>
  </si>
  <si>
    <t>M00000327667</t>
  </si>
  <si>
    <t>4128</t>
  </si>
  <si>
    <t>102</t>
  </si>
  <si>
    <t>M00000327812</t>
  </si>
  <si>
    <t>210</t>
  </si>
  <si>
    <t>6</t>
  </si>
  <si>
    <t>M00000328764</t>
  </si>
  <si>
    <t>648</t>
  </si>
  <si>
    <t>24</t>
  </si>
  <si>
    <t>M00000339151</t>
  </si>
  <si>
    <t>0.31</t>
  </si>
  <si>
    <t>M00000346444</t>
  </si>
  <si>
    <t>144</t>
  </si>
  <si>
    <t>12</t>
  </si>
  <si>
    <t>M00000350399</t>
  </si>
  <si>
    <t>1823</t>
  </si>
  <si>
    <t>M00000354897</t>
  </si>
  <si>
    <t>972</t>
  </si>
  <si>
    <t>47</t>
  </si>
  <si>
    <t>M00000361531</t>
  </si>
  <si>
    <t>1334</t>
  </si>
  <si>
    <t>72</t>
  </si>
  <si>
    <t>M00000276323</t>
  </si>
  <si>
    <t>6396</t>
  </si>
  <si>
    <t>271</t>
  </si>
  <si>
    <t>M00000326512</t>
  </si>
  <si>
    <t>547</t>
  </si>
  <si>
    <t>27</t>
  </si>
  <si>
    <t>MFWINDOWE30D</t>
  </si>
  <si>
    <t>MF Windows U-value - .30 and lower, double glazing, electric</t>
  </si>
  <si>
    <t>M00000301997</t>
  </si>
  <si>
    <t>3842</t>
  </si>
  <si>
    <t>.30</t>
  </si>
  <si>
    <t>159</t>
  </si>
  <si>
    <t>M00000303824</t>
  </si>
  <si>
    <t>1282</t>
  </si>
  <si>
    <t>57</t>
  </si>
  <si>
    <t>M00000315711</t>
  </si>
  <si>
    <t>3354</t>
  </si>
  <si>
    <t>2</t>
  </si>
  <si>
    <t>164</t>
  </si>
  <si>
    <t>M00000321154</t>
  </si>
  <si>
    <t>14661</t>
  </si>
  <si>
    <t>796</t>
  </si>
  <si>
    <t>M00000327752</t>
  </si>
  <si>
    <t>1578</t>
  </si>
  <si>
    <t>M00000328142</t>
  </si>
  <si>
    <t>7073</t>
  </si>
  <si>
    <t>278</t>
  </si>
  <si>
    <t>MFWINDOWE30S</t>
  </si>
  <si>
    <t>MF Windows U-value - .30 and lower, single glazing, electric</t>
  </si>
  <si>
    <t>M00000268010</t>
  </si>
  <si>
    <t>4144</t>
  </si>
  <si>
    <t>158</t>
  </si>
  <si>
    <t>M00000276114</t>
  </si>
  <si>
    <t>2184</t>
  </si>
  <si>
    <t>82</t>
  </si>
  <si>
    <t>M00000293756</t>
  </si>
  <si>
    <t>1788</t>
  </si>
  <si>
    <t>114</t>
  </si>
  <si>
    <t>M00000305686</t>
  </si>
  <si>
    <t>1173</t>
  </si>
  <si>
    <t>53</t>
  </si>
  <si>
    <t>M00000307660</t>
  </si>
  <si>
    <t>605</t>
  </si>
  <si>
    <t>M00000309508</t>
  </si>
  <si>
    <t>2140</t>
  </si>
  <si>
    <t>60</t>
  </si>
  <si>
    <t>M00000310228</t>
  </si>
  <si>
    <t>1528</t>
  </si>
  <si>
    <t>68</t>
  </si>
  <si>
    <t>M00000313119</t>
  </si>
  <si>
    <t>1178</t>
  </si>
  <si>
    <t>46</t>
  </si>
  <si>
    <t>M00000314636</t>
  </si>
  <si>
    <t>1229</t>
  </si>
  <si>
    <t>62</t>
  </si>
  <si>
    <t>M00000314815</t>
  </si>
  <si>
    <t>472</t>
  </si>
  <si>
    <t>25</t>
  </si>
  <si>
    <t>M00000321032</t>
  </si>
  <si>
    <t>2472</t>
  </si>
  <si>
    <t>116</t>
  </si>
  <si>
    <t>M00000321086</t>
  </si>
  <si>
    <t>7344</t>
  </si>
  <si>
    <t>256</t>
  </si>
  <si>
    <t>M00000321867</t>
  </si>
  <si>
    <t>705</t>
  </si>
  <si>
    <t>M00000323122</t>
  </si>
  <si>
    <t>M00000324242</t>
  </si>
  <si>
    <t>919</t>
  </si>
  <si>
    <t>45</t>
  </si>
  <si>
    <t>M00000326024</t>
  </si>
  <si>
    <t>556</t>
  </si>
  <si>
    <t>48</t>
  </si>
  <si>
    <t>M00000327666</t>
  </si>
  <si>
    <t>10582</t>
  </si>
  <si>
    <t>363</t>
  </si>
  <si>
    <t>M00000327742</t>
  </si>
  <si>
    <t>1180</t>
  </si>
  <si>
    <t>54</t>
  </si>
  <si>
    <t>M00000327811</t>
  </si>
  <si>
    <t>1017</t>
  </si>
  <si>
    <t>63</t>
  </si>
  <si>
    <t>M00000327860</t>
  </si>
  <si>
    <t>3276</t>
  </si>
  <si>
    <t>123</t>
  </si>
  <si>
    <t>M00000327867</t>
  </si>
  <si>
    <t>1439</t>
  </si>
  <si>
    <t>87</t>
  </si>
  <si>
    <t>M00000328110</t>
  </si>
  <si>
    <t>1824</t>
  </si>
  <si>
    <t>148</t>
  </si>
  <si>
    <t>M00000328116</t>
  </si>
  <si>
    <t>1710</t>
  </si>
  <si>
    <t>228</t>
  </si>
  <si>
    <t>M00000328120</t>
  </si>
  <si>
    <t>2052</t>
  </si>
  <si>
    <t>456</t>
  </si>
  <si>
    <t>M00000328124</t>
  </si>
  <si>
    <t>M00000328128</t>
  </si>
  <si>
    <t>M00000328132</t>
  </si>
  <si>
    <t>1938</t>
  </si>
  <si>
    <t>M00000328136</t>
  </si>
  <si>
    <t>3078</t>
  </si>
  <si>
    <t>798</t>
  </si>
  <si>
    <t>M00000328137</t>
  </si>
  <si>
    <t>1230</t>
  </si>
  <si>
    <t>64</t>
  </si>
  <si>
    <t>M00000328141</t>
  </si>
  <si>
    <t>819</t>
  </si>
  <si>
    <t>M00000328145</t>
  </si>
  <si>
    <t>3480</t>
  </si>
  <si>
    <t>178</t>
  </si>
  <si>
    <t>M00000331477</t>
  </si>
  <si>
    <t>3380</t>
  </si>
  <si>
    <t>154</t>
  </si>
  <si>
    <t>M00000331576</t>
  </si>
  <si>
    <t>531</t>
  </si>
  <si>
    <t>52</t>
  </si>
  <si>
    <t>M00000332557</t>
  </si>
  <si>
    <t>1093</t>
  </si>
  <si>
    <t>M00000333355</t>
  </si>
  <si>
    <t>3734</t>
  </si>
  <si>
    <t>170</t>
  </si>
  <si>
    <t>M00000350404</t>
  </si>
  <si>
    <t>2160</t>
  </si>
  <si>
    <t>142</t>
  </si>
  <si>
    <t>M00000356047</t>
  </si>
  <si>
    <t>7146</t>
  </si>
  <si>
    <t>218</t>
  </si>
  <si>
    <t>M00000356077</t>
  </si>
  <si>
    <t>444</t>
  </si>
  <si>
    <t>M00000358075</t>
  </si>
  <si>
    <t>335</t>
  </si>
  <si>
    <t>7</t>
  </si>
  <si>
    <t>M00000364231</t>
  </si>
  <si>
    <t>543</t>
  </si>
  <si>
    <t>M00000313164</t>
  </si>
  <si>
    <t>1024</t>
  </si>
  <si>
    <t>32</t>
  </si>
  <si>
    <t>M00000318596</t>
  </si>
  <si>
    <t>MFWINDOWG30</t>
  </si>
  <si>
    <t>MF Windows U-value - .30 and lower, gas</t>
  </si>
  <si>
    <t>M00000307680</t>
  </si>
  <si>
    <t>436</t>
  </si>
  <si>
    <t>M00000308244</t>
  </si>
  <si>
    <t>406</t>
  </si>
  <si>
    <t>M00000308316</t>
  </si>
  <si>
    <t>580</t>
  </si>
  <si>
    <t>M00000313122</t>
  </si>
  <si>
    <t>1190</t>
  </si>
  <si>
    <t>M00000313153</t>
  </si>
  <si>
    <t>446</t>
  </si>
  <si>
    <t>23</t>
  </si>
  <si>
    <t>M00000315466</t>
  </si>
  <si>
    <t>668</t>
  </si>
  <si>
    <t>66</t>
  </si>
  <si>
    <t>M00000315817</t>
  </si>
  <si>
    <t>944</t>
  </si>
  <si>
    <t>80</t>
  </si>
  <si>
    <t>M00000321685</t>
  </si>
  <si>
    <t>2123</t>
  </si>
  <si>
    <t>97</t>
  </si>
  <si>
    <t>M00000324306</t>
  </si>
  <si>
    <t>2413</t>
  </si>
  <si>
    <t>.96</t>
  </si>
  <si>
    <t>M00000324953</t>
  </si>
  <si>
    <t>M00000327732</t>
  </si>
  <si>
    <t>523</t>
  </si>
  <si>
    <t>M00000328086</t>
  </si>
  <si>
    <t>2400</t>
  </si>
  <si>
    <t>153</t>
  </si>
  <si>
    <t>M00000356025</t>
  </si>
  <si>
    <t>13368</t>
  </si>
  <si>
    <t>408</t>
  </si>
  <si>
    <t>M00000356037</t>
  </si>
  <si>
    <t>3256</t>
  </si>
  <si>
    <t>M00000330356</t>
  </si>
  <si>
    <t>894</t>
  </si>
  <si>
    <t>.29</t>
  </si>
  <si>
    <t>43</t>
  </si>
  <si>
    <t>M00000291045</t>
  </si>
  <si>
    <t>2662</t>
  </si>
  <si>
    <t>112</t>
  </si>
  <si>
    <t>M00000310231</t>
  </si>
  <si>
    <t>5505</t>
  </si>
  <si>
    <t>293</t>
  </si>
  <si>
    <t>M00000315440</t>
  </si>
  <si>
    <t>1100</t>
  </si>
  <si>
    <t>M00000321916</t>
  </si>
  <si>
    <t>1522</t>
  </si>
  <si>
    <t>18</t>
  </si>
  <si>
    <t>M00000330690</t>
  </si>
  <si>
    <t>3090</t>
  </si>
  <si>
    <t>140</t>
  </si>
  <si>
    <t>M00000331713</t>
  </si>
  <si>
    <t>M00000347886</t>
  </si>
  <si>
    <t>M00000371575</t>
  </si>
  <si>
    <t>3907</t>
  </si>
  <si>
    <t>185</t>
  </si>
  <si>
    <t>M00000271757</t>
  </si>
  <si>
    <t>274</t>
  </si>
  <si>
    <t>15</t>
  </si>
  <si>
    <t>M00000274212</t>
  </si>
  <si>
    <t>1109</t>
  </si>
  <si>
    <t>M00000358012</t>
  </si>
  <si>
    <t>1082</t>
  </si>
  <si>
    <t>M00000308375</t>
  </si>
  <si>
    <t>1436</t>
  </si>
  <si>
    <t>.25</t>
  </si>
  <si>
    <t>M00000315771</t>
  </si>
  <si>
    <t>U</t>
  </si>
  <si>
    <t>Average Cost/SF</t>
  </si>
  <si>
    <t>Median cost/SF</t>
  </si>
  <si>
    <t>25th Percentile</t>
  </si>
  <si>
    <t>N</t>
  </si>
  <si>
    <t>U-0.35 to U-0.30</t>
  </si>
  <si>
    <t>U-0.30 to U-0.25</t>
  </si>
  <si>
    <t>Various pre/post R;U values</t>
  </si>
  <si>
    <t>Existing low-rise multifamily homes</t>
  </si>
  <si>
    <t>Manufactured Home Weatherization - Insulate Walls - R-0 to R-11</t>
  </si>
  <si>
    <t>Manufactured Home Weatherization - Insulate Floors - R-0 to R-11</t>
  </si>
  <si>
    <t>Manufactured Home Weatherization - Insulate Floors - R-0 to R-22</t>
  </si>
  <si>
    <t>Manufactured Home Weatherization - Insulate Floors - R-11 to R-22</t>
  </si>
  <si>
    <t>Manufactured Home Weatherization - Insulate Attic - R-0 to R-19</t>
  </si>
  <si>
    <t>Manufactured Home Weatherization - Insulate Attic - R-0 to R-30</t>
  </si>
  <si>
    <t>Manufactured Home Weatherization - Insulate Attic - R-19 to R-30</t>
  </si>
  <si>
    <t>Manufactured Home Weatherization - Insulate Attic - R-30 to R-38</t>
  </si>
  <si>
    <t>Manufactured Home Weatherization - Insulate Attic - R-30 to R-49</t>
  </si>
  <si>
    <t>Manufactured Home Weatherization - Insulate Attic - R-38 to R-49</t>
  </si>
  <si>
    <t>Manufactured Home Weatherization - Insulate Attic - R-19 to R-38</t>
  </si>
  <si>
    <t>Manufactured Home Weatherization - Insulate Attic - R-19 to R-49</t>
  </si>
  <si>
    <t>Infiltration Reduction - per CFM50 reduction</t>
  </si>
  <si>
    <t>ACHn reduction</t>
  </si>
  <si>
    <t>avg house size (sq.ft)</t>
  </si>
  <si>
    <t>CFM50 per 0.1 ACHn reduction</t>
  </si>
  <si>
    <t>PROGRAM CODE</t>
  </si>
  <si>
    <t>MEASURE CODE</t>
  </si>
  <si>
    <t>MEASURE DESC</t>
  </si>
  <si>
    <t>Reportable_KWHANNUAL</t>
  </si>
  <si>
    <t>Reportable_THERMANNUAL</t>
  </si>
  <si>
    <t>COST INSTALL</t>
  </si>
  <si>
    <t>ETO INCENTIVE</t>
  </si>
  <si>
    <t>BEGINR</t>
  </si>
  <si>
    <t>ENDR</t>
  </si>
  <si>
    <t>SQFT</t>
  </si>
  <si>
    <t>Delta R</t>
  </si>
  <si>
    <t>Delta $/SF</t>
  </si>
  <si>
    <t>Delta $/SF/R</t>
  </si>
  <si>
    <t>Data</t>
  </si>
  <si>
    <t>Total</t>
  </si>
  <si>
    <t>HES</t>
  </si>
  <si>
    <t>SFINSCEILE</t>
  </si>
  <si>
    <t>SF Ceiling/Attic Insulation/SQFT, Ele Heat</t>
  </si>
  <si>
    <t>M00000351706</t>
  </si>
  <si>
    <t>0</t>
  </si>
  <si>
    <t>1600</t>
  </si>
  <si>
    <t>Count of Delta R</t>
  </si>
  <si>
    <t>M00000276951</t>
  </si>
  <si>
    <t>1218</t>
  </si>
  <si>
    <t>Average of Delta R</t>
  </si>
  <si>
    <t>M00000310655</t>
  </si>
  <si>
    <t>44</t>
  </si>
  <si>
    <t>1200</t>
  </si>
  <si>
    <t>Average of Delta $/SF</t>
  </si>
  <si>
    <t>M00000343207</t>
  </si>
  <si>
    <t>8</t>
  </si>
  <si>
    <t>1000</t>
  </si>
  <si>
    <t>Average of Delta $/SF/R</t>
  </si>
  <si>
    <t>M00000369800</t>
  </si>
  <si>
    <t>11</t>
  </si>
  <si>
    <t>1920</t>
  </si>
  <si>
    <t>SF Ceiling/Attic Insulation/SQFT, Gas Heat</t>
  </si>
  <si>
    <t>M00000368027</t>
  </si>
  <si>
    <t>2442</t>
  </si>
  <si>
    <t>M00000288345</t>
  </si>
  <si>
    <t>M00000281605</t>
  </si>
  <si>
    <t>844</t>
  </si>
  <si>
    <t>M00000320788</t>
  </si>
  <si>
    <t>49</t>
  </si>
  <si>
    <t>1512</t>
  </si>
  <si>
    <t>SF Floor Insulation/SQFT, Ele Heat</t>
  </si>
  <si>
    <t>M00000303603</t>
  </si>
  <si>
    <t>13</t>
  </si>
  <si>
    <t>M00000342345</t>
  </si>
  <si>
    <t>896</t>
  </si>
  <si>
    <t>M00000316161</t>
  </si>
  <si>
    <t>780</t>
  </si>
  <si>
    <t>M00000367035</t>
  </si>
  <si>
    <t>1020</t>
  </si>
  <si>
    <t>SF Floor Insulation/SQFT, Gas Heat</t>
  </si>
  <si>
    <t>M00000327133</t>
  </si>
  <si>
    <t>4200</t>
  </si>
  <si>
    <t>M00000347627</t>
  </si>
  <si>
    <t>1324</t>
  </si>
  <si>
    <t>M00000325283</t>
  </si>
  <si>
    <t>742</t>
  </si>
  <si>
    <t>M00000363388</t>
  </si>
  <si>
    <t>19</t>
  </si>
  <si>
    <t>1368</t>
  </si>
  <si>
    <t>SF Wall Insulation/SQFT, Ele Heat</t>
  </si>
  <si>
    <t>M00000342238</t>
  </si>
  <si>
    <t>1411</t>
  </si>
  <si>
    <t>M00000270418</t>
  </si>
  <si>
    <t>886</t>
  </si>
  <si>
    <t>M00000346502</t>
  </si>
  <si>
    <t>2070</t>
  </si>
  <si>
    <t>M00000290825</t>
  </si>
  <si>
    <t>600</t>
  </si>
  <si>
    <t>SF Wall Insulation/SQFT, Gas Heat</t>
  </si>
  <si>
    <t>M00000289844</t>
  </si>
  <si>
    <t>1260</t>
  </si>
  <si>
    <t>M00000314172</t>
  </si>
  <si>
    <t>1440</t>
  </si>
  <si>
    <t>M00000353646</t>
  </si>
  <si>
    <t>1459</t>
  </si>
  <si>
    <t>M00000292277</t>
  </si>
  <si>
    <t>1832</t>
  </si>
  <si>
    <t>Total Count of Delta R</t>
  </si>
  <si>
    <t>M00000300821</t>
  </si>
  <si>
    <t>1220</t>
  </si>
  <si>
    <t>Total Average of Delta R</t>
  </si>
  <si>
    <t>M00000336352</t>
  </si>
  <si>
    <t>1890</t>
  </si>
  <si>
    <t>Total Average of Delta $/SF</t>
  </si>
  <si>
    <t>M00000369954</t>
  </si>
  <si>
    <t>Total Average of Delta $/SF/R</t>
  </si>
  <si>
    <t>M00000342055</t>
  </si>
  <si>
    <t>1150</t>
  </si>
  <si>
    <t>M00000331472</t>
  </si>
  <si>
    <t>1300</t>
  </si>
  <si>
    <t>M00000359765</t>
  </si>
  <si>
    <t>2100</t>
  </si>
  <si>
    <t>M00000358021</t>
  </si>
  <si>
    <t>M00000285263</t>
  </si>
  <si>
    <t>M00000316355</t>
  </si>
  <si>
    <t>440</t>
  </si>
  <si>
    <t>M00000341946</t>
  </si>
  <si>
    <t>1350</t>
  </si>
  <si>
    <t>M00000334342</t>
  </si>
  <si>
    <t>M00000305539</t>
  </si>
  <si>
    <t>16</t>
  </si>
  <si>
    <t>1580</t>
  </si>
  <si>
    <t>M00000351193</t>
  </si>
  <si>
    <t>784</t>
  </si>
  <si>
    <t>M00000350650</t>
  </si>
  <si>
    <t>9</t>
  </si>
  <si>
    <t>1250</t>
  </si>
  <si>
    <t>M00000346813</t>
  </si>
  <si>
    <t>1800</t>
  </si>
  <si>
    <t>M00000340539</t>
  </si>
  <si>
    <t>4</t>
  </si>
  <si>
    <t>1794</t>
  </si>
  <si>
    <t>M00000299196</t>
  </si>
  <si>
    <t>1359</t>
  </si>
  <si>
    <t>M00000335713</t>
  </si>
  <si>
    <t>384</t>
  </si>
  <si>
    <t>M00000306117</t>
  </si>
  <si>
    <t>1750</t>
  </si>
  <si>
    <t>M00000314324</t>
  </si>
  <si>
    <t>M00000352816</t>
  </si>
  <si>
    <t>M00000330930</t>
  </si>
  <si>
    <t>525</t>
  </si>
  <si>
    <t>M00000372831</t>
  </si>
  <si>
    <t>41</t>
  </si>
  <si>
    <t>832</t>
  </si>
  <si>
    <t>M00000296279</t>
  </si>
  <si>
    <t>1008</t>
  </si>
  <si>
    <t>M00000319171</t>
  </si>
  <si>
    <t>990</t>
  </si>
  <si>
    <t>M00000364109</t>
  </si>
  <si>
    <t>900</t>
  </si>
  <si>
    <t>M00000355164</t>
  </si>
  <si>
    <t>5</t>
  </si>
  <si>
    <t>1928</t>
  </si>
  <si>
    <t>M00000300908</t>
  </si>
  <si>
    <t>M00000306454</t>
  </si>
  <si>
    <t>1500</t>
  </si>
  <si>
    <t>M00000337776</t>
  </si>
  <si>
    <t>M00000316402</t>
  </si>
  <si>
    <t>M00000346952</t>
  </si>
  <si>
    <t>10</t>
  </si>
  <si>
    <t>M00000350565</t>
  </si>
  <si>
    <t>800</t>
  </si>
  <si>
    <t>M00000334689</t>
  </si>
  <si>
    <t>1400</t>
  </si>
  <si>
    <t>M00000349972</t>
  </si>
  <si>
    <t>2000</t>
  </si>
  <si>
    <t>M00000351462</t>
  </si>
  <si>
    <t>M00000307051</t>
  </si>
  <si>
    <t>760</t>
  </si>
  <si>
    <t>M00000337807</t>
  </si>
  <si>
    <t>M00000305442</t>
  </si>
  <si>
    <t>M00000367194</t>
  </si>
  <si>
    <t>M00000351651</t>
  </si>
  <si>
    <t>1344</t>
  </si>
  <si>
    <t>M00000336436</t>
  </si>
  <si>
    <t>1036</t>
  </si>
  <si>
    <t>M00000372727</t>
  </si>
  <si>
    <t>1452</t>
  </si>
  <si>
    <t>M00000301131</t>
  </si>
  <si>
    <t>398</t>
  </si>
  <si>
    <t>M00000340773</t>
  </si>
  <si>
    <t>1935</t>
  </si>
  <si>
    <t>M00000312858</t>
  </si>
  <si>
    <t>1360</t>
  </si>
  <si>
    <t>M00000353221</t>
  </si>
  <si>
    <t>M00000335472</t>
  </si>
  <si>
    <t>2243</t>
  </si>
  <si>
    <t>M00000343448</t>
  </si>
  <si>
    <t>M00000374273</t>
  </si>
  <si>
    <t>1741</t>
  </si>
  <si>
    <t>M00000285572</t>
  </si>
  <si>
    <t>2700</t>
  </si>
  <si>
    <t>M00000336953</t>
  </si>
  <si>
    <t>M00000292325</t>
  </si>
  <si>
    <t>M00000343306</t>
  </si>
  <si>
    <t>1624</t>
  </si>
  <si>
    <t>M00000327553</t>
  </si>
  <si>
    <t>2960</t>
  </si>
  <si>
    <t>M00000315054</t>
  </si>
  <si>
    <t>1188</t>
  </si>
  <si>
    <t>M00000353224</t>
  </si>
  <si>
    <t>1566</t>
  </si>
  <si>
    <t>M00000347385</t>
  </si>
  <si>
    <t>2580</t>
  </si>
  <si>
    <t>M00000294687</t>
  </si>
  <si>
    <t>M00000331723</t>
  </si>
  <si>
    <t>1560</t>
  </si>
  <si>
    <t>M00000316728</t>
  </si>
  <si>
    <t>848</t>
  </si>
  <si>
    <t>M00000275532</t>
  </si>
  <si>
    <t>M00000322226</t>
  </si>
  <si>
    <t>1574</t>
  </si>
  <si>
    <t>M00000289898</t>
  </si>
  <si>
    <t>1899</t>
  </si>
  <si>
    <t>M00000311147</t>
  </si>
  <si>
    <t>1138</t>
  </si>
  <si>
    <t>M00000351315</t>
  </si>
  <si>
    <t>1040</t>
  </si>
  <si>
    <t>M00000312064</t>
  </si>
  <si>
    <t>940</t>
  </si>
  <si>
    <t>M00000273089</t>
  </si>
  <si>
    <t>1196</t>
  </si>
  <si>
    <t>M00000327059</t>
  </si>
  <si>
    <t>M00000298908</t>
  </si>
  <si>
    <t>1340</t>
  </si>
  <si>
    <t>M00000274169</t>
  </si>
  <si>
    <t>1080</t>
  </si>
  <si>
    <t>M00000315267</t>
  </si>
  <si>
    <t>1698</t>
  </si>
  <si>
    <t>M00000347153</t>
  </si>
  <si>
    <t>1183</t>
  </si>
  <si>
    <t>M00000367056</t>
  </si>
  <si>
    <t>1424</t>
  </si>
  <si>
    <t>M00000321604</t>
  </si>
  <si>
    <t>1120</t>
  </si>
  <si>
    <t>M00000332581</t>
  </si>
  <si>
    <t>1628</t>
  </si>
  <si>
    <t>M00000302371</t>
  </si>
  <si>
    <t>3</t>
  </si>
  <si>
    <t>M00000341128</t>
  </si>
  <si>
    <t>M00000279545</t>
  </si>
  <si>
    <t>M00000314929</t>
  </si>
  <si>
    <t>1700</t>
  </si>
  <si>
    <t>M00000347376</t>
  </si>
  <si>
    <t>1383</t>
  </si>
  <si>
    <t>M00000362136</t>
  </si>
  <si>
    <t>1310</t>
  </si>
  <si>
    <t>M00000341084</t>
  </si>
  <si>
    <t>M00000278325</t>
  </si>
  <si>
    <t>M00000275441</t>
  </si>
  <si>
    <t>572</t>
  </si>
  <si>
    <t>M00000279580</t>
  </si>
  <si>
    <t>M00000333412</t>
  </si>
  <si>
    <t>M00000333167</t>
  </si>
  <si>
    <t>1208</t>
  </si>
  <si>
    <t>M00000316783</t>
  </si>
  <si>
    <t>1275</t>
  </si>
  <si>
    <t>M00000274446</t>
  </si>
  <si>
    <t>M00000277907</t>
  </si>
  <si>
    <t>702</t>
  </si>
  <si>
    <t>M00000339018</t>
  </si>
  <si>
    <t>1656</t>
  </si>
  <si>
    <t>M00000323780</t>
  </si>
  <si>
    <t>2520</t>
  </si>
  <si>
    <t>M00000275372</t>
  </si>
  <si>
    <t>1255</t>
  </si>
  <si>
    <t>M00000320807</t>
  </si>
  <si>
    <t>500</t>
  </si>
  <si>
    <t>M00000342020</t>
  </si>
  <si>
    <t>1483</t>
  </si>
  <si>
    <t>M00000294047</t>
  </si>
  <si>
    <t>1058</t>
  </si>
  <si>
    <t>M00000333358</t>
  </si>
  <si>
    <t>828</t>
  </si>
  <si>
    <t>M00000365339</t>
  </si>
  <si>
    <t>M00000340531</t>
  </si>
  <si>
    <t>2448</t>
  </si>
  <si>
    <t>M00000363231</t>
  </si>
  <si>
    <t>1094</t>
  </si>
  <si>
    <t>M00000354474</t>
  </si>
  <si>
    <t>1713</t>
  </si>
  <si>
    <t>M00000292521</t>
  </si>
  <si>
    <t>M00000365772</t>
  </si>
  <si>
    <t>721</t>
  </si>
  <si>
    <t>M00000314694</t>
  </si>
  <si>
    <t>M00000283395</t>
  </si>
  <si>
    <t>M00000370877</t>
  </si>
  <si>
    <t>M00000270536</t>
  </si>
  <si>
    <t>17</t>
  </si>
  <si>
    <t>1957</t>
  </si>
  <si>
    <t>M00000317611</t>
  </si>
  <si>
    <t>1053</t>
  </si>
  <si>
    <t>M00000346504</t>
  </si>
  <si>
    <t>M00000333107</t>
  </si>
  <si>
    <t>1650</t>
  </si>
  <si>
    <t>M00000363529</t>
  </si>
  <si>
    <t>M00000339030</t>
  </si>
  <si>
    <t>2108</t>
  </si>
  <si>
    <t>M00000272807</t>
  </si>
  <si>
    <t>2202</t>
  </si>
  <si>
    <t>M00000341189</t>
  </si>
  <si>
    <t>1540</t>
  </si>
  <si>
    <t>M00000274032</t>
  </si>
  <si>
    <t>M00000358379</t>
  </si>
  <si>
    <t>M00000350927</t>
  </si>
  <si>
    <t>3129</t>
  </si>
  <si>
    <t>M00000342016</t>
  </si>
  <si>
    <t>M00000323796</t>
  </si>
  <si>
    <t>1136</t>
  </si>
  <si>
    <t>M00000336706</t>
  </si>
  <si>
    <t>M00000283329</t>
  </si>
  <si>
    <t>1193</t>
  </si>
  <si>
    <t>M00000315062</t>
  </si>
  <si>
    <t>1860</t>
  </si>
  <si>
    <t>M00000346889</t>
  </si>
  <si>
    <t>840</t>
  </si>
  <si>
    <t>M00000367503</t>
  </si>
  <si>
    <t>1032</t>
  </si>
  <si>
    <t>M00000285136</t>
  </si>
  <si>
    <t>400</t>
  </si>
  <si>
    <t>M00000289978</t>
  </si>
  <si>
    <t>M00000278802</t>
  </si>
  <si>
    <t>M00000311304</t>
  </si>
  <si>
    <t>1342</t>
  </si>
  <si>
    <t>M00000292061</t>
  </si>
  <si>
    <t>M00000354121</t>
  </si>
  <si>
    <t>M00000343275</t>
  </si>
  <si>
    <t>1316</t>
  </si>
  <si>
    <t>M00000332148</t>
  </si>
  <si>
    <t>1450</t>
  </si>
  <si>
    <t>M00000318896</t>
  </si>
  <si>
    <t>M00000354470</t>
  </si>
  <si>
    <t>1110</t>
  </si>
  <si>
    <t>M00000348728</t>
  </si>
  <si>
    <t>3000</t>
  </si>
  <si>
    <t>M00000344060</t>
  </si>
  <si>
    <t>1352</t>
  </si>
  <si>
    <t>M00000372865</t>
  </si>
  <si>
    <t>1151</t>
  </si>
  <si>
    <t>M00000356156</t>
  </si>
  <si>
    <t>1789</t>
  </si>
  <si>
    <t>M00000306969</t>
  </si>
  <si>
    <t>M00000298920</t>
  </si>
  <si>
    <t>M00000308360</t>
  </si>
  <si>
    <t>1306</t>
  </si>
  <si>
    <t>M00000320998</t>
  </si>
  <si>
    <t>M00000327400</t>
  </si>
  <si>
    <t>2200</t>
  </si>
  <si>
    <t>M00000287483</t>
  </si>
  <si>
    <t>M00000297814</t>
  </si>
  <si>
    <t>975</t>
  </si>
  <si>
    <t>M00000341282</t>
  </si>
  <si>
    <t>1386</t>
  </si>
  <si>
    <t>M00000306200</t>
  </si>
  <si>
    <t>M00000290520</t>
  </si>
  <si>
    <t>1231</t>
  </si>
  <si>
    <t>M00000323981</t>
  </si>
  <si>
    <t>M00000334727</t>
  </si>
  <si>
    <t>M00000338278</t>
  </si>
  <si>
    <t>1950</t>
  </si>
  <si>
    <t>M00000331016</t>
  </si>
  <si>
    <t>1152</t>
  </si>
  <si>
    <t>M00000362205</t>
  </si>
  <si>
    <t>1266</t>
  </si>
  <si>
    <t>M00000299229</t>
  </si>
  <si>
    <t>M00000334872</t>
  </si>
  <si>
    <t>M00000309854</t>
  </si>
  <si>
    <t>1278</t>
  </si>
  <si>
    <t>M00000324540</t>
  </si>
  <si>
    <t>M00000362729</t>
  </si>
  <si>
    <t>1366</t>
  </si>
  <si>
    <t>M00000356284</t>
  </si>
  <si>
    <t>M00000285514</t>
  </si>
  <si>
    <t>1108</t>
  </si>
  <si>
    <t>M00000291448</t>
  </si>
  <si>
    <t>1612</t>
  </si>
  <si>
    <t>M00000354284</t>
  </si>
  <si>
    <t>M00000326832</t>
  </si>
  <si>
    <t>M00000324940</t>
  </si>
  <si>
    <t>M00000324934</t>
  </si>
  <si>
    <t>M00000352769</t>
  </si>
  <si>
    <t>630</t>
  </si>
  <si>
    <t>M00000332127</t>
  </si>
  <si>
    <t>2490</t>
  </si>
  <si>
    <t>M00000356701</t>
  </si>
  <si>
    <t>1254</t>
  </si>
  <si>
    <t>M00000337989</t>
  </si>
  <si>
    <t>1431</t>
  </si>
  <si>
    <t>M00000332607</t>
  </si>
  <si>
    <t>1985</t>
  </si>
  <si>
    <t>M00000368627</t>
  </si>
  <si>
    <t>1576</t>
  </si>
  <si>
    <t>M00000369050</t>
  </si>
  <si>
    <t>M00000367322</t>
  </si>
  <si>
    <t>1883</t>
  </si>
  <si>
    <t>M00000334855</t>
  </si>
  <si>
    <t>2130</t>
  </si>
  <si>
    <t>M00000370948</t>
  </si>
  <si>
    <t>M00000371402</t>
  </si>
  <si>
    <t>1144</t>
  </si>
  <si>
    <t>M00000341221</t>
  </si>
  <si>
    <t>1010</t>
  </si>
  <si>
    <t>M00000374284</t>
  </si>
  <si>
    <t>1280</t>
  </si>
  <si>
    <t>M00000333317</t>
  </si>
  <si>
    <t>M00000281442</t>
  </si>
  <si>
    <t>M00000353211</t>
  </si>
  <si>
    <t>M00000333464</t>
  </si>
  <si>
    <t>1268</t>
  </si>
  <si>
    <t>M00000369037</t>
  </si>
  <si>
    <t>1160</t>
  </si>
  <si>
    <t>M00000347745</t>
  </si>
  <si>
    <t>820</t>
  </si>
  <si>
    <t>M00000350389</t>
  </si>
  <si>
    <t>846</t>
  </si>
  <si>
    <t>M00000351383</t>
  </si>
  <si>
    <t>M00000275110</t>
  </si>
  <si>
    <t>1116</t>
  </si>
  <si>
    <t>M00000272332</t>
  </si>
  <si>
    <t>M00000329628</t>
  </si>
  <si>
    <t>1966</t>
  </si>
  <si>
    <t>M00000326513</t>
  </si>
  <si>
    <t>878</t>
  </si>
  <si>
    <t>M00000313194</t>
  </si>
  <si>
    <t>1670</t>
  </si>
  <si>
    <t>M00000340503</t>
  </si>
  <si>
    <t>M00000332862</t>
  </si>
  <si>
    <t>741</t>
  </si>
  <si>
    <t>M00000327193</t>
  </si>
  <si>
    <t>2025</t>
  </si>
  <si>
    <t>M00000345087</t>
  </si>
  <si>
    <t>M00000347499</t>
  </si>
  <si>
    <t>M00000319249</t>
  </si>
  <si>
    <t>M00000363748</t>
  </si>
  <si>
    <t>1941</t>
  </si>
  <si>
    <t>M00000292465</t>
  </si>
  <si>
    <t>1475</t>
  </si>
  <si>
    <t>M00000340172</t>
  </si>
  <si>
    <t>M00000306480</t>
  </si>
  <si>
    <t>1104</t>
  </si>
  <si>
    <t>M00000308446</t>
  </si>
  <si>
    <t>1241</t>
  </si>
  <si>
    <t>M00000356125</t>
  </si>
  <si>
    <t>1856</t>
  </si>
  <si>
    <t>M00000272698</t>
  </si>
  <si>
    <t>776</t>
  </si>
  <si>
    <t>M00000295522</t>
  </si>
  <si>
    <t>1147</t>
  </si>
  <si>
    <t>M00000274544</t>
  </si>
  <si>
    <t>836</t>
  </si>
  <si>
    <t>M00000351014</t>
  </si>
  <si>
    <t>1776</t>
  </si>
  <si>
    <t>M00000347037</t>
  </si>
  <si>
    <t>M00000354210</t>
  </si>
  <si>
    <t>1389</t>
  </si>
  <si>
    <t>M00000271503</t>
  </si>
  <si>
    <t>M00000269930</t>
  </si>
  <si>
    <t>1416</t>
  </si>
  <si>
    <t>M00000342081</t>
  </si>
  <si>
    <t>1320</t>
  </si>
  <si>
    <t>M00000341601</t>
  </si>
  <si>
    <t>14</t>
  </si>
  <si>
    <t>M00000325287</t>
  </si>
  <si>
    <t>M00000286699</t>
  </si>
  <si>
    <t>2384</t>
  </si>
  <si>
    <t>M00000318599</t>
  </si>
  <si>
    <t>M00000287245</t>
  </si>
  <si>
    <t>750</t>
  </si>
  <si>
    <t>M00000327990</t>
  </si>
  <si>
    <t>1014</t>
  </si>
  <si>
    <t>M00000327922</t>
  </si>
  <si>
    <t>1623</t>
  </si>
  <si>
    <t>M00000327692</t>
  </si>
  <si>
    <t>M00000283645</t>
  </si>
  <si>
    <t>M00000313751</t>
  </si>
  <si>
    <t>M00000329175</t>
  </si>
  <si>
    <t>535</t>
  </si>
  <si>
    <t>M00000330990</t>
  </si>
  <si>
    <t>1292</t>
  </si>
  <si>
    <t>M00000309334</t>
  </si>
  <si>
    <t>2773</t>
  </si>
  <si>
    <t>M00000302181</t>
  </si>
  <si>
    <t>M00000318819</t>
  </si>
  <si>
    <t>M00000271810</t>
  </si>
  <si>
    <t>270</t>
  </si>
  <si>
    <t>M00000342108</t>
  </si>
  <si>
    <t>1530</t>
  </si>
  <si>
    <t>M00000283773</t>
  </si>
  <si>
    <t>M00000331598</t>
  </si>
  <si>
    <t>M00000275942</t>
  </si>
  <si>
    <t>540</t>
  </si>
  <si>
    <t>M00000359010</t>
  </si>
  <si>
    <t>988</t>
  </si>
  <si>
    <t>M00000372828</t>
  </si>
  <si>
    <t>1007</t>
  </si>
  <si>
    <t>M00000345084</t>
  </si>
  <si>
    <t>1037</t>
  </si>
  <si>
    <t>M00000299584</t>
  </si>
  <si>
    <t>M00000367309</t>
  </si>
  <si>
    <t>1270</t>
  </si>
  <si>
    <t>M00000324697</t>
  </si>
  <si>
    <t>42</t>
  </si>
  <si>
    <t>M00000334531</t>
  </si>
  <si>
    <t>M00000350159</t>
  </si>
  <si>
    <t>1688</t>
  </si>
  <si>
    <t>M00000359491</t>
  </si>
  <si>
    <t>M00000330942</t>
  </si>
  <si>
    <t>2461</t>
  </si>
  <si>
    <t>M00000331392</t>
  </si>
  <si>
    <t>M00000334981</t>
  </si>
  <si>
    <t>M00000295373</t>
  </si>
  <si>
    <t>M00000321499</t>
  </si>
  <si>
    <t>M00000356687</t>
  </si>
  <si>
    <t>M00000279976</t>
  </si>
  <si>
    <t>M00000325093</t>
  </si>
  <si>
    <t>1514</t>
  </si>
  <si>
    <t>M00000277339</t>
  </si>
  <si>
    <t>M00000350068</t>
  </si>
  <si>
    <t>M00000327541</t>
  </si>
  <si>
    <t>M00000339115</t>
  </si>
  <si>
    <t>3200</t>
  </si>
  <si>
    <t>M00000300904</t>
  </si>
  <si>
    <t>M00000371357</t>
  </si>
  <si>
    <t>M00000342810</t>
  </si>
  <si>
    <t>M00000349241</t>
  </si>
  <si>
    <t>1504</t>
  </si>
  <si>
    <t>M00000356457</t>
  </si>
  <si>
    <t>1299</t>
  </si>
  <si>
    <t>M00000317943</t>
  </si>
  <si>
    <t>1876</t>
  </si>
  <si>
    <t>M00000353990</t>
  </si>
  <si>
    <t>M00000337001</t>
  </si>
  <si>
    <t>M00000327699</t>
  </si>
  <si>
    <t>1622</t>
  </si>
  <si>
    <t>M00000324924</t>
  </si>
  <si>
    <t>M00000342902</t>
  </si>
  <si>
    <t>392</t>
  </si>
  <si>
    <t>M00000301539</t>
  </si>
  <si>
    <t>480</t>
  </si>
  <si>
    <t>M00000285569</t>
  </si>
  <si>
    <t>M00000280455</t>
  </si>
  <si>
    <t>M00000358462</t>
  </si>
  <si>
    <t>M00000321796</t>
  </si>
  <si>
    <t>M00000350596</t>
  </si>
  <si>
    <t>1478</t>
  </si>
  <si>
    <t>M00000350124</t>
  </si>
  <si>
    <t>350</t>
  </si>
  <si>
    <t>M00000327215</t>
  </si>
  <si>
    <t>1050</t>
  </si>
  <si>
    <t>M00000292029</t>
  </si>
  <si>
    <t>991</t>
  </si>
  <si>
    <t>M00000318624</t>
  </si>
  <si>
    <t>M00000340047</t>
  </si>
  <si>
    <t>1683</t>
  </si>
  <si>
    <t>M00000270352</t>
  </si>
  <si>
    <t>960</t>
  </si>
  <si>
    <t>M00000277551</t>
  </si>
  <si>
    <t>M00000280154</t>
  </si>
  <si>
    <t>M00000279432</t>
  </si>
  <si>
    <t>M00000331401</t>
  </si>
  <si>
    <t>M00000316366</t>
  </si>
  <si>
    <t>M00000270167</t>
  </si>
  <si>
    <t>M00000341124</t>
  </si>
  <si>
    <t>M00000362298</t>
  </si>
  <si>
    <t>1384</t>
  </si>
  <si>
    <t>M00000304403</t>
  </si>
  <si>
    <t>830</t>
  </si>
  <si>
    <t>M00000345039</t>
  </si>
  <si>
    <t>1035</t>
  </si>
  <si>
    <t>M00000287578</t>
  </si>
  <si>
    <t>M00000311440</t>
  </si>
  <si>
    <t>528</t>
  </si>
  <si>
    <t>M00000370928</t>
  </si>
  <si>
    <t>950</t>
  </si>
  <si>
    <t>M00000297021</t>
  </si>
  <si>
    <t>2216</t>
  </si>
  <si>
    <t>M00000362414</t>
  </si>
  <si>
    <t>1075</t>
  </si>
  <si>
    <t>M00000295152</t>
  </si>
  <si>
    <t>850</t>
  </si>
  <si>
    <t>M00000269224</t>
  </si>
  <si>
    <t>M00000296618</t>
  </si>
  <si>
    <t>1644</t>
  </si>
  <si>
    <t>M00000346648</t>
  </si>
  <si>
    <t>781</t>
  </si>
  <si>
    <t>M00000313470</t>
  </si>
  <si>
    <t>M00000309954</t>
  </si>
  <si>
    <t>M00000341121</t>
  </si>
  <si>
    <t>187</t>
  </si>
  <si>
    <t>M00000361472</t>
  </si>
  <si>
    <t>475</t>
  </si>
  <si>
    <t>M00000301928</t>
  </si>
  <si>
    <t>1611</t>
  </si>
  <si>
    <t>M00000277376</t>
  </si>
  <si>
    <t>460</t>
  </si>
  <si>
    <t>M00000337264</t>
  </si>
  <si>
    <t>M00000290637</t>
  </si>
  <si>
    <t>M00000338779</t>
  </si>
  <si>
    <t>M00000341301</t>
  </si>
  <si>
    <t>1176</t>
  </si>
  <si>
    <t>M00000336956</t>
  </si>
  <si>
    <t>M00000330890</t>
  </si>
  <si>
    <t>876</t>
  </si>
  <si>
    <t>M00000272753</t>
  </si>
  <si>
    <t>1620</t>
  </si>
  <si>
    <t>M00000338225</t>
  </si>
  <si>
    <t>M00000292623</t>
  </si>
  <si>
    <t>M00000365729</t>
  </si>
  <si>
    <t>M00000368625</t>
  </si>
  <si>
    <t>1534</t>
  </si>
  <si>
    <t>M00000331480</t>
  </si>
  <si>
    <t>M00000369771</t>
  </si>
  <si>
    <t>M00000295519</t>
  </si>
  <si>
    <t>M00000308832</t>
  </si>
  <si>
    <t>M00000369190</t>
  </si>
  <si>
    <t>M00000372937</t>
  </si>
  <si>
    <t>2375</t>
  </si>
  <si>
    <t>M00000290010</t>
  </si>
  <si>
    <t>M00000299747</t>
  </si>
  <si>
    <t>1664</t>
  </si>
  <si>
    <t>M00000299748</t>
  </si>
  <si>
    <t>M00000302345</t>
  </si>
  <si>
    <t>880</t>
  </si>
  <si>
    <t>M00000333179</t>
  </si>
  <si>
    <t>M00000285012</t>
  </si>
  <si>
    <t>M00000276279</t>
  </si>
  <si>
    <t>M00000333425</t>
  </si>
  <si>
    <t>M00000272719</t>
  </si>
  <si>
    <t>M00000307206</t>
  </si>
  <si>
    <t>M00000275197</t>
  </si>
  <si>
    <t>759</t>
  </si>
  <si>
    <t>M00000326989</t>
  </si>
  <si>
    <t>M00000342352</t>
  </si>
  <si>
    <t>M00000273568</t>
  </si>
  <si>
    <t>M00000346903</t>
  </si>
  <si>
    <t>1233</t>
  </si>
  <si>
    <t>M00000343780</t>
  </si>
  <si>
    <t>M00000308308</t>
  </si>
  <si>
    <t>2984</t>
  </si>
  <si>
    <t>M00000359594</t>
  </si>
  <si>
    <t>438</t>
  </si>
  <si>
    <t>M00000340549</t>
  </si>
  <si>
    <t>M00000362445</t>
  </si>
  <si>
    <t>M00000354987</t>
  </si>
  <si>
    <t>1164</t>
  </si>
  <si>
    <t>M00000337104</t>
  </si>
  <si>
    <t>M00000329746</t>
  </si>
  <si>
    <t>M00000348472</t>
  </si>
  <si>
    <t>M00000315228</t>
  </si>
  <si>
    <t>1016</t>
  </si>
  <si>
    <t>M00000276422</t>
  </si>
  <si>
    <t>M00000347865</t>
  </si>
  <si>
    <t>M00000316408</t>
  </si>
  <si>
    <t>M00000331036</t>
  </si>
  <si>
    <t>2080</t>
  </si>
  <si>
    <t>M00000345964</t>
  </si>
  <si>
    <t>M00000268132</t>
  </si>
  <si>
    <t>M00000373672</t>
  </si>
  <si>
    <t>728</t>
  </si>
  <si>
    <t>M00000355255</t>
  </si>
  <si>
    <t>1822</t>
  </si>
  <si>
    <t>M00000354295</t>
  </si>
  <si>
    <t>M00000276854</t>
  </si>
  <si>
    <t>1675</t>
  </si>
  <si>
    <t>M00000342366</t>
  </si>
  <si>
    <t>M00000302774</t>
  </si>
  <si>
    <t>2310</t>
  </si>
  <si>
    <t>M00000347041</t>
  </si>
  <si>
    <t>1441</t>
  </si>
  <si>
    <t>M00000325936</t>
  </si>
  <si>
    <t>1170</t>
  </si>
  <si>
    <t>M00000356804</t>
  </si>
  <si>
    <t>M00000277277</t>
  </si>
  <si>
    <t>1564</t>
  </si>
  <si>
    <t>M00000296238</t>
  </si>
  <si>
    <t>1038</t>
  </si>
  <si>
    <t>M00000331018</t>
  </si>
  <si>
    <t>1227</t>
  </si>
  <si>
    <t>M00000369201</t>
  </si>
  <si>
    <t>M00000355603</t>
  </si>
  <si>
    <t>1375</t>
  </si>
  <si>
    <t>M00000331145</t>
  </si>
  <si>
    <t>M00000333401</t>
  </si>
  <si>
    <t>M00000326920</t>
  </si>
  <si>
    <t>M00000292766</t>
  </si>
  <si>
    <t>1954</t>
  </si>
  <si>
    <t>M00000348456</t>
  </si>
  <si>
    <t>M00000332491</t>
  </si>
  <si>
    <t>1161</t>
  </si>
  <si>
    <t>M00000300850</t>
  </si>
  <si>
    <t>1286</t>
  </si>
  <si>
    <t>M00000305557</t>
  </si>
  <si>
    <t>M00000329188</t>
  </si>
  <si>
    <t>M00000350358</t>
  </si>
  <si>
    <t>M00000270424</t>
  </si>
  <si>
    <t>1281</t>
  </si>
  <si>
    <t>M00000369876</t>
  </si>
  <si>
    <t>M00000319302</t>
  </si>
  <si>
    <t>1336</t>
  </si>
  <si>
    <t>M00000330986</t>
  </si>
  <si>
    <t>1155</t>
  </si>
  <si>
    <t>M00000337138</t>
  </si>
  <si>
    <t>M00000303403</t>
  </si>
  <si>
    <t>M00000339092</t>
  </si>
  <si>
    <t>M00000337323</t>
  </si>
  <si>
    <t>M00000368150</t>
  </si>
  <si>
    <t>M00000302331</t>
  </si>
  <si>
    <t>1660</t>
  </si>
  <si>
    <t>M00000290854</t>
  </si>
  <si>
    <t>M00000280590</t>
  </si>
  <si>
    <t>M00000299480</t>
  </si>
  <si>
    <t>M00000332757</t>
  </si>
  <si>
    <t>M00000272462</t>
  </si>
  <si>
    <t>2516</t>
  </si>
  <si>
    <t>M00000325027</t>
  </si>
  <si>
    <t>660</t>
  </si>
  <si>
    <t>M00000363719</t>
  </si>
  <si>
    <t>M00000348337</t>
  </si>
  <si>
    <t>M00000299741</t>
  </si>
  <si>
    <t>M00000307587</t>
  </si>
  <si>
    <t>M00000301860</t>
  </si>
  <si>
    <t>M00000325396</t>
  </si>
  <si>
    <t>M00000366277</t>
  </si>
  <si>
    <t>M00000325452</t>
  </si>
  <si>
    <t>300</t>
  </si>
  <si>
    <t>M00000341330</t>
  </si>
  <si>
    <t>1414</t>
  </si>
  <si>
    <t>M00000332905</t>
  </si>
  <si>
    <t>1296</t>
  </si>
  <si>
    <t>M00000315008</t>
  </si>
  <si>
    <t>M00000357946</t>
  </si>
  <si>
    <t>200</t>
  </si>
  <si>
    <t>M00000346513</t>
  </si>
  <si>
    <t>M00000294366</t>
  </si>
  <si>
    <t>M00000324028</t>
  </si>
  <si>
    <t>370</t>
  </si>
  <si>
    <t>M00000308822</t>
  </si>
  <si>
    <t>1451</t>
  </si>
  <si>
    <t>M00000278165</t>
  </si>
  <si>
    <t>M00000289997</t>
  </si>
  <si>
    <t>1048</t>
  </si>
  <si>
    <t>M00000337791</t>
  </si>
  <si>
    <t>M00000326854</t>
  </si>
  <si>
    <t>837</t>
  </si>
  <si>
    <t>M00000343389</t>
  </si>
  <si>
    <t>1719</t>
  </si>
  <si>
    <t>M00000356124</t>
  </si>
  <si>
    <t>1933</t>
  </si>
  <si>
    <t>M00000343979</t>
  </si>
  <si>
    <t>M00000348704</t>
  </si>
  <si>
    <t>M00000272787</t>
  </si>
  <si>
    <t>864</t>
  </si>
  <si>
    <t>M00000333454</t>
  </si>
  <si>
    <t>21</t>
  </si>
  <si>
    <t>1174</t>
  </si>
  <si>
    <t>M00000327396</t>
  </si>
  <si>
    <t>M00000314666</t>
  </si>
  <si>
    <t>2280</t>
  </si>
  <si>
    <t>M00000365395</t>
  </si>
  <si>
    <t>1786</t>
  </si>
  <si>
    <t>M00000287581</t>
  </si>
  <si>
    <t>763</t>
  </si>
  <si>
    <t>M00000307193</t>
  </si>
  <si>
    <t>1056</t>
  </si>
  <si>
    <t>M00000347223</t>
  </si>
  <si>
    <t>M00000314409</t>
  </si>
  <si>
    <t>28</t>
  </si>
  <si>
    <t>M00000332403</t>
  </si>
  <si>
    <t>M00000334893</t>
  </si>
  <si>
    <t>736</t>
  </si>
  <si>
    <t>M00000346575</t>
  </si>
  <si>
    <t>1166</t>
  </si>
  <si>
    <t>M00000355516</t>
  </si>
  <si>
    <t>1380</t>
  </si>
  <si>
    <t>M00000359623</t>
  </si>
  <si>
    <t>430</t>
  </si>
  <si>
    <t>M00000320369</t>
  </si>
  <si>
    <t>1203</t>
  </si>
  <si>
    <t>M00000369019</t>
  </si>
  <si>
    <t>M00000316031</t>
  </si>
  <si>
    <t>120</t>
  </si>
  <si>
    <t>M00000353819</t>
  </si>
  <si>
    <t>M00000363763</t>
  </si>
  <si>
    <t>676</t>
  </si>
  <si>
    <t>M00000297978</t>
  </si>
  <si>
    <t>869</t>
  </si>
  <si>
    <t>M00000307269</t>
  </si>
  <si>
    <t>966</t>
  </si>
  <si>
    <t>M00000354015</t>
  </si>
  <si>
    <t>M00000352719</t>
  </si>
  <si>
    <t>1186</t>
  </si>
  <si>
    <t>M00000303275</t>
  </si>
  <si>
    <t>1456</t>
  </si>
  <si>
    <t>M00000329632</t>
  </si>
  <si>
    <t>M00000326833</t>
  </si>
  <si>
    <t>1460</t>
  </si>
  <si>
    <t>M00000309512</t>
  </si>
  <si>
    <t>M00000339708</t>
  </si>
  <si>
    <t>M00000355932</t>
  </si>
  <si>
    <t>1128</t>
  </si>
  <si>
    <t>M00000284432</t>
  </si>
  <si>
    <t>735</t>
  </si>
  <si>
    <t>M00000351757</t>
  </si>
  <si>
    <t>SFINSCEILG</t>
  </si>
  <si>
    <t>M00000334302</t>
  </si>
  <si>
    <t>M00000347034</t>
  </si>
  <si>
    <t>567</t>
  </si>
  <si>
    <t>M00000313204</t>
  </si>
  <si>
    <t>2150</t>
  </si>
  <si>
    <t>M00000290858</t>
  </si>
  <si>
    <t>1902</t>
  </si>
  <si>
    <t>M00000330828</t>
  </si>
  <si>
    <t>1775</t>
  </si>
  <si>
    <t>M00000321098</t>
  </si>
  <si>
    <t>M00000293980</t>
  </si>
  <si>
    <t>1083</t>
  </si>
  <si>
    <t>M00000277149</t>
  </si>
  <si>
    <t>M00000360176</t>
  </si>
  <si>
    <t>2720</t>
  </si>
  <si>
    <t>M00000341593</t>
  </si>
  <si>
    <t>M00000321577</t>
  </si>
  <si>
    <t>M00000313865</t>
  </si>
  <si>
    <t>1198</t>
  </si>
  <si>
    <t>M00000323897</t>
  </si>
  <si>
    <t>M00000287627</t>
  </si>
  <si>
    <t>M00000334046</t>
  </si>
  <si>
    <t>M00000317320</t>
  </si>
  <si>
    <t>953</t>
  </si>
  <si>
    <t>M00000343713</t>
  </si>
  <si>
    <t>1297</t>
  </si>
  <si>
    <t>M00000345944</t>
  </si>
  <si>
    <t>1515</t>
  </si>
  <si>
    <t>M00000281336</t>
  </si>
  <si>
    <t>M00000311372</t>
  </si>
  <si>
    <t>771</t>
  </si>
  <si>
    <t>M00000346949</t>
  </si>
  <si>
    <t>M00000313422</t>
  </si>
  <si>
    <t>M00000301790</t>
  </si>
  <si>
    <t>M00000331726</t>
  </si>
  <si>
    <t>M00000319280</t>
  </si>
  <si>
    <t>M00000327552</t>
  </si>
  <si>
    <t>644</t>
  </si>
  <si>
    <t>M00000313069</t>
  </si>
  <si>
    <t>2258</t>
  </si>
  <si>
    <t>M00000360808</t>
  </si>
  <si>
    <t>M00000352138</t>
  </si>
  <si>
    <t>M00000343956</t>
  </si>
  <si>
    <t>M00000320573</t>
  </si>
  <si>
    <t>M00000351281</t>
  </si>
  <si>
    <t>1074</t>
  </si>
  <si>
    <t>M00000313512</t>
  </si>
  <si>
    <t>M00000354157</t>
  </si>
  <si>
    <t>1745</t>
  </si>
  <si>
    <t>M00000322228</t>
  </si>
  <si>
    <t>740</t>
  </si>
  <si>
    <t>M00000284207</t>
  </si>
  <si>
    <t>1880</t>
  </si>
  <si>
    <t>M00000367993</t>
  </si>
  <si>
    <t>1240</t>
  </si>
  <si>
    <t>M00000302592</t>
  </si>
  <si>
    <t>M00000350980</t>
  </si>
  <si>
    <t>1520</t>
  </si>
  <si>
    <t>M00000327833</t>
  </si>
  <si>
    <t>M00000298433</t>
  </si>
  <si>
    <t>M00000313498</t>
  </si>
  <si>
    <t>M00000368549</t>
  </si>
  <si>
    <t>M00000334230</t>
  </si>
  <si>
    <t>M00000292690</t>
  </si>
  <si>
    <t>405</t>
  </si>
  <si>
    <t>M00000269950</t>
  </si>
  <si>
    <t>M00000307973</t>
  </si>
  <si>
    <t>M00000368603</t>
  </si>
  <si>
    <t>1752</t>
  </si>
  <si>
    <t>M00000274279</t>
  </si>
  <si>
    <t>M00000285676</t>
  </si>
  <si>
    <t>M00000342062</t>
  </si>
  <si>
    <t>M00000346095</t>
  </si>
  <si>
    <t>M00000361731</t>
  </si>
  <si>
    <t>M00000277076</t>
  </si>
  <si>
    <t>746</t>
  </si>
  <si>
    <t>M00000282493</t>
  </si>
  <si>
    <t>2300</t>
  </si>
  <si>
    <t>M00000346997</t>
  </si>
  <si>
    <t>1550</t>
  </si>
  <si>
    <t>M00000334834</t>
  </si>
  <si>
    <t>1692</t>
  </si>
  <si>
    <t>M00000324599</t>
  </si>
  <si>
    <t>M00000313427</t>
  </si>
  <si>
    <t>1480</t>
  </si>
  <si>
    <t>M00000345031</t>
  </si>
  <si>
    <t>M00000288955</t>
  </si>
  <si>
    <t>M00000354094</t>
  </si>
  <si>
    <t>945</t>
  </si>
  <si>
    <t>M00000331724</t>
  </si>
  <si>
    <t>3105</t>
  </si>
  <si>
    <t>M00000304079</t>
  </si>
  <si>
    <t>980</t>
  </si>
  <si>
    <t>M00000315313</t>
  </si>
  <si>
    <t>M00000315133</t>
  </si>
  <si>
    <t>816</t>
  </si>
  <si>
    <t>M00000354984</t>
  </si>
  <si>
    <t>2362</t>
  </si>
  <si>
    <t>M00000373452</t>
  </si>
  <si>
    <t>1910</t>
  </si>
  <si>
    <t>M00000303141</t>
  </si>
  <si>
    <t>1760</t>
  </si>
  <si>
    <t>M00000358489</t>
  </si>
  <si>
    <t>1768</t>
  </si>
  <si>
    <t>M00000329203</t>
  </si>
  <si>
    <t>2286</t>
  </si>
  <si>
    <t>M00000305782</t>
  </si>
  <si>
    <t>M00000312542</t>
  </si>
  <si>
    <t>1139</t>
  </si>
  <si>
    <t>M00000301551</t>
  </si>
  <si>
    <t>M00000306880</t>
  </si>
  <si>
    <t>M00000356711</t>
  </si>
  <si>
    <t>1807</t>
  </si>
  <si>
    <t>M00000310575</t>
  </si>
  <si>
    <t>738</t>
  </si>
  <si>
    <t>M00000359508</t>
  </si>
  <si>
    <t>875</t>
  </si>
  <si>
    <t>M00000356283</t>
  </si>
  <si>
    <t>M00000272963</t>
  </si>
  <si>
    <t>M00000359773</t>
  </si>
  <si>
    <t>M00000282688</t>
  </si>
  <si>
    <t>1596</t>
  </si>
  <si>
    <t>M00000296625</t>
  </si>
  <si>
    <t>910</t>
  </si>
  <si>
    <t>M00000271397</t>
  </si>
  <si>
    <t>1125</t>
  </si>
  <si>
    <t>M00000292806</t>
  </si>
  <si>
    <t>M00000361411</t>
  </si>
  <si>
    <t>3400</t>
  </si>
  <si>
    <t>M00000284779</t>
  </si>
  <si>
    <t>1272</t>
  </si>
  <si>
    <t>M00000353491</t>
  </si>
  <si>
    <t>M00000342329</t>
  </si>
  <si>
    <t>M00000355251</t>
  </si>
  <si>
    <t>M00000358074</t>
  </si>
  <si>
    <t>1482</t>
  </si>
  <si>
    <t>M00000292333</t>
  </si>
  <si>
    <t>M00000323891</t>
  </si>
  <si>
    <t>1525</t>
  </si>
  <si>
    <t>M00000274167</t>
  </si>
  <si>
    <t>M00000274845</t>
  </si>
  <si>
    <t>M00000329501</t>
  </si>
  <si>
    <t>1175</t>
  </si>
  <si>
    <t>M00000319782</t>
  </si>
  <si>
    <t>2175</t>
  </si>
  <si>
    <t>M00000298401</t>
  </si>
  <si>
    <t>997</t>
  </si>
  <si>
    <t>M00000291400</t>
  </si>
  <si>
    <t>M00000304082</t>
  </si>
  <si>
    <t>M00000340738</t>
  </si>
  <si>
    <t>M00000363472</t>
  </si>
  <si>
    <t>M00000336908</t>
  </si>
  <si>
    <t>248</t>
  </si>
  <si>
    <t>M00000277170</t>
  </si>
  <si>
    <t>M00000292555</t>
  </si>
  <si>
    <t>1238</t>
  </si>
  <si>
    <t>M00000353002</t>
  </si>
  <si>
    <t>1033</t>
  </si>
  <si>
    <t>M00000269973</t>
  </si>
  <si>
    <t>M00000347543</t>
  </si>
  <si>
    <t>M00000301604</t>
  </si>
  <si>
    <t>M00000281450</t>
  </si>
  <si>
    <t>M00000306479</t>
  </si>
  <si>
    <t>M00000323185</t>
  </si>
  <si>
    <t>M00000280119</t>
  </si>
  <si>
    <t>M00000323812</t>
  </si>
  <si>
    <t>M00000341103</t>
  </si>
  <si>
    <t>M00000309792</t>
  </si>
  <si>
    <t>M00000275358</t>
  </si>
  <si>
    <t>M00000334331</t>
  </si>
  <si>
    <t>M00000295713</t>
  </si>
  <si>
    <t>M00000292483</t>
  </si>
  <si>
    <t>M00000301099</t>
  </si>
  <si>
    <t>M00000312060</t>
  </si>
  <si>
    <t>M00000362735</t>
  </si>
  <si>
    <t>2500</t>
  </si>
  <si>
    <t>M00000297791</t>
  </si>
  <si>
    <t>M00000274843</t>
  </si>
  <si>
    <t>1337</t>
  </si>
  <si>
    <t>M00000340509</t>
  </si>
  <si>
    <t>M00000290824</t>
  </si>
  <si>
    <t>M00000322810</t>
  </si>
  <si>
    <t>825</t>
  </si>
  <si>
    <t>M00000343832</t>
  </si>
  <si>
    <t>1842</t>
  </si>
  <si>
    <t>M00000341939</t>
  </si>
  <si>
    <t>1237</t>
  </si>
  <si>
    <t>M00000372701</t>
  </si>
  <si>
    <t>792</t>
  </si>
  <si>
    <t>M00000314927</t>
  </si>
  <si>
    <t>M00000358014</t>
  </si>
  <si>
    <t>1355</t>
  </si>
  <si>
    <t>M00000322093</t>
  </si>
  <si>
    <t>M00000362376</t>
  </si>
  <si>
    <t>M00000365307</t>
  </si>
  <si>
    <t>M00000327658</t>
  </si>
  <si>
    <t>992</t>
  </si>
  <si>
    <t>M00000315506</t>
  </si>
  <si>
    <t>1673</t>
  </si>
  <si>
    <t>M00000356537</t>
  </si>
  <si>
    <t>M00000281482</t>
  </si>
  <si>
    <t>473</t>
  </si>
  <si>
    <t>M00000291358</t>
  </si>
  <si>
    <t>M00000320374</t>
  </si>
  <si>
    <t>M00000366201</t>
  </si>
  <si>
    <t>M00000284399</t>
  </si>
  <si>
    <t>1143</t>
  </si>
  <si>
    <t>M00000334470</t>
  </si>
  <si>
    <t>2255</t>
  </si>
  <si>
    <t>M00000298900</t>
  </si>
  <si>
    <t>145</t>
  </si>
  <si>
    <t>M00000281476</t>
  </si>
  <si>
    <t>2075</t>
  </si>
  <si>
    <t>M00000281918</t>
  </si>
  <si>
    <t>1678</t>
  </si>
  <si>
    <t>M00000295364</t>
  </si>
  <si>
    <t>680</t>
  </si>
  <si>
    <t>M00000283340</t>
  </si>
  <si>
    <t>M00000308642</t>
  </si>
  <si>
    <t>M00000335651</t>
  </si>
  <si>
    <t>1004</t>
  </si>
  <si>
    <t>M00000280779</t>
  </si>
  <si>
    <t>M00000350106</t>
  </si>
  <si>
    <t>936</t>
  </si>
  <si>
    <t>M00000358095</t>
  </si>
  <si>
    <t>M00000309692</t>
  </si>
  <si>
    <t>863</t>
  </si>
  <si>
    <t>M00000323895</t>
  </si>
  <si>
    <t>M00000359416</t>
  </si>
  <si>
    <t>M00000338223</t>
  </si>
  <si>
    <t>M00000298414</t>
  </si>
  <si>
    <t>M00000329216</t>
  </si>
  <si>
    <t>M00000343715</t>
  </si>
  <si>
    <t>M00000347011</t>
  </si>
  <si>
    <t>M00000347669</t>
  </si>
  <si>
    <t>M00000347752</t>
  </si>
  <si>
    <t>M00000348447</t>
  </si>
  <si>
    <t>M00000352685</t>
  </si>
  <si>
    <t>M00000354635</t>
  </si>
  <si>
    <t>774</t>
  </si>
  <si>
    <t>M00000315095</t>
  </si>
  <si>
    <t>1544</t>
  </si>
  <si>
    <t>M00000364338</t>
  </si>
  <si>
    <t>M00000348063</t>
  </si>
  <si>
    <t>402</t>
  </si>
  <si>
    <t>M00000286021</t>
  </si>
  <si>
    <t>M00000304949</t>
  </si>
  <si>
    <t>2110</t>
  </si>
  <si>
    <t>M00000353316</t>
  </si>
  <si>
    <t>M00000305607</t>
  </si>
  <si>
    <t>1648</t>
  </si>
  <si>
    <t>M00000328765</t>
  </si>
  <si>
    <t>1333</t>
  </si>
  <si>
    <t>M00000354925</t>
  </si>
  <si>
    <t>M00000314731</t>
  </si>
  <si>
    <t>941</t>
  </si>
  <si>
    <t>M00000342336</t>
  </si>
  <si>
    <t>M00000294592</t>
  </si>
  <si>
    <t>1225</t>
  </si>
  <si>
    <t>M00000309502</t>
  </si>
  <si>
    <t>M00000316639</t>
  </si>
  <si>
    <t>M00000350687</t>
  </si>
  <si>
    <t>2073</t>
  </si>
  <si>
    <t>M00000343521</t>
  </si>
  <si>
    <t>1536</t>
  </si>
  <si>
    <t>M00000340999</t>
  </si>
  <si>
    <t>M00000271214</t>
  </si>
  <si>
    <t>1495</t>
  </si>
  <si>
    <t>M00000291552</t>
  </si>
  <si>
    <t>M00000299481</t>
  </si>
  <si>
    <t>M00000299223</t>
  </si>
  <si>
    <t>M00000327852</t>
  </si>
  <si>
    <t>M00000355638</t>
  </si>
  <si>
    <t>1372</t>
  </si>
  <si>
    <t>M00000366506</t>
  </si>
  <si>
    <t>M00000358371</t>
  </si>
  <si>
    <t>1442</t>
  </si>
  <si>
    <t>M00000313448</t>
  </si>
  <si>
    <t>1900</t>
  </si>
  <si>
    <t>M00000340039</t>
  </si>
  <si>
    <t>824</t>
  </si>
  <si>
    <t>M00000350127</t>
  </si>
  <si>
    <t>1378</t>
  </si>
  <si>
    <t>M00000347282</t>
  </si>
  <si>
    <t>M00000345971</t>
  </si>
  <si>
    <t>1134</t>
  </si>
  <si>
    <t>M00000368045</t>
  </si>
  <si>
    <t>M00000303544</t>
  </si>
  <si>
    <t>M00000301628</t>
  </si>
  <si>
    <t>M00000362155</t>
  </si>
  <si>
    <t>M00000323965</t>
  </si>
  <si>
    <t>1092</t>
  </si>
  <si>
    <t>M00000341047</t>
  </si>
  <si>
    <t>M00000305558</t>
  </si>
  <si>
    <t>1476</t>
  </si>
  <si>
    <t>M00000326108</t>
  </si>
  <si>
    <t>1325</t>
  </si>
  <si>
    <t>M00000297023</t>
  </si>
  <si>
    <t>M00000308018</t>
  </si>
  <si>
    <t>3648</t>
  </si>
  <si>
    <t>M00000275774</t>
  </si>
  <si>
    <t>M00000304230</t>
  </si>
  <si>
    <t>M00000316795</t>
  </si>
  <si>
    <t>M00000291359</t>
  </si>
  <si>
    <t>1485</t>
  </si>
  <si>
    <t>M00000303839</t>
  </si>
  <si>
    <t>416</t>
  </si>
  <si>
    <t>M00000321887</t>
  </si>
  <si>
    <t>M00000320103</t>
  </si>
  <si>
    <t>M00000343026</t>
  </si>
  <si>
    <t>M00000350661</t>
  </si>
  <si>
    <t>1394</t>
  </si>
  <si>
    <t>M00000338013</t>
  </si>
  <si>
    <t>1149</t>
  </si>
  <si>
    <t>M00000281384</t>
  </si>
  <si>
    <t>M00000327267</t>
  </si>
  <si>
    <t>M00000342063</t>
  </si>
  <si>
    <t>M00000319203</t>
  </si>
  <si>
    <t>M00000343363</t>
  </si>
  <si>
    <t>M00000350051</t>
  </si>
  <si>
    <t>M00000356784</t>
  </si>
  <si>
    <t>M00000278733</t>
  </si>
  <si>
    <t>M00000341260</t>
  </si>
  <si>
    <t>614</t>
  </si>
  <si>
    <t>M00000371694</t>
  </si>
  <si>
    <t>M00000347527</t>
  </si>
  <si>
    <t>1397</t>
  </si>
  <si>
    <t>M00000311915</t>
  </si>
  <si>
    <t>M00000365583</t>
  </si>
  <si>
    <t>1780</t>
  </si>
  <si>
    <t>M00000340753</t>
  </si>
  <si>
    <t>M00000366058</t>
  </si>
  <si>
    <t>M00000333218</t>
  </si>
  <si>
    <t>M00000334494</t>
  </si>
  <si>
    <t>1575</t>
  </si>
  <si>
    <t>M00000315108</t>
  </si>
  <si>
    <t>M00000366859</t>
  </si>
  <si>
    <t>1632</t>
  </si>
  <si>
    <t>M00000283085</t>
  </si>
  <si>
    <t>1847</t>
  </si>
  <si>
    <t>M00000273211</t>
  </si>
  <si>
    <t>1850</t>
  </si>
  <si>
    <t>M00000363788</t>
  </si>
  <si>
    <t>1172</t>
  </si>
  <si>
    <t>M00000323173</t>
  </si>
  <si>
    <t>M00000342501</t>
  </si>
  <si>
    <t>768</t>
  </si>
  <si>
    <t>M00000318799</t>
  </si>
  <si>
    <t>1616</t>
  </si>
  <si>
    <t>M00000372907</t>
  </si>
  <si>
    <t>M00000324867</t>
  </si>
  <si>
    <t>1374</t>
  </si>
  <si>
    <t>M00000366978</t>
  </si>
  <si>
    <t>M00000340337</t>
  </si>
  <si>
    <t>1130</t>
  </si>
  <si>
    <t>M00000305344</t>
  </si>
  <si>
    <t>1358</t>
  </si>
  <si>
    <t>M00000346536</t>
  </si>
  <si>
    <t>1265</t>
  </si>
  <si>
    <t>M00000283747</t>
  </si>
  <si>
    <t>1463</t>
  </si>
  <si>
    <t>M00000327724</t>
  </si>
  <si>
    <t>229</t>
  </si>
  <si>
    <t>M00000292740</t>
  </si>
  <si>
    <t>1346</t>
  </si>
  <si>
    <t>M00000301849</t>
  </si>
  <si>
    <t>2065</t>
  </si>
  <si>
    <t>M00000337809</t>
  </si>
  <si>
    <t>2392</t>
  </si>
  <si>
    <t>M00000341214</t>
  </si>
  <si>
    <t>M00000307217</t>
  </si>
  <si>
    <t>M00000372147</t>
  </si>
  <si>
    <t>1216</t>
  </si>
  <si>
    <t>M00000313262</t>
  </si>
  <si>
    <t>M00000346917</t>
  </si>
  <si>
    <t>1146</t>
  </si>
  <si>
    <t>M00000334393</t>
  </si>
  <si>
    <t>M00000350968</t>
  </si>
  <si>
    <t>M00000275829</t>
  </si>
  <si>
    <t>650</t>
  </si>
  <si>
    <t>M00000351988</t>
  </si>
  <si>
    <t>M00000347370</t>
  </si>
  <si>
    <t>2762</t>
  </si>
  <si>
    <t>M00000350072</t>
  </si>
  <si>
    <t>M00000325010</t>
  </si>
  <si>
    <t>M00000320157</t>
  </si>
  <si>
    <t>1224</t>
  </si>
  <si>
    <t>M00000311851</t>
  </si>
  <si>
    <t>860</t>
  </si>
  <si>
    <t>M00000286329</t>
  </si>
  <si>
    <t>M00000334389</t>
  </si>
  <si>
    <t>M00000356388</t>
  </si>
  <si>
    <t>962</t>
  </si>
  <si>
    <t>M00000292738</t>
  </si>
  <si>
    <t>M00000311860</t>
  </si>
  <si>
    <t>M00000342021</t>
  </si>
  <si>
    <t>M00000313951</t>
  </si>
  <si>
    <t>M00000327401</t>
  </si>
  <si>
    <t>M00000320386</t>
  </si>
  <si>
    <t>3064</t>
  </si>
  <si>
    <t>M00000272977</t>
  </si>
  <si>
    <t>1614</t>
  </si>
  <si>
    <t>M00000303365</t>
  </si>
  <si>
    <t>1430</t>
  </si>
  <si>
    <t>M00000337806</t>
  </si>
  <si>
    <t>1728</t>
  </si>
  <si>
    <t>M00000348084</t>
  </si>
  <si>
    <t>1896</t>
  </si>
  <si>
    <t>M00000361694</t>
  </si>
  <si>
    <t>1609</t>
  </si>
  <si>
    <t>M00000369870</t>
  </si>
  <si>
    <t>M00000291534</t>
  </si>
  <si>
    <t>M00000353001</t>
  </si>
  <si>
    <t>912</t>
  </si>
  <si>
    <t>M00000282222</t>
  </si>
  <si>
    <t>M00000342919</t>
  </si>
  <si>
    <t>M00000318121</t>
  </si>
  <si>
    <t>M00000337979</t>
  </si>
  <si>
    <t>M00000343531</t>
  </si>
  <si>
    <t>M00000359672</t>
  </si>
  <si>
    <t>M00000285733</t>
  </si>
  <si>
    <t>M00000307823</t>
  </si>
  <si>
    <t>1703</t>
  </si>
  <si>
    <t>M00000285721</t>
  </si>
  <si>
    <t>M00000352994</t>
  </si>
  <si>
    <t>M00000353295</t>
  </si>
  <si>
    <t>1783</t>
  </si>
  <si>
    <t>M00000338949</t>
  </si>
  <si>
    <t>625</t>
  </si>
  <si>
    <t>M00000357228</t>
  </si>
  <si>
    <t>2845</t>
  </si>
  <si>
    <t>M00000308326</t>
  </si>
  <si>
    <t>700</t>
  </si>
  <si>
    <t>M00000321316</t>
  </si>
  <si>
    <t>M00000321580</t>
  </si>
  <si>
    <t>M00000323230</t>
  </si>
  <si>
    <t>M00000332181</t>
  </si>
  <si>
    <t>M00000334548</t>
  </si>
  <si>
    <t>M00000343053</t>
  </si>
  <si>
    <t>M00000349991</t>
  </si>
  <si>
    <t>M00000324229</t>
  </si>
  <si>
    <t>M00000339944</t>
  </si>
  <si>
    <t>M00000301793</t>
  </si>
  <si>
    <t>865</t>
  </si>
  <si>
    <t>M00000342080</t>
  </si>
  <si>
    <t>1437</t>
  </si>
  <si>
    <t>M00000359838</t>
  </si>
  <si>
    <t>3834</t>
  </si>
  <si>
    <t>M00000312688</t>
  </si>
  <si>
    <t>1364</t>
  </si>
  <si>
    <t>M00000295789</t>
  </si>
  <si>
    <t>M00000342112</t>
  </si>
  <si>
    <t>M00000344056</t>
  </si>
  <si>
    <t>M00000312704</t>
  </si>
  <si>
    <t>640</t>
  </si>
  <si>
    <t>M00000333805</t>
  </si>
  <si>
    <t>M00000333639</t>
  </si>
  <si>
    <t>1742</t>
  </si>
  <si>
    <t>M00000343463</t>
  </si>
  <si>
    <t>M00000309517</t>
  </si>
  <si>
    <t>1734</t>
  </si>
  <si>
    <t>M00000312975</t>
  </si>
  <si>
    <t>M00000323966</t>
  </si>
  <si>
    <t>M00000324375</t>
  </si>
  <si>
    <t>M00000343846</t>
  </si>
  <si>
    <t>M00000296545</t>
  </si>
  <si>
    <t>M00000274412</t>
  </si>
  <si>
    <t>1291</t>
  </si>
  <si>
    <t>M00000292469</t>
  </si>
  <si>
    <t>1594</t>
  </si>
  <si>
    <t>M00000351291</t>
  </si>
  <si>
    <t>M00000346629</t>
  </si>
  <si>
    <t>1381</t>
  </si>
  <si>
    <t>M00000333635</t>
  </si>
  <si>
    <t>M00000350577</t>
  </si>
  <si>
    <t>M00000353503</t>
  </si>
  <si>
    <t>M00000345069</t>
  </si>
  <si>
    <t>M00000292980</t>
  </si>
  <si>
    <t>550</t>
  </si>
  <si>
    <t>M00000334233</t>
  </si>
  <si>
    <t>M00000301891</t>
  </si>
  <si>
    <t>1148</t>
  </si>
  <si>
    <t>M00000291225</t>
  </si>
  <si>
    <t>M00000315766</t>
  </si>
  <si>
    <t>192</t>
  </si>
  <si>
    <t>M00000321371</t>
  </si>
  <si>
    <t>1034</t>
  </si>
  <si>
    <t>M00000342007</t>
  </si>
  <si>
    <t>810</t>
  </si>
  <si>
    <t>M00000354503</t>
  </si>
  <si>
    <t>2248</t>
  </si>
  <si>
    <t>M00000342008</t>
  </si>
  <si>
    <t>M00000307581</t>
  </si>
  <si>
    <t>M00000313092</t>
  </si>
  <si>
    <t>M00000343702</t>
  </si>
  <si>
    <t>M00000268893</t>
  </si>
  <si>
    <t>M00000312590</t>
  </si>
  <si>
    <t>M00000341086</t>
  </si>
  <si>
    <t>M00000318150</t>
  </si>
  <si>
    <t>M00000295983</t>
  </si>
  <si>
    <t>M00000353446</t>
  </si>
  <si>
    <t>M00000299220</t>
  </si>
  <si>
    <t>624</t>
  </si>
  <si>
    <t>M00000302229</t>
  </si>
  <si>
    <t>M00000289667</t>
  </si>
  <si>
    <t>1668</t>
  </si>
  <si>
    <t>M00000326491</t>
  </si>
  <si>
    <t>1027</t>
  </si>
  <si>
    <t>M00000323869</t>
  </si>
  <si>
    <t>M00000317496</t>
  </si>
  <si>
    <t>M00000308882</t>
  </si>
  <si>
    <t>M00000295661</t>
  </si>
  <si>
    <t>M00000355737</t>
  </si>
  <si>
    <t>835</t>
  </si>
  <si>
    <t>M00000310704</t>
  </si>
  <si>
    <t>2038</t>
  </si>
  <si>
    <t>M00000335044</t>
  </si>
  <si>
    <t>2085</t>
  </si>
  <si>
    <t>M00000333180</t>
  </si>
  <si>
    <t>M00000342440</t>
  </si>
  <si>
    <t>M00000313499</t>
  </si>
  <si>
    <t>M00000330987</t>
  </si>
  <si>
    <t>M00000276552</t>
  </si>
  <si>
    <t>M00000279336</t>
  </si>
  <si>
    <t>M00000343365</t>
  </si>
  <si>
    <t>M00000354147</t>
  </si>
  <si>
    <t>M00000341293</t>
  </si>
  <si>
    <t>M00000371366</t>
  </si>
  <si>
    <t>M00000323211</t>
  </si>
  <si>
    <t>M00000342002</t>
  </si>
  <si>
    <t>M00000337795</t>
  </si>
  <si>
    <t>971</t>
  </si>
  <si>
    <t>M00000343833</t>
  </si>
  <si>
    <t>M00000366982</t>
  </si>
  <si>
    <t>2350</t>
  </si>
  <si>
    <t>M00000319003</t>
  </si>
  <si>
    <t>1590</t>
  </si>
  <si>
    <t>M00000334395</t>
  </si>
  <si>
    <t>1988</t>
  </si>
  <si>
    <t>M00000366985</t>
  </si>
  <si>
    <t>322</t>
  </si>
  <si>
    <t>M00000333203</t>
  </si>
  <si>
    <t>M00000299788</t>
  </si>
  <si>
    <t>M00000297167</t>
  </si>
  <si>
    <t>M00000346523</t>
  </si>
  <si>
    <t>M00000312455</t>
  </si>
  <si>
    <t>M00000316123</t>
  </si>
  <si>
    <t>M00000328009</t>
  </si>
  <si>
    <t>1244</t>
  </si>
  <si>
    <t>M00000324931</t>
  </si>
  <si>
    <t>M00000373072</t>
  </si>
  <si>
    <t>1546</t>
  </si>
  <si>
    <t>M00000309811</t>
  </si>
  <si>
    <t>M00000304081</t>
  </si>
  <si>
    <t>M00000343855</t>
  </si>
  <si>
    <t>1305</t>
  </si>
  <si>
    <t>M00000316321</t>
  </si>
  <si>
    <t>M00000338015</t>
  </si>
  <si>
    <t>1604</t>
  </si>
  <si>
    <t>M00000319017</t>
  </si>
  <si>
    <t>M00000313360</t>
  </si>
  <si>
    <t>M00000283792</t>
  </si>
  <si>
    <t>M00000291706</t>
  </si>
  <si>
    <t>M00000313412</t>
  </si>
  <si>
    <t>1028</t>
  </si>
  <si>
    <t>M00000305445</t>
  </si>
  <si>
    <t>M00000296081</t>
  </si>
  <si>
    <t>M00000275526</t>
  </si>
  <si>
    <t>M00000276345</t>
  </si>
  <si>
    <t>M00000269843</t>
  </si>
  <si>
    <t>1232</t>
  </si>
  <si>
    <t>M00000350000</t>
  </si>
  <si>
    <t>M00000275843</t>
  </si>
  <si>
    <t>1930</t>
  </si>
  <si>
    <t>M00000342213</t>
  </si>
  <si>
    <t>1261</t>
  </si>
  <si>
    <t>M00000289701</t>
  </si>
  <si>
    <t>1956</t>
  </si>
  <si>
    <t>M00000356775</t>
  </si>
  <si>
    <t>1168</t>
  </si>
  <si>
    <t>M00000336963</t>
  </si>
  <si>
    <t>924</t>
  </si>
  <si>
    <t>M00000320418</t>
  </si>
  <si>
    <t>M00000337798</t>
  </si>
  <si>
    <t>870</t>
  </si>
  <si>
    <t>M00000341292</t>
  </si>
  <si>
    <t>M00000353207</t>
  </si>
  <si>
    <t>M00000334072</t>
  </si>
  <si>
    <t>1181</t>
  </si>
  <si>
    <t>M00000327884</t>
  </si>
  <si>
    <t>2001</t>
  </si>
  <si>
    <t>M00000280100</t>
  </si>
  <si>
    <t>1427</t>
  </si>
  <si>
    <t>M00000303765</t>
  </si>
  <si>
    <t>951</t>
  </si>
  <si>
    <t>M00000280519</t>
  </si>
  <si>
    <t>M00000299780</t>
  </si>
  <si>
    <t>M00000313161</t>
  </si>
  <si>
    <t>M00000332416</t>
  </si>
  <si>
    <t>M00000333208</t>
  </si>
  <si>
    <t>M00000338219</t>
  </si>
  <si>
    <t>M00000341111</t>
  </si>
  <si>
    <t>M00000341523</t>
  </si>
  <si>
    <t>M00000342562</t>
  </si>
  <si>
    <t>M00000363497</t>
  </si>
  <si>
    <t>M00000272854</t>
  </si>
  <si>
    <t>M00000305044</t>
  </si>
  <si>
    <t>805</t>
  </si>
  <si>
    <t>M00000346211</t>
  </si>
  <si>
    <t>1309</t>
  </si>
  <si>
    <t>M00000288310</t>
  </si>
  <si>
    <t>M00000308955</t>
  </si>
  <si>
    <t>2475</t>
  </si>
  <si>
    <t>M00000326131</t>
  </si>
  <si>
    <t>M00000371778</t>
  </si>
  <si>
    <t>M00000354657</t>
  </si>
  <si>
    <t>1165</t>
  </si>
  <si>
    <t>M00000313170</t>
  </si>
  <si>
    <t>M00000293650</t>
  </si>
  <si>
    <t>M00000333524</t>
  </si>
  <si>
    <t>M00000318385</t>
  </si>
  <si>
    <t>M00000309642</t>
  </si>
  <si>
    <t>1565</t>
  </si>
  <si>
    <t>M00000271049</t>
  </si>
  <si>
    <t>M00000273004</t>
  </si>
  <si>
    <t>M00000285612</t>
  </si>
  <si>
    <t>M00000347940</t>
  </si>
  <si>
    <t>M00000360245</t>
  </si>
  <si>
    <t>M00000313364</t>
  </si>
  <si>
    <t>1645</t>
  </si>
  <si>
    <t>M00000351627</t>
  </si>
  <si>
    <t>2450</t>
  </si>
  <si>
    <t>M00000294367</t>
  </si>
  <si>
    <t>1061</t>
  </si>
  <si>
    <t>M00000319181</t>
  </si>
  <si>
    <t>M00000336423</t>
  </si>
  <si>
    <t>M00000347507</t>
  </si>
  <si>
    <t>M00000296332</t>
  </si>
  <si>
    <t>1313</t>
  </si>
  <si>
    <t>M00000330682</t>
  </si>
  <si>
    <t>569</t>
  </si>
  <si>
    <t>M00000291478</t>
  </si>
  <si>
    <t>M00000340755</t>
  </si>
  <si>
    <t>M00000287562</t>
  </si>
  <si>
    <t>666</t>
  </si>
  <si>
    <t>M00000299170</t>
  </si>
  <si>
    <t>M00000284434</t>
  </si>
  <si>
    <t>M00000343028</t>
  </si>
  <si>
    <t>M00000354927</t>
  </si>
  <si>
    <t>M00000338245</t>
  </si>
  <si>
    <t>M00000283069</t>
  </si>
  <si>
    <t>M00000285738</t>
  </si>
  <si>
    <t>608</t>
  </si>
  <si>
    <t>M00000348142</t>
  </si>
  <si>
    <t>M00000361524</t>
  </si>
  <si>
    <t>M00000341090</t>
  </si>
  <si>
    <t>1327</t>
  </si>
  <si>
    <t>M00000327502</t>
  </si>
  <si>
    <t>M00000346937</t>
  </si>
  <si>
    <t>1141</t>
  </si>
  <si>
    <t>M00000341188</t>
  </si>
  <si>
    <t>M00000355686</t>
  </si>
  <si>
    <t>M00000308330</t>
  </si>
  <si>
    <t>M00000269764</t>
  </si>
  <si>
    <t>M00000332209</t>
  </si>
  <si>
    <t>M00000327430</t>
  </si>
  <si>
    <t>1410</t>
  </si>
  <si>
    <t>M00000334073</t>
  </si>
  <si>
    <t>M00000343822</t>
  </si>
  <si>
    <t>M00000294358</t>
  </si>
  <si>
    <t>M00000328097</t>
  </si>
  <si>
    <t>M00000316027</t>
  </si>
  <si>
    <t>1399</t>
  </si>
  <si>
    <t>M00000291357</t>
  </si>
  <si>
    <t>1840</t>
  </si>
  <si>
    <t>M00000337030</t>
  </si>
  <si>
    <t>872</t>
  </si>
  <si>
    <t>M00000305214</t>
  </si>
  <si>
    <t>1015</t>
  </si>
  <si>
    <t>M00000279901</t>
  </si>
  <si>
    <t>M00000278823</t>
  </si>
  <si>
    <t>1062</t>
  </si>
  <si>
    <t>M00000330667</t>
  </si>
  <si>
    <t>M00000287567</t>
  </si>
  <si>
    <t>888</t>
  </si>
  <si>
    <t>M00000278327</t>
  </si>
  <si>
    <t>M00000334636</t>
  </si>
  <si>
    <t>1704</t>
  </si>
  <si>
    <t>M00000301977</t>
  </si>
  <si>
    <t>M00000327878</t>
  </si>
  <si>
    <t>917</t>
  </si>
  <si>
    <t>M00000340883</t>
  </si>
  <si>
    <t>M00000346157</t>
  </si>
  <si>
    <t>1288</t>
  </si>
  <si>
    <t>M00000321567</t>
  </si>
  <si>
    <t>M00000294495</t>
  </si>
  <si>
    <t>M00000321331</t>
  </si>
  <si>
    <t>M00000268890</t>
  </si>
  <si>
    <t>M00000271320</t>
  </si>
  <si>
    <t>631</t>
  </si>
  <si>
    <t>M00000315096</t>
  </si>
  <si>
    <t>1063</t>
  </si>
  <si>
    <t>M00000318870</t>
  </si>
  <si>
    <t>M00000293032</t>
  </si>
  <si>
    <t>M00000291526</t>
  </si>
  <si>
    <t>M00000304074</t>
  </si>
  <si>
    <t>1248</t>
  </si>
  <si>
    <t>M00000305430</t>
  </si>
  <si>
    <t>M00000330915</t>
  </si>
  <si>
    <t>M00000333512</t>
  </si>
  <si>
    <t>M00000358411</t>
  </si>
  <si>
    <t>1494</t>
  </si>
  <si>
    <t>M00000313180</t>
  </si>
  <si>
    <t>M00000362107</t>
  </si>
  <si>
    <t>M00000301229</t>
  </si>
  <si>
    <t>1640</t>
  </si>
  <si>
    <t>M00000343829</t>
  </si>
  <si>
    <t>1663</t>
  </si>
  <si>
    <t>M00000371406</t>
  </si>
  <si>
    <t>M00000342661</t>
  </si>
  <si>
    <t>901</t>
  </si>
  <si>
    <t>M00000342489</t>
  </si>
  <si>
    <t>1513</t>
  </si>
  <si>
    <t>M00000367032</t>
  </si>
  <si>
    <t>M00000291205</t>
  </si>
  <si>
    <t>1322</t>
  </si>
  <si>
    <t>M00000337808</t>
  </si>
  <si>
    <t>M00000353082</t>
  </si>
  <si>
    <t>1425</t>
  </si>
  <si>
    <t>M00000337114</t>
  </si>
  <si>
    <t>2228</t>
  </si>
  <si>
    <t>M00000299530</t>
  </si>
  <si>
    <t>1885</t>
  </si>
  <si>
    <t>M00000341758</t>
  </si>
  <si>
    <t>M00000275838</t>
  </si>
  <si>
    <t>M00000283420</t>
  </si>
  <si>
    <t>M00000285665</t>
  </si>
  <si>
    <t>M00000318916</t>
  </si>
  <si>
    <t>M00000305588</t>
  </si>
  <si>
    <t>854</t>
  </si>
  <si>
    <t>M00000275231</t>
  </si>
  <si>
    <t>1362</t>
  </si>
  <si>
    <t>M00000340029</t>
  </si>
  <si>
    <t>1396</t>
  </si>
  <si>
    <t>M00000288555</t>
  </si>
  <si>
    <t>976</t>
  </si>
  <si>
    <t>M00000305446</t>
  </si>
  <si>
    <t>560</t>
  </si>
  <si>
    <t>M00000310384</t>
  </si>
  <si>
    <t>1242</t>
  </si>
  <si>
    <t>M00000298062</t>
  </si>
  <si>
    <t>1405</t>
  </si>
  <si>
    <t>M00000358494</t>
  </si>
  <si>
    <t>M00000334452</t>
  </si>
  <si>
    <t>1875</t>
  </si>
  <si>
    <t>M00000294292</t>
  </si>
  <si>
    <t>1264</t>
  </si>
  <si>
    <t>M00000326071</t>
  </si>
  <si>
    <t>M00000280429</t>
  </si>
  <si>
    <t>M00000315615</t>
  </si>
  <si>
    <t>590</t>
  </si>
  <si>
    <t>M00000347758</t>
  </si>
  <si>
    <t>1980</t>
  </si>
  <si>
    <t>M00000300869</t>
  </si>
  <si>
    <t>M00000323844</t>
  </si>
  <si>
    <t>1113</t>
  </si>
  <si>
    <t>M00000324468</t>
  </si>
  <si>
    <t>M00000366216</t>
  </si>
  <si>
    <t>M00000300817</t>
  </si>
  <si>
    <t>M00000334753</t>
  </si>
  <si>
    <t>615</t>
  </si>
  <si>
    <t>M00000334224</t>
  </si>
  <si>
    <t>M00000283771</t>
  </si>
  <si>
    <t>M00000307202</t>
  </si>
  <si>
    <t>M00000308687</t>
  </si>
  <si>
    <t>380</t>
  </si>
  <si>
    <t>M00000310347</t>
  </si>
  <si>
    <t>M00000346113</t>
  </si>
  <si>
    <t>M00000285450</t>
  </si>
  <si>
    <t>M00000362408</t>
  </si>
  <si>
    <t>1732</t>
  </si>
  <si>
    <t>M00000318657</t>
  </si>
  <si>
    <t>M00000327939</t>
  </si>
  <si>
    <t>M00000367052</t>
  </si>
  <si>
    <t>M00000269240</t>
  </si>
  <si>
    <t>2455</t>
  </si>
  <si>
    <t>M00000284346</t>
  </si>
  <si>
    <t>M00000336912</t>
  </si>
  <si>
    <t>M00000313796</t>
  </si>
  <si>
    <t>M00000299879</t>
  </si>
  <si>
    <t>1516</t>
  </si>
  <si>
    <t>M00000326118</t>
  </si>
  <si>
    <t>M00000333956</t>
  </si>
  <si>
    <t>722</t>
  </si>
  <si>
    <t>M00000302109</t>
  </si>
  <si>
    <t>M00000279637</t>
  </si>
  <si>
    <t>M00000269125</t>
  </si>
  <si>
    <t>1443</t>
  </si>
  <si>
    <t>M00000340060</t>
  </si>
  <si>
    <t>M00000351994</t>
  </si>
  <si>
    <t>3227</t>
  </si>
  <si>
    <t>M00000269403</t>
  </si>
  <si>
    <t>1448</t>
  </si>
  <si>
    <t>M00000278112</t>
  </si>
  <si>
    <t>459</t>
  </si>
  <si>
    <t>M00000323042</t>
  </si>
  <si>
    <t>M00000372839</t>
  </si>
  <si>
    <t>M00000276319</t>
  </si>
  <si>
    <t>M00000353028</t>
  </si>
  <si>
    <t>1135</t>
  </si>
  <si>
    <t>M00000272988</t>
  </si>
  <si>
    <t>M00000323797</t>
  </si>
  <si>
    <t>M00000327499</t>
  </si>
  <si>
    <t>M00000323685</t>
  </si>
  <si>
    <t>M00000283067</t>
  </si>
  <si>
    <t>M00000301601</t>
  </si>
  <si>
    <t>M00000311392</t>
  </si>
  <si>
    <t>1012</t>
  </si>
  <si>
    <t>M00000319009</t>
  </si>
  <si>
    <t>M00000276326</t>
  </si>
  <si>
    <t>M00000271697</t>
  </si>
  <si>
    <t>1312</t>
  </si>
  <si>
    <t>M00000324976</t>
  </si>
  <si>
    <t>1207</t>
  </si>
  <si>
    <t>M00000333973</t>
  </si>
  <si>
    <t>1371</t>
  </si>
  <si>
    <t>M00000310531</t>
  </si>
  <si>
    <t>1542</t>
  </si>
  <si>
    <t>M00000293303</t>
  </si>
  <si>
    <t>M00000359897</t>
  </si>
  <si>
    <t>M00000331882</t>
  </si>
  <si>
    <t>1535</t>
  </si>
  <si>
    <t>M00000346996</t>
  </si>
  <si>
    <t>M00000368839</t>
  </si>
  <si>
    <t>M00000278270</t>
  </si>
  <si>
    <t>M00000361802</t>
  </si>
  <si>
    <t>M00000327559</t>
  </si>
  <si>
    <t>2007</t>
  </si>
  <si>
    <t>M00000288315</t>
  </si>
  <si>
    <t>1972</t>
  </si>
  <si>
    <t>M00000273046</t>
  </si>
  <si>
    <t>M00000327873</t>
  </si>
  <si>
    <t>M00000286930</t>
  </si>
  <si>
    <t>584</t>
  </si>
  <si>
    <t>M00000270217</t>
  </si>
  <si>
    <t>M00000321039</t>
  </si>
  <si>
    <t>1304</t>
  </si>
  <si>
    <t>M00000372881</t>
  </si>
  <si>
    <t>955</t>
  </si>
  <si>
    <t>M00000312751</t>
  </si>
  <si>
    <t>358</t>
  </si>
  <si>
    <t>M00000272456</t>
  </si>
  <si>
    <t>2021</t>
  </si>
  <si>
    <t>M00000313276</t>
  </si>
  <si>
    <t>M00000315032</t>
  </si>
  <si>
    <t>M00000325096</t>
  </si>
  <si>
    <t>M00000357233</t>
  </si>
  <si>
    <t>M00000338011</t>
  </si>
  <si>
    <t>1105</t>
  </si>
  <si>
    <t>M00000304909</t>
  </si>
  <si>
    <t>M00000343353</t>
  </si>
  <si>
    <t>M00000315516</t>
  </si>
  <si>
    <t>M00000320590</t>
  </si>
  <si>
    <t>419</t>
  </si>
  <si>
    <t>M00000322408</t>
  </si>
  <si>
    <t>675</t>
  </si>
  <si>
    <t>M00000335069</t>
  </si>
  <si>
    <t>M00000359123</t>
  </si>
  <si>
    <t>M00000369048</t>
  </si>
  <si>
    <t>M00000291365</t>
  </si>
  <si>
    <t>M00000342676</t>
  </si>
  <si>
    <t>M00000317975</t>
  </si>
  <si>
    <t>M00000354788</t>
  </si>
  <si>
    <t>M00000291467</t>
  </si>
  <si>
    <t>1066</t>
  </si>
  <si>
    <t>M00000346538</t>
  </si>
  <si>
    <t>M00000373061</t>
  </si>
  <si>
    <t>1404</t>
  </si>
  <si>
    <t>M00000351682</t>
  </si>
  <si>
    <t>M00000333172</t>
  </si>
  <si>
    <t>M00000346898</t>
  </si>
  <si>
    <t>M00000342464</t>
  </si>
  <si>
    <t>M00000336911</t>
  </si>
  <si>
    <t>M00000333195</t>
  </si>
  <si>
    <t>450</t>
  </si>
  <si>
    <t>M00000278819</t>
  </si>
  <si>
    <t>1833</t>
  </si>
  <si>
    <t>M00000346639</t>
  </si>
  <si>
    <t>375</t>
  </si>
  <si>
    <t>M00000287398</t>
  </si>
  <si>
    <t>M00000320560</t>
  </si>
  <si>
    <t>M00000338989</t>
  </si>
  <si>
    <t>M00000316406</t>
  </si>
  <si>
    <t>M00000278397</t>
  </si>
  <si>
    <t>M00000309678</t>
  </si>
  <si>
    <t>938</t>
  </si>
  <si>
    <t>M00000300876</t>
  </si>
  <si>
    <t>M00000287542</t>
  </si>
  <si>
    <t>M00000340212</t>
  </si>
  <si>
    <t>M00000306459</t>
  </si>
  <si>
    <t>M00000314739</t>
  </si>
  <si>
    <t>M00000281169</t>
  </si>
  <si>
    <t>M00000336452</t>
  </si>
  <si>
    <t>M00000281568</t>
  </si>
  <si>
    <t>817</t>
  </si>
  <si>
    <t>M00000340670</t>
  </si>
  <si>
    <t>1420</t>
  </si>
  <si>
    <t>M00000274391</t>
  </si>
  <si>
    <t>M00000361740</t>
  </si>
  <si>
    <t>M00000320852</t>
  </si>
  <si>
    <t>M00000347616</t>
  </si>
  <si>
    <t>1102</t>
  </si>
  <si>
    <t>M00000311773</t>
  </si>
  <si>
    <t>M00000319906</t>
  </si>
  <si>
    <t>M00000348420</t>
  </si>
  <si>
    <t>M00000350962</t>
  </si>
  <si>
    <t>M00000273540</t>
  </si>
  <si>
    <t>1584</t>
  </si>
  <si>
    <t>M00000322217</t>
  </si>
  <si>
    <t>M00000341227</t>
  </si>
  <si>
    <t>1373</t>
  </si>
  <si>
    <t>M00000343912</t>
  </si>
  <si>
    <t>M00000348424</t>
  </si>
  <si>
    <t>M00000337121</t>
  </si>
  <si>
    <t>M00000338669</t>
  </si>
  <si>
    <t>M00000308371</t>
  </si>
  <si>
    <t>M00000320551</t>
  </si>
  <si>
    <t>M00000347998</t>
  </si>
  <si>
    <t>M00000310169</t>
  </si>
  <si>
    <t>M00000374686</t>
  </si>
  <si>
    <t>1680</t>
  </si>
  <si>
    <t>M00000286690</t>
  </si>
  <si>
    <t>M00000269593</t>
  </si>
  <si>
    <t>2600</t>
  </si>
  <si>
    <t>M00000336443</t>
  </si>
  <si>
    <t>M00000332176</t>
  </si>
  <si>
    <t>M00000275391</t>
  </si>
  <si>
    <t>M00000279722</t>
  </si>
  <si>
    <t>1690</t>
  </si>
  <si>
    <t>M00000301451</t>
  </si>
  <si>
    <t>M00000281781</t>
  </si>
  <si>
    <t>1226</t>
  </si>
  <si>
    <t>M00000350929</t>
  </si>
  <si>
    <t>M00000282202</t>
  </si>
  <si>
    <t>M00000322171</t>
  </si>
  <si>
    <t>M00000336627</t>
  </si>
  <si>
    <t>M00000358567</t>
  </si>
  <si>
    <t>M00000274410</t>
  </si>
  <si>
    <t>M00000361347</t>
  </si>
  <si>
    <t>M00000290448</t>
  </si>
  <si>
    <t>M00000342380</t>
  </si>
  <si>
    <t>M00000333227</t>
  </si>
  <si>
    <t>1140</t>
  </si>
  <si>
    <t>M00000281441</t>
  </si>
  <si>
    <t>1558</t>
  </si>
  <si>
    <t>M00000310635</t>
  </si>
  <si>
    <t>M00000321594</t>
  </si>
  <si>
    <t>1444</t>
  </si>
  <si>
    <t>M00000373596</t>
  </si>
  <si>
    <t>1236</t>
  </si>
  <si>
    <t>M00000353166</t>
  </si>
  <si>
    <t>M00000308412</t>
  </si>
  <si>
    <t>M00000291132</t>
  </si>
  <si>
    <t>M00000313464</t>
  </si>
  <si>
    <t>M00000341309</t>
  </si>
  <si>
    <t>2405</t>
  </si>
  <si>
    <t>M00000358960</t>
  </si>
  <si>
    <t>M00000269860</t>
  </si>
  <si>
    <t>M00000324669</t>
  </si>
  <si>
    <t>M00000338248</t>
  </si>
  <si>
    <t>1758</t>
  </si>
  <si>
    <t>M00000284440</t>
  </si>
  <si>
    <t>M00000349417</t>
  </si>
  <si>
    <t>M00000299221</t>
  </si>
  <si>
    <t>M00000313462</t>
  </si>
  <si>
    <t>M00000325003</t>
  </si>
  <si>
    <t>M00000371085</t>
  </si>
  <si>
    <t>M00000325087</t>
  </si>
  <si>
    <t>M00000331679</t>
  </si>
  <si>
    <t>M00000300051</t>
  </si>
  <si>
    <t>M00000277125</t>
  </si>
  <si>
    <t>498</t>
  </si>
  <si>
    <t>M00000272806</t>
  </si>
  <si>
    <t>M00000292573</t>
  </si>
  <si>
    <t>M00000279638</t>
  </si>
  <si>
    <t>M00000362381</t>
  </si>
  <si>
    <t>M00000346012</t>
  </si>
  <si>
    <t>M00000271685</t>
  </si>
  <si>
    <t>2095</t>
  </si>
  <si>
    <t>M00000369072</t>
  </si>
  <si>
    <t>M00000294526</t>
  </si>
  <si>
    <t>M00000373045</t>
  </si>
  <si>
    <t>250</t>
  </si>
  <si>
    <t>M00000335169</t>
  </si>
  <si>
    <t>1088</t>
  </si>
  <si>
    <t>M00000317000</t>
  </si>
  <si>
    <t>M00000280837</t>
  </si>
  <si>
    <t>M00000362309</t>
  </si>
  <si>
    <t>M00000308708</t>
  </si>
  <si>
    <t>M00000317903</t>
  </si>
  <si>
    <t>M00000297338</t>
  </si>
  <si>
    <t>M00000322094</t>
  </si>
  <si>
    <t>M00000323056</t>
  </si>
  <si>
    <t>M00000350770</t>
  </si>
  <si>
    <t>1597</t>
  </si>
  <si>
    <t>M00000350387</t>
  </si>
  <si>
    <t>M00000347051</t>
  </si>
  <si>
    <t>M00000270276</t>
  </si>
  <si>
    <t>1651</t>
  </si>
  <si>
    <t>M00000309952</t>
  </si>
  <si>
    <t>M00000316051</t>
  </si>
  <si>
    <t>2330</t>
  </si>
  <si>
    <t>M00000347704</t>
  </si>
  <si>
    <t>M00000346164</t>
  </si>
  <si>
    <t>665</t>
  </si>
  <si>
    <t>M00000351456</t>
  </si>
  <si>
    <t>920</t>
  </si>
  <si>
    <t>M00000323802</t>
  </si>
  <si>
    <t>M00000325079</t>
  </si>
  <si>
    <t>M00000314812</t>
  </si>
  <si>
    <t>M00000348523</t>
  </si>
  <si>
    <t>M00000348132</t>
  </si>
  <si>
    <t>1975</t>
  </si>
  <si>
    <t>M00000313798</t>
  </si>
  <si>
    <t>1045</t>
  </si>
  <si>
    <t>M00000351375</t>
  </si>
  <si>
    <t>M00000357284</t>
  </si>
  <si>
    <t>930</t>
  </si>
  <si>
    <t>M00000269932</t>
  </si>
  <si>
    <t>M00000308812</t>
  </si>
  <si>
    <t>852</t>
  </si>
  <si>
    <t>M00000304173</t>
  </si>
  <si>
    <t>M00000322689</t>
  </si>
  <si>
    <t>M00000369757</t>
  </si>
  <si>
    <t>M00000281133</t>
  </si>
  <si>
    <t>M00000326762</t>
  </si>
  <si>
    <t>M00000370304</t>
  </si>
  <si>
    <t>M00000301137</t>
  </si>
  <si>
    <t>M00000348974</t>
  </si>
  <si>
    <t>M00000327350</t>
  </si>
  <si>
    <t>M00000334515</t>
  </si>
  <si>
    <t>M00000368286</t>
  </si>
  <si>
    <t>M00000281510</t>
  </si>
  <si>
    <t>2800</t>
  </si>
  <si>
    <t>M00000317040</t>
  </si>
  <si>
    <t>M00000310923</t>
  </si>
  <si>
    <t>1210</t>
  </si>
  <si>
    <t>M00000321761</t>
  </si>
  <si>
    <t>1569</t>
  </si>
  <si>
    <t>M00000341789</t>
  </si>
  <si>
    <t>M00000341487</t>
  </si>
  <si>
    <t>1132</t>
  </si>
  <si>
    <t>M00000343357</t>
  </si>
  <si>
    <t>M00000281371</t>
  </si>
  <si>
    <t>M00000326879</t>
  </si>
  <si>
    <t>M00000373005</t>
  </si>
  <si>
    <t>1720</t>
  </si>
  <si>
    <t>M00000319173</t>
  </si>
  <si>
    <t>778</t>
  </si>
  <si>
    <t>M00000291550</t>
  </si>
  <si>
    <t>M00000274964</t>
  </si>
  <si>
    <t>M00000320430</t>
  </si>
  <si>
    <t>M00000276777</t>
  </si>
  <si>
    <t>M00000300053</t>
  </si>
  <si>
    <t>M00000301764</t>
  </si>
  <si>
    <t>M00000324447</t>
  </si>
  <si>
    <t>M00000342658</t>
  </si>
  <si>
    <t>M00000356819</t>
  </si>
  <si>
    <t>M00000359794</t>
  </si>
  <si>
    <t>M00000311165</t>
  </si>
  <si>
    <t>M00000299037</t>
  </si>
  <si>
    <t>M00000367917</t>
  </si>
  <si>
    <t>315</t>
  </si>
  <si>
    <t>M00000343947</t>
  </si>
  <si>
    <t>M00000314429</t>
  </si>
  <si>
    <t>M00000362116</t>
  </si>
  <si>
    <t>826</t>
  </si>
  <si>
    <t>M00000342264</t>
  </si>
  <si>
    <t>M00000318039</t>
  </si>
  <si>
    <t>M00000297972</t>
  </si>
  <si>
    <t>M00000299874</t>
  </si>
  <si>
    <t>M00000347379</t>
  </si>
  <si>
    <t>M00000306659</t>
  </si>
  <si>
    <t>1852</t>
  </si>
  <si>
    <t>M00000297846</t>
  </si>
  <si>
    <t>M00000285215</t>
  </si>
  <si>
    <t>M00000275505</t>
  </si>
  <si>
    <t>M00000287212</t>
  </si>
  <si>
    <t>M00000335063</t>
  </si>
  <si>
    <t>1585</t>
  </si>
  <si>
    <t>M00000342144</t>
  </si>
  <si>
    <t>1581</t>
  </si>
  <si>
    <t>M00000333875</t>
  </si>
  <si>
    <t>M00000346838</t>
  </si>
  <si>
    <t>M00000315400</t>
  </si>
  <si>
    <t>948</t>
  </si>
  <si>
    <t>M00000341515</t>
  </si>
  <si>
    <t>1095</t>
  </si>
  <si>
    <t>M00000297966</t>
  </si>
  <si>
    <t>M00000322723</t>
  </si>
  <si>
    <t>667</t>
  </si>
  <si>
    <t>M00000275038</t>
  </si>
  <si>
    <t>M00000356150</t>
  </si>
  <si>
    <t>M00000276900</t>
  </si>
  <si>
    <t>M00000344928</t>
  </si>
  <si>
    <t>M00000336958</t>
  </si>
  <si>
    <t>M00000303168</t>
  </si>
  <si>
    <t>1222</t>
  </si>
  <si>
    <t>M00000350083</t>
  </si>
  <si>
    <t>1811</t>
  </si>
  <si>
    <t>M00000335207</t>
  </si>
  <si>
    <t>1510</t>
  </si>
  <si>
    <t>M00000292054</t>
  </si>
  <si>
    <t>M00000307375</t>
  </si>
  <si>
    <t>M00000310427</t>
  </si>
  <si>
    <t>2009</t>
  </si>
  <si>
    <t>M00000373439</t>
  </si>
  <si>
    <t>724</t>
  </si>
  <si>
    <t>M00000277239</t>
  </si>
  <si>
    <t>M00000286684</t>
  </si>
  <si>
    <t>M00000332302</t>
  </si>
  <si>
    <t>1287</t>
  </si>
  <si>
    <t>M00000274917</t>
  </si>
  <si>
    <t>M00000353093</t>
  </si>
  <si>
    <t>M00000269344</t>
  </si>
  <si>
    <t>1402</t>
  </si>
  <si>
    <t>M00000269542</t>
  </si>
  <si>
    <t>M00000363287</t>
  </si>
  <si>
    <t>M00000307674</t>
  </si>
  <si>
    <t>1779</t>
  </si>
  <si>
    <t>M00000337594</t>
  </si>
  <si>
    <t>M00000339828</t>
  </si>
  <si>
    <t>M00000269531</t>
  </si>
  <si>
    <t>M00000316308</t>
  </si>
  <si>
    <t>M00000353664</t>
  </si>
  <si>
    <t>M00000277145</t>
  </si>
  <si>
    <t>M00000311628</t>
  </si>
  <si>
    <t>2015</t>
  </si>
  <si>
    <t>M00000313616</t>
  </si>
  <si>
    <t>1872</t>
  </si>
  <si>
    <t>M00000271131</t>
  </si>
  <si>
    <t>999</t>
  </si>
  <si>
    <t>M00000336748</t>
  </si>
  <si>
    <t>M00000340843</t>
  </si>
  <si>
    <t>1466</t>
  </si>
  <si>
    <t>M00000362040</t>
  </si>
  <si>
    <t>M00000353215</t>
  </si>
  <si>
    <t>M00000291425</t>
  </si>
  <si>
    <t>1142</t>
  </si>
  <si>
    <t>M00000280594</t>
  </si>
  <si>
    <t>M00000278383</t>
  </si>
  <si>
    <t>1490</t>
  </si>
  <si>
    <t>M00000301896</t>
  </si>
  <si>
    <t>M00000271046</t>
  </si>
  <si>
    <t>M00000298932</t>
  </si>
  <si>
    <t>M00000277529</t>
  </si>
  <si>
    <t>762</t>
  </si>
  <si>
    <t>M00000321652</t>
  </si>
  <si>
    <t>M00000327936</t>
  </si>
  <si>
    <t>1696</t>
  </si>
  <si>
    <t>M00000271568</t>
  </si>
  <si>
    <t>M00000291319</t>
  </si>
  <si>
    <t>M00000341744</t>
  </si>
  <si>
    <t>288</t>
  </si>
  <si>
    <t>M00000355563</t>
  </si>
  <si>
    <t>M00000374661</t>
  </si>
  <si>
    <t>701</t>
  </si>
  <si>
    <t>M00000285166</t>
  </si>
  <si>
    <t>2120</t>
  </si>
  <si>
    <t>M00000319024</t>
  </si>
  <si>
    <t>M00000301334</t>
  </si>
  <si>
    <t>1298</t>
  </si>
  <si>
    <t>M00000338130</t>
  </si>
  <si>
    <t>M00000306664</t>
  </si>
  <si>
    <t>M00000347783</t>
  </si>
  <si>
    <t>1722</t>
  </si>
  <si>
    <t>M00000333205</t>
  </si>
  <si>
    <t>903</t>
  </si>
  <si>
    <t>M00000290831</t>
  </si>
  <si>
    <t>M00000327989</t>
  </si>
  <si>
    <t>M00000336928</t>
  </si>
  <si>
    <t>M00000333929</t>
  </si>
  <si>
    <t>M00000277501</t>
  </si>
  <si>
    <t>2408</t>
  </si>
  <si>
    <t>M00000271385</t>
  </si>
  <si>
    <t>M00000364327</t>
  </si>
  <si>
    <t>M00000268327</t>
  </si>
  <si>
    <t>M00000342006</t>
  </si>
  <si>
    <t>M00000310688</t>
  </si>
  <si>
    <t>M00000343837</t>
  </si>
  <si>
    <t>2138</t>
  </si>
  <si>
    <t>M00000366072</t>
  </si>
  <si>
    <t>M00000298177</t>
  </si>
  <si>
    <t>M00000343914</t>
  </si>
  <si>
    <t>M00000280786</t>
  </si>
  <si>
    <t>1618</t>
  </si>
  <si>
    <t>M00000269834</t>
  </si>
  <si>
    <t>861</t>
  </si>
  <si>
    <t>M00000280860</t>
  </si>
  <si>
    <t>M00000315211</t>
  </si>
  <si>
    <t>M00000307189</t>
  </si>
  <si>
    <t>M00000272355</t>
  </si>
  <si>
    <t>1206</t>
  </si>
  <si>
    <t>M00000318409</t>
  </si>
  <si>
    <t>M00000281646</t>
  </si>
  <si>
    <t>M00000301535</t>
  </si>
  <si>
    <t>M00000303477</t>
  </si>
  <si>
    <t>M00000316919</t>
  </si>
  <si>
    <t>M00000322232</t>
  </si>
  <si>
    <t>M00000313434</t>
  </si>
  <si>
    <t>1097</t>
  </si>
  <si>
    <t>M00000354111</t>
  </si>
  <si>
    <t>M00000337281</t>
  </si>
  <si>
    <t>1666</t>
  </si>
  <si>
    <t>M00000300914</t>
  </si>
  <si>
    <t>1243</t>
  </si>
  <si>
    <t>M00000311530</t>
  </si>
  <si>
    <t>M00000306768</t>
  </si>
  <si>
    <t>1881</t>
  </si>
  <si>
    <t>M00000331959</t>
  </si>
  <si>
    <t>M00000334468</t>
  </si>
  <si>
    <t>M00000285734</t>
  </si>
  <si>
    <t>M00000317115</t>
  </si>
  <si>
    <t>M00000290665</t>
  </si>
  <si>
    <t>M00000346788</t>
  </si>
  <si>
    <t>1607</t>
  </si>
  <si>
    <t>M00000285967</t>
  </si>
  <si>
    <t>1078</t>
  </si>
  <si>
    <t>M00000296368</t>
  </si>
  <si>
    <t>M00000335309</t>
  </si>
  <si>
    <t>M00000368051</t>
  </si>
  <si>
    <t>1064</t>
  </si>
  <si>
    <t>M00000372822</t>
  </si>
  <si>
    <t>1351</t>
  </si>
  <si>
    <t>M00000343541</t>
  </si>
  <si>
    <t>M00000284780</t>
  </si>
  <si>
    <t>M00000350931</t>
  </si>
  <si>
    <t>M00000347118</t>
  </si>
  <si>
    <t>M00000342209</t>
  </si>
  <si>
    <t>M00000367029</t>
  </si>
  <si>
    <t>M00000313577</t>
  </si>
  <si>
    <t>M00000315492</t>
  </si>
  <si>
    <t>M00000308281</t>
  </si>
  <si>
    <t>M00000334764</t>
  </si>
  <si>
    <t>606</t>
  </si>
  <si>
    <t>M00000281446</t>
  </si>
  <si>
    <t>M00000349604</t>
  </si>
  <si>
    <t>M00000313455</t>
  </si>
  <si>
    <t>M00000319918</t>
  </si>
  <si>
    <t>806</t>
  </si>
  <si>
    <t>M00000347794</t>
  </si>
  <si>
    <t>M00000273229</t>
  </si>
  <si>
    <t>M00000352205</t>
  </si>
  <si>
    <t>134</t>
  </si>
  <si>
    <t>M00000342604</t>
  </si>
  <si>
    <t>M00000319325</t>
  </si>
  <si>
    <t>M00000348581</t>
  </si>
  <si>
    <t>M00000306013</t>
  </si>
  <si>
    <t>M00000321522</t>
  </si>
  <si>
    <t>M00000316741</t>
  </si>
  <si>
    <t>1712</t>
  </si>
  <si>
    <t>M00000323083</t>
  </si>
  <si>
    <t>M00000300521</t>
  </si>
  <si>
    <t>M00000295676</t>
  </si>
  <si>
    <t>M00000346632</t>
  </si>
  <si>
    <t>1976</t>
  </si>
  <si>
    <t>M00000304077</t>
  </si>
  <si>
    <t>M00000334508</t>
  </si>
  <si>
    <t>M00000288910</t>
  </si>
  <si>
    <t>M00000355866</t>
  </si>
  <si>
    <t>1290</t>
  </si>
  <si>
    <t>M00000343813</t>
  </si>
  <si>
    <t>M00000319198</t>
  </si>
  <si>
    <t>M00000269139</t>
  </si>
  <si>
    <t>M00000285661</t>
  </si>
  <si>
    <t>1258</t>
  </si>
  <si>
    <t>M00000283477</t>
  </si>
  <si>
    <t>M00000355526</t>
  </si>
  <si>
    <t>M00000359364</t>
  </si>
  <si>
    <t>932</t>
  </si>
  <si>
    <t>M00000335596</t>
  </si>
  <si>
    <t>M00000356416</t>
  </si>
  <si>
    <t>893</t>
  </si>
  <si>
    <t>M00000333095</t>
  </si>
  <si>
    <t>M00000273030</t>
  </si>
  <si>
    <t>970</t>
  </si>
  <si>
    <t>M00000332323</t>
  </si>
  <si>
    <t>3575</t>
  </si>
  <si>
    <t>M00000298565</t>
  </si>
  <si>
    <t>M00000291345</t>
  </si>
  <si>
    <t>996</t>
  </si>
  <si>
    <t>M00000355271</t>
  </si>
  <si>
    <t>M00000320931</t>
  </si>
  <si>
    <t>M00000289545</t>
  </si>
  <si>
    <t>1131</t>
  </si>
  <si>
    <t>M00000314645</t>
  </si>
  <si>
    <t>M00000277220</t>
  </si>
  <si>
    <t>M00000367536</t>
  </si>
  <si>
    <t>M00000310414</t>
  </si>
  <si>
    <t>M00000341960</t>
  </si>
  <si>
    <t>M00000294410</t>
  </si>
  <si>
    <t>M00000286686</t>
  </si>
  <si>
    <t>M00000373029</t>
  </si>
  <si>
    <t>1635</t>
  </si>
  <si>
    <t>M00000357623</t>
  </si>
  <si>
    <t>M00000355825</t>
  </si>
  <si>
    <t>562</t>
  </si>
  <si>
    <t>M00000368077</t>
  </si>
  <si>
    <t>M00000304446</t>
  </si>
  <si>
    <t>M00000319760</t>
  </si>
  <si>
    <t>696</t>
  </si>
  <si>
    <t>M00000277547</t>
  </si>
  <si>
    <t>M00000298523</t>
  </si>
  <si>
    <t>M00000308200</t>
  </si>
  <si>
    <t>464</t>
  </si>
  <si>
    <t>M00000308040</t>
  </si>
  <si>
    <t>M00000334116</t>
  </si>
  <si>
    <t>M00000325257</t>
  </si>
  <si>
    <t>M00000322583</t>
  </si>
  <si>
    <t>1926</t>
  </si>
  <si>
    <t>M00000287665</t>
  </si>
  <si>
    <t>M00000343354</t>
  </si>
  <si>
    <t>1960</t>
  </si>
  <si>
    <t>M00000282327</t>
  </si>
  <si>
    <t>325</t>
  </si>
  <si>
    <t>M00000313183</t>
  </si>
  <si>
    <t>M00000324912</t>
  </si>
  <si>
    <t>M00000286653</t>
  </si>
  <si>
    <t>M00000323961</t>
  </si>
  <si>
    <t>M00000269997</t>
  </si>
  <si>
    <t>994</t>
  </si>
  <si>
    <t>M00000348090</t>
  </si>
  <si>
    <t>M00000305974</t>
  </si>
  <si>
    <t>1392</t>
  </si>
  <si>
    <t>M00000335488</t>
  </si>
  <si>
    <t>M00000335491</t>
  </si>
  <si>
    <t>M00000343625</t>
  </si>
  <si>
    <t>M00000327216</t>
  </si>
  <si>
    <t>M00000306585</t>
  </si>
  <si>
    <t>M00000366407</t>
  </si>
  <si>
    <t>1658</t>
  </si>
  <si>
    <t>M00000318083</t>
  </si>
  <si>
    <t>M00000318601</t>
  </si>
  <si>
    <t>M00000292583</t>
  </si>
  <si>
    <t>M00000315365</t>
  </si>
  <si>
    <t>1725</t>
  </si>
  <si>
    <t>M00000342249</t>
  </si>
  <si>
    <t>703</t>
  </si>
  <si>
    <t>M00000367077</t>
  </si>
  <si>
    <t>M00000333016</t>
  </si>
  <si>
    <t>M00000344058</t>
  </si>
  <si>
    <t>845</t>
  </si>
  <si>
    <t>M00000335152</t>
  </si>
  <si>
    <t>M00000368119</t>
  </si>
  <si>
    <t>M00000374544</t>
  </si>
  <si>
    <t>M00000367073</t>
  </si>
  <si>
    <t>M00000297091</t>
  </si>
  <si>
    <t>M00000268944</t>
  </si>
  <si>
    <t>M00000271432</t>
  </si>
  <si>
    <t>M00000338788</t>
  </si>
  <si>
    <t>M00000346605</t>
  </si>
  <si>
    <t>M00000300840</t>
  </si>
  <si>
    <t>M00000285596</t>
  </si>
  <si>
    <t>669</t>
  </si>
  <si>
    <t>M00000329220</t>
  </si>
  <si>
    <t>M00000355850</t>
  </si>
  <si>
    <t>M00000312695</t>
  </si>
  <si>
    <t>1563</t>
  </si>
  <si>
    <t>M00000353849</t>
  </si>
  <si>
    <t>1124</t>
  </si>
  <si>
    <t>M00000348599</t>
  </si>
  <si>
    <t>M00000313452</t>
  </si>
  <si>
    <t>M00000307463</t>
  </si>
  <si>
    <t>M00000350279</t>
  </si>
  <si>
    <t>1706</t>
  </si>
  <si>
    <t>M00000318641</t>
  </si>
  <si>
    <t>M00000302602</t>
  </si>
  <si>
    <t>M00000326754</t>
  </si>
  <si>
    <t>M00000326974</t>
  </si>
  <si>
    <t>1311</t>
  </si>
  <si>
    <t>M00000276885</t>
  </si>
  <si>
    <t>M00000343525</t>
  </si>
  <si>
    <t>968</t>
  </si>
  <si>
    <t>M00000286318</t>
  </si>
  <si>
    <t>M00000355597</t>
  </si>
  <si>
    <t>M00000284180</t>
  </si>
  <si>
    <t>1652</t>
  </si>
  <si>
    <t>M00000316987</t>
  </si>
  <si>
    <t>M00000339820</t>
  </si>
  <si>
    <t>M00000319020</t>
  </si>
  <si>
    <t>M00000351080</t>
  </si>
  <si>
    <t>M00000296402</t>
  </si>
  <si>
    <t>M00000341878</t>
  </si>
  <si>
    <t>1844</t>
  </si>
  <si>
    <t>M00000302198</t>
  </si>
  <si>
    <t>1055</t>
  </si>
  <si>
    <t>M00000284599</t>
  </si>
  <si>
    <t>M00000358958</t>
  </si>
  <si>
    <t>M00000350449</t>
  </si>
  <si>
    <t>1205</t>
  </si>
  <si>
    <t>M00000304354</t>
  </si>
  <si>
    <t>714</t>
  </si>
  <si>
    <t>M00000282311</t>
  </si>
  <si>
    <t>M00000303221</t>
  </si>
  <si>
    <t>M00000309760</t>
  </si>
  <si>
    <t>1112</t>
  </si>
  <si>
    <t>M00000341099</t>
  </si>
  <si>
    <t>M00000316764</t>
  </si>
  <si>
    <t>M00000292339</t>
  </si>
  <si>
    <t>1694</t>
  </si>
  <si>
    <t>M00000300901</t>
  </si>
  <si>
    <t>M00000276937</t>
  </si>
  <si>
    <t>M00000313005</t>
  </si>
  <si>
    <t>M00000285235</t>
  </si>
  <si>
    <t>M00000305598</t>
  </si>
  <si>
    <t>M00000341126</t>
  </si>
  <si>
    <t>M00000282330</t>
  </si>
  <si>
    <t>1086</t>
  </si>
  <si>
    <t>M00000346736</t>
  </si>
  <si>
    <t>1918</t>
  </si>
  <si>
    <t>M00000272762</t>
  </si>
  <si>
    <t>M00000284415</t>
  </si>
  <si>
    <t>M00000284654</t>
  </si>
  <si>
    <t>1839</t>
  </si>
  <si>
    <t>M00000302063</t>
  </si>
  <si>
    <t>1559</t>
  </si>
  <si>
    <t>M00000349762</t>
  </si>
  <si>
    <t>M00000339963</t>
  </si>
  <si>
    <t>M00000333248</t>
  </si>
  <si>
    <t>M00000341943</t>
  </si>
  <si>
    <t>M00000325103</t>
  </si>
  <si>
    <t>1090</t>
  </si>
  <si>
    <t>M00000339124</t>
  </si>
  <si>
    <t>M00000358123</t>
  </si>
  <si>
    <t>1228</t>
  </si>
  <si>
    <t>M00000349589</t>
  </si>
  <si>
    <t>1179</t>
  </si>
  <si>
    <t>M00000303937</t>
  </si>
  <si>
    <t>M00000300863</t>
  </si>
  <si>
    <t>766</t>
  </si>
  <si>
    <t>M00000322307</t>
  </si>
  <si>
    <t>1054</t>
  </si>
  <si>
    <t>M00000323968</t>
  </si>
  <si>
    <t>1647</t>
  </si>
  <si>
    <t>M00000301940</t>
  </si>
  <si>
    <t>M00000326910</t>
  </si>
  <si>
    <t>M00000343412</t>
  </si>
  <si>
    <t>M00000315678</t>
  </si>
  <si>
    <t>933</t>
  </si>
  <si>
    <t>M00000296023</t>
  </si>
  <si>
    <t>M00000362723</t>
  </si>
  <si>
    <t>M00000335322</t>
  </si>
  <si>
    <t>527</t>
  </si>
  <si>
    <t>M00000374589</t>
  </si>
  <si>
    <t>M00000343770</t>
  </si>
  <si>
    <t>M00000319431</t>
  </si>
  <si>
    <t>220</t>
  </si>
  <si>
    <t>M00000291239</t>
  </si>
  <si>
    <t>M00000326976</t>
  </si>
  <si>
    <t>M00000272608</t>
  </si>
  <si>
    <t>748</t>
  </si>
  <si>
    <t>M00000343560</t>
  </si>
  <si>
    <t>M00000319086</t>
  </si>
  <si>
    <t>M00000272740</t>
  </si>
  <si>
    <t>M00000303850</t>
  </si>
  <si>
    <t>M00000291440</t>
  </si>
  <si>
    <t>M00000368639</t>
  </si>
  <si>
    <t>M00000349345</t>
  </si>
  <si>
    <t>M00000294664</t>
  </si>
  <si>
    <t>552</t>
  </si>
  <si>
    <t>M00000327313</t>
  </si>
  <si>
    <t>M00000269231</t>
  </si>
  <si>
    <t>1630</t>
  </si>
  <si>
    <t>M00000353297</t>
  </si>
  <si>
    <t>M00000275343</t>
  </si>
  <si>
    <t>M00000281843</t>
  </si>
  <si>
    <t>1508</t>
  </si>
  <si>
    <t>M00000306830</t>
  </si>
  <si>
    <t>874</t>
  </si>
  <si>
    <t>M00000297912</t>
  </si>
  <si>
    <t>1428</t>
  </si>
  <si>
    <t>M00000271349</t>
  </si>
  <si>
    <t>M00000351797</t>
  </si>
  <si>
    <t>1671</t>
  </si>
  <si>
    <t>M00000353217</t>
  </si>
  <si>
    <t>M00000373431</t>
  </si>
  <si>
    <t>M00000343670</t>
  </si>
  <si>
    <t>M00000285633</t>
  </si>
  <si>
    <t>1952</t>
  </si>
  <si>
    <t>M00000282715</t>
  </si>
  <si>
    <t>M00000321391</t>
  </si>
  <si>
    <t>M00000276107</t>
  </si>
  <si>
    <t>M00000279505</t>
  </si>
  <si>
    <t>M00000307161</t>
  </si>
  <si>
    <t>M00000301900</t>
  </si>
  <si>
    <t>M00000348744</t>
  </si>
  <si>
    <t>1770</t>
  </si>
  <si>
    <t>M00000296236</t>
  </si>
  <si>
    <t>M00000308299</t>
  </si>
  <si>
    <t>575</t>
  </si>
  <si>
    <t>M00000308377</t>
  </si>
  <si>
    <t>M00000308866</t>
  </si>
  <si>
    <t>1390</t>
  </si>
  <si>
    <t>M00000359856</t>
  </si>
  <si>
    <t>M00000368198</t>
  </si>
  <si>
    <t>M00000328769</t>
  </si>
  <si>
    <t>1468</t>
  </si>
  <si>
    <t>M00000335655</t>
  </si>
  <si>
    <t>1502</t>
  </si>
  <si>
    <t>M00000279973</t>
  </si>
  <si>
    <t>1338</t>
  </si>
  <si>
    <t>M00000331810</t>
  </si>
  <si>
    <t>M00000317585</t>
  </si>
  <si>
    <t>1765</t>
  </si>
  <si>
    <t>M00000310627</t>
  </si>
  <si>
    <t>1621</t>
  </si>
  <si>
    <t>M00000339759</t>
  </si>
  <si>
    <t>1044</t>
  </si>
  <si>
    <t>M00000320904</t>
  </si>
  <si>
    <t>M00000342078</t>
  </si>
  <si>
    <t>794</t>
  </si>
  <si>
    <t>M00000343290</t>
  </si>
  <si>
    <t>M00000346715</t>
  </si>
  <si>
    <t>M00000371362</t>
  </si>
  <si>
    <t>M00000373715</t>
  </si>
  <si>
    <t>M00000356345</t>
  </si>
  <si>
    <t>1335</t>
  </si>
  <si>
    <t>M00000372469</t>
  </si>
  <si>
    <t>M00000301878</t>
  </si>
  <si>
    <t>1215</t>
  </si>
  <si>
    <t>M00000273072</t>
  </si>
  <si>
    <t>1503</t>
  </si>
  <si>
    <t>M00000342219</t>
  </si>
  <si>
    <t>M00000344930</t>
  </si>
  <si>
    <t>M00000364279</t>
  </si>
  <si>
    <t>M00000309000</t>
  </si>
  <si>
    <t>M00000370395</t>
  </si>
  <si>
    <t>1395</t>
  </si>
  <si>
    <t>M00000301536</t>
  </si>
  <si>
    <t>1472</t>
  </si>
  <si>
    <t>M00000354936</t>
  </si>
  <si>
    <t>1098</t>
  </si>
  <si>
    <t>M00000299375</t>
  </si>
  <si>
    <t>M00000289482</t>
  </si>
  <si>
    <t>M00000287096</t>
  </si>
  <si>
    <t>1602</t>
  </si>
  <si>
    <t>M00000339639</t>
  </si>
  <si>
    <t>M00000298027</t>
  </si>
  <si>
    <t>M00000373467</t>
  </si>
  <si>
    <t>M00000342026</t>
  </si>
  <si>
    <t>787</t>
  </si>
  <si>
    <t>M00000276889</t>
  </si>
  <si>
    <t>1532</t>
  </si>
  <si>
    <t>M00000271359</t>
  </si>
  <si>
    <t>M00000271750</t>
  </si>
  <si>
    <t>M00000287196</t>
  </si>
  <si>
    <t>1556</t>
  </si>
  <si>
    <t>M00000333296</t>
  </si>
  <si>
    <t>306</t>
  </si>
  <si>
    <t>M00000317467</t>
  </si>
  <si>
    <t>1070</t>
  </si>
  <si>
    <t>M00000298053</t>
  </si>
  <si>
    <t>672</t>
  </si>
  <si>
    <t>M00000332599</t>
  </si>
  <si>
    <t>M00000343868</t>
  </si>
  <si>
    <t>M00000320821</t>
  </si>
  <si>
    <t>M00000313289</t>
  </si>
  <si>
    <t>M00000327195</t>
  </si>
  <si>
    <t>M00000320052</t>
  </si>
  <si>
    <t>1145</t>
  </si>
  <si>
    <t>M00000336463</t>
  </si>
  <si>
    <t>M00000337125</t>
  </si>
  <si>
    <t>M00000337779</t>
  </si>
  <si>
    <t>M00000274552</t>
  </si>
  <si>
    <t>M00000371751</t>
  </si>
  <si>
    <t>M00000349744</t>
  </si>
  <si>
    <t>M00000307760</t>
  </si>
  <si>
    <t>M00000297989</t>
  </si>
  <si>
    <t>M00000312743</t>
  </si>
  <si>
    <t>M00000334422</t>
  </si>
  <si>
    <t>1889</t>
  </si>
  <si>
    <t>M00000339786</t>
  </si>
  <si>
    <t>M00000320913</t>
  </si>
  <si>
    <t>M00000284268</t>
  </si>
  <si>
    <t>931</t>
  </si>
  <si>
    <t>M00000291392</t>
  </si>
  <si>
    <t>M00000298437</t>
  </si>
  <si>
    <t>2113</t>
  </si>
  <si>
    <t>M00000277097</t>
  </si>
  <si>
    <t>1328</t>
  </si>
  <si>
    <t>M00000308767</t>
  </si>
  <si>
    <t>M00000299757</t>
  </si>
  <si>
    <t>M00000283273</t>
  </si>
  <si>
    <t>M00000335580</t>
  </si>
  <si>
    <t>1735</t>
  </si>
  <si>
    <t>M00000335120</t>
  </si>
  <si>
    <t>M00000279933</t>
  </si>
  <si>
    <t>M00000276906</t>
  </si>
  <si>
    <t>M00000342191</t>
  </si>
  <si>
    <t>M00000371837</t>
  </si>
  <si>
    <t>1353</t>
  </si>
  <si>
    <t>M00000366156</t>
  </si>
  <si>
    <t>M00000287268</t>
  </si>
  <si>
    <t>M00000291206</t>
  </si>
  <si>
    <t>M00000316103</t>
  </si>
  <si>
    <t>M00000353648</t>
  </si>
  <si>
    <t>M00000350085</t>
  </si>
  <si>
    <t>M00000276934</t>
  </si>
  <si>
    <t>M00000330391</t>
  </si>
  <si>
    <t>M00000303088</t>
  </si>
  <si>
    <t>M00000299546</t>
  </si>
  <si>
    <t>1121</t>
  </si>
  <si>
    <t>M00000271331</t>
  </si>
  <si>
    <t>M00000304221</t>
  </si>
  <si>
    <t>M00000319245</t>
  </si>
  <si>
    <t>M00000285077</t>
  </si>
  <si>
    <t>M00000343879</t>
  </si>
  <si>
    <t>M00000335078</t>
  </si>
  <si>
    <t>390</t>
  </si>
  <si>
    <t>M00000342357</t>
  </si>
  <si>
    <t>M00000307203</t>
  </si>
  <si>
    <t>M00000293911</t>
  </si>
  <si>
    <t>576</t>
  </si>
  <si>
    <t>M00000348736</t>
  </si>
  <si>
    <t>M00000308778</t>
  </si>
  <si>
    <t>M00000291023</t>
  </si>
  <si>
    <t>M00000301674</t>
  </si>
  <si>
    <t>M00000269522</t>
  </si>
  <si>
    <t>772</t>
  </si>
  <si>
    <t>M00000316343</t>
  </si>
  <si>
    <t>M00000305245</t>
  </si>
  <si>
    <t>M00000294525</t>
  </si>
  <si>
    <t>216</t>
  </si>
  <si>
    <t>M00000299225</t>
  </si>
  <si>
    <t>M00000283605</t>
  </si>
  <si>
    <t>M00000290938</t>
  </si>
  <si>
    <t>1285</t>
  </si>
  <si>
    <t>M00000335481</t>
  </si>
  <si>
    <t>M00000297913</t>
  </si>
  <si>
    <t>M00000269820</t>
  </si>
  <si>
    <t>M00000268952</t>
  </si>
  <si>
    <t>M00000270421</t>
  </si>
  <si>
    <t>M00000348004</t>
  </si>
  <si>
    <t>M00000359906</t>
  </si>
  <si>
    <t>1455</t>
  </si>
  <si>
    <t>M00000357597</t>
  </si>
  <si>
    <t>815</t>
  </si>
  <si>
    <t>M00000368999</t>
  </si>
  <si>
    <t>M00000320368</t>
  </si>
  <si>
    <t>M00000332217</t>
  </si>
  <si>
    <t>M00000346802</t>
  </si>
  <si>
    <t>M00000314562</t>
  </si>
  <si>
    <t>M00000283255</t>
  </si>
  <si>
    <t>2006</t>
  </si>
  <si>
    <t>M00000283830</t>
  </si>
  <si>
    <t>1067</t>
  </si>
  <si>
    <t>M00000302920</t>
  </si>
  <si>
    <t>1496</t>
  </si>
  <si>
    <t>M00000340572</t>
  </si>
  <si>
    <t>M00000340577</t>
  </si>
  <si>
    <t>M00000369075</t>
  </si>
  <si>
    <t>2640</t>
  </si>
  <si>
    <t>M00000323828</t>
  </si>
  <si>
    <t>M00000277473</t>
  </si>
  <si>
    <t>M00000340585</t>
  </si>
  <si>
    <t>M00000319263</t>
  </si>
  <si>
    <t>M00000340101</t>
  </si>
  <si>
    <t>M00000367960</t>
  </si>
  <si>
    <t>M00000366116</t>
  </si>
  <si>
    <t>M00000360856</t>
  </si>
  <si>
    <t>688</t>
  </si>
  <si>
    <t>M00000282886</t>
  </si>
  <si>
    <t>M00000367346</t>
  </si>
  <si>
    <t>1421</t>
  </si>
  <si>
    <t>M00000300925</t>
  </si>
  <si>
    <t>M00000342691</t>
  </si>
  <si>
    <t>M00000359436</t>
  </si>
  <si>
    <t>M00000370895</t>
  </si>
  <si>
    <t>M00000313444</t>
  </si>
  <si>
    <t>1177</t>
  </si>
  <si>
    <t>M00000291347</t>
  </si>
  <si>
    <t>882</t>
  </si>
  <si>
    <t>M00000339045</t>
  </si>
  <si>
    <t>M00000291341</t>
  </si>
  <si>
    <t>862</t>
  </si>
  <si>
    <t>M00000299832</t>
  </si>
  <si>
    <t>788</t>
  </si>
  <si>
    <t>M00000336440</t>
  </si>
  <si>
    <t>M00000269283</t>
  </si>
  <si>
    <t>M00000306242</t>
  </si>
  <si>
    <t>612</t>
  </si>
  <si>
    <t>M00000359868</t>
  </si>
  <si>
    <t>M00000299089</t>
  </si>
  <si>
    <t>M00000329199</t>
  </si>
  <si>
    <t>M00000351843</t>
  </si>
  <si>
    <t>M00000316633</t>
  </si>
  <si>
    <t>M00000339063</t>
  </si>
  <si>
    <t>1122</t>
  </si>
  <si>
    <t>M00000280825</t>
  </si>
  <si>
    <t>M00000269692</t>
  </si>
  <si>
    <t>M00000330675</t>
  </si>
  <si>
    <t>238</t>
  </si>
  <si>
    <t>M00000340449</t>
  </si>
  <si>
    <t>1465</t>
  </si>
  <si>
    <t>M00000362695</t>
  </si>
  <si>
    <t>M00000307880</t>
  </si>
  <si>
    <t>2050</t>
  </si>
  <si>
    <t>M00000342500</t>
  </si>
  <si>
    <t>M00000374688</t>
  </si>
  <si>
    <t>M00000306853</t>
  </si>
  <si>
    <t>M00000341177</t>
  </si>
  <si>
    <t>M00000289470</t>
  </si>
  <si>
    <t>1388</t>
  </si>
  <si>
    <t>M00000335324</t>
  </si>
  <si>
    <t>188</t>
  </si>
  <si>
    <t>M00000272005</t>
  </si>
  <si>
    <t>M00000283109</t>
  </si>
  <si>
    <t>1625</t>
  </si>
  <si>
    <t>M00000277629</t>
  </si>
  <si>
    <t>M00000330780</t>
  </si>
  <si>
    <t>M00000325436</t>
  </si>
  <si>
    <t>M00000311873</t>
  </si>
  <si>
    <t>M00000269673</t>
  </si>
  <si>
    <t>1068</t>
  </si>
  <si>
    <t>M00000339073</t>
  </si>
  <si>
    <t>1379</t>
  </si>
  <si>
    <t>M00000342411</t>
  </si>
  <si>
    <t>M00000319027</t>
  </si>
  <si>
    <t>1115</t>
  </si>
  <si>
    <t>M00000318781</t>
  </si>
  <si>
    <t>514</t>
  </si>
  <si>
    <t>M00000352987</t>
  </si>
  <si>
    <t>946</t>
  </si>
  <si>
    <t>M00000296307</t>
  </si>
  <si>
    <t>1489</t>
  </si>
  <si>
    <t>M00000310183</t>
  </si>
  <si>
    <t>415</t>
  </si>
  <si>
    <t>M00000325598</t>
  </si>
  <si>
    <t>M00000348524</t>
  </si>
  <si>
    <t>M00000300823</t>
  </si>
  <si>
    <t>M00000300879</t>
  </si>
  <si>
    <t>1470</t>
  </si>
  <si>
    <t>M00000358347</t>
  </si>
  <si>
    <t>804</t>
  </si>
  <si>
    <t>M00000349533</t>
  </si>
  <si>
    <t>M00000354895</t>
  </si>
  <si>
    <t>M00000339752</t>
  </si>
  <si>
    <t>M00000299086</t>
  </si>
  <si>
    <t>1073</t>
  </si>
  <si>
    <t>M00000283650</t>
  </si>
  <si>
    <t>M00000296241</t>
  </si>
  <si>
    <t>M00000332257</t>
  </si>
  <si>
    <t>M00000356143</t>
  </si>
  <si>
    <t>M00000321394</t>
  </si>
  <si>
    <t>M00000307241</t>
  </si>
  <si>
    <t>M00000268888</t>
  </si>
  <si>
    <t>347</t>
  </si>
  <si>
    <t>M00000363754</t>
  </si>
  <si>
    <t>M00000331884</t>
  </si>
  <si>
    <t>M00000305079</t>
  </si>
  <si>
    <t>M00000337308</t>
  </si>
  <si>
    <t>1184</t>
  </si>
  <si>
    <t>M00000372824</t>
  </si>
  <si>
    <t>1509</t>
  </si>
  <si>
    <t>M00000338593</t>
  </si>
  <si>
    <t>1806</t>
  </si>
  <si>
    <t>M00000271977</t>
  </si>
  <si>
    <t>1235</t>
  </si>
  <si>
    <t>M00000280093</t>
  </si>
  <si>
    <t>M00000350077</t>
  </si>
  <si>
    <t>M00000316716</t>
  </si>
  <si>
    <t>M00000268921</t>
  </si>
  <si>
    <t>M00000303388</t>
  </si>
  <si>
    <t>M00000357222</t>
  </si>
  <si>
    <t>M00000326104</t>
  </si>
  <si>
    <t>M00000275528</t>
  </si>
  <si>
    <t>M00000328101</t>
  </si>
  <si>
    <t>M00000278321</t>
  </si>
  <si>
    <t>M00000355831</t>
  </si>
  <si>
    <t>M00000333458</t>
  </si>
  <si>
    <t>M00000302260</t>
  </si>
  <si>
    <t>695</t>
  </si>
  <si>
    <t>M00000370387</t>
  </si>
  <si>
    <t>M00000337155</t>
  </si>
  <si>
    <t>M00000285202</t>
  </si>
  <si>
    <t>M00000341921</t>
  </si>
  <si>
    <t>M00000345066</t>
  </si>
  <si>
    <t>M00000351076</t>
  </si>
  <si>
    <t>M00000320401</t>
  </si>
  <si>
    <t>M00000340596</t>
  </si>
  <si>
    <t>M00000320375</t>
  </si>
  <si>
    <t>M00000341380</t>
  </si>
  <si>
    <t>M00000347847</t>
  </si>
  <si>
    <t>M00000335080</t>
  </si>
  <si>
    <t>M00000294288</t>
  </si>
  <si>
    <t>M00000315420</t>
  </si>
  <si>
    <t>M00000304759</t>
  </si>
  <si>
    <t>M00000368199</t>
  </si>
  <si>
    <t>M00000351075</t>
  </si>
  <si>
    <t>M00000352207</t>
  </si>
  <si>
    <t>1830</t>
  </si>
  <si>
    <t>M00000273081</t>
  </si>
  <si>
    <t>330</t>
  </si>
  <si>
    <t>M00000374364</t>
  </si>
  <si>
    <t>M00000304067</t>
  </si>
  <si>
    <t>M00000347152</t>
  </si>
  <si>
    <t>M00000323505</t>
  </si>
  <si>
    <t>M00000301615</t>
  </si>
  <si>
    <t>1046</t>
  </si>
  <si>
    <t>M00000269785</t>
  </si>
  <si>
    <t>M00000280863</t>
  </si>
  <si>
    <t>M00000355009</t>
  </si>
  <si>
    <t>M00000343922</t>
  </si>
  <si>
    <t>M00000346301</t>
  </si>
  <si>
    <t>M00000283362</t>
  </si>
  <si>
    <t>M00000336944</t>
  </si>
  <si>
    <t>364</t>
  </si>
  <si>
    <t>M00000352832</t>
  </si>
  <si>
    <t>M00000322718</t>
  </si>
  <si>
    <t>M00000333532</t>
  </si>
  <si>
    <t>1249</t>
  </si>
  <si>
    <t>M00000358037</t>
  </si>
  <si>
    <t>M00000364264</t>
  </si>
  <si>
    <t>M00000279550</t>
  </si>
  <si>
    <t>M00000371518</t>
  </si>
  <si>
    <t>M00000301151</t>
  </si>
  <si>
    <t>448</t>
  </si>
  <si>
    <t>M00000303098</t>
  </si>
  <si>
    <t>M00000371346</t>
  </si>
  <si>
    <t>M00000318134</t>
  </si>
  <si>
    <t>M00000286621</t>
  </si>
  <si>
    <t>342</t>
  </si>
  <si>
    <t>M00000300883</t>
  </si>
  <si>
    <t>906</t>
  </si>
  <si>
    <t>M00000370872</t>
  </si>
  <si>
    <t>M00000359172</t>
  </si>
  <si>
    <t>M00000371793</t>
  </si>
  <si>
    <t>M00000343489</t>
  </si>
  <si>
    <t>M00000333815</t>
  </si>
  <si>
    <t>M00000343419</t>
  </si>
  <si>
    <t>1707</t>
  </si>
  <si>
    <t>M00000361734</t>
  </si>
  <si>
    <t>M00000271796</t>
  </si>
  <si>
    <t>336</t>
  </si>
  <si>
    <t>M00000340668</t>
  </si>
  <si>
    <t>M00000286349</t>
  </si>
  <si>
    <t>M00000331920</t>
  </si>
  <si>
    <t>M00000331924</t>
  </si>
  <si>
    <t>M00000294805</t>
  </si>
  <si>
    <t>704</t>
  </si>
  <si>
    <t>M00000309771</t>
  </si>
  <si>
    <t>M00000272308</t>
  </si>
  <si>
    <t>M00000280521</t>
  </si>
  <si>
    <t>1085</t>
  </si>
  <si>
    <t>M00000293463</t>
  </si>
  <si>
    <t>M00000283941</t>
  </si>
  <si>
    <t>420</t>
  </si>
  <si>
    <t>M00000352996</t>
  </si>
  <si>
    <t>M00000269753</t>
  </si>
  <si>
    <t>M00000332248</t>
  </si>
  <si>
    <t>1949</t>
  </si>
  <si>
    <t>M00000356281</t>
  </si>
  <si>
    <t>M00000293725</t>
  </si>
  <si>
    <t>M00000278739</t>
  </si>
  <si>
    <t>730</t>
  </si>
  <si>
    <t>M00000280520</t>
  </si>
  <si>
    <t>M00000298072</t>
  </si>
  <si>
    <t>M00000339901</t>
  </si>
  <si>
    <t>M00000274936</t>
  </si>
  <si>
    <t>M00000277815</t>
  </si>
  <si>
    <t>915</t>
  </si>
  <si>
    <t>M00000343121</t>
  </si>
  <si>
    <t>M00000349997</t>
  </si>
  <si>
    <t>264</t>
  </si>
  <si>
    <t>M00000373538</t>
  </si>
  <si>
    <t>M00000311449</t>
  </si>
  <si>
    <t>1818</t>
  </si>
  <si>
    <t>M00000342038</t>
  </si>
  <si>
    <t>466</t>
  </si>
  <si>
    <t>M00000353884</t>
  </si>
  <si>
    <t>M00000325011</t>
  </si>
  <si>
    <t>M00000339662</t>
  </si>
  <si>
    <t>M00000335064</t>
  </si>
  <si>
    <t>M00000337108</t>
  </si>
  <si>
    <t>M00000354913</t>
  </si>
  <si>
    <t>261</t>
  </si>
  <si>
    <t>M00000327286</t>
  </si>
  <si>
    <t>M00000340273</t>
  </si>
  <si>
    <t>M00000346525</t>
  </si>
  <si>
    <t>2387</t>
  </si>
  <si>
    <t>M00000332193</t>
  </si>
  <si>
    <t>M00000291432</t>
  </si>
  <si>
    <t>M00000326066</t>
  </si>
  <si>
    <t>M00000316363</t>
  </si>
  <si>
    <t>764</t>
  </si>
  <si>
    <t>M00000302052</t>
  </si>
  <si>
    <t>M00000336974</t>
  </si>
  <si>
    <t>690</t>
  </si>
  <si>
    <t>M00000351633</t>
  </si>
  <si>
    <t>M00000340828</t>
  </si>
  <si>
    <t>M00000276417</t>
  </si>
  <si>
    <t>496</t>
  </si>
  <si>
    <t>M00000343339</t>
  </si>
  <si>
    <t>822</t>
  </si>
  <si>
    <t>M00000299774</t>
  </si>
  <si>
    <t>M00000289779</t>
  </si>
  <si>
    <t>M00000331527</t>
  </si>
  <si>
    <t>M00000313979</t>
  </si>
  <si>
    <t>1047</t>
  </si>
  <si>
    <t>M00000304224</t>
  </si>
  <si>
    <t>643</t>
  </si>
  <si>
    <t>M00000326886</t>
  </si>
  <si>
    <t>2366</t>
  </si>
  <si>
    <t>M00000350316</t>
  </si>
  <si>
    <t>M00000273237</t>
  </si>
  <si>
    <t>M00000334728</t>
  </si>
  <si>
    <t>1262</t>
  </si>
  <si>
    <t>M00000296454</t>
  </si>
  <si>
    <t>1401</t>
  </si>
  <si>
    <t>M00000327224</t>
  </si>
  <si>
    <t>M00000351024</t>
  </si>
  <si>
    <t>732</t>
  </si>
  <si>
    <t>M00000341196</t>
  </si>
  <si>
    <t>377</t>
  </si>
  <si>
    <t>M00000269499</t>
  </si>
  <si>
    <t>M00000346901</t>
  </si>
  <si>
    <t>M00000355568</t>
  </si>
  <si>
    <t>M00000359116</t>
  </si>
  <si>
    <t>887</t>
  </si>
  <si>
    <t>M00000276570</t>
  </si>
  <si>
    <t>M00000292056</t>
  </si>
  <si>
    <t>890</t>
  </si>
  <si>
    <t>M00000364259</t>
  </si>
  <si>
    <t>M00000358039</t>
  </si>
  <si>
    <t>M00000352764</t>
  </si>
  <si>
    <t>M00000337435</t>
  </si>
  <si>
    <t>1545</t>
  </si>
  <si>
    <t>M00000373668</t>
  </si>
  <si>
    <t>M00000300309</t>
  </si>
  <si>
    <t>M00000327462</t>
  </si>
  <si>
    <t>M00000358048</t>
  </si>
  <si>
    <t>M00000349497</t>
  </si>
  <si>
    <t>M00000365324</t>
  </si>
  <si>
    <t>M00000364261</t>
  </si>
  <si>
    <t>M00000279518</t>
  </si>
  <si>
    <t>M00000350338</t>
  </si>
  <si>
    <t>M00000337119</t>
  </si>
  <si>
    <t>388</t>
  </si>
  <si>
    <t>M00000278128</t>
  </si>
  <si>
    <t>M00000316202</t>
  </si>
  <si>
    <t>1361</t>
  </si>
  <si>
    <t>M00000322712</t>
  </si>
  <si>
    <t>M00000323826</t>
  </si>
  <si>
    <t>M00000339032</t>
  </si>
  <si>
    <t>156</t>
  </si>
  <si>
    <t>M00000339839</t>
  </si>
  <si>
    <t>M00000351320</t>
  </si>
  <si>
    <t>M00000301369</t>
  </si>
  <si>
    <t>M00000299076</t>
  </si>
  <si>
    <t>M00000341296</t>
  </si>
  <si>
    <t>M00000301796</t>
  </si>
  <si>
    <t>M00000351430</t>
  </si>
  <si>
    <t>M00000332107</t>
  </si>
  <si>
    <t>M00000352202</t>
  </si>
  <si>
    <t>M00000337102</t>
  </si>
  <si>
    <t>785</t>
  </si>
  <si>
    <t>M00000323586</t>
  </si>
  <si>
    <t>360</t>
  </si>
  <si>
    <t>M00000324844</t>
  </si>
  <si>
    <t>M00000269068</t>
  </si>
  <si>
    <t>M00000290332</t>
  </si>
  <si>
    <t>M00000305441</t>
  </si>
  <si>
    <t>1157</t>
  </si>
  <si>
    <t>M00000275445</t>
  </si>
  <si>
    <t>M00000327130</t>
  </si>
  <si>
    <t>M00000346527</t>
  </si>
  <si>
    <t>M00000363345</t>
  </si>
  <si>
    <t>100</t>
  </si>
  <si>
    <t>M00000297459</t>
  </si>
  <si>
    <t>M00000330998</t>
  </si>
  <si>
    <t>M00000354465</t>
  </si>
  <si>
    <t>M00000333184</t>
  </si>
  <si>
    <t>M00000338985</t>
  </si>
  <si>
    <t>M00000327379</t>
  </si>
  <si>
    <t>M00000368129</t>
  </si>
  <si>
    <t>M00000312645</t>
  </si>
  <si>
    <t>1555</t>
  </si>
  <si>
    <t>M00000319007</t>
  </si>
  <si>
    <t>M00000345968</t>
  </si>
  <si>
    <t>468</t>
  </si>
  <si>
    <t>M00000332576</t>
  </si>
  <si>
    <t>396</t>
  </si>
  <si>
    <t>M00000336989</t>
  </si>
  <si>
    <t>M00000302932</t>
  </si>
  <si>
    <t>M00000342120</t>
  </si>
  <si>
    <t>M00000364258</t>
  </si>
  <si>
    <t>M00000334400</t>
  </si>
  <si>
    <t>M00000343683</t>
  </si>
  <si>
    <t>M00000352335</t>
  </si>
  <si>
    <t>1792</t>
  </si>
  <si>
    <t>M00000340706</t>
  </si>
  <si>
    <t>M00000308295</t>
  </si>
  <si>
    <t>340</t>
  </si>
  <si>
    <t>M00000352506</t>
  </si>
  <si>
    <t>M00000325089</t>
  </si>
  <si>
    <t>349</t>
  </si>
  <si>
    <t>M00000353729</t>
  </si>
  <si>
    <t>M00000322055</t>
  </si>
  <si>
    <t>512</t>
  </si>
  <si>
    <t>M00000327295</t>
  </si>
  <si>
    <t>M00000310335</t>
  </si>
  <si>
    <t>M00000271464</t>
  </si>
  <si>
    <t>570</t>
  </si>
  <si>
    <t>M00000333228</t>
  </si>
  <si>
    <t>855</t>
  </si>
  <si>
    <t>M00000294380</t>
  </si>
  <si>
    <t>2266</t>
  </si>
  <si>
    <t>M00000318788</t>
  </si>
  <si>
    <t>M00000295573</t>
  </si>
  <si>
    <t>345</t>
  </si>
  <si>
    <t>M00000325703</t>
  </si>
  <si>
    <t>M00000351369</t>
  </si>
  <si>
    <t>M00000356110</t>
  </si>
  <si>
    <t>M00000281317</t>
  </si>
  <si>
    <t>M00000291270</t>
  </si>
  <si>
    <t>M00000362665</t>
  </si>
  <si>
    <t>M00000304069</t>
  </si>
  <si>
    <t>M00000338654</t>
  </si>
  <si>
    <t>M00000337140</t>
  </si>
  <si>
    <t>M00000298404</t>
  </si>
  <si>
    <t>M00000324579</t>
  </si>
  <si>
    <t>M00000369804</t>
  </si>
  <si>
    <t>M00000346005</t>
  </si>
  <si>
    <t>M00000347253</t>
  </si>
  <si>
    <t>M00000272999</t>
  </si>
  <si>
    <t>128</t>
  </si>
  <si>
    <t>M00000306018</t>
  </si>
  <si>
    <t>M00000359578</t>
  </si>
  <si>
    <t>M00000361199</t>
  </si>
  <si>
    <t>M00000352955</t>
  </si>
  <si>
    <t>SFINSFLOORE</t>
  </si>
  <si>
    <t>M00000353694</t>
  </si>
  <si>
    <t>M00000292278</t>
  </si>
  <si>
    <t>M00000347489</t>
  </si>
  <si>
    <t>568</t>
  </si>
  <si>
    <t>M00000350566</t>
  </si>
  <si>
    <t>M00000354369</t>
  </si>
  <si>
    <t>2154</t>
  </si>
  <si>
    <t>M00000347405</t>
  </si>
  <si>
    <t>M00000333404</t>
  </si>
  <si>
    <t>1906</t>
  </si>
  <si>
    <t>M00000318805</t>
  </si>
  <si>
    <t>657</t>
  </si>
  <si>
    <t>M00000323528</t>
  </si>
  <si>
    <t>M00000365337</t>
  </si>
  <si>
    <t>M00000342446</t>
  </si>
  <si>
    <t>M00000355213</t>
  </si>
  <si>
    <t>320</t>
  </si>
  <si>
    <t>M00000368632</t>
  </si>
  <si>
    <t>M00000357674</t>
  </si>
  <si>
    <t>3500</t>
  </si>
  <si>
    <t>M00000316162</t>
  </si>
  <si>
    <t>M00000272329</t>
  </si>
  <si>
    <t>2263</t>
  </si>
  <si>
    <t>M00000278248</t>
  </si>
  <si>
    <t>M00000331928</t>
  </si>
  <si>
    <t>M00000326855</t>
  </si>
  <si>
    <t>M00000343708</t>
  </si>
  <si>
    <t>3120</t>
  </si>
  <si>
    <t>M00000299745</t>
  </si>
  <si>
    <t>M00000299746</t>
  </si>
  <si>
    <t>M00000353222</t>
  </si>
  <si>
    <t>M00000281449</t>
  </si>
  <si>
    <t>M00000372938</t>
  </si>
  <si>
    <t>M00000312859</t>
  </si>
  <si>
    <t>M00000275464</t>
  </si>
  <si>
    <t>812</t>
  </si>
  <si>
    <t>M00000358022</t>
  </si>
  <si>
    <t>M00000318820</t>
  </si>
  <si>
    <t>M00000319235</t>
  </si>
  <si>
    <t>1060</t>
  </si>
  <si>
    <t>M00000327194</t>
  </si>
  <si>
    <t>M00000283695</t>
  </si>
  <si>
    <t>M00000349240</t>
  </si>
  <si>
    <t>2221</t>
  </si>
  <si>
    <t>M00000323854</t>
  </si>
  <si>
    <t>M00000311931</t>
  </si>
  <si>
    <t>2028</t>
  </si>
  <si>
    <t>M00000290828</t>
  </si>
  <si>
    <t>M00000302138</t>
  </si>
  <si>
    <t>M00000287246</t>
  </si>
  <si>
    <t>M00000300909</t>
  </si>
  <si>
    <t>M00000320808</t>
  </si>
  <si>
    <t>M00000363530</t>
  </si>
  <si>
    <t>581</t>
  </si>
  <si>
    <t>M00000311151</t>
  </si>
  <si>
    <t>M00000340540</t>
  </si>
  <si>
    <t>M00000330931</t>
  </si>
  <si>
    <t>M00000341190</t>
  </si>
  <si>
    <t>M00000354122</t>
  </si>
  <si>
    <t>M00000333440</t>
  </si>
  <si>
    <t>M00000333359</t>
  </si>
  <si>
    <t>831</t>
  </si>
  <si>
    <t>M00000277908</t>
  </si>
  <si>
    <t>982</t>
  </si>
  <si>
    <t>M00000285137</t>
  </si>
  <si>
    <t>M00000324698</t>
  </si>
  <si>
    <t>M00000346908</t>
  </si>
  <si>
    <t>M00000305542</t>
  </si>
  <si>
    <t>M00000360184</t>
  </si>
  <si>
    <t>M00000355521</t>
  </si>
  <si>
    <t>1693</t>
  </si>
  <si>
    <t>M00000342056</t>
  </si>
  <si>
    <t>M00000339019</t>
  </si>
  <si>
    <t>M00000315258</t>
  </si>
  <si>
    <t>M00000298899</t>
  </si>
  <si>
    <t>M00000356126</t>
  </si>
  <si>
    <t>M00000347429</t>
  </si>
  <si>
    <t>M00000351705</t>
  </si>
  <si>
    <t>M00000355165</t>
  </si>
  <si>
    <t>M00000358247</t>
  </si>
  <si>
    <t>M00000318861</t>
  </si>
  <si>
    <t>M00000341123</t>
  </si>
  <si>
    <t>M00000270419</t>
  </si>
  <si>
    <t>M00000331479</t>
  </si>
  <si>
    <t>M00000327542</t>
  </si>
  <si>
    <t>M00000350928</t>
  </si>
  <si>
    <t>3121</t>
  </si>
  <si>
    <t>M00000316710</t>
  </si>
  <si>
    <t>1382</t>
  </si>
  <si>
    <t>M00000340532</t>
  </si>
  <si>
    <t>M00000356805</t>
  </si>
  <si>
    <t>M00000276952</t>
  </si>
  <si>
    <t>M00000300553</t>
  </si>
  <si>
    <t>M00000286700</t>
  </si>
  <si>
    <t>795</t>
  </si>
  <si>
    <t>M00000343390</t>
  </si>
  <si>
    <t>M00000347309</t>
  </si>
  <si>
    <t>2109</t>
  </si>
  <si>
    <t>M00000347318</t>
  </si>
  <si>
    <t>M00000275534</t>
  </si>
  <si>
    <t>M00000343572</t>
  </si>
  <si>
    <t>M00000274447</t>
  </si>
  <si>
    <t>M00000317011</t>
  </si>
  <si>
    <t>M00000279940</t>
  </si>
  <si>
    <t>M00000284328</t>
  </si>
  <si>
    <t>M00000290799</t>
  </si>
  <si>
    <t>2265</t>
  </si>
  <si>
    <t>M00000321797</t>
  </si>
  <si>
    <t>2004</t>
  </si>
  <si>
    <t>M00000277278</t>
  </si>
  <si>
    <t>2092</t>
  </si>
  <si>
    <t>M00000299846</t>
  </si>
  <si>
    <t>M00000370878</t>
  </si>
  <si>
    <t>M00000355163</t>
  </si>
  <si>
    <t>M00000280731</t>
  </si>
  <si>
    <t>M00000275366</t>
  </si>
  <si>
    <t>M00000353140</t>
  </si>
  <si>
    <t>M00000314008</t>
  </si>
  <si>
    <t>M00000324723</t>
  </si>
  <si>
    <t>M00000354088</t>
  </si>
  <si>
    <t>M00000372829</t>
  </si>
  <si>
    <t>M00000354016</t>
  </si>
  <si>
    <t>M00000337002</t>
  </si>
  <si>
    <t>M00000277641</t>
  </si>
  <si>
    <t>M00000278803</t>
  </si>
  <si>
    <t>M00000295516</t>
  </si>
  <si>
    <t>M00000363389</t>
  </si>
  <si>
    <t>M00000288371</t>
  </si>
  <si>
    <t>1701</t>
  </si>
  <si>
    <t>M00000346610</t>
  </si>
  <si>
    <t>M00000368629</t>
  </si>
  <si>
    <t>M00000326757</t>
  </si>
  <si>
    <t>M00000321092</t>
  </si>
  <si>
    <t>M00000274545</t>
  </si>
  <si>
    <t>M00000347746</t>
  </si>
  <si>
    <t>M00000315233</t>
  </si>
  <si>
    <t>M00000327872</t>
  </si>
  <si>
    <t>M00000327554</t>
  </si>
  <si>
    <t>M00000307596</t>
  </si>
  <si>
    <t>M00000329740</t>
  </si>
  <si>
    <t>M00000341966</t>
  </si>
  <si>
    <t>2256</t>
  </si>
  <si>
    <t>M00000318625</t>
  </si>
  <si>
    <t>M00000341092</t>
  </si>
  <si>
    <t>M00000295153</t>
  </si>
  <si>
    <t>884</t>
  </si>
  <si>
    <t>M00000312065</t>
  </si>
  <si>
    <t>925</t>
  </si>
  <si>
    <t>M00000340008</t>
  </si>
  <si>
    <t>M00000273591</t>
  </si>
  <si>
    <t>M00000281216</t>
  </si>
  <si>
    <t>2670</t>
  </si>
  <si>
    <t>M00000332582</t>
  </si>
  <si>
    <t>M00000271812</t>
  </si>
  <si>
    <t>M00000333108</t>
  </si>
  <si>
    <t>M00000302085</t>
  </si>
  <si>
    <t>M00000270537</t>
  </si>
  <si>
    <t>2240</t>
  </si>
  <si>
    <t>M00000321376</t>
  </si>
  <si>
    <t>756</t>
  </si>
  <si>
    <t>M00000359197</t>
  </si>
  <si>
    <t>M00000372728</t>
  </si>
  <si>
    <t>1308</t>
  </si>
  <si>
    <t>M00000332410</t>
  </si>
  <si>
    <t>M00000332347</t>
  </si>
  <si>
    <t>1412</t>
  </si>
  <si>
    <t>M00000302332</t>
  </si>
  <si>
    <t>M00000341085</t>
  </si>
  <si>
    <t>M00000309181</t>
  </si>
  <si>
    <t>1194</t>
  </si>
  <si>
    <t>M00000306481</t>
  </si>
  <si>
    <t>M00000304147</t>
  </si>
  <si>
    <t>391</t>
  </si>
  <si>
    <t>M00000339736</t>
  </si>
  <si>
    <t>M00000337287</t>
  </si>
  <si>
    <t>M00000334532</t>
  </si>
  <si>
    <t>M00000299235</t>
  </si>
  <si>
    <t>M00000356702</t>
  </si>
  <si>
    <t>M00000342236</t>
  </si>
  <si>
    <t>M00000302372</t>
  </si>
  <si>
    <t>2518</t>
  </si>
  <si>
    <t>M00000340669</t>
  </si>
  <si>
    <t>M00000317945</t>
  </si>
  <si>
    <t>M00000345040</t>
  </si>
  <si>
    <t>1005</t>
  </si>
  <si>
    <t>M00000315063</t>
  </si>
  <si>
    <t>M00000319177</t>
  </si>
  <si>
    <t>M00000362206</t>
  </si>
  <si>
    <t>M00000353834</t>
  </si>
  <si>
    <t>974</t>
  </si>
  <si>
    <t>M00000302994</t>
  </si>
  <si>
    <t>1041</t>
  </si>
  <si>
    <t>M00000367504</t>
  </si>
  <si>
    <t>M00000333414</t>
  </si>
  <si>
    <t>786</t>
  </si>
  <si>
    <t>M00000306212</t>
  </si>
  <si>
    <t>3600</t>
  </si>
  <si>
    <t>M00000278326</t>
  </si>
  <si>
    <t>M00000327510</t>
  </si>
  <si>
    <t>M00000345086</t>
  </si>
  <si>
    <t>M00000316359</t>
  </si>
  <si>
    <t>M00000332608</t>
  </si>
  <si>
    <t>M00000337105</t>
  </si>
  <si>
    <t>M00000306859</t>
  </si>
  <si>
    <t>M00000324920</t>
  </si>
  <si>
    <t>1089</t>
  </si>
  <si>
    <t>M00000351316</t>
  </si>
  <si>
    <t>M00000316404</t>
  </si>
  <si>
    <t>M00000283330</t>
  </si>
  <si>
    <t>M00000285515</t>
  </si>
  <si>
    <t>M00000353785</t>
  </si>
  <si>
    <t>1201</t>
  </si>
  <si>
    <t>M00000295374</t>
  </si>
  <si>
    <t>M00000358327</t>
  </si>
  <si>
    <t>M00000311399</t>
  </si>
  <si>
    <t>M00000340649</t>
  </si>
  <si>
    <t>M00000330963</t>
  </si>
  <si>
    <t>M00000349771</t>
  </si>
  <si>
    <t>1553</t>
  </si>
  <si>
    <t>M00000310474</t>
  </si>
  <si>
    <t>3125</t>
  </si>
  <si>
    <t>M00000333426</t>
  </si>
  <si>
    <t>M00000333168</t>
  </si>
  <si>
    <t>M00000356157</t>
  </si>
  <si>
    <t>M00000294365</t>
  </si>
  <si>
    <t>M00000290521</t>
  </si>
  <si>
    <t>M00000338405</t>
  </si>
  <si>
    <t>M00000347154</t>
  </si>
  <si>
    <t>M00000367196</t>
  </si>
  <si>
    <t>M00000354473</t>
  </si>
  <si>
    <t>M00000277341</t>
  </si>
  <si>
    <t>M00000284764</t>
  </si>
  <si>
    <t>M00000330945</t>
  </si>
  <si>
    <t>M00000342368</t>
  </si>
  <si>
    <t>M00000320856</t>
  </si>
  <si>
    <t>1403</t>
  </si>
  <si>
    <t>M00000308833</t>
  </si>
  <si>
    <t>M00000303407</t>
  </si>
  <si>
    <t>M00000306201</t>
  </si>
  <si>
    <t>M00000305372</t>
  </si>
  <si>
    <t>M00000353225</t>
  </si>
  <si>
    <t>M00000372818</t>
  </si>
  <si>
    <t>1552</t>
  </si>
  <si>
    <t>M00000343307</t>
  </si>
  <si>
    <t>M00000372866</t>
  </si>
  <si>
    <t>M00000299585</t>
  </si>
  <si>
    <t>M00000287580</t>
  </si>
  <si>
    <t>M00000346904</t>
  </si>
  <si>
    <t>M00000359100</t>
  </si>
  <si>
    <t>M00000329189</t>
  </si>
  <si>
    <t>M00000316032</t>
  </si>
  <si>
    <t>M00000334873</t>
  </si>
  <si>
    <t>M00000338792</t>
  </si>
  <si>
    <t>M00000276280</t>
  </si>
  <si>
    <t>M00000318651</t>
  </si>
  <si>
    <t>M00000306846</t>
  </si>
  <si>
    <t>M00000313252</t>
  </si>
  <si>
    <t>M00000299237</t>
  </si>
  <si>
    <t>M00000359422</t>
  </si>
  <si>
    <t>M00000272788</t>
  </si>
  <si>
    <t>M00000312008</t>
  </si>
  <si>
    <t>M00000304076</t>
  </si>
  <si>
    <t>1691</t>
  </si>
  <si>
    <t>M00000350069</t>
  </si>
  <si>
    <t>M00000367326</t>
  </si>
  <si>
    <t>M00000330654</t>
  </si>
  <si>
    <t>2204</t>
  </si>
  <si>
    <t>M00000332149</t>
  </si>
  <si>
    <t>M00000359495</t>
  </si>
  <si>
    <t>M00000290011</t>
  </si>
  <si>
    <t>1202</t>
  </si>
  <si>
    <t>M00000316379</t>
  </si>
  <si>
    <t>M00000339091</t>
  </si>
  <si>
    <t>M00000354285</t>
  </si>
  <si>
    <t>M00000350924</t>
  </si>
  <si>
    <t>2604</t>
  </si>
  <si>
    <t>M00000310697</t>
  </si>
  <si>
    <t>M00000355517</t>
  </si>
  <si>
    <t>M00000351015</t>
  </si>
  <si>
    <t>M00000351079</t>
  </si>
  <si>
    <t>M00000350125</t>
  </si>
  <si>
    <t>M00000346593</t>
  </si>
  <si>
    <t>M00000369036</t>
  </si>
  <si>
    <t>M00000351759</t>
  </si>
  <si>
    <t>M00000325938</t>
  </si>
  <si>
    <t>M00000275199</t>
  </si>
  <si>
    <t>M00000295973</t>
  </si>
  <si>
    <t>M00000366280</t>
  </si>
  <si>
    <t>M00000325028</t>
  </si>
  <si>
    <t>M00000341224</t>
  </si>
  <si>
    <t>M00000301397</t>
  </si>
  <si>
    <t>M00000307198</t>
  </si>
  <si>
    <t>M00000292627</t>
  </si>
  <si>
    <t>1726</t>
  </si>
  <si>
    <t>M00000342549</t>
  </si>
  <si>
    <t>M00000299197</t>
  </si>
  <si>
    <t>M00000305033</t>
  </si>
  <si>
    <t>M00000292322</t>
  </si>
  <si>
    <t>M00000349350</t>
  </si>
  <si>
    <t>M00000341617</t>
  </si>
  <si>
    <t>M00000272755</t>
  </si>
  <si>
    <t>M00000283649</t>
  </si>
  <si>
    <t>M00000350172</t>
  </si>
  <si>
    <t>M00000280591</t>
  </si>
  <si>
    <t>M00000271372</t>
  </si>
  <si>
    <t>M00000277377</t>
  </si>
  <si>
    <t>M00000335133</t>
  </si>
  <si>
    <t>M00000319088</t>
  </si>
  <si>
    <t>M00000361630</t>
  </si>
  <si>
    <t>M00000341263</t>
  </si>
  <si>
    <t>M00000359598</t>
  </si>
  <si>
    <t>M00000296407</t>
  </si>
  <si>
    <t>1212</t>
  </si>
  <si>
    <t>M00000325398</t>
  </si>
  <si>
    <t>M00000333438</t>
  </si>
  <si>
    <t>M00000274246</t>
  </si>
  <si>
    <t>M00000325453</t>
  </si>
  <si>
    <t>1192</t>
  </si>
  <si>
    <t>M00000297979</t>
  </si>
  <si>
    <t>M00000285548</t>
  </si>
  <si>
    <t>M00000302789</t>
  </si>
  <si>
    <t>M00000292326</t>
  </si>
  <si>
    <t>M00000354975</t>
  </si>
  <si>
    <t>M00000329263</t>
  </si>
  <si>
    <t>M00000358077</t>
  </si>
  <si>
    <t>M00000340504</t>
  </si>
  <si>
    <t>M00000290855</t>
  </si>
  <si>
    <t>M00000351652</t>
  </si>
  <si>
    <t>M00000349691</t>
  </si>
  <si>
    <t>M00000327924</t>
  </si>
  <si>
    <t>M00000304935</t>
  </si>
  <si>
    <t>M00000365317</t>
  </si>
  <si>
    <t>M00000345081</t>
  </si>
  <si>
    <t>M00000341920</t>
  </si>
  <si>
    <t>M00000309516</t>
  </si>
  <si>
    <t>M00000303278</t>
  </si>
  <si>
    <t>M00000343276</t>
  </si>
  <si>
    <t>M00000326831</t>
  </si>
  <si>
    <t>M00000347134</t>
  </si>
  <si>
    <t>M00000338530</t>
  </si>
  <si>
    <t>M00000368161</t>
  </si>
  <si>
    <t>2044</t>
  </si>
  <si>
    <t>M00000299786</t>
  </si>
  <si>
    <t>M00000295767</t>
  </si>
  <si>
    <t>M00000359893</t>
  </si>
  <si>
    <t>M00000316410</t>
  </si>
  <si>
    <t>M00000369020</t>
  </si>
  <si>
    <t>M00000315011</t>
  </si>
  <si>
    <t>M00000348431</t>
  </si>
  <si>
    <t>M00000340762</t>
  </si>
  <si>
    <t>M00000311442</t>
  </si>
  <si>
    <t>SFINSFLOORG</t>
  </si>
  <si>
    <t>M00000291707</t>
  </si>
  <si>
    <t>M00000316053</t>
  </si>
  <si>
    <t>M00000337282</t>
  </si>
  <si>
    <t>M00000343957</t>
  </si>
  <si>
    <t>M00000347705</t>
  </si>
  <si>
    <t>M00000317982</t>
  </si>
  <si>
    <t>684</t>
  </si>
  <si>
    <t>M00000310185</t>
  </si>
  <si>
    <t>M00000293671</t>
  </si>
  <si>
    <t>M00000354095</t>
  </si>
  <si>
    <t>M00000280522</t>
  </si>
  <si>
    <t>M00000309812</t>
  </si>
  <si>
    <t>M00000350583</t>
  </si>
  <si>
    <t>M00000350388</t>
  </si>
  <si>
    <t>M00000359629</t>
  </si>
  <si>
    <t>1330</t>
  </si>
  <si>
    <t>M00000346406</t>
  </si>
  <si>
    <t>M00000304078</t>
  </si>
  <si>
    <t>M00000353216</t>
  </si>
  <si>
    <t>96</t>
  </si>
  <si>
    <t>M00000348005</t>
  </si>
  <si>
    <t>M00000301449</t>
  </si>
  <si>
    <t>M00000279234</t>
  </si>
  <si>
    <t>M00000334225</t>
  </si>
  <si>
    <t>M00000311777</t>
  </si>
  <si>
    <t>M00000283670</t>
  </si>
  <si>
    <t>M00000352467</t>
  </si>
  <si>
    <t>M00000319087</t>
  </si>
  <si>
    <t>M00000354158</t>
  </si>
  <si>
    <t>M00000321763</t>
  </si>
  <si>
    <t>M00000345946</t>
  </si>
  <si>
    <t>M00000353689</t>
  </si>
  <si>
    <t>M00000348460</t>
  </si>
  <si>
    <t>M00000341294</t>
  </si>
  <si>
    <t>M00000336569</t>
  </si>
  <si>
    <t>M00000308763</t>
  </si>
  <si>
    <t>M00000277171</t>
  </si>
  <si>
    <t>M00000355252</t>
  </si>
  <si>
    <t>M00000322569</t>
  </si>
  <si>
    <t>1633</t>
  </si>
  <si>
    <t>M00000313070</t>
  </si>
  <si>
    <t>M00000312532</t>
  </si>
  <si>
    <t>M00000323186</t>
  </si>
  <si>
    <t>M00000304229</t>
  </si>
  <si>
    <t>588</t>
  </si>
  <si>
    <t>M00000335650</t>
  </si>
  <si>
    <t>1908</t>
  </si>
  <si>
    <t>M00000327414</t>
  </si>
  <si>
    <t>M00000278303</t>
  </si>
  <si>
    <t>1349</t>
  </si>
  <si>
    <t>M00000341472</t>
  </si>
  <si>
    <t>M00000351676</t>
  </si>
  <si>
    <t>715</t>
  </si>
  <si>
    <t>M00000322563</t>
  </si>
  <si>
    <t>M00000278212</t>
  </si>
  <si>
    <t>M00000363473</t>
  </si>
  <si>
    <t>M00000336839</t>
  </si>
  <si>
    <t>M00000359673</t>
  </si>
  <si>
    <t>2391</t>
  </si>
  <si>
    <t>M00000348452</t>
  </si>
  <si>
    <t>M00000342490</t>
  </si>
  <si>
    <t>M00000327915</t>
  </si>
  <si>
    <t>M00000318602</t>
  </si>
  <si>
    <t>M00000275446</t>
  </si>
  <si>
    <t>M00000326909</t>
  </si>
  <si>
    <t>M00000276301</t>
  </si>
  <si>
    <t>M00000351292</t>
  </si>
  <si>
    <t>M00000270396</t>
  </si>
  <si>
    <t>M00000271399</t>
  </si>
  <si>
    <t>M00000277399</t>
  </si>
  <si>
    <t>M00000334431</t>
  </si>
  <si>
    <t>M00000340040</t>
  </si>
  <si>
    <t>M00000334528</t>
  </si>
  <si>
    <t>M00000308025</t>
  </si>
  <si>
    <t>M00000331958</t>
  </si>
  <si>
    <t>M00000340675</t>
  </si>
  <si>
    <t>M00000311538</t>
  </si>
  <si>
    <t>M00000341119</t>
  </si>
  <si>
    <t>M00000313962</t>
  </si>
  <si>
    <t>M00000350981</t>
  </si>
  <si>
    <t>M00000361525</t>
  </si>
  <si>
    <t>M00000342127</t>
  </si>
  <si>
    <t>M00000334754</t>
  </si>
  <si>
    <t>M00000341938</t>
  </si>
  <si>
    <t>M00000312368</t>
  </si>
  <si>
    <t>M00000288060</t>
  </si>
  <si>
    <t>M00000292557</t>
  </si>
  <si>
    <t>M00000373674</t>
  </si>
  <si>
    <t>1826</t>
  </si>
  <si>
    <t>M00000284223</t>
  </si>
  <si>
    <t>M00000329743</t>
  </si>
  <si>
    <t>M00000335637</t>
  </si>
  <si>
    <t>M00000284401</t>
  </si>
  <si>
    <t>346</t>
  </si>
  <si>
    <t>M00000281477</t>
  </si>
  <si>
    <t>M00000342214</t>
  </si>
  <si>
    <t>M00000301373</t>
  </si>
  <si>
    <t>M00000327072</t>
  </si>
  <si>
    <t>M00000323991</t>
  </si>
  <si>
    <t>M00000353003</t>
  </si>
  <si>
    <t>M00000322218</t>
  </si>
  <si>
    <t>M00000315616</t>
  </si>
  <si>
    <t>M00000305783</t>
  </si>
  <si>
    <t>M00000327905</t>
  </si>
  <si>
    <t>M00000306476</t>
  </si>
  <si>
    <t>M00000342789</t>
  </si>
  <si>
    <t>M00000347518</t>
  </si>
  <si>
    <t>2170</t>
  </si>
  <si>
    <t>M00000307971</t>
  </si>
  <si>
    <t>M00000278734</t>
  </si>
  <si>
    <t>M00000271051</t>
  </si>
  <si>
    <t>M00000275828</t>
  </si>
  <si>
    <t>1025</t>
  </si>
  <si>
    <t>M00000373605</t>
  </si>
  <si>
    <t>1868</t>
  </si>
  <si>
    <t>M00000337200</t>
  </si>
  <si>
    <t>M00000310576</t>
  </si>
  <si>
    <t>M00000350579</t>
  </si>
  <si>
    <t>M00000327500</t>
  </si>
  <si>
    <t>889</t>
  </si>
  <si>
    <t>M00000321100</t>
  </si>
  <si>
    <t>1667</t>
  </si>
  <si>
    <t>M00000339945</t>
  </si>
  <si>
    <t>M00000275839</t>
  </si>
  <si>
    <t>M00000330914</t>
  </si>
  <si>
    <t>M00000341932</t>
  </si>
  <si>
    <t>M00000295684</t>
  </si>
  <si>
    <t>M00000353220</t>
  </si>
  <si>
    <t>M00000371779</t>
  </si>
  <si>
    <t>M00000274168</t>
  </si>
  <si>
    <t>M00000353074</t>
  </si>
  <si>
    <t>M00000315315</t>
  </si>
  <si>
    <t>1570</t>
  </si>
  <si>
    <t>M00000334231</t>
  </si>
  <si>
    <t>M00000323232</t>
  </si>
  <si>
    <t>M00000367030</t>
  </si>
  <si>
    <t>374</t>
  </si>
  <si>
    <t>M00000354112</t>
  </si>
  <si>
    <t>M00000276211</t>
  </si>
  <si>
    <t>M00000358993</t>
  </si>
  <si>
    <t>1107</t>
  </si>
  <si>
    <t>M00000327659</t>
  </si>
  <si>
    <t>986</t>
  </si>
  <si>
    <t>M00000353321</t>
  </si>
  <si>
    <t>3065</t>
  </si>
  <si>
    <t>M00000304989</t>
  </si>
  <si>
    <t>M00000370305</t>
  </si>
  <si>
    <t>M00000333783</t>
  </si>
  <si>
    <t>M00000298402</t>
  </si>
  <si>
    <t>M00000347675</t>
  </si>
  <si>
    <t>M00000318386</t>
  </si>
  <si>
    <t>M00000319777</t>
  </si>
  <si>
    <t>240</t>
  </si>
  <si>
    <t>M00000368331</t>
  </si>
  <si>
    <t>484</t>
  </si>
  <si>
    <t>M00000306088</t>
  </si>
  <si>
    <t>1874</t>
  </si>
  <si>
    <t>M00000283478</t>
  </si>
  <si>
    <t>M00000294593</t>
  </si>
  <si>
    <t>M00000278824</t>
  </si>
  <si>
    <t>M00000359188</t>
  </si>
  <si>
    <t>M00000367053</t>
  </si>
  <si>
    <t>150</t>
  </si>
  <si>
    <t>M00000305994</t>
  </si>
  <si>
    <t>1845</t>
  </si>
  <si>
    <t>M00000315047</t>
  </si>
  <si>
    <t>M00000330683</t>
  </si>
  <si>
    <t>176</t>
  </si>
  <si>
    <t>M00000323542</t>
  </si>
  <si>
    <t>1277</t>
  </si>
  <si>
    <t>M00000335661</t>
  </si>
  <si>
    <t>M00000318122</t>
  </si>
  <si>
    <t>M00000287299</t>
  </si>
  <si>
    <t>M00000324598</t>
  </si>
  <si>
    <t>M00000291479</t>
  </si>
  <si>
    <t>1406</t>
  </si>
  <si>
    <t>M00000316641</t>
  </si>
  <si>
    <t>M00000322582</t>
  </si>
  <si>
    <t>M00000370276</t>
  </si>
  <si>
    <t>1537</t>
  </si>
  <si>
    <t>M00000341215</t>
  </si>
  <si>
    <t>M00000282494</t>
  </si>
  <si>
    <t>M00000271215</t>
  </si>
  <si>
    <t>M00000293491</t>
  </si>
  <si>
    <t>M00000282905</t>
  </si>
  <si>
    <t>M00000317910</t>
  </si>
  <si>
    <t>1317</t>
  </si>
  <si>
    <t>M00000345972</t>
  </si>
  <si>
    <t>M00000338678</t>
  </si>
  <si>
    <t>M00000301208</t>
  </si>
  <si>
    <t>M00000353504</t>
  </si>
  <si>
    <t>M00000347035</t>
  </si>
  <si>
    <t>M00000343834</t>
  </si>
  <si>
    <t>M00000296288</t>
  </si>
  <si>
    <t>M00000367994</t>
  </si>
  <si>
    <t>M00000346740</t>
  </si>
  <si>
    <t>1796</t>
  </si>
  <si>
    <t>M00000330793</t>
  </si>
  <si>
    <t>M00000323033</t>
  </si>
  <si>
    <t>M00000292336</t>
  </si>
  <si>
    <t>M00000286687</t>
  </si>
  <si>
    <t>1213</t>
  </si>
  <si>
    <t>M00000373440</t>
  </si>
  <si>
    <t>M00000334330</t>
  </si>
  <si>
    <t>M00000361348</t>
  </si>
  <si>
    <t>M00000371794</t>
  </si>
  <si>
    <t>M00000292817</t>
  </si>
  <si>
    <t>M00000285739</t>
  </si>
  <si>
    <t>490</t>
  </si>
  <si>
    <t>M00000318846</t>
  </si>
  <si>
    <t>M00000341594</t>
  </si>
  <si>
    <t>M00000337980</t>
  </si>
  <si>
    <t>M00000358490</t>
  </si>
  <si>
    <t>M00000280102</t>
  </si>
  <si>
    <t>M00000339062</t>
  </si>
  <si>
    <t>M00000311858</t>
  </si>
  <si>
    <t>M00000318905</t>
  </si>
  <si>
    <t>M00000320248</t>
  </si>
  <si>
    <t>M00000334549</t>
  </si>
  <si>
    <t>M00000346511</t>
  </si>
  <si>
    <t>M00000352817</t>
  </si>
  <si>
    <t>M00000276416</t>
  </si>
  <si>
    <t>M00000296334</t>
  </si>
  <si>
    <t>M00000340355</t>
  </si>
  <si>
    <t>M00000341048</t>
  </si>
  <si>
    <t>M00000276933</t>
  </si>
  <si>
    <t>M00000315793</t>
  </si>
  <si>
    <t>616</t>
  </si>
  <si>
    <t>M00000346155</t>
  </si>
  <si>
    <t>1641</t>
  </si>
  <si>
    <t>M00000355739</t>
  </si>
  <si>
    <t>M00000277943</t>
  </si>
  <si>
    <t>M00000313299</t>
  </si>
  <si>
    <t>M00000346948</t>
  </si>
  <si>
    <t>M00000312711</t>
  </si>
  <si>
    <t>M00000353317</t>
  </si>
  <si>
    <t>M00000354892</t>
  </si>
  <si>
    <t>M00000322439</t>
  </si>
  <si>
    <t>M00000297339</t>
  </si>
  <si>
    <t>M00000338246</t>
  </si>
  <si>
    <t>M00000354911</t>
  </si>
  <si>
    <t>M00000291317</t>
  </si>
  <si>
    <t>M00000319948</t>
  </si>
  <si>
    <t>M00000279332</t>
  </si>
  <si>
    <t>M00000346630</t>
  </si>
  <si>
    <t>745</t>
  </si>
  <si>
    <t>M00000306849</t>
  </si>
  <si>
    <t>M00000269933</t>
  </si>
  <si>
    <t>M00000364260</t>
  </si>
  <si>
    <t>M00000318677</t>
  </si>
  <si>
    <t>M00000328766</t>
  </si>
  <si>
    <t>M00000320419</t>
  </si>
  <si>
    <t>M00000336900</t>
  </si>
  <si>
    <t>M00000315519</t>
  </si>
  <si>
    <t>M00000331121</t>
  </si>
  <si>
    <t>M00000346608</t>
  </si>
  <si>
    <t>M00000272961</t>
  </si>
  <si>
    <t>M00000322711</t>
  </si>
  <si>
    <t>M00000342753</t>
  </si>
  <si>
    <t>1790</t>
  </si>
  <si>
    <t>M00000301165</t>
  </si>
  <si>
    <t>M00000284778</t>
  </si>
  <si>
    <t>1423</t>
  </si>
  <si>
    <t>M00000370940</t>
  </si>
  <si>
    <t>M00000275159</t>
  </si>
  <si>
    <t>1605</t>
  </si>
  <si>
    <t>M00000293024</t>
  </si>
  <si>
    <t>M00000327434</t>
  </si>
  <si>
    <t>M00000320034</t>
  </si>
  <si>
    <t>1419</t>
  </si>
  <si>
    <t>M00000336609</t>
  </si>
  <si>
    <t>M00000370375</t>
  </si>
  <si>
    <t>1586</t>
  </si>
  <si>
    <t>M00000347630</t>
  </si>
  <si>
    <t>M00000354985</t>
  </si>
  <si>
    <t>M00000369758</t>
  </si>
  <si>
    <t>M00000320591</t>
  </si>
  <si>
    <t>1859</t>
  </si>
  <si>
    <t>M00000323183</t>
  </si>
  <si>
    <t>M00000294497</t>
  </si>
  <si>
    <t>M00000279723</t>
  </si>
  <si>
    <t>M00000281920</t>
  </si>
  <si>
    <t>M00000276213</t>
  </si>
  <si>
    <t>1314</t>
  </si>
  <si>
    <t>M00000347283</t>
  </si>
  <si>
    <t>M00000283098</t>
  </si>
  <si>
    <t>1506</t>
  </si>
  <si>
    <t>M00000350776</t>
  </si>
  <si>
    <t>M00000301335</t>
  </si>
  <si>
    <t>M00000338012</t>
  </si>
  <si>
    <t>M00000370926</t>
  </si>
  <si>
    <t>1736</t>
  </si>
  <si>
    <t>M00000283086</t>
  </si>
  <si>
    <t>M00000339829</t>
  </si>
  <si>
    <t>M00000328098</t>
  </si>
  <si>
    <t>504</t>
  </si>
  <si>
    <t>M00000354524</t>
  </si>
  <si>
    <t>M00000345131</t>
  </si>
  <si>
    <t>M00000355639</t>
  </si>
  <si>
    <t>312</t>
  </si>
  <si>
    <t>M00000271687</t>
  </si>
  <si>
    <t>M00000292981</t>
  </si>
  <si>
    <t>775</t>
  </si>
  <si>
    <t>M00000325407</t>
  </si>
  <si>
    <t>M00000335359</t>
  </si>
  <si>
    <t>103</t>
  </si>
  <si>
    <t>M00000301145</t>
  </si>
  <si>
    <t>M00000313463</t>
  </si>
  <si>
    <t>M00000320853</t>
  </si>
  <si>
    <t>M00000334234</t>
  </si>
  <si>
    <t>M00000302625</t>
  </si>
  <si>
    <t>M00000347132</t>
  </si>
  <si>
    <t>2242</t>
  </si>
  <si>
    <t>M00000283068</t>
  </si>
  <si>
    <t>M00000279852</t>
  </si>
  <si>
    <t>M00000283793</t>
  </si>
  <si>
    <t>M00000346114</t>
  </si>
  <si>
    <t>1831</t>
  </si>
  <si>
    <t>M00000327620</t>
  </si>
  <si>
    <t>M00000332190</t>
  </si>
  <si>
    <t>M00000284714</t>
  </si>
  <si>
    <t>520</t>
  </si>
  <si>
    <t>M00000279003</t>
  </si>
  <si>
    <t>2036</t>
  </si>
  <si>
    <t>M00000276675</t>
  </si>
  <si>
    <t>621</t>
  </si>
  <si>
    <t>M00000303389</t>
  </si>
  <si>
    <t>1493</t>
  </si>
  <si>
    <t>M00000306580</t>
  </si>
  <si>
    <t>M00000372148</t>
  </si>
  <si>
    <t>M00000278398</t>
  </si>
  <si>
    <t>M00000362310</t>
  </si>
  <si>
    <t>M00000355529</t>
  </si>
  <si>
    <t>658</t>
  </si>
  <si>
    <t>M00000341494</t>
  </si>
  <si>
    <t>M00000271403</t>
  </si>
  <si>
    <t>M00000269765</t>
  </si>
  <si>
    <t>M00000338197</t>
  </si>
  <si>
    <t>1636</t>
  </si>
  <si>
    <t>M00000292470</t>
  </si>
  <si>
    <t>M00000346839</t>
  </si>
  <si>
    <t>M00000334472</t>
  </si>
  <si>
    <t>1354</t>
  </si>
  <si>
    <t>M00000276554</t>
  </si>
  <si>
    <t>M00000345071</t>
  </si>
  <si>
    <t>M00000338992</t>
  </si>
  <si>
    <t>M00000283788</t>
  </si>
  <si>
    <t>M00000269822</t>
  </si>
  <si>
    <t>M00000273530</t>
  </si>
  <si>
    <t>M00000302656</t>
  </si>
  <si>
    <t>M00000304075</t>
  </si>
  <si>
    <t>M00000310660</t>
  </si>
  <si>
    <t>M00000311160</t>
  </si>
  <si>
    <t>M00000312540</t>
  </si>
  <si>
    <t>M00000313144</t>
  </si>
  <si>
    <t>M00000313468</t>
  </si>
  <si>
    <t>M00000317031</t>
  </si>
  <si>
    <t>M00000319842</t>
  </si>
  <si>
    <t>M00000321040</t>
  </si>
  <si>
    <t>M00000323773</t>
  </si>
  <si>
    <t>M00000325732</t>
  </si>
  <si>
    <t>M00000330992</t>
  </si>
  <si>
    <t>M00000335326</t>
  </si>
  <si>
    <t>M00000337101</t>
  </si>
  <si>
    <t>M00000338218</t>
  </si>
  <si>
    <t>M00000339072</t>
  </si>
  <si>
    <t>M00000340671</t>
  </si>
  <si>
    <t>1970</t>
  </si>
  <si>
    <t>M00000340756</t>
  </si>
  <si>
    <t>M00000341745</t>
  </si>
  <si>
    <t>M00000342559</t>
  </si>
  <si>
    <t>M00000343528</t>
  </si>
  <si>
    <t>486</t>
  </si>
  <si>
    <t>M00000344993</t>
  </si>
  <si>
    <t>1370</t>
  </si>
  <si>
    <t>M00000346539</t>
  </si>
  <si>
    <t>M00000349536</t>
  </si>
  <si>
    <t>M00000349624</t>
  </si>
  <si>
    <t>M00000351074</t>
  </si>
  <si>
    <t>2048</t>
  </si>
  <si>
    <t>M00000355542</t>
  </si>
  <si>
    <t>M00000355729</t>
  </si>
  <si>
    <t>M00000359860</t>
  </si>
  <si>
    <t>M00000374590</t>
  </si>
  <si>
    <t>M00000367271</t>
  </si>
  <si>
    <t>M00000361695</t>
  </si>
  <si>
    <t>1753</t>
  </si>
  <si>
    <t>M00000334584</t>
  </si>
  <si>
    <t>M00000320162</t>
  </si>
  <si>
    <t>M00000327693</t>
  </si>
  <si>
    <t>M00000367202</t>
  </si>
  <si>
    <t>M00000334152</t>
  </si>
  <si>
    <t>M00000351628</t>
  </si>
  <si>
    <t>1870</t>
  </si>
  <si>
    <t>M00000347528</t>
  </si>
  <si>
    <t>1059</t>
  </si>
  <si>
    <t>M00000334385</t>
  </si>
  <si>
    <t>M00000318405</t>
  </si>
  <si>
    <t>M00000318817</t>
  </si>
  <si>
    <t>M00000303253</t>
  </si>
  <si>
    <t>M00000358292</t>
  </si>
  <si>
    <t>M00000341516</t>
  </si>
  <si>
    <t>1271</t>
  </si>
  <si>
    <t>M00000311865</t>
  </si>
  <si>
    <t>M00000296111</t>
  </si>
  <si>
    <t>M00000292691</t>
  </si>
  <si>
    <t>M00000278384</t>
  </si>
  <si>
    <t>1295</t>
  </si>
  <si>
    <t>M00000337042</t>
  </si>
  <si>
    <t>1484</t>
  </si>
  <si>
    <t>M00000310550</t>
  </si>
  <si>
    <t>2016</t>
  </si>
  <si>
    <t>M00000344091</t>
  </si>
  <si>
    <t>M00000341954</t>
  </si>
  <si>
    <t>234</t>
  </si>
  <si>
    <t>M00000353536</t>
  </si>
  <si>
    <t>M00000366860</t>
  </si>
  <si>
    <t>M00000334529</t>
  </si>
  <si>
    <t>M00000315467</t>
  </si>
  <si>
    <t>1733</t>
  </si>
  <si>
    <t>M00000323912</t>
  </si>
  <si>
    <t>M00000323876</t>
  </si>
  <si>
    <t>M00000277098</t>
  </si>
  <si>
    <t>497</t>
  </si>
  <si>
    <t>M00000360321</t>
  </si>
  <si>
    <t>M00000309058</t>
  </si>
  <si>
    <t>M00000324033</t>
  </si>
  <si>
    <t>M00000313453</t>
  </si>
  <si>
    <t>M00000335705</t>
  </si>
  <si>
    <t>M00000337038</t>
  </si>
  <si>
    <t>M00000354846</t>
  </si>
  <si>
    <t>M00000343536</t>
  </si>
  <si>
    <t>M00000325088</t>
  </si>
  <si>
    <t>M00000334388</t>
  </si>
  <si>
    <t>M00000333182</t>
  </si>
  <si>
    <t>M00000335670</t>
  </si>
  <si>
    <t>M00000341091</t>
  </si>
  <si>
    <t>M00000356776</t>
  </si>
  <si>
    <t>M00000276327</t>
  </si>
  <si>
    <t>M00000347463</t>
  </si>
  <si>
    <t>M00000370396</t>
  </si>
  <si>
    <t>M00000281198</t>
  </si>
  <si>
    <t>M00000340210</t>
  </si>
  <si>
    <t>M00000343535</t>
  </si>
  <si>
    <t>M00000276572</t>
  </si>
  <si>
    <t>729</t>
  </si>
  <si>
    <t>M00000346006</t>
  </si>
  <si>
    <t>M00000301797</t>
  </si>
  <si>
    <t>M00000353447</t>
  </si>
  <si>
    <t>1825</t>
  </si>
  <si>
    <t>M00000332600</t>
  </si>
  <si>
    <t>M00000278197</t>
  </si>
  <si>
    <t>M00000293500</t>
  </si>
  <si>
    <t>M00000372702</t>
  </si>
  <si>
    <t>99</t>
  </si>
  <si>
    <t>M00000300926</t>
  </si>
  <si>
    <t>M00000313263</t>
  </si>
  <si>
    <t>M00000313093</t>
  </si>
  <si>
    <t>M00000283363</t>
  </si>
  <si>
    <t>M00000342068</t>
  </si>
  <si>
    <t>M00000273066</t>
  </si>
  <si>
    <t>M00000301902</t>
  </si>
  <si>
    <t>M00000329578</t>
  </si>
  <si>
    <t>M00000308689</t>
  </si>
  <si>
    <t>M00000352647</t>
  </si>
  <si>
    <t>M00000361412</t>
  </si>
  <si>
    <t>2587</t>
  </si>
  <si>
    <t>M00000303239</t>
  </si>
  <si>
    <t>M00000291468</t>
  </si>
  <si>
    <t>M00000300310</t>
  </si>
  <si>
    <t>M00000347959</t>
  </si>
  <si>
    <t>M00000271350</t>
  </si>
  <si>
    <t>M00000332221</t>
  </si>
  <si>
    <t>M00000327853</t>
  </si>
  <si>
    <t>M00000313449</t>
  </si>
  <si>
    <t>M00000306914</t>
  </si>
  <si>
    <t>1674</t>
  </si>
  <si>
    <t>M00000332304</t>
  </si>
  <si>
    <t>255</t>
  </si>
  <si>
    <t>M00000333642</t>
  </si>
  <si>
    <t>3327</t>
  </si>
  <si>
    <t>M00000292461</t>
  </si>
  <si>
    <t>M00000301152</t>
  </si>
  <si>
    <t>110</t>
  </si>
  <si>
    <t>M00000309505</t>
  </si>
  <si>
    <t>M00000310636</t>
  </si>
  <si>
    <t>M00000317286</t>
  </si>
  <si>
    <t>M00000346604</t>
  </si>
  <si>
    <t>1219</t>
  </si>
  <si>
    <t>M00000281987</t>
  </si>
  <si>
    <t>M00000311494</t>
  </si>
  <si>
    <t>M00000354926</t>
  </si>
  <si>
    <t>M00000268891</t>
  </si>
  <si>
    <t>136</t>
  </si>
  <si>
    <t>M00000271521</t>
  </si>
  <si>
    <t>M00000333478</t>
  </si>
  <si>
    <t>M00000337031</t>
  </si>
  <si>
    <t>M00000350963</t>
  </si>
  <si>
    <t>M00000315507</t>
  </si>
  <si>
    <t>M00000295484</t>
  </si>
  <si>
    <t>3071</t>
  </si>
  <si>
    <t>M00000335597</t>
  </si>
  <si>
    <t>M00000324379</t>
  </si>
  <si>
    <t>M00000308282</t>
  </si>
  <si>
    <t>M00000312456</t>
  </si>
  <si>
    <t>M00000342339</t>
  </si>
  <si>
    <t>M00000316028</t>
  </si>
  <si>
    <t>M00000327880</t>
  </si>
  <si>
    <t>1341</t>
  </si>
  <si>
    <t>M00000368036</t>
  </si>
  <si>
    <t>M00000275232</t>
  </si>
  <si>
    <t>M00000320822</t>
  </si>
  <si>
    <t>M00000299484</t>
  </si>
  <si>
    <t>M00000322722</t>
  </si>
  <si>
    <t>M00000285666</t>
  </si>
  <si>
    <t>M00000348339</t>
  </si>
  <si>
    <t>952</t>
  </si>
  <si>
    <t>M00000306764</t>
  </si>
  <si>
    <t>M00000313415</t>
  </si>
  <si>
    <t>M00000301161</t>
  </si>
  <si>
    <t>2486</t>
  </si>
  <si>
    <t>M00000352659</t>
  </si>
  <si>
    <t>M00000269595</t>
  </si>
  <si>
    <t>M00000343859</t>
  </si>
  <si>
    <t>M00000346302</t>
  </si>
  <si>
    <t>M00000339747</t>
  </si>
  <si>
    <t>M00000347905</t>
  </si>
  <si>
    <t>M00000272398</t>
  </si>
  <si>
    <t>M00000368052</t>
  </si>
  <si>
    <t>M00000303308</t>
  </si>
  <si>
    <t>M00000349590</t>
  </si>
  <si>
    <t>M00000280123</t>
  </si>
  <si>
    <t>M00000355763</t>
  </si>
  <si>
    <t>M00000321790</t>
  </si>
  <si>
    <t>M00000286274</t>
  </si>
  <si>
    <t>M00000275842</t>
  </si>
  <si>
    <t>M00000275392</t>
  </si>
  <si>
    <t>M00000281480</t>
  </si>
  <si>
    <t>1051</t>
  </si>
  <si>
    <t>M00000368785</t>
  </si>
  <si>
    <t>M00000366986</t>
  </si>
  <si>
    <t>M00000342600</t>
  </si>
  <si>
    <t>1251</t>
  </si>
  <si>
    <t>M00000301779</t>
  </si>
  <si>
    <t>M00000343364</t>
  </si>
  <si>
    <t>M00000334079</t>
  </si>
  <si>
    <t>M00000370680</t>
  </si>
  <si>
    <t>M00000342225</t>
  </si>
  <si>
    <t>M00000366798</t>
  </si>
  <si>
    <t>M00000290638</t>
  </si>
  <si>
    <t>1026</t>
  </si>
  <si>
    <t>M00000274454</t>
  </si>
  <si>
    <t>M00000291780</t>
  </si>
  <si>
    <t>M00000299482</t>
  </si>
  <si>
    <t>M00000301342</t>
  </si>
  <si>
    <t>M00000338845</t>
  </si>
  <si>
    <t>M00000350096</t>
  </si>
  <si>
    <t>M00000350662</t>
  </si>
  <si>
    <t>M00000318102</t>
  </si>
  <si>
    <t>M00000269861</t>
  </si>
  <si>
    <t>M00000301942</t>
  </si>
  <si>
    <t>M00000336444</t>
  </si>
  <si>
    <t>M00000275015</t>
  </si>
  <si>
    <t>985</t>
  </si>
  <si>
    <t>M00000340754</t>
  </si>
  <si>
    <t>M00000279579</t>
  </si>
  <si>
    <t>M00000343361</t>
  </si>
  <si>
    <t>M00000348425</t>
  </si>
  <si>
    <t>M00000342463</t>
  </si>
  <si>
    <t>M00000334530</t>
  </si>
  <si>
    <t>494</t>
  </si>
  <si>
    <t>M00000287541</t>
  </si>
  <si>
    <t>M00000291027</t>
  </si>
  <si>
    <t>M00000334022</t>
  </si>
  <si>
    <t>M00000351683</t>
  </si>
  <si>
    <t>M00000313424</t>
  </si>
  <si>
    <t>M00000277530</t>
  </si>
  <si>
    <t>M00000318242</t>
  </si>
  <si>
    <t>M00000335310</t>
  </si>
  <si>
    <t>1474</t>
  </si>
  <si>
    <t>M00000294298</t>
  </si>
  <si>
    <t>M00000327152</t>
  </si>
  <si>
    <t>M00000290524</t>
  </si>
  <si>
    <t>M00000346212</t>
  </si>
  <si>
    <t>M00000342734</t>
  </si>
  <si>
    <t>928</t>
  </si>
  <si>
    <t>M00000359913</t>
  </si>
  <si>
    <t>M00000270800</t>
  </si>
  <si>
    <t>M00000316988</t>
  </si>
  <si>
    <t>M00000326880</t>
  </si>
  <si>
    <t>M00000319224</t>
  </si>
  <si>
    <t>1785</t>
  </si>
  <si>
    <t>M00000346633</t>
  </si>
  <si>
    <t>M00000361741</t>
  </si>
  <si>
    <t>M00000343716</t>
  </si>
  <si>
    <t>435</t>
  </si>
  <si>
    <t>M00000313418</t>
  </si>
  <si>
    <t>M00000291426</t>
  </si>
  <si>
    <t>1858</t>
  </si>
  <si>
    <t>M00000306838</t>
  </si>
  <si>
    <t>168</t>
  </si>
  <si>
    <t>M00000309852</t>
  </si>
  <si>
    <t>M00000269844</t>
  </si>
  <si>
    <t>M00000274517</t>
  </si>
  <si>
    <t>M00000308290</t>
  </si>
  <si>
    <t>M00000319406</t>
  </si>
  <si>
    <t>M00000344923</t>
  </si>
  <si>
    <t>M00000276056</t>
  </si>
  <si>
    <t>1426</t>
  </si>
  <si>
    <t>M00000323862</t>
  </si>
  <si>
    <t>M00000300052</t>
  </si>
  <si>
    <t>M00000311862</t>
  </si>
  <si>
    <t>M00000367537</t>
  </si>
  <si>
    <t>534</t>
  </si>
  <si>
    <t>M00000363288</t>
  </si>
  <si>
    <t>574</t>
  </si>
  <si>
    <t>M00000298181</t>
  </si>
  <si>
    <t>M00000331680</t>
  </si>
  <si>
    <t>M00000323845</t>
  </si>
  <si>
    <t>M00000341595</t>
  </si>
  <si>
    <t>1376</t>
  </si>
  <si>
    <t>M00000318845</t>
  </si>
  <si>
    <t>M00000342003</t>
  </si>
  <si>
    <t>M00000306460</t>
  </si>
  <si>
    <t>M00000339125</t>
  </si>
  <si>
    <t>M00000350689</t>
  </si>
  <si>
    <t>M00000287241</t>
  </si>
  <si>
    <t>M00000348089</t>
  </si>
  <si>
    <t>M00000315972</t>
  </si>
  <si>
    <t>1409</t>
  </si>
  <si>
    <t>M00000273231</t>
  </si>
  <si>
    <t>M00000282690</t>
  </si>
  <si>
    <t>M00000339082</t>
  </si>
  <si>
    <t>M00000271569</t>
  </si>
  <si>
    <t>M00000334637</t>
  </si>
  <si>
    <t>M00000272007</t>
  </si>
  <si>
    <t>M00000272457</t>
  </si>
  <si>
    <t>M00000315193</t>
  </si>
  <si>
    <t>M00000300432</t>
  </si>
  <si>
    <t>M00000284350</t>
  </si>
  <si>
    <t>M00000333941</t>
  </si>
  <si>
    <t>M00000316715</t>
  </si>
  <si>
    <t>M00000341575</t>
  </si>
  <si>
    <t>M00000347506</t>
  </si>
  <si>
    <t>995</t>
  </si>
  <si>
    <t>M00000306681</t>
  </si>
  <si>
    <t>1739</t>
  </si>
  <si>
    <t>M00000283054</t>
  </si>
  <si>
    <t>M00000342268</t>
  </si>
  <si>
    <t>M00000343553</t>
  </si>
  <si>
    <t>M00000298525</t>
  </si>
  <si>
    <t>M00000366408</t>
  </si>
  <si>
    <t>M00000328834</t>
  </si>
  <si>
    <t>M00000299835</t>
  </si>
  <si>
    <t>M00000343764</t>
  </si>
  <si>
    <t>2525</t>
  </si>
  <si>
    <t>M00000347135</t>
  </si>
  <si>
    <t>M00000336964</t>
  </si>
  <si>
    <t>M00000291117</t>
  </si>
  <si>
    <t>M00000303718</t>
  </si>
  <si>
    <t>M00000348088</t>
  </si>
  <si>
    <t>M00000343464</t>
  </si>
  <si>
    <t>M00000303680</t>
  </si>
  <si>
    <t>M00000279935</t>
  </si>
  <si>
    <t>M00000317314</t>
  </si>
  <si>
    <t>M00000279425</t>
  </si>
  <si>
    <t>1247</t>
  </si>
  <si>
    <t>M00000359413</t>
  </si>
  <si>
    <t>M00000349421</t>
  </si>
  <si>
    <t>M00000281606</t>
  </si>
  <si>
    <t>M00000308712</t>
  </si>
  <si>
    <t>M00000290849</t>
  </si>
  <si>
    <t>M00000359357</t>
  </si>
  <si>
    <t>M00000366114</t>
  </si>
  <si>
    <t>M00000270248</t>
  </si>
  <si>
    <t>M00000303216</t>
  </si>
  <si>
    <t>M00000273542</t>
  </si>
  <si>
    <t>M00000271465</t>
  </si>
  <si>
    <t>M00000363347</t>
  </si>
  <si>
    <t>M00000327885</t>
  </si>
  <si>
    <t>M00000340204</t>
  </si>
  <si>
    <t>M00000296029</t>
  </si>
  <si>
    <t>M00000292777</t>
  </si>
  <si>
    <t>M00000298076</t>
  </si>
  <si>
    <t>687</t>
  </si>
  <si>
    <t>M00000310432</t>
  </si>
  <si>
    <t>M00000367350</t>
  </si>
  <si>
    <t>M00000346885</t>
  </si>
  <si>
    <t>M00000298242</t>
  </si>
  <si>
    <t>M00000350611</t>
  </si>
  <si>
    <t>M00000343916</t>
  </si>
  <si>
    <t>M00000313006</t>
  </si>
  <si>
    <t>M00000302199</t>
  </si>
  <si>
    <t>M00000330782</t>
  </si>
  <si>
    <t>M00000343831</t>
  </si>
  <si>
    <t>M00000305345</t>
  </si>
  <si>
    <t>M00000349820</t>
  </si>
  <si>
    <t>M00000320693</t>
  </si>
  <si>
    <t>M00000342516</t>
  </si>
  <si>
    <t>323</t>
  </si>
  <si>
    <t>M00000318658</t>
  </si>
  <si>
    <t>M00000309944</t>
  </si>
  <si>
    <t>551</t>
  </si>
  <si>
    <t>M00000347798</t>
  </si>
  <si>
    <t>1965</t>
  </si>
  <si>
    <t>M00000333187</t>
  </si>
  <si>
    <t>M00000272568</t>
  </si>
  <si>
    <t>M00000358580</t>
  </si>
  <si>
    <t>M00000361138</t>
  </si>
  <si>
    <t>M00000327132</t>
  </si>
  <si>
    <t>M00000330375</t>
  </si>
  <si>
    <t>M00000300844</t>
  </si>
  <si>
    <t>M00000348027</t>
  </si>
  <si>
    <t>M00000359904</t>
  </si>
  <si>
    <t>M00000299876</t>
  </si>
  <si>
    <t>M00000296443</t>
  </si>
  <si>
    <t>M00000363498</t>
  </si>
  <si>
    <t>M00000277243</t>
  </si>
  <si>
    <t>M00000343771</t>
  </si>
  <si>
    <t>1326</t>
  </si>
  <si>
    <t>M00000304420</t>
  </si>
  <si>
    <t>M00000323084</t>
  </si>
  <si>
    <t>M00000273076</t>
  </si>
  <si>
    <t>M00000290006</t>
  </si>
  <si>
    <t>1267</t>
  </si>
  <si>
    <t>M00000315416</t>
  </si>
  <si>
    <t>M00000342897</t>
  </si>
  <si>
    <t>M00000342211</t>
  </si>
  <si>
    <t>M00000359440</t>
  </si>
  <si>
    <t>M00000301382</t>
  </si>
  <si>
    <t>M00000362035</t>
  </si>
  <si>
    <t>M00000349998</t>
  </si>
  <si>
    <t>M00000337434</t>
  </si>
  <si>
    <t>M00000349605</t>
  </si>
  <si>
    <t>M00000340830</t>
  </si>
  <si>
    <t>125</t>
  </si>
  <si>
    <t>M00000351378</t>
  </si>
  <si>
    <t>M00000350001</t>
  </si>
  <si>
    <t>M00000327941</t>
  </si>
  <si>
    <t>M00000347780</t>
  </si>
  <si>
    <t>M00000306665</t>
  </si>
  <si>
    <t>918</t>
  </si>
  <si>
    <t>M00000283606</t>
  </si>
  <si>
    <t>M00000296620</t>
  </si>
  <si>
    <t>M00000341488</t>
  </si>
  <si>
    <t>M00000278219</t>
  </si>
  <si>
    <t>M00000342432</t>
  </si>
  <si>
    <t>M00000343869</t>
  </si>
  <si>
    <t>M00000275507</t>
  </si>
  <si>
    <t>260</t>
  </si>
  <si>
    <t>M00000272610</t>
  </si>
  <si>
    <t>M00000356394</t>
  </si>
  <si>
    <t>M00000305382</t>
  </si>
  <si>
    <t>M00000327261</t>
  </si>
  <si>
    <t>M00000335070</t>
  </si>
  <si>
    <t>M00000346806</t>
  </si>
  <si>
    <t>M00000300523</t>
  </si>
  <si>
    <t>M00000327560</t>
  </si>
  <si>
    <t>M00000351077</t>
  </si>
  <si>
    <t>638</t>
  </si>
  <si>
    <t>M00000297850</t>
  </si>
  <si>
    <t>M00000279584</t>
  </si>
  <si>
    <t>M00000365316</t>
  </si>
  <si>
    <t>M00000359428</t>
  </si>
  <si>
    <t>1356</t>
  </si>
  <si>
    <t>M00000341100</t>
  </si>
  <si>
    <t>M00000333290</t>
  </si>
  <si>
    <t>1315</t>
  </si>
  <si>
    <t>M00000300873</t>
  </si>
  <si>
    <t>M00000313184</t>
  </si>
  <si>
    <t>M00000277354</t>
  </si>
  <si>
    <t>M00000307675</t>
  </si>
  <si>
    <t>M00000327291</t>
  </si>
  <si>
    <t>M00000327466</t>
  </si>
  <si>
    <t>M00000302259</t>
  </si>
  <si>
    <t>M00000358568</t>
  </si>
  <si>
    <t>M00000373847</t>
  </si>
  <si>
    <t>849</t>
  </si>
  <si>
    <t>M00000334250</t>
  </si>
  <si>
    <t>M00000304062</t>
  </si>
  <si>
    <t>M00000294500</t>
  </si>
  <si>
    <t>1417</t>
  </si>
  <si>
    <t>M00000269787</t>
  </si>
  <si>
    <t>M00000315074</t>
  </si>
  <si>
    <t>M00000343332</t>
  </si>
  <si>
    <t>M00000285741</t>
  </si>
  <si>
    <t>M00000337770</t>
  </si>
  <si>
    <t>M00000290668</t>
  </si>
  <si>
    <t>M00000308698</t>
  </si>
  <si>
    <t>M00000269346</t>
  </si>
  <si>
    <t>M00000285704</t>
  </si>
  <si>
    <t>M00000294392</t>
  </si>
  <si>
    <t>M00000301617</t>
  </si>
  <si>
    <t>M00000326765</t>
  </si>
  <si>
    <t>M00000337142</t>
  </si>
  <si>
    <t>M00000324913</t>
  </si>
  <si>
    <t>224</t>
  </si>
  <si>
    <t>M00000279556</t>
  </si>
  <si>
    <t>M00000274966</t>
  </si>
  <si>
    <t>M00000283113</t>
  </si>
  <si>
    <t>M00000345137</t>
  </si>
  <si>
    <t>M00000366205</t>
  </si>
  <si>
    <t>M00000341922</t>
  </si>
  <si>
    <t>726</t>
  </si>
  <si>
    <t>M00000313549</t>
  </si>
  <si>
    <t>M00000296311</t>
  </si>
  <si>
    <t>M00000346074</t>
  </si>
  <si>
    <t>265</t>
  </si>
  <si>
    <t>M00000292064</t>
  </si>
  <si>
    <t>M00000311453</t>
  </si>
  <si>
    <t>M00000359872</t>
  </si>
  <si>
    <t>M00000359561</t>
  </si>
  <si>
    <t>M00000272309</t>
  </si>
  <si>
    <t>M00000346625</t>
  </si>
  <si>
    <t>1195</t>
  </si>
  <si>
    <t>M00000290843</t>
  </si>
  <si>
    <t>M00000282890</t>
  </si>
  <si>
    <t>M00000312694</t>
  </si>
  <si>
    <t>M00000275114</t>
  </si>
  <si>
    <t>M00000311521</t>
  </si>
  <si>
    <t>1934</t>
  </si>
  <si>
    <t>M00000298936</t>
  </si>
  <si>
    <t>M00000298569</t>
  </si>
  <si>
    <t>M00000326362</t>
  </si>
  <si>
    <t>M00000350280</t>
  </si>
  <si>
    <t>M00000366322</t>
  </si>
  <si>
    <t>1126</t>
  </si>
  <si>
    <t>M00000308346</t>
  </si>
  <si>
    <t>M00000308868</t>
  </si>
  <si>
    <t>M00000370873</t>
  </si>
  <si>
    <t>M00000310387</t>
  </si>
  <si>
    <t>M00000325064</t>
  </si>
  <si>
    <t>84</t>
  </si>
  <si>
    <t>M00000273590</t>
  </si>
  <si>
    <t>M00000308332</t>
  </si>
  <si>
    <t>M00000308645</t>
  </si>
  <si>
    <t>M00000287167</t>
  </si>
  <si>
    <t>M00000353258</t>
  </si>
  <si>
    <t>M00000343946</t>
  </si>
  <si>
    <t>M00000281171</t>
  </si>
  <si>
    <t>M00000346578</t>
  </si>
  <si>
    <t>M00000314780</t>
  </si>
  <si>
    <t>1259</t>
  </si>
  <si>
    <t>M00000298066</t>
  </si>
  <si>
    <t>M00000303387</t>
  </si>
  <si>
    <t>M00000299761</t>
  </si>
  <si>
    <t>M00000296196</t>
  </si>
  <si>
    <t>M00000271629</t>
  </si>
  <si>
    <t>1435</t>
  </si>
  <si>
    <t>M00000307190</t>
  </si>
  <si>
    <t>2227</t>
  </si>
  <si>
    <t>M00000325090</t>
  </si>
  <si>
    <t>663</t>
  </si>
  <si>
    <t>M00000349764</t>
  </si>
  <si>
    <t>M00000291454</t>
  </si>
  <si>
    <t>M00000269285</t>
  </si>
  <si>
    <t>M00000287227</t>
  </si>
  <si>
    <t>M00000276947</t>
  </si>
  <si>
    <t>M00000350084</t>
  </si>
  <si>
    <t>M00000332324</t>
  </si>
  <si>
    <t>M00000287100</t>
  </si>
  <si>
    <t>1802</t>
  </si>
  <si>
    <t>M00000342361</t>
  </si>
  <si>
    <t>M00000276890</t>
  </si>
  <si>
    <t>2620</t>
  </si>
  <si>
    <t>M00000331885</t>
  </si>
  <si>
    <t>M00000335153</t>
  </si>
  <si>
    <t>M00000273195</t>
  </si>
  <si>
    <t>M00000339033</t>
  </si>
  <si>
    <t>M00000359582</t>
  </si>
  <si>
    <t>M00000282790</t>
  </si>
  <si>
    <t>M00000307339</t>
  </si>
  <si>
    <t>1153</t>
  </si>
  <si>
    <t>M00000315424</t>
  </si>
  <si>
    <t>M00000364292</t>
  </si>
  <si>
    <t>M00000315404</t>
  </si>
  <si>
    <t>M00000303851</t>
  </si>
  <si>
    <t>M00000301256</t>
  </si>
  <si>
    <t>M00000317002</t>
  </si>
  <si>
    <t>M00000272358</t>
  </si>
  <si>
    <t>M00000297915</t>
  </si>
  <si>
    <t>M00000282300</t>
  </si>
  <si>
    <t>M00000299827</t>
  </si>
  <si>
    <t>935</t>
  </si>
  <si>
    <t>M00000297033</t>
  </si>
  <si>
    <t>628</t>
  </si>
  <si>
    <t>M00000313923</t>
  </si>
  <si>
    <t>M00000290820</t>
  </si>
  <si>
    <t>M00000334217</t>
  </si>
  <si>
    <t>M00000363755</t>
  </si>
  <si>
    <t>M00000357653</t>
  </si>
  <si>
    <t>98</t>
  </si>
  <si>
    <t>M00000269755</t>
  </si>
  <si>
    <t>M00000274554</t>
  </si>
  <si>
    <t>M00000368604</t>
  </si>
  <si>
    <t>2452</t>
  </si>
  <si>
    <t>M00000280593</t>
  </si>
  <si>
    <t>1079</t>
  </si>
  <si>
    <t>M00000276421</t>
  </si>
  <si>
    <t>M00000301950</t>
  </si>
  <si>
    <t>M00000269230</t>
  </si>
  <si>
    <t>M00000332237</t>
  </si>
  <si>
    <t>M00000325601</t>
  </si>
  <si>
    <t>M00000313889</t>
  </si>
  <si>
    <t>M00000373719</t>
  </si>
  <si>
    <t>M00000317470</t>
  </si>
  <si>
    <t>M00000312596</t>
  </si>
  <si>
    <t>1740</t>
  </si>
  <si>
    <t>M00000335483</t>
  </si>
  <si>
    <t>M00000287272</t>
  </si>
  <si>
    <t>M00000335435</t>
  </si>
  <si>
    <t>M00000340586</t>
  </si>
  <si>
    <t>1223</t>
  </si>
  <si>
    <t>M00000304121</t>
  </si>
  <si>
    <t>M00000339753</t>
  </si>
  <si>
    <t>M00000288557</t>
  </si>
  <si>
    <t>M00000356147</t>
  </si>
  <si>
    <t>1076</t>
  </si>
  <si>
    <t>M00000348131</t>
  </si>
  <si>
    <t>M00000357624</t>
  </si>
  <si>
    <t>33</t>
  </si>
  <si>
    <t>M00000318804</t>
  </si>
  <si>
    <t>M00000319025</t>
  </si>
  <si>
    <t>M00000333256</t>
  </si>
  <si>
    <t>M00000342429</t>
  </si>
  <si>
    <t>M00000271434</t>
  </si>
  <si>
    <t>M00000320917</t>
  </si>
  <si>
    <t>M00000353650</t>
  </si>
  <si>
    <t>M00000358049</t>
  </si>
  <si>
    <t>M00000269693</t>
  </si>
  <si>
    <t>M00000332247</t>
  </si>
  <si>
    <t>M00000277478</t>
  </si>
  <si>
    <t>241</t>
  </si>
  <si>
    <t>M00000291135</t>
  </si>
  <si>
    <t>M00000318038</t>
  </si>
  <si>
    <t>M00000282312</t>
  </si>
  <si>
    <t>M00000346682</t>
  </si>
  <si>
    <t>M00000301629</t>
  </si>
  <si>
    <t>M00000304763</t>
  </si>
  <si>
    <t>M00000287213</t>
  </si>
  <si>
    <t>M00000320667</t>
  </si>
  <si>
    <t>M00000358348</t>
  </si>
  <si>
    <t>M00000311730</t>
  </si>
  <si>
    <t>M00000285079</t>
  </si>
  <si>
    <t>M00000336976</t>
  </si>
  <si>
    <t>M00000326892</t>
  </si>
  <si>
    <t>M00000301850</t>
  </si>
  <si>
    <t>M00000287197</t>
  </si>
  <si>
    <t>M00000308799</t>
  </si>
  <si>
    <t>M00000291353</t>
  </si>
  <si>
    <t>M00000350853</t>
  </si>
  <si>
    <t>M00000351321</t>
  </si>
  <si>
    <t>M00000325438</t>
  </si>
  <si>
    <t>M00000350902</t>
  </si>
  <si>
    <t>M00000343564</t>
  </si>
  <si>
    <t>M00000299799</t>
  </si>
  <si>
    <t>M00000282191</t>
  </si>
  <si>
    <t>M00000342415</t>
  </si>
  <si>
    <t>M00000332111</t>
  </si>
  <si>
    <t>M00000349499</t>
  </si>
  <si>
    <t>1827</t>
  </si>
  <si>
    <t>M00000346240</t>
  </si>
  <si>
    <t>M00000300487</t>
  </si>
  <si>
    <t>1273</t>
  </si>
  <si>
    <t>M00000316766</t>
  </si>
  <si>
    <t>M00000276615</t>
  </si>
  <si>
    <t>26</t>
  </si>
  <si>
    <t>1854</t>
  </si>
  <si>
    <t>M00000308626</t>
  </si>
  <si>
    <t>M00000346790</t>
  </si>
  <si>
    <t>1154</t>
  </si>
  <si>
    <t>M00000294665</t>
  </si>
  <si>
    <t>984</t>
  </si>
  <si>
    <t>M00000336749</t>
  </si>
  <si>
    <t>M00000269233</t>
  </si>
  <si>
    <t>M00000298441</t>
  </si>
  <si>
    <t>1519</t>
  </si>
  <si>
    <t>M00000299226</t>
  </si>
  <si>
    <t>M00000327226</t>
  </si>
  <si>
    <t>M00000337113</t>
  </si>
  <si>
    <t>M00000282719</t>
  </si>
  <si>
    <t>M00000339065</t>
  </si>
  <si>
    <t>M00000310501</t>
  </si>
  <si>
    <t>428</t>
  </si>
  <si>
    <t>M00000341879</t>
  </si>
  <si>
    <t>M00000319150</t>
  </si>
  <si>
    <t>M00000325707</t>
  </si>
  <si>
    <t>M00000284656</t>
  </si>
  <si>
    <t>M00000354374</t>
  </si>
  <si>
    <t>M00000368130</t>
  </si>
  <si>
    <t>M00000315369</t>
  </si>
  <si>
    <t>M00000347757</t>
  </si>
  <si>
    <t>M00000305249</t>
  </si>
  <si>
    <t>M00000281467</t>
  </si>
  <si>
    <t>M00000340451</t>
  </si>
  <si>
    <t>M00000305447</t>
  </si>
  <si>
    <t>M00000366217</t>
  </si>
  <si>
    <t>M00000311877</t>
  </si>
  <si>
    <t>1654</t>
  </si>
  <si>
    <t>M00000359286</t>
  </si>
  <si>
    <t>M00000322995</t>
  </si>
  <si>
    <t>M00000269675</t>
  </si>
  <si>
    <t>M00000309772</t>
  </si>
  <si>
    <t>M00000318824</t>
  </si>
  <si>
    <t>280</t>
  </si>
  <si>
    <t>M00000322903</t>
  </si>
  <si>
    <t>M00000339055</t>
  </si>
  <si>
    <t>M00000343381</t>
  </si>
  <si>
    <t>299</t>
  </si>
  <si>
    <t>M00000350289</t>
  </si>
  <si>
    <t>M00000312745</t>
  </si>
  <si>
    <t>M00000308531</t>
  </si>
  <si>
    <t>2402</t>
  </si>
  <si>
    <t>M00000349992</t>
  </si>
  <si>
    <t>M00000343545</t>
  </si>
  <si>
    <t>M00000369031</t>
  </si>
  <si>
    <t>M00000284411</t>
  </si>
  <si>
    <t>M00000290942</t>
  </si>
  <si>
    <t>M00000318127</t>
  </si>
  <si>
    <t>M00000284442</t>
  </si>
  <si>
    <t>M00000299358</t>
  </si>
  <si>
    <t>M00000305144</t>
  </si>
  <si>
    <t>M00000318084</t>
  </si>
  <si>
    <t>M00000269913</t>
  </si>
  <si>
    <t>M00000356290</t>
  </si>
  <si>
    <t>M00000296425</t>
  </si>
  <si>
    <t>M00000373469</t>
  </si>
  <si>
    <t>M00000320436</t>
  </si>
  <si>
    <t>M00000294837</t>
  </si>
  <si>
    <t>1686</t>
  </si>
  <si>
    <t>M00000314566</t>
  </si>
  <si>
    <t>M00000291348</t>
  </si>
  <si>
    <t>M00000333966</t>
  </si>
  <si>
    <t>M00000289546</t>
  </si>
  <si>
    <t>M00000315109</t>
  </si>
  <si>
    <t>M00000339838</t>
  </si>
  <si>
    <t>2157</t>
  </si>
  <si>
    <t>M00000356111</t>
  </si>
  <si>
    <t>282</t>
  </si>
  <si>
    <t>M00000353728</t>
  </si>
  <si>
    <t>M00000310364</t>
  </si>
  <si>
    <t>M00000270422</t>
  </si>
  <si>
    <t>M00000340441</t>
  </si>
  <si>
    <t>M00000347848</t>
  </si>
  <si>
    <t>M00000300915</t>
  </si>
  <si>
    <t>135</t>
  </si>
  <si>
    <t>M00000348421</t>
  </si>
  <si>
    <t>M00000292848</t>
  </si>
  <si>
    <t>M00000335082</t>
  </si>
  <si>
    <t>M00000329185</t>
  </si>
  <si>
    <t>M00000294364</t>
  </si>
  <si>
    <t>M00000274937</t>
  </si>
  <si>
    <t>M00000348976</t>
  </si>
  <si>
    <t>M00000278129</t>
  </si>
  <si>
    <t>M00000350934</t>
  </si>
  <si>
    <t>M00000339048</t>
  </si>
  <si>
    <t>M00000306284</t>
  </si>
  <si>
    <t>1156</t>
  </si>
  <si>
    <t>M00000343522</t>
  </si>
  <si>
    <t>M00000342121</t>
  </si>
  <si>
    <t>M00000299038</t>
  </si>
  <si>
    <t>843</t>
  </si>
  <si>
    <t>M00000277504</t>
  </si>
  <si>
    <t>297</t>
  </si>
  <si>
    <t>M00000305083</t>
  </si>
  <si>
    <t>M00000345119</t>
  </si>
  <si>
    <t>M00000298915</t>
  </si>
  <si>
    <t>M00000298059</t>
  </si>
  <si>
    <t>89</t>
  </si>
  <si>
    <t>M00000338137</t>
  </si>
  <si>
    <t>M00000308768</t>
  </si>
  <si>
    <t>M00000347670</t>
  </si>
  <si>
    <t>1023</t>
  </si>
  <si>
    <t>M00000285662</t>
  </si>
  <si>
    <t>M00000315263</t>
  </si>
  <si>
    <t>M00000336441</t>
  </si>
  <si>
    <t>M00000353088</t>
  </si>
  <si>
    <t>M00000277851</t>
  </si>
  <si>
    <t>M00000333451</t>
  </si>
  <si>
    <t>M00000365327</t>
  </si>
  <si>
    <t>225</t>
  </si>
  <si>
    <t>M00000359774</t>
  </si>
  <si>
    <t>M00000327299</t>
  </si>
  <si>
    <t>M00000300907</t>
  </si>
  <si>
    <t>M00000277631</t>
  </si>
  <si>
    <t>M00000340818</t>
  </si>
  <si>
    <t>M00000335170</t>
  </si>
  <si>
    <t>36</t>
  </si>
  <si>
    <t>M00000329200</t>
  </si>
  <si>
    <t>M00000346640</t>
  </si>
  <si>
    <t>M00000318533</t>
  </si>
  <si>
    <t>M00000361198</t>
  </si>
  <si>
    <t>SFINSWALLE</t>
  </si>
  <si>
    <t>M00000365986</t>
  </si>
  <si>
    <t>M00000303604</t>
  </si>
  <si>
    <t>M00000318821</t>
  </si>
  <si>
    <t>M00000302139</t>
  </si>
  <si>
    <t>M00000292279</t>
  </si>
  <si>
    <t>M00000272699</t>
  </si>
  <si>
    <t>M00000287484</t>
  </si>
  <si>
    <t>304</t>
  </si>
  <si>
    <t>M00000299516</t>
  </si>
  <si>
    <t>M00000347488</t>
  </si>
  <si>
    <t>M00000333455</t>
  </si>
  <si>
    <t>M00000316163</t>
  </si>
  <si>
    <t>M00000368028</t>
  </si>
  <si>
    <t>M00000365338</t>
  </si>
  <si>
    <t>M00000355515</t>
  </si>
  <si>
    <t>M00000349351</t>
  </si>
  <si>
    <t>M00000367195</t>
  </si>
  <si>
    <t>M00000347747</t>
  </si>
  <si>
    <t>M00000329739</t>
  </si>
  <si>
    <t>M00000370879</t>
  </si>
  <si>
    <t>M00000276953</t>
  </si>
  <si>
    <t>913</t>
  </si>
  <si>
    <t>M00000346649</t>
  </si>
  <si>
    <t>M00000348705</t>
  </si>
  <si>
    <t>1754</t>
  </si>
  <si>
    <t>M00000354017</t>
  </si>
  <si>
    <t>M00000369687</t>
  </si>
  <si>
    <t>M00000361510</t>
  </si>
  <si>
    <t>M00000359198</t>
  </si>
  <si>
    <t>2752</t>
  </si>
  <si>
    <t>M00000318161</t>
  </si>
  <si>
    <t>M00000313009</t>
  </si>
  <si>
    <t>M00000285516</t>
  </si>
  <si>
    <t>M00000304360</t>
  </si>
  <si>
    <t>M00000310349</t>
  </si>
  <si>
    <t>M00000339737</t>
  </si>
  <si>
    <t>M00000359254</t>
  </si>
  <si>
    <t>M00000297980</t>
  </si>
  <si>
    <t>1946</t>
  </si>
  <si>
    <t>M00000330932</t>
  </si>
  <si>
    <t>M00000350126</t>
  </si>
  <si>
    <t>235</t>
  </si>
  <si>
    <t>M00000295523</t>
  </si>
  <si>
    <t>M00000307122</t>
  </si>
  <si>
    <t>M00000275948</t>
  </si>
  <si>
    <t>M00000367088</t>
  </si>
  <si>
    <t>M00000273595</t>
  </si>
  <si>
    <t>M00000285404</t>
  </si>
  <si>
    <t>718</t>
  </si>
  <si>
    <t>M00000329747</t>
  </si>
  <si>
    <t>M00000313037</t>
  </si>
  <si>
    <t>376</t>
  </si>
  <si>
    <t>M00000333427</t>
  </si>
  <si>
    <t>M00000350390</t>
  </si>
  <si>
    <t>847</t>
  </si>
  <si>
    <t>M00000351372</t>
  </si>
  <si>
    <t>M00000280456</t>
  </si>
  <si>
    <t>M00000308834</t>
  </si>
  <si>
    <t>M00000333446</t>
  </si>
  <si>
    <t>M00000350070</t>
  </si>
  <si>
    <t>M00000370960</t>
  </si>
  <si>
    <t>777</t>
  </si>
  <si>
    <t>M00000287582</t>
  </si>
  <si>
    <t>M00000272463</t>
  </si>
  <si>
    <t>M00000359012</t>
  </si>
  <si>
    <t>M00000302333</t>
  </si>
  <si>
    <t>M00000325029</t>
  </si>
  <si>
    <t>M00000356806</t>
  </si>
  <si>
    <t>M00000374377</t>
  </si>
  <si>
    <t>M00000332128</t>
  </si>
  <si>
    <t>M00000355605</t>
  </si>
  <si>
    <t>M00000281362</t>
  </si>
  <si>
    <t>2386</t>
  </si>
  <si>
    <t>M00000350359</t>
  </si>
  <si>
    <t>M00000314410</t>
  </si>
  <si>
    <t>M00000301540</t>
  </si>
  <si>
    <t>M00000342369</t>
  </si>
  <si>
    <t>899</t>
  </si>
  <si>
    <t>M00000315210</t>
  </si>
  <si>
    <t>656</t>
  </si>
  <si>
    <t>M00000285549</t>
  </si>
  <si>
    <t>618</t>
  </si>
  <si>
    <t>M00000312819</t>
  </si>
  <si>
    <t>2628</t>
  </si>
  <si>
    <t>M00000299891</t>
  </si>
  <si>
    <t>M00000343277</t>
  </si>
  <si>
    <t>M00000332760</t>
  </si>
  <si>
    <t>1471</t>
  </si>
  <si>
    <t>M00000338406</t>
  </si>
  <si>
    <t>M00000330947</t>
  </si>
  <si>
    <t>M00000358463</t>
  </si>
  <si>
    <t>1253</t>
  </si>
  <si>
    <t>M00000307052</t>
  </si>
  <si>
    <t>M00000307199</t>
  </si>
  <si>
    <t>M00000307041</t>
  </si>
  <si>
    <t>M00000326834</t>
  </si>
  <si>
    <t>1774</t>
  </si>
  <si>
    <t>M00000355557</t>
  </si>
  <si>
    <t>M00000347386</t>
  </si>
  <si>
    <t>M00000351760</t>
  </si>
  <si>
    <t>M00000313000</t>
  </si>
  <si>
    <t>M00000277378</t>
  </si>
  <si>
    <t>478</t>
  </si>
  <si>
    <t>M00000311441</t>
  </si>
  <si>
    <t>M00000312655</t>
  </si>
  <si>
    <t>M00000366278</t>
  </si>
  <si>
    <t>78</t>
  </si>
  <si>
    <t>M00000365362</t>
  </si>
  <si>
    <t>M00000315838</t>
  </si>
  <si>
    <t>M00000338531</t>
  </si>
  <si>
    <t>246</t>
  </si>
  <si>
    <t>M00000304088</t>
  </si>
  <si>
    <t>126</t>
  </si>
  <si>
    <t>M00000274824</t>
  </si>
  <si>
    <t>M00000300762</t>
  </si>
  <si>
    <t>SFINSWALLG</t>
  </si>
  <si>
    <t>M00000317984</t>
  </si>
  <si>
    <t>M00000347036</t>
  </si>
  <si>
    <t>M00000337120</t>
  </si>
  <si>
    <t>1103</t>
  </si>
  <si>
    <t>M00000290837</t>
  </si>
  <si>
    <t>M00000326851</t>
  </si>
  <si>
    <t>M00000281564</t>
  </si>
  <si>
    <t>M00000336907</t>
  </si>
  <si>
    <t>M00000342027</t>
  </si>
  <si>
    <t>M00000348250</t>
  </si>
  <si>
    <t>M00000313071</t>
  </si>
  <si>
    <t>M00000309773</t>
  </si>
  <si>
    <t>M00000301630</t>
  </si>
  <si>
    <t>M00000351629</t>
  </si>
  <si>
    <t>M00000359839</t>
  </si>
  <si>
    <t>M00000278304</t>
  </si>
  <si>
    <t>M00000291360</t>
  </si>
  <si>
    <t>M00000278113</t>
  </si>
  <si>
    <t>M00000367538</t>
  </si>
  <si>
    <t>M00000341955</t>
  </si>
  <si>
    <t>M00000318642</t>
  </si>
  <si>
    <t>M00000320552</t>
  </si>
  <si>
    <t>M00000285150</t>
  </si>
  <si>
    <t>M00000295367</t>
  </si>
  <si>
    <t>M00000305589</t>
  </si>
  <si>
    <t>M00000353209</t>
  </si>
  <si>
    <t>404</t>
  </si>
  <si>
    <t>M00000318659</t>
  </si>
  <si>
    <t>M00000338014</t>
  </si>
  <si>
    <t>M00000322811</t>
  </si>
  <si>
    <t>M00000346609</t>
  </si>
  <si>
    <t>M00000329202</t>
  </si>
  <si>
    <t>M00000359442</t>
  </si>
  <si>
    <t>275</t>
  </si>
  <si>
    <t>M00000291401</t>
  </si>
  <si>
    <t>M00000306493</t>
  </si>
  <si>
    <t>174</t>
  </si>
  <si>
    <t>M00000293981</t>
  </si>
  <si>
    <t>M00000350777</t>
  </si>
  <si>
    <t>M00000295768</t>
  </si>
  <si>
    <t>184</t>
  </si>
  <si>
    <t>M00000330684</t>
  </si>
  <si>
    <t>M00000318151</t>
  </si>
  <si>
    <t>M00000361413</t>
  </si>
  <si>
    <t>M00000303840</t>
  </si>
  <si>
    <t>898</t>
  </si>
  <si>
    <t>M00000347941</t>
  </si>
  <si>
    <t>M00000312976</t>
  </si>
  <si>
    <t>262</t>
  </si>
  <si>
    <t>M00000315473</t>
  </si>
  <si>
    <t>M00000327561</t>
  </si>
  <si>
    <t>M00000334755</t>
  </si>
  <si>
    <t>M00000350002</t>
  </si>
  <si>
    <t>M00000363289</t>
  </si>
  <si>
    <t>M00000326919</t>
  </si>
  <si>
    <t>M00000324171</t>
  </si>
  <si>
    <t>M00000300916</t>
  </si>
  <si>
    <t>M00000371795</t>
  </si>
  <si>
    <t>694</t>
  </si>
  <si>
    <t>M00000323513</t>
  </si>
  <si>
    <t>M00000327854</t>
  </si>
  <si>
    <t>M00000287274</t>
  </si>
  <si>
    <t>M00000305045</t>
  </si>
  <si>
    <t>526</t>
  </si>
  <si>
    <t>M00000298405</t>
  </si>
  <si>
    <t>1873</t>
  </si>
  <si>
    <t>M00000341746</t>
  </si>
  <si>
    <t>470</t>
  </si>
  <si>
    <t>M00000347677</t>
  </si>
  <si>
    <t>M00000301371</t>
  </si>
  <si>
    <t>2224</t>
  </si>
  <si>
    <t>M00000327020</t>
  </si>
  <si>
    <t>M00000334473</t>
  </si>
  <si>
    <t>M00000291480</t>
  </si>
  <si>
    <t>961</t>
  </si>
  <si>
    <t>M00000268889</t>
  </si>
  <si>
    <t>M00000328045</t>
  </si>
  <si>
    <t>2146</t>
  </si>
  <si>
    <t>M00000333215</t>
  </si>
  <si>
    <t>M00000272008</t>
  </si>
  <si>
    <t>M00000370306</t>
  </si>
  <si>
    <t>M00000291344</t>
  </si>
  <si>
    <t>M00000305155</t>
  </si>
  <si>
    <t>M00000271686</t>
  </si>
  <si>
    <t>M00000313866</t>
  </si>
  <si>
    <t>610</t>
  </si>
  <si>
    <t>M00000323267</t>
  </si>
  <si>
    <t>M00000342022</t>
  </si>
  <si>
    <t>M00000318782</t>
  </si>
  <si>
    <t>M00000354525</t>
  </si>
  <si>
    <t>442</t>
  </si>
  <si>
    <t>M00000346526</t>
  </si>
  <si>
    <t>M00000307582</t>
  </si>
  <si>
    <t>294</t>
  </si>
  <si>
    <t>M00000310694</t>
  </si>
  <si>
    <t>M00000359130</t>
  </si>
  <si>
    <t>M00000293726</t>
  </si>
  <si>
    <t>2058</t>
  </si>
  <si>
    <t>M00000357426</t>
  </si>
  <si>
    <t>M00000274919</t>
  </si>
  <si>
    <t>M00000342481</t>
  </si>
  <si>
    <t>M00000269152</t>
  </si>
  <si>
    <t>2766</t>
  </si>
  <si>
    <t>M00000345136</t>
  </si>
  <si>
    <t>M00000308646</t>
  </si>
  <si>
    <t>M00000339846</t>
  </si>
  <si>
    <t>M00000271570</t>
  </si>
  <si>
    <t>M00000287568</t>
  </si>
  <si>
    <t>M00000367054</t>
  </si>
  <si>
    <t>M00000353004</t>
  </si>
  <si>
    <t>M00000305784</t>
  </si>
  <si>
    <t>M00000302916</t>
  </si>
  <si>
    <t>1096</t>
  </si>
  <si>
    <t>M00000314618</t>
  </si>
  <si>
    <t>M00000340102</t>
  </si>
  <si>
    <t>3328</t>
  </si>
  <si>
    <t>M00000325349</t>
  </si>
  <si>
    <t>821</t>
  </si>
  <si>
    <t>M00000277146</t>
  </si>
  <si>
    <t>M00000324600</t>
  </si>
  <si>
    <t>M00000327725</t>
  </si>
  <si>
    <t>M00000346528</t>
  </si>
  <si>
    <t>M00000347371</t>
  </si>
  <si>
    <t>M00000356417</t>
  </si>
  <si>
    <t>2965</t>
  </si>
  <si>
    <t>M00000364281</t>
  </si>
  <si>
    <t>M00000372703</t>
  </si>
  <si>
    <t>1705</t>
  </si>
  <si>
    <t>M00000295677</t>
  </si>
  <si>
    <t>M00000284402</t>
  </si>
  <si>
    <t>M00000271321</t>
  </si>
  <si>
    <t>539</t>
  </si>
  <si>
    <t>M00000289483</t>
  </si>
  <si>
    <t>M00000348064</t>
  </si>
  <si>
    <t>M00000343029</t>
  </si>
  <si>
    <t>M00000285597</t>
  </si>
  <si>
    <t>1766</t>
  </si>
  <si>
    <t>M00000302157</t>
  </si>
  <si>
    <t>M00000352206</t>
  </si>
  <si>
    <t>3807</t>
  </si>
  <si>
    <t>M00000306243</t>
  </si>
  <si>
    <t>M00000285740</t>
  </si>
  <si>
    <t>M00000278825</t>
  </si>
  <si>
    <t>M00000282223</t>
  </si>
  <si>
    <t>M00000359775</t>
  </si>
  <si>
    <t>M00000321779</t>
  </si>
  <si>
    <t>M00000277532</t>
  </si>
  <si>
    <t>M00000301794</t>
  </si>
  <si>
    <t>M00000342220</t>
  </si>
  <si>
    <t>M00000327642</t>
  </si>
  <si>
    <t>661</t>
  </si>
  <si>
    <t>M00000342250</t>
  </si>
  <si>
    <t>M00000356538</t>
  </si>
  <si>
    <t>M00000347795</t>
  </si>
  <si>
    <t>M00000310186</t>
  </si>
  <si>
    <t>M00000333173</t>
  </si>
  <si>
    <t>M00000325091</t>
  </si>
  <si>
    <t>M00000328010</t>
  </si>
  <si>
    <t>M00000318397</t>
  </si>
  <si>
    <t>M00000327351</t>
  </si>
  <si>
    <t>M00000335452</t>
  </si>
  <si>
    <t>M00000337942</t>
  </si>
  <si>
    <t>M00000369049</t>
  </si>
  <si>
    <t>M00000333188</t>
  </si>
  <si>
    <t>M00000324914</t>
  </si>
  <si>
    <t>M00000279709</t>
  </si>
  <si>
    <t>M00000359366</t>
  </si>
  <si>
    <t>M00000334579</t>
  </si>
  <si>
    <t>M00000357234</t>
  </si>
  <si>
    <t>M00000350964</t>
  </si>
  <si>
    <t>M00000341475</t>
  </si>
  <si>
    <t>1256</t>
  </si>
  <si>
    <t>M00000313091</t>
  </si>
  <si>
    <t>M00000354533</t>
  </si>
  <si>
    <t>M00000295371</t>
  </si>
  <si>
    <t>M00000292857</t>
  </si>
  <si>
    <t>M00000356428</t>
  </si>
  <si>
    <t>M00000301133</t>
  </si>
  <si>
    <t>M00000346096</t>
  </si>
  <si>
    <t>M00000305611</t>
  </si>
  <si>
    <t>M00000301798</t>
  </si>
  <si>
    <t>1072</t>
  </si>
  <si>
    <t>M00000272867</t>
  </si>
  <si>
    <t>1808</t>
  </si>
  <si>
    <t>M00000294615</t>
  </si>
  <si>
    <t>M00000308769</t>
  </si>
  <si>
    <t>M00000299485</t>
  </si>
  <si>
    <t>M00000301144</t>
  </si>
  <si>
    <t>M00000315417</t>
  </si>
  <si>
    <t>M00000280859</t>
  </si>
  <si>
    <t>1912</t>
  </si>
  <si>
    <t>M00000291492</t>
  </si>
  <si>
    <t>1996</t>
  </si>
  <si>
    <t>M00000296064</t>
  </si>
  <si>
    <t>M00000309298</t>
  </si>
  <si>
    <t>M00000313454</t>
  </si>
  <si>
    <t>M00000319409</t>
  </si>
  <si>
    <t>M00000336464</t>
  </si>
  <si>
    <t>M00000343815</t>
  </si>
  <si>
    <t>M00000370540</t>
  </si>
  <si>
    <t>M00000370918</t>
  </si>
  <si>
    <t>M00000291385</t>
  </si>
  <si>
    <t>M00000290525</t>
  </si>
  <si>
    <t>M00000309684</t>
  </si>
  <si>
    <t>2167</t>
  </si>
  <si>
    <t>M00000271956</t>
  </si>
  <si>
    <t>M00000301111</t>
  </si>
  <si>
    <t>M00000279334</t>
  </si>
  <si>
    <t>M00000277099</t>
  </si>
  <si>
    <t>M00000319326</t>
  </si>
  <si>
    <t>M00000277505</t>
  </si>
  <si>
    <t>M00000341944</t>
  </si>
  <si>
    <t>M00000285968</t>
  </si>
  <si>
    <t>M00000283320</t>
  </si>
  <si>
    <t>859</t>
  </si>
  <si>
    <t>M00000373441</t>
  </si>
  <si>
    <t>M00000287628</t>
  </si>
  <si>
    <t>M00000283328</t>
  </si>
  <si>
    <t>M00000332602</t>
  </si>
  <si>
    <t>M00000277480</t>
  </si>
  <si>
    <t>M00000354912</t>
  </si>
  <si>
    <t>1557</t>
  </si>
  <si>
    <t>M00000339822</t>
  </si>
  <si>
    <t>M00000272310</t>
  </si>
  <si>
    <t>M00000291349</t>
  </si>
  <si>
    <t>2193</t>
  </si>
  <si>
    <t>M00000280595</t>
  </si>
  <si>
    <t>M00000301153</t>
  </si>
  <si>
    <t>2156</t>
  </si>
  <si>
    <t>M00000296602</t>
  </si>
  <si>
    <t>M00000336959</t>
  </si>
  <si>
    <t>162</t>
  </si>
  <si>
    <t>M00000343395</t>
  </si>
  <si>
    <t>1418</t>
  </si>
  <si>
    <t>M00000332580</t>
  </si>
  <si>
    <t>M00000302200</t>
  </si>
  <si>
    <t>295</t>
  </si>
  <si>
    <t>M00000367057</t>
  </si>
  <si>
    <t>M00000359914</t>
  </si>
  <si>
    <t>M00000279507</t>
  </si>
  <si>
    <t>M00000299877</t>
  </si>
  <si>
    <t>M00000338716</t>
  </si>
  <si>
    <t>M00000309393</t>
  </si>
  <si>
    <t>2135</t>
  </si>
  <si>
    <t>M00000367918</t>
  </si>
  <si>
    <t>M00000355543</t>
  </si>
  <si>
    <t>M00000276886</t>
  </si>
  <si>
    <t>M00000304522</t>
  </si>
  <si>
    <t>M00000282331</t>
  </si>
  <si>
    <t>M00000284582</t>
  </si>
  <si>
    <t>M00000307200</t>
  </si>
  <si>
    <t>M00000374663</t>
  </si>
  <si>
    <t>M00000292762</t>
  </si>
  <si>
    <t>M00000300302</t>
  </si>
  <si>
    <t>M00000300902</t>
  </si>
  <si>
    <t>M00000323082</t>
  </si>
  <si>
    <t>1888</t>
  </si>
  <si>
    <t>M00000336750</t>
  </si>
  <si>
    <t>M00000369871</t>
  </si>
  <si>
    <t>M00000296079</t>
  </si>
  <si>
    <t>M00000296278</t>
  </si>
  <si>
    <t>M00000282313</t>
  </si>
  <si>
    <t>M00000369879</t>
  </si>
  <si>
    <t>857</t>
  </si>
  <si>
    <t>M00000353298</t>
  </si>
  <si>
    <t>M00000299087</t>
  </si>
  <si>
    <t>M00000272611</t>
  </si>
  <si>
    <t>M00000312702</t>
  </si>
  <si>
    <t>M00000291342</t>
  </si>
  <si>
    <t>754</t>
  </si>
  <si>
    <t>M00000342227</t>
  </si>
  <si>
    <t>M00000283364</t>
  </si>
  <si>
    <t>1301</t>
  </si>
  <si>
    <t>M00000360327</t>
  </si>
  <si>
    <t>M00000271360</t>
  </si>
  <si>
    <t>M00000315001</t>
  </si>
  <si>
    <t>M00000321762</t>
  </si>
  <si>
    <t>2811</t>
  </si>
  <si>
    <t>M00000315391</t>
  </si>
  <si>
    <t>M00000289687</t>
  </si>
  <si>
    <t>M00000341220</t>
  </si>
  <si>
    <t>M00000289547</t>
  </si>
  <si>
    <t>M00000315023</t>
  </si>
  <si>
    <t>M00000334645</t>
  </si>
  <si>
    <t>M00000275529</t>
  </si>
  <si>
    <t>M00000285613</t>
  </si>
  <si>
    <t>445</t>
  </si>
  <si>
    <t>M00000331811</t>
  </si>
  <si>
    <t>M00000346283</t>
  </si>
  <si>
    <t>M00000331883</t>
  </si>
  <si>
    <t>M00000333876</t>
  </si>
  <si>
    <t>M00000324636</t>
  </si>
  <si>
    <t>M00000338799</t>
  </si>
  <si>
    <t>M00000342149</t>
  </si>
  <si>
    <t>M00000292849</t>
  </si>
  <si>
    <t>M00000283942</t>
  </si>
  <si>
    <t>M00000292340</t>
  </si>
  <si>
    <t>1945</t>
  </si>
  <si>
    <t>M00000319026</t>
  </si>
  <si>
    <t>M00000320932</t>
  </si>
  <si>
    <t>M00000330902</t>
  </si>
  <si>
    <t>M00000335311</t>
  </si>
  <si>
    <t>1329</t>
  </si>
  <si>
    <t>M00000278130</t>
  </si>
  <si>
    <t>M00000289705</t>
  </si>
  <si>
    <t>M00000304410</t>
  </si>
  <si>
    <t>1019</t>
  </si>
  <si>
    <t>M00000307188</t>
  </si>
  <si>
    <t>1681</t>
  </si>
  <si>
    <t>M00000310009</t>
  </si>
  <si>
    <t>M00000323950</t>
  </si>
  <si>
    <t>M00000326072</t>
  </si>
  <si>
    <t>623</t>
  </si>
  <si>
    <t>M00000336445</t>
  </si>
  <si>
    <t>M00000339824</t>
  </si>
  <si>
    <t>M00000343671</t>
  </si>
  <si>
    <t>M00000347142</t>
  </si>
  <si>
    <t>598</t>
  </si>
  <si>
    <t>M00000366323</t>
  </si>
  <si>
    <t>M00000366987</t>
  </si>
  <si>
    <t>M00000367078</t>
  </si>
  <si>
    <t>M00000269750</t>
  </si>
  <si>
    <t>M00000286931</t>
  </si>
  <si>
    <t>1669</t>
  </si>
  <si>
    <t>M00000287198</t>
  </si>
  <si>
    <t>M00000292851</t>
  </si>
  <si>
    <t>M00000296313</t>
  </si>
  <si>
    <t>M00000298529</t>
  </si>
  <si>
    <t>M00000304419</t>
  </si>
  <si>
    <t>M00000322584</t>
  </si>
  <si>
    <t>802</t>
  </si>
  <si>
    <t>M00000332198</t>
  </si>
  <si>
    <t>M00000337132</t>
  </si>
  <si>
    <t>M00000338920</t>
  </si>
  <si>
    <t>987</t>
  </si>
  <si>
    <t>M00000343772</t>
  </si>
  <si>
    <t>M00000347119</t>
  </si>
  <si>
    <t>M00000351025</t>
  </si>
  <si>
    <t>908</t>
  </si>
  <si>
    <t>M00000366218</t>
  </si>
  <si>
    <t>M00000308713</t>
  </si>
  <si>
    <t>M00000346954</t>
  </si>
  <si>
    <t>M00000370541</t>
  </si>
  <si>
    <t>M00000293488</t>
  </si>
  <si>
    <t>M00000326911</t>
  </si>
  <si>
    <t>M00000339784</t>
  </si>
  <si>
    <t>M00000275830</t>
  </si>
  <si>
    <t>M00000355564</t>
  </si>
  <si>
    <t>M00000343930</t>
  </si>
  <si>
    <t>M00000299163</t>
  </si>
  <si>
    <t>M00000275776</t>
  </si>
  <si>
    <t>M00000353566</t>
  </si>
  <si>
    <t>M00000286622</t>
  </si>
  <si>
    <t>1893</t>
  </si>
  <si>
    <t>M00000293904</t>
  </si>
  <si>
    <t>M00000315194</t>
  </si>
  <si>
    <t>M00000355851</t>
  </si>
  <si>
    <t>M00000342898</t>
  </si>
  <si>
    <t>M00000319170</t>
  </si>
  <si>
    <t>1197</t>
  </si>
  <si>
    <t>M00000269788</t>
  </si>
  <si>
    <t>M00000282691</t>
  </si>
  <si>
    <t>1458</t>
  </si>
  <si>
    <t>M00000343860</t>
  </si>
  <si>
    <t>M00000371838</t>
  </si>
  <si>
    <t>M00000269851</t>
  </si>
  <si>
    <t>814</t>
  </si>
  <si>
    <t>M00000369000</t>
  </si>
  <si>
    <t>M00000313291</t>
  </si>
  <si>
    <t>M00000324265</t>
  </si>
  <si>
    <t>M00000323896</t>
  </si>
  <si>
    <t>927</t>
  </si>
  <si>
    <t>M00000329579</t>
  </si>
  <si>
    <t>1302</t>
  </si>
  <si>
    <t>M00000321069</t>
  </si>
  <si>
    <t>582</t>
  </si>
  <si>
    <t>M00000314614</t>
  </si>
  <si>
    <t>892</t>
  </si>
  <si>
    <t>M00000318107</t>
  </si>
  <si>
    <t>M00000342542</t>
  </si>
  <si>
    <t>M00000315508</t>
  </si>
  <si>
    <t>632</t>
  </si>
  <si>
    <t>M00000366409</t>
  </si>
  <si>
    <t>M00000269543</t>
  </si>
  <si>
    <t>M00000373468</t>
  </si>
  <si>
    <t>352</t>
  </si>
  <si>
    <t>M00000277531</t>
  </si>
  <si>
    <t>592</t>
  </si>
  <si>
    <t>M00000299860</t>
  </si>
  <si>
    <t>M00000343624</t>
  </si>
  <si>
    <t>M00000355072</t>
  </si>
  <si>
    <t>M00000291553</t>
  </si>
  <si>
    <t>M00000277502</t>
  </si>
  <si>
    <t>M00000306682</t>
  </si>
  <si>
    <t>M00000310389</t>
  </si>
  <si>
    <t>M00000271472</t>
  </si>
  <si>
    <t>773</t>
  </si>
  <si>
    <t>M00000302261</t>
  </si>
  <si>
    <t>M00000337087</t>
  </si>
  <si>
    <t>M00000300308</t>
  </si>
  <si>
    <t>877</t>
  </si>
  <si>
    <t>M00000335079</t>
  </si>
  <si>
    <t>M00000268953</t>
  </si>
  <si>
    <t>M00000269871</t>
  </si>
  <si>
    <t>M00000283608</t>
  </si>
  <si>
    <t>M00000285205</t>
  </si>
  <si>
    <t>M00000337115</t>
  </si>
  <si>
    <t>M00000271400</t>
  </si>
  <si>
    <t>530</t>
  </si>
  <si>
    <t>M00000282257</t>
  </si>
  <si>
    <t>M00000303390</t>
  </si>
  <si>
    <t>M00000271351</t>
  </si>
  <si>
    <t>M00000281378</t>
  </si>
  <si>
    <t>M00000268945</t>
  </si>
  <si>
    <t>M00000327279</t>
  </si>
  <si>
    <t>M00000279567</t>
  </si>
  <si>
    <t>904</t>
  </si>
  <si>
    <t>M00000353076</t>
  </si>
  <si>
    <t>868</t>
  </si>
  <si>
    <t>M00000346138</t>
  </si>
  <si>
    <t>711</t>
  </si>
  <si>
    <t>M00000325656</t>
  </si>
  <si>
    <t>731</t>
  </si>
  <si>
    <t>M00000273248</t>
  </si>
  <si>
    <t>M00000271797</t>
  </si>
  <si>
    <t>M00000364088</t>
  </si>
  <si>
    <t>M00000350935</t>
  </si>
  <si>
    <t>M00000311373</t>
  </si>
  <si>
    <t>1042</t>
  </si>
  <si>
    <t>M00000321764</t>
  </si>
  <si>
    <t>1087</t>
  </si>
  <si>
    <t>M00000330785</t>
  </si>
  <si>
    <t>642</t>
  </si>
  <si>
    <t>M00000311103</t>
  </si>
  <si>
    <t>716</t>
  </si>
  <si>
    <t>M00000351457</t>
  </si>
  <si>
    <t>M00000349538</t>
  </si>
  <si>
    <t>M00000341958</t>
  </si>
  <si>
    <t>M00000364247</t>
  </si>
  <si>
    <t>1129</t>
  </si>
  <si>
    <t>M00000296027</t>
  </si>
  <si>
    <t>M00000280861</t>
  </si>
  <si>
    <t>M00000308300</t>
  </si>
  <si>
    <t>M00000272588</t>
  </si>
  <si>
    <t>M00000291762</t>
  </si>
  <si>
    <t>M00000291784</t>
  </si>
  <si>
    <t>M00000299437</t>
  </si>
  <si>
    <t>M00000336982</t>
  </si>
  <si>
    <t>M00000358124</t>
  </si>
  <si>
    <t>M00000362162</t>
  </si>
  <si>
    <t>M00000368037</t>
  </si>
  <si>
    <t>M00000336965</t>
  </si>
  <si>
    <t>885</t>
  </si>
  <si>
    <t>M00000293207</t>
  </si>
  <si>
    <t>M00000297101</t>
  </si>
  <si>
    <t>M00000281385</t>
  </si>
  <si>
    <t>M00000351521</t>
  </si>
  <si>
    <t>M00000308372</t>
  </si>
  <si>
    <t>M00000273573</t>
  </si>
  <si>
    <t>1738</t>
  </si>
  <si>
    <t>M00000323587</t>
  </si>
  <si>
    <t>M00000319005</t>
  </si>
  <si>
    <t>M00000277946</t>
  </si>
  <si>
    <t>1408</t>
  </si>
  <si>
    <t>M00000299040</t>
  </si>
  <si>
    <t>M00000279463</t>
  </si>
  <si>
    <t>M00000285727</t>
  </si>
  <si>
    <t>M00000269500</t>
  </si>
  <si>
    <t>M00000332305</t>
  </si>
  <si>
    <t>1077</t>
  </si>
  <si>
    <t>M00000269153</t>
  </si>
  <si>
    <t>M00000355832</t>
  </si>
  <si>
    <t>M00000326977</t>
  </si>
  <si>
    <t>M00000274938</t>
  </si>
  <si>
    <t>M00000297990</t>
  </si>
  <si>
    <t>M00000291240</t>
  </si>
  <si>
    <t>M00000277126</t>
  </si>
  <si>
    <t>1111</t>
  </si>
  <si>
    <t>M00000275508</t>
  </si>
  <si>
    <t>M00000292060</t>
  </si>
  <si>
    <t>858</t>
  </si>
  <si>
    <t>M00000291209</t>
  </si>
  <si>
    <t>M00000291318</t>
  </si>
  <si>
    <t>M00000347935</t>
  </si>
  <si>
    <t>M00000301853</t>
  </si>
  <si>
    <t>M00000359907</t>
  </si>
  <si>
    <t>871</t>
  </si>
  <si>
    <t>M00000367038</t>
  </si>
  <si>
    <t>M00000351078</t>
  </si>
  <si>
    <t>1158</t>
  </si>
  <si>
    <t>M00000306929</t>
  </si>
  <si>
    <t>1467</t>
  </si>
  <si>
    <t>M00000296426</t>
  </si>
  <si>
    <t>M00000368640</t>
  </si>
  <si>
    <t>M00000280124</t>
  </si>
  <si>
    <t>M00000277944</t>
  </si>
  <si>
    <t>M00000363789</t>
  </si>
  <si>
    <t>2301</t>
  </si>
  <si>
    <t>M00000287823</t>
  </si>
  <si>
    <t>M00000366135</t>
  </si>
  <si>
    <t>M00000277355</t>
  </si>
  <si>
    <t>M00000355829</t>
  </si>
  <si>
    <t>M00000308297</t>
  </si>
  <si>
    <t>586</t>
  </si>
  <si>
    <t>M00000300860</t>
  </si>
  <si>
    <t>636</t>
  </si>
  <si>
    <t>M00000276418</t>
  </si>
  <si>
    <t>M00000304068</t>
  </si>
  <si>
    <t>M00000325640</t>
  </si>
  <si>
    <t>M00000327235</t>
  </si>
  <si>
    <t>M00000277854</t>
  </si>
  <si>
    <t>829</t>
  </si>
  <si>
    <t>M00000270811</t>
  </si>
  <si>
    <t>1631</t>
  </si>
  <si>
    <t>M00000343723</t>
  </si>
  <si>
    <t>M00000301618</t>
  </si>
  <si>
    <t>M00000325080</t>
  </si>
  <si>
    <t>M00000331886</t>
  </si>
  <si>
    <t>M00000291551</t>
  </si>
  <si>
    <t>M00000326067</t>
  </si>
  <si>
    <t>M00000373405</t>
  </si>
  <si>
    <t>M00000341597</t>
  </si>
  <si>
    <t>M00000339885</t>
  </si>
  <si>
    <t>973</t>
  </si>
  <si>
    <t>M00000357554</t>
  </si>
  <si>
    <t>M00000281569</t>
  </si>
  <si>
    <t>M00000291207</t>
  </si>
  <si>
    <t>M00000315664</t>
  </si>
  <si>
    <t>1561</t>
  </si>
  <si>
    <t>M00000301534</t>
  </si>
  <si>
    <t>923</t>
  </si>
  <si>
    <t>M00000342692</t>
  </si>
  <si>
    <t>M00000358349</t>
  </si>
  <si>
    <t>M00000269694</t>
  </si>
  <si>
    <t>M00000339902</t>
  </si>
  <si>
    <t>1992</t>
  </si>
  <si>
    <t>M00000351318</t>
  </si>
  <si>
    <t>M00000354896</t>
  </si>
  <si>
    <t>M00000293019</t>
  </si>
  <si>
    <t>M00000308201</t>
  </si>
  <si>
    <t>M00000295131</t>
  </si>
  <si>
    <t>989</t>
  </si>
  <si>
    <t>M00000318278</t>
  </si>
  <si>
    <t>1049</t>
  </si>
  <si>
    <t>M00000357654</t>
  </si>
  <si>
    <t>M00000339840</t>
  </si>
  <si>
    <t>M00000350645</t>
  </si>
  <si>
    <t>M00000365581</t>
  </si>
  <si>
    <t>954</t>
  </si>
  <si>
    <t>M00000355873</t>
  </si>
  <si>
    <t>M00000359712</t>
  </si>
  <si>
    <t>1318</t>
  </si>
  <si>
    <t>M00000318348</t>
  </si>
  <si>
    <t>M00000374691</t>
  </si>
  <si>
    <t>M00000327302</t>
  </si>
  <si>
    <t>M00000296024</t>
  </si>
  <si>
    <t>977</t>
  </si>
  <si>
    <t>M00000313007</t>
  </si>
  <si>
    <t>M00000346165</t>
  </si>
  <si>
    <t>M00000363756</t>
  </si>
  <si>
    <t>734</t>
  </si>
  <si>
    <t>M00000355867</t>
  </si>
  <si>
    <t>M00000272763</t>
  </si>
  <si>
    <t>1505</t>
  </si>
  <si>
    <t>M00000298054</t>
  </si>
  <si>
    <t>M00000305383</t>
  </si>
  <si>
    <t>M00000301257</t>
  </si>
  <si>
    <t>1279</t>
  </si>
  <si>
    <t>M00000294393</t>
  </si>
  <si>
    <t>M00000313437</t>
  </si>
  <si>
    <t>964</t>
  </si>
  <si>
    <t>M00000369981</t>
  </si>
  <si>
    <t>1967</t>
  </si>
  <si>
    <t>M00000296624</t>
  </si>
  <si>
    <t>M00000300891</t>
  </si>
  <si>
    <t>M00000349606</t>
  </si>
  <si>
    <t>838</t>
  </si>
  <si>
    <t>M00000319021</t>
  </si>
  <si>
    <t>M00000299173</t>
  </si>
  <si>
    <t>797</t>
  </si>
  <si>
    <t>M00000273232</t>
  </si>
  <si>
    <t>M00000335636</t>
  </si>
  <si>
    <t>978</t>
  </si>
  <si>
    <t>M00000312752</t>
  </si>
  <si>
    <t>M00000308378</t>
  </si>
  <si>
    <t>236</t>
  </si>
  <si>
    <t>M00000351370</t>
  </si>
  <si>
    <t>M00000342920</t>
  </si>
  <si>
    <t>M00000311948</t>
  </si>
  <si>
    <t>M00000297952</t>
  </si>
  <si>
    <t>M00000292654</t>
  </si>
  <si>
    <t>M00000341880</t>
  </si>
  <si>
    <t>M00000283274</t>
  </si>
  <si>
    <t>M00000269124</t>
  </si>
  <si>
    <t>1820</t>
  </si>
  <si>
    <t>M00000296267</t>
  </si>
  <si>
    <t>M00000346987</t>
  </si>
  <si>
    <t>M00000347706</t>
  </si>
  <si>
    <t>M00000365598</t>
  </si>
  <si>
    <t>M00000334509</t>
  </si>
  <si>
    <t>M00000316344</t>
  </si>
  <si>
    <t>1391</t>
  </si>
  <si>
    <t>M00000337172</t>
  </si>
  <si>
    <t>M00000307162</t>
  </si>
  <si>
    <t>897</t>
  </si>
  <si>
    <t>M00000294501</t>
  </si>
  <si>
    <t>M00000279876</t>
  </si>
  <si>
    <t>M00000333297</t>
  </si>
  <si>
    <t>1347</t>
  </si>
  <si>
    <t>M00000305089</t>
  </si>
  <si>
    <t>M00000296130</t>
  </si>
  <si>
    <t>691</t>
  </si>
  <si>
    <t>M00000271137</t>
  </si>
  <si>
    <t>M00000343417</t>
  </si>
  <si>
    <t>M00000374368</t>
  </si>
  <si>
    <t>M00000343418</t>
  </si>
  <si>
    <t>M00000319761</t>
  </si>
  <si>
    <t>M00000297331</t>
  </si>
  <si>
    <t>M00000322589</t>
  </si>
  <si>
    <t>M00000353257</t>
  </si>
  <si>
    <t>M00000291427</t>
  </si>
  <si>
    <t>M00000300874</t>
  </si>
  <si>
    <t>M00000335141</t>
  </si>
  <si>
    <t>1953</t>
  </si>
  <si>
    <t>M00000373625</t>
  </si>
  <si>
    <t>M00000311531</t>
  </si>
  <si>
    <t>M00000342363</t>
  </si>
  <si>
    <t>M00000336990</t>
  </si>
  <si>
    <t>M00000352203</t>
  </si>
  <si>
    <t>770</t>
  </si>
  <si>
    <t>M00000339896</t>
  </si>
  <si>
    <t>M00000352336</t>
  </si>
  <si>
    <t>2211</t>
  </si>
  <si>
    <t>M00000339922</t>
  </si>
  <si>
    <t>983</t>
  </si>
  <si>
    <t>M00000342508</t>
  </si>
  <si>
    <t>M00000334344</t>
  </si>
  <si>
    <t>689</t>
  </si>
  <si>
    <t>M00000333806</t>
  </si>
  <si>
    <t>M00000320540</t>
  </si>
  <si>
    <t>M00000279253</t>
  </si>
  <si>
    <t>1071</t>
  </si>
  <si>
    <t>M00000271332</t>
  </si>
  <si>
    <t>956</t>
  </si>
  <si>
    <t>M00000306854</t>
  </si>
  <si>
    <t>M00000292564</t>
  </si>
  <si>
    <t>M00000272923</t>
  </si>
  <si>
    <t>1245</t>
  </si>
  <si>
    <t>M00000327468</t>
  </si>
  <si>
    <t>M00000271435</t>
  </si>
  <si>
    <t>M00000343734</t>
  </si>
  <si>
    <t>M00000270870</t>
  </si>
  <si>
    <t>M00000310224</t>
  </si>
  <si>
    <t>M00000356282</t>
  </si>
  <si>
    <t>1021</t>
  </si>
  <si>
    <t>M00000337109</t>
  </si>
  <si>
    <t>M00000319922</t>
  </si>
  <si>
    <t>1554</t>
  </si>
  <si>
    <t>M00000294826</t>
  </si>
  <si>
    <t>M00000319151</t>
  </si>
  <si>
    <t>M00000364328</t>
  </si>
  <si>
    <t>M00000313755</t>
  </si>
  <si>
    <t>M00000344931</t>
  </si>
  <si>
    <t>M00000353490</t>
  </si>
  <si>
    <t>M00000284181</t>
  </si>
  <si>
    <t>M00000360078</t>
  </si>
  <si>
    <t>M00000360971</t>
  </si>
  <si>
    <t>M00000337141</t>
  </si>
  <si>
    <t>M00000353213</t>
  </si>
  <si>
    <t>M00000322976</t>
  </si>
  <si>
    <t>M00000348754</t>
  </si>
  <si>
    <t>M00000291554</t>
  </si>
  <si>
    <t>M00000317497</t>
  </si>
  <si>
    <t>M00000310341</t>
  </si>
  <si>
    <t>957</t>
  </si>
  <si>
    <t>M00000338986</t>
  </si>
  <si>
    <t>M00000279501</t>
  </si>
  <si>
    <t>M00000353089</t>
  </si>
  <si>
    <t>M00000310344</t>
  </si>
  <si>
    <t>545</t>
  </si>
  <si>
    <t>M00000315217</t>
  </si>
  <si>
    <t>1009</t>
  </si>
  <si>
    <t>M00000270001</t>
  </si>
  <si>
    <t>M00000321792</t>
  </si>
  <si>
    <t>M00000269998</t>
  </si>
  <si>
    <t>M00000313171</t>
  </si>
  <si>
    <t>M00000346702</t>
  </si>
  <si>
    <t>M00000309945</t>
  </si>
  <si>
    <t>M00000366880</t>
  </si>
  <si>
    <t>M00000310637</t>
  </si>
  <si>
    <t>M00000276265</t>
  </si>
  <si>
    <t>M00000326105</t>
  </si>
  <si>
    <t>664</t>
  </si>
  <si>
    <t>M00000298938</t>
  </si>
  <si>
    <t>1687</t>
  </si>
  <si>
    <t>M00000305251</t>
  </si>
  <si>
    <t>M00000359174</t>
  </si>
  <si>
    <t>M00000353315</t>
  </si>
  <si>
    <t>M00000343684</t>
  </si>
  <si>
    <t>M00000303218</t>
  </si>
  <si>
    <t>130</t>
  </si>
  <si>
    <t>M00000309044</t>
  </si>
  <si>
    <t>M00000332183</t>
  </si>
  <si>
    <t>M00000316327</t>
  </si>
  <si>
    <t>M00000331528</t>
  </si>
  <si>
    <t>M00000322724</t>
  </si>
  <si>
    <t>M00000354884</t>
  </si>
  <si>
    <t>1755</t>
  </si>
  <si>
    <t>M00000346808</t>
  </si>
  <si>
    <t>M00000367062</t>
  </si>
  <si>
    <t>M00000339046</t>
  </si>
  <si>
    <t>M00000269914</t>
  </si>
  <si>
    <t>M00000271386</t>
  </si>
  <si>
    <t>M00000359073</t>
  </si>
  <si>
    <t>M00000367351</t>
  </si>
  <si>
    <t>M00000346274</t>
  </si>
  <si>
    <t>914</t>
  </si>
  <si>
    <t>M00000285080</t>
  </si>
  <si>
    <t>M00000356659</t>
  </si>
  <si>
    <t>M00000356112</t>
  </si>
  <si>
    <t>3134</t>
  </si>
  <si>
    <t>M00000350612</t>
  </si>
  <si>
    <t>M00000283784</t>
  </si>
  <si>
    <t>M00000310429</t>
  </si>
  <si>
    <t>M00000315618</t>
  </si>
  <si>
    <t>M00000287171</t>
  </si>
  <si>
    <t>M00000310551</t>
  </si>
  <si>
    <t>M00000321658</t>
  </si>
  <si>
    <t>M00000334401</t>
  </si>
  <si>
    <t>M00000335119</t>
  </si>
  <si>
    <t>M00000340442</t>
  </si>
  <si>
    <t>M00000353701</t>
  </si>
  <si>
    <t>M00000350831</t>
  </si>
  <si>
    <t>M00000368131</t>
  </si>
  <si>
    <t>M00000340707</t>
  </si>
  <si>
    <t>M00000362664</t>
  </si>
  <si>
    <t>M00000320666</t>
  </si>
  <si>
    <t>M00000359507</t>
  </si>
  <si>
    <t>M00000323914</t>
  </si>
  <si>
    <t>2180</t>
  </si>
  <si>
    <t>M00000334931</t>
  </si>
  <si>
    <t>M00000282183</t>
  </si>
  <si>
    <t>M00000359433</t>
  </si>
  <si>
    <t>M00000301166</t>
  </si>
  <si>
    <t>M00000341197</t>
  </si>
  <si>
    <t>1511</t>
  </si>
  <si>
    <t>M00000333096</t>
  </si>
  <si>
    <t>M00000337006</t>
  </si>
  <si>
    <t>1971</t>
  </si>
  <si>
    <t>M00000305599</t>
  </si>
  <si>
    <t>M00000285663</t>
  </si>
  <si>
    <t>M00000326887</t>
  </si>
  <si>
    <t>M00000350317</t>
  </si>
  <si>
    <t>M00000352953</t>
  </si>
  <si>
    <t>M00000338658</t>
  </si>
  <si>
    <t>M00000340839</t>
  </si>
  <si>
    <t>M00000370972</t>
  </si>
  <si>
    <t>M00000338677</t>
  </si>
  <si>
    <t>M00000314647</t>
  </si>
  <si>
    <t>M00000341948</t>
  </si>
  <si>
    <t>M00000349713</t>
  </si>
  <si>
    <t>M00000337103</t>
  </si>
  <si>
    <t>M00000280790</t>
  </si>
  <si>
    <t>993</t>
  </si>
  <si>
    <t>M00000340829</t>
  </si>
  <si>
    <t>M00000336987</t>
  </si>
  <si>
    <t>M00000286339</t>
  </si>
  <si>
    <t>M00000269519</t>
  </si>
  <si>
    <t>M00000312564</t>
  </si>
  <si>
    <t>M00000324411</t>
  </si>
  <si>
    <t>M00000365325</t>
  </si>
  <si>
    <t>149</t>
  </si>
  <si>
    <t>M00000282720</t>
  </si>
  <si>
    <t>M00000333459</t>
  </si>
  <si>
    <t>M00000313300</t>
  </si>
  <si>
    <t>M00000366157</t>
  </si>
  <si>
    <t>137</t>
  </si>
  <si>
    <t>M00000320690</t>
  </si>
  <si>
    <t>M00000345138</t>
  </si>
  <si>
    <t>Ceiling/Attic - Electric</t>
  </si>
  <si>
    <t>Delta 2007$/SF</t>
  </si>
  <si>
    <t>Delta 2007$/SF/R</t>
  </si>
  <si>
    <t>Ceiling/Attic - Gas</t>
  </si>
  <si>
    <t>Floor - Electric</t>
  </si>
  <si>
    <t>Floor - Gas</t>
  </si>
  <si>
    <t>Wall - Electric</t>
  </si>
  <si>
    <t>Wall - Gas</t>
  </si>
  <si>
    <t>2007$</t>
  </si>
  <si>
    <t>2006$</t>
  </si>
  <si>
    <t>Attic R-0 to R-19</t>
  </si>
  <si>
    <t>Attic R-19 to R-30</t>
  </si>
  <si>
    <t>Attic R-30 to R-38</t>
  </si>
  <si>
    <t>Attic R-38 to R-49</t>
  </si>
  <si>
    <t>Attic R-0 to R-38</t>
  </si>
  <si>
    <t>Attic R-0 to R-49</t>
  </si>
  <si>
    <t>Underfloor R-0 to R-19</t>
  </si>
  <si>
    <t>Underfloor R-19 to R-25</t>
  </si>
  <si>
    <t>Underfloor R-25 to R-30</t>
  </si>
  <si>
    <t>Underfloor R-30 to R-38</t>
  </si>
  <si>
    <t>Underfloor R-0 to R-25</t>
  </si>
  <si>
    <t>Underfloor R-0 to R-30</t>
  </si>
  <si>
    <t>Underfloor R-0 to R-38</t>
  </si>
  <si>
    <t>Wall R-0 to R-11</t>
  </si>
  <si>
    <t>Wall R-0 to R-13</t>
  </si>
  <si>
    <t>Wall R-0 to R-15</t>
  </si>
  <si>
    <t>ETO Single Family Retrofit Cost</t>
  </si>
  <si>
    <t>PSE</t>
  </si>
  <si>
    <t>ETO</t>
  </si>
  <si>
    <t>SF</t>
  </si>
  <si>
    <t>MF</t>
  </si>
  <si>
    <t>$/sq.ft.</t>
  </si>
  <si>
    <t>Underfloor R-19 to R-30</t>
  </si>
  <si>
    <t>2012$</t>
  </si>
  <si>
    <t>HomeSqFt</t>
  </si>
  <si>
    <t>CFM50 Infiltration Reduction</t>
  </si>
  <si>
    <t>CFM50 Infiltration Reduction_Electric FAF</t>
  </si>
  <si>
    <t>CFM50 Infiltration Reduction_Heat Pump</t>
  </si>
  <si>
    <t>Based on RBSA for Wx-eligible homes</t>
  </si>
  <si>
    <t xml:space="preserve">NB: most housing units have more than one heat source and we have limited knowledge of the different sources' relative shares of heat load.  Because of this, and because SEEM takes a single heat source as input, our calibration work assigns a primary heat source based on RBSA equipment data.  This assignment ignores the occupant's statements about what's primary and what's secondary and simply lists all the operable heating equipment at each site and picks the one that seems most likely to be the main one (for example, if a home has a heat pump and baseboards, we designate as a heat pump house.)  </t>
  </si>
  <si>
    <t>Existing</t>
  </si>
  <si>
    <t>Block 2: 0-10 mills/kWh</t>
  </si>
  <si>
    <t>aMW</t>
  </si>
  <si>
    <t>MAX</t>
  </si>
  <si>
    <t>Block 22: 200-210 mills/kWh</t>
  </si>
  <si>
    <t>&lt;=210</t>
  </si>
  <si>
    <t>Block 23: 210-220 mills/kWh</t>
  </si>
  <si>
    <t>&gt;210</t>
  </si>
  <si>
    <t>&lt;=220</t>
  </si>
  <si>
    <t>Block 24: 220-230 mills/kWh</t>
  </si>
  <si>
    <t>&gt;220</t>
  </si>
  <si>
    <t>&lt;=230</t>
  </si>
  <si>
    <t>Block 25: 230-240 mills/kWh</t>
  </si>
  <si>
    <t>&gt;230</t>
  </si>
  <si>
    <t>&lt;=240</t>
  </si>
  <si>
    <t>Block 26: 240-250 mills/kWh</t>
  </si>
  <si>
    <t>&gt;240</t>
  </si>
  <si>
    <t>&lt;=250</t>
  </si>
  <si>
    <t>Block 27: 250-260 mills/kWh</t>
  </si>
  <si>
    <t>&gt;250</t>
  </si>
  <si>
    <t>&lt;=260</t>
  </si>
  <si>
    <t>Block 28: 260-270 mills/kWh</t>
  </si>
  <si>
    <t>&gt;260</t>
  </si>
  <si>
    <t>&lt;=270</t>
  </si>
  <si>
    <t>Block 29: 270-280 mills/kWh</t>
  </si>
  <si>
    <t>&gt;270</t>
  </si>
  <si>
    <t>&lt;=280</t>
  </si>
  <si>
    <t>Block 30: 280-290 mills/kWh</t>
  </si>
  <si>
    <t>&gt;280</t>
  </si>
  <si>
    <t>&lt;=290</t>
  </si>
  <si>
    <t>Block 31: 290-300 mills/kWh</t>
  </si>
  <si>
    <t>&gt;290</t>
  </si>
  <si>
    <t>&lt;=300</t>
  </si>
  <si>
    <t>Block 32: &gt; 300 mills/kWh</t>
  </si>
  <si>
    <t>&gt;300</t>
  </si>
  <si>
    <t>R-All-HVAC-ER-All-All-E</t>
  </si>
  <si>
    <t>Savings Allocation by Category and Month for Segments 1</t>
  </si>
  <si>
    <t>Savings Allocation by Category and Month for Segments 2</t>
  </si>
  <si>
    <t>Wholesale KW</t>
  </si>
  <si>
    <t>ProCost Results</t>
  </si>
  <si>
    <t xml:space="preserve">Version:    </t>
  </si>
  <si>
    <t>ProCost 3.0 - Beta04</t>
  </si>
  <si>
    <t>Run Time:</t>
  </si>
  <si>
    <t>Regurgitation of ProData input parameters which were used for this run</t>
  </si>
  <si>
    <t>Run Parameters</t>
  </si>
  <si>
    <t>Marginal Cost &amp; Conservation Load Shape Parameters</t>
  </si>
  <si>
    <t>Sponsor Parameters</t>
  </si>
  <si>
    <t>Program Parameters</t>
  </si>
  <si>
    <t>Utility System Parameters</t>
  </si>
  <si>
    <t>Run Type</t>
  </si>
  <si>
    <t>Electric</t>
  </si>
  <si>
    <t>Marginal Costs and Savings Shape File</t>
  </si>
  <si>
    <t>\\nas2\Q\SeventhPlan\Conservation Analysis\Global EE Inputs\MC Files\MC_AND_LOADSHAPE_v3.0_24segment-7P-D9 - NewSegValues.xlsx</t>
  </si>
  <si>
    <t>6P MidC Final (with carbon)</t>
  </si>
  <si>
    <t>Customer</t>
  </si>
  <si>
    <t>Wholesale Elec</t>
  </si>
  <si>
    <t>Retail Elec</t>
  </si>
  <si>
    <t>Nat Gas</t>
  </si>
  <si>
    <t>Program Life (yrs)</t>
  </si>
  <si>
    <t>Gas</t>
  </si>
  <si>
    <t>Negative B/C Ratios</t>
  </si>
  <si>
    <t>Off</t>
  </si>
  <si>
    <t>Marginal Elec Avoided Cost Input Worksheet</t>
  </si>
  <si>
    <t>7P Mid</t>
  </si>
  <si>
    <t>Conservation Load Shapes</t>
  </si>
  <si>
    <t>Real After-Tax Cost of Capital</t>
  </si>
  <si>
    <t>Program Start Date</t>
  </si>
  <si>
    <t>Bulk System T&amp;D Loss Factor</t>
  </si>
  <si>
    <t>Admin Cost @ Category Level</t>
  </si>
  <si>
    <t>On</t>
  </si>
  <si>
    <t>Elec Savings Shape Input Worksheet</t>
  </si>
  <si>
    <t>GLSShapes</t>
  </si>
  <si>
    <t>6P_Gas_Final</t>
  </si>
  <si>
    <t>Financial Life (years)</t>
  </si>
  <si>
    <t>Present Value Time Zero</t>
  </si>
  <si>
    <t>Bulk System T&amp;D Credit ($/kw-yr)($/dailytherm-yr)</t>
  </si>
  <si>
    <t xml:space="preserve">Repeat Periodic Replacement </t>
  </si>
  <si>
    <t>Marginal Gas Avoided Cost Input Worksheet</t>
  </si>
  <si>
    <t>7P Gas</t>
  </si>
  <si>
    <t>Input Cost Reference Year</t>
  </si>
  <si>
    <t>Bulk System T&amp;D I2R Loss Component (%)</t>
  </si>
  <si>
    <t>N/A</t>
  </si>
  <si>
    <t>Gas Savings Shape Input Worksheet</t>
  </si>
  <si>
    <t xml:space="preserve">Sponsor Share of Initial Capital Cost </t>
  </si>
  <si>
    <t>Real Discount Rate</t>
  </si>
  <si>
    <t>Local System Dist Loss Factor</t>
  </si>
  <si>
    <t>Run Type:</t>
  </si>
  <si>
    <t>Marginal Elec CO2 per kWh Input Worksheet</t>
  </si>
  <si>
    <t>CO2 lbs per kWh .95</t>
  </si>
  <si>
    <t>CO2 lbs per therm</t>
  </si>
  <si>
    <t>Sponsor Share of Annual O&amp;M</t>
  </si>
  <si>
    <t>Capital Real Escalation Rate</t>
  </si>
  <si>
    <t>Local System Dist Credit ($/kw-yr)($/dailytherm-yr)</t>
  </si>
  <si>
    <t>Negative B/C Ratios:</t>
  </si>
  <si>
    <t>False:  (Converts Negative B/C Ratios)</t>
  </si>
  <si>
    <t>Marginal Gas CO2 per therm Input Worksheet</t>
  </si>
  <si>
    <t>Zero Dollars per ton CO2</t>
  </si>
  <si>
    <t>Sponsor Share of Periodic Replacement Cost</t>
  </si>
  <si>
    <t>Admin Cost (as % of Initial Capital Cost)</t>
  </si>
  <si>
    <t>Local System Dist I2R Loss Component (%)</t>
  </si>
  <si>
    <t>Admin Cost / Category Level:</t>
  </si>
  <si>
    <t>True:  Admin Costs added at Category Results</t>
  </si>
  <si>
    <t>Marginal Avoided Cost CO2 Input Worksheet</t>
  </si>
  <si>
    <t>LineLossShapes</t>
  </si>
  <si>
    <t>Sponsor Share of Admin Cost</t>
  </si>
  <si>
    <t>Regional Act Conservation Credit (%)</t>
  </si>
  <si>
    <t>Risk-Mitigation Credit (mills/kWh)(mills/therm) - Retro.</t>
  </si>
  <si>
    <t>Periodic O&amp;M Treatment:</t>
  </si>
  <si>
    <t>True:  (Periodic O&amp;M Repeats over measure life)</t>
  </si>
  <si>
    <t>Line Loss Shape Input Worksheet</t>
  </si>
  <si>
    <t>Last Year of Non-Customer O&amp;M &amp; Period Replacement</t>
  </si>
  <si>
    <t>Report Annual Carbon Saved for Year</t>
  </si>
  <si>
    <t>Risk-Mitigation Credit (mills/kWh)(mills/therm) - Lost Op.</t>
  </si>
  <si>
    <t>Measure Results; Sorted in same order as input</t>
  </si>
  <si>
    <t>Total Results</t>
  </si>
  <si>
    <t>Measure Input Data</t>
  </si>
  <si>
    <t>Savings</t>
  </si>
  <si>
    <t>PV Capital</t>
  </si>
  <si>
    <t>PV Admin</t>
  </si>
  <si>
    <t>PV O&amp;M</t>
  </si>
  <si>
    <t>PV Periodic Repl.</t>
  </si>
  <si>
    <t>Total PV Capital, O&amp;M and Periodic Repl Costs</t>
  </si>
  <si>
    <t>PV Wholesale Electric Utility Costs &amp; Benefits</t>
  </si>
  <si>
    <t>PV Retail Electric Utility Costs &amp; Benefits</t>
  </si>
  <si>
    <t>PV Electric Utility System Costs &amp; Benefits</t>
  </si>
  <si>
    <t>Electric Utility System Economics</t>
  </si>
  <si>
    <t>Sponsor Levelized Cost (mills/kwh)</t>
  </si>
  <si>
    <t>PV Regional Costs &amp; Benefits</t>
  </si>
  <si>
    <t>TRC Economics</t>
  </si>
  <si>
    <t>Physical CO2</t>
  </si>
  <si>
    <t>PV Gas Utility System Costs &amp; Benefits</t>
  </si>
  <si>
    <t>Gas Utility System Economics</t>
  </si>
  <si>
    <t>Site Savings (kWh)</t>
  </si>
  <si>
    <t>Site Savings (therms)</t>
  </si>
  <si>
    <t>Capital Cost ($/unit)</t>
  </si>
  <si>
    <t>Annual O&amp;M Cost ($/unit)</t>
  </si>
  <si>
    <t>PV Per. Repl. Cost ($/unit)</t>
  </si>
  <si>
    <t>Load Shape (electric)</t>
  </si>
  <si>
    <t>Diversified Load Factor (electric)</t>
  </si>
  <si>
    <t>Wholesale Power Coincidence Factor (electric)</t>
  </si>
  <si>
    <t>Wholesale Electric Energy (kWh)</t>
  </si>
  <si>
    <t>Wholesale Electric Demand (kw)</t>
  </si>
  <si>
    <t>Retail Electric Demand (kW)</t>
  </si>
  <si>
    <t>Wholesale Gas Energy (therms/yr)</t>
  </si>
  <si>
    <t>Wholesale Gas Demand (therms/day)</t>
  </si>
  <si>
    <t>Retail Gas Demand (therms/day)</t>
  </si>
  <si>
    <t>Wholesale Electric</t>
  </si>
  <si>
    <t>Retail Electric</t>
  </si>
  <si>
    <t>Natural Gas</t>
  </si>
  <si>
    <t>Wholesale Utility System Energy</t>
  </si>
  <si>
    <t>Wholesale Utility System T&amp;D Def. Cap.</t>
  </si>
  <si>
    <t>Wholesale Utility System Act C-E Credit</t>
  </si>
  <si>
    <t>Wholesale Utility System Risk Mitigation Benefit</t>
  </si>
  <si>
    <t>Wholesale Utility System Total System Benefit</t>
  </si>
  <si>
    <t>Wholesale Utility System Total Non-Consumer Cost</t>
  </si>
  <si>
    <t>Wholesale Utility System B/C Ratio</t>
  </si>
  <si>
    <t>Retail Utility System Energy</t>
  </si>
  <si>
    <t>Retail Utility System T&amp;D Def. Cap.</t>
  </si>
  <si>
    <t>Retail Utility System Act C-E Credit</t>
  </si>
  <si>
    <t>Retail Utility System Risk Mitigation Benefit</t>
  </si>
  <si>
    <t>Retail Utility System Total System Benefit</t>
  </si>
  <si>
    <t>Retail Utility System Total Non-Consumer Cost</t>
  </si>
  <si>
    <t>Retail Utility System System B/C Ratio</t>
  </si>
  <si>
    <t>Utility System Energy</t>
  </si>
  <si>
    <t>Utility System T&amp;D Def. Cap.</t>
  </si>
  <si>
    <t>Utility System Act C-E Credit</t>
  </si>
  <si>
    <t>Utility System Total Risk Mitigation Benefit</t>
  </si>
  <si>
    <t>Utility System Total System Benefit</t>
  </si>
  <si>
    <t>Utility System Total Non-Consumer Cost</t>
  </si>
  <si>
    <t>Utility System Net Levelized Cost (Net of Elec T&amp;D Capacity Benefits, Act Credit &amp; Risk-Mitigation Benefit) in mills/kwh</t>
  </si>
  <si>
    <t>Utility System System B/C Ratio</t>
  </si>
  <si>
    <t>Wholesale Electric Levelized Cost</t>
  </si>
  <si>
    <t>Retail Electric Levelized Cost</t>
  </si>
  <si>
    <t>Natural Gas Levelized Cost</t>
  </si>
  <si>
    <t>Customer Levelized Cost</t>
  </si>
  <si>
    <t>Total Levelized Cost</t>
  </si>
  <si>
    <t>PV Regional Electric Energy</t>
  </si>
  <si>
    <t>PV Regional Gas Energy</t>
  </si>
  <si>
    <t>PV Regional Electric T&amp;D Def. Cap.</t>
  </si>
  <si>
    <t>PV Regional Gas T&amp;D Def. Cap.</t>
  </si>
  <si>
    <t>PV Regional Electric System CO2</t>
  </si>
  <si>
    <t>PV Regional Gas System CO2</t>
  </si>
  <si>
    <t>PV Regional Electric System Risk-Mitigation Benefit</t>
  </si>
  <si>
    <t>PV Regional Gas System Risk-Mitigation Benefit</t>
  </si>
  <si>
    <t>PV Regional Non-E Value</t>
  </si>
  <si>
    <t>PV Regional Act Credit</t>
  </si>
  <si>
    <t>PV Regional Capital Cost</t>
  </si>
  <si>
    <t>PV Regional Admin Cost</t>
  </si>
  <si>
    <t>PV Regional Annual O&amp;M Cost</t>
  </si>
  <si>
    <t>PV Regional Periodic Replacement Cost</t>
  </si>
  <si>
    <t>PV Total Regional Benefit</t>
  </si>
  <si>
    <t>PV Total Regional Cost</t>
  </si>
  <si>
    <t>Electric System CO2 Avoided (Lifetime Tons)</t>
  </si>
  <si>
    <t>Gas System CO2 Avoided (Lifetime Tons)</t>
  </si>
  <si>
    <t>Total System CO2 Avoided (Lifetime Tons)</t>
  </si>
  <si>
    <t>Electric System CO2 Avoided (Annual Tons in 2018)</t>
  </si>
  <si>
    <t>Gas System CO2 Avoided (Annual Tons in 2018)</t>
  </si>
  <si>
    <t>Total System CO2 Avoided (Annual Tons in 2018)</t>
  </si>
  <si>
    <t>Gas Site Savings (therms)</t>
  </si>
  <si>
    <t>Load Shape (gas)</t>
  </si>
  <si>
    <t>Diversitfied Load Factor (gas)</t>
  </si>
  <si>
    <t>Wholesale Coincidence Factor (gas)</t>
  </si>
  <si>
    <t>Total Gas Utility System Energy</t>
  </si>
  <si>
    <t>Gas Utility System T&amp;D Def. Cap.</t>
  </si>
  <si>
    <t>Gas Utility System Risk Mitigation Benefit</t>
  </si>
  <si>
    <t>Gas Utility System Total System Benefit</t>
  </si>
  <si>
    <t>Gas Utility System Total Non-Consumer Cost</t>
  </si>
  <si>
    <t>Gas Utility System Net Levelized Cost (Net of Gas T&amp;D Capacity Benefits &amp; Risk-Mitigation Benefits) in cents/therm</t>
  </si>
  <si>
    <t>Gas Utility System System B/C Ratio</t>
  </si>
  <si>
    <t>(na)</t>
  </si>
  <si>
    <t>Category Results; Sorted by TRC Levelized Cost</t>
  </si>
  <si>
    <t>Supply Curve Results; Categories sorted by TRC Net Levelized Cost</t>
  </si>
  <si>
    <t>Totals for Categories with Benefits Exceeding Costs.    Levelized cost is TRC Net Levelized Cost (Net of Benefits)</t>
  </si>
  <si>
    <t>Savings Allocation by Cost Bin and Month for Segments 1</t>
  </si>
  <si>
    <t>Savings Allocation by Cost Bin and Month for Segments 2</t>
  </si>
  <si>
    <t>Totals Basis</t>
  </si>
  <si>
    <t>Busbar Electric Savings in kWh</t>
  </si>
  <si>
    <t>Measures with B/C &gt; 1.00</t>
  </si>
  <si>
    <t>Categories with B/C &gt; 1.00</t>
  </si>
  <si>
    <t>Supply Curve Results:  By TRC Net Levelized Cost - Net of Benefits</t>
  </si>
  <si>
    <t>Block 2: &lt;= 10 mills/kWh</t>
  </si>
  <si>
    <t>Block 22: &gt; 200 mills/kWh</t>
  </si>
  <si>
    <t>Total per Year (aMW)</t>
  </si>
  <si>
    <t>Total Cumulative (aMW)</t>
  </si>
  <si>
    <t>R9-R14</t>
  </si>
  <si>
    <t>90% in place</t>
  </si>
  <si>
    <t>1976-1994, HUD</t>
  </si>
  <si>
    <t>homeowner has a closet furnace that has not been used for 2+ yrs , primary heat source is an enclosed wood stove that the homeowner has modified to include a fan and short ducted runs to each side of the home,  insulation was added in the form</t>
  </si>
  <si>
    <t>Double Metal</t>
  </si>
  <si>
    <t>100% in place</t>
  </si>
  <si>
    <t>R22-R30</t>
  </si>
  <si>
    <t>FLEX DUCT IN CRAWL DUCT SEALING DONE BUT MISSED MAJORITY OF EASY LEAKS IN CRAWL SPACE WINDOWS HAVE NOT BERN REPLACED</t>
  </si>
  <si>
    <t>Double Vinyl/Wood</t>
  </si>
  <si>
    <t>interior mounted storm windows are primary,missing storm is secondary</t>
  </si>
  <si>
    <t>75% in place</t>
  </si>
  <si>
    <t>R15-R21</t>
  </si>
  <si>
    <t>1990-1994, SGC or Natural Choice</t>
  </si>
  <si>
    <t>1995 to Current, HUD</t>
  </si>
  <si>
    <t>METAL INSULATED DOORS ONE SOLID ONE HALF WINDOW</t>
  </si>
  <si>
    <t>R0-R8</t>
  </si>
  <si>
    <t>1975 and Older, Pre-HUD</t>
  </si>
  <si>
    <t>R41+</t>
  </si>
  <si>
    <t>2000 to Current, ENERGY STAR</t>
  </si>
  <si>
    <t>no window replacement</t>
  </si>
  <si>
    <t>50% in place</t>
  </si>
  <si>
    <t>marlette 3257 model 1488</t>
  </si>
  <si>
    <t>R33</t>
  </si>
  <si>
    <t>R22</t>
  </si>
  <si>
    <t>no replacement</t>
  </si>
  <si>
    <t>NO  DUCTS PRESENT</t>
  </si>
  <si>
    <t>waterhea</t>
  </si>
  <si>
    <t>No window replacements</t>
  </si>
  <si>
    <t>From label on Circuit Breaker Box 2CRKFSGT        0159-0533J   SERIAL 618867    SEIAL UL LABEL ANSI MODEL HOME A119.1-1974  Note: validation error? No window upgrade but requires value for replacement type, area, etc. % South Facing Window &amp;qou</t>
  </si>
  <si>
    <t>new peaked roof was put on, it was insulated but the client did not know how much and there was no access</t>
  </si>
  <si>
    <t>R14</t>
  </si>
  <si>
    <t>NO ACESS TO ATTIC OWNER THINKS THEY DID ADD INSULATION</t>
  </si>
  <si>
    <t>NO WINDOWS ARE REPLACED    Leak below bath , barrier is torn see pic</t>
  </si>
  <si>
    <t>windows are factory issue</t>
  </si>
  <si>
    <t>The water heater is inaccessible.  Information regarding it was gleaned from the homeowner.</t>
  </si>
  <si>
    <t>R-8 ON DUCT CROSSOVER OWNER INSULATED FOUNDATION WALL RIGID R-8 FLOOR INSULATED</t>
  </si>
  <si>
    <t>previous energy evaluation (blower door) revealed leaks that were patched and added insulation was blown in the floor and the roof where possible.</t>
  </si>
  <si>
    <t>Home had Super Good Cents Label but built in 2002.  So I labeled it Energy star. Home had r38 lid, r33 flor, r21 walls, with low u-value windows w/ low e coating.</t>
  </si>
  <si>
    <t>1995 to Current, NEEM</t>
  </si>
  <si>
    <t>vaulted ceiling with an avg of 8.5ft , walls were 7.5 ft height</t>
  </si>
  <si>
    <t>original windows</t>
  </si>
  <si>
    <t>25% in place</t>
  </si>
  <si>
    <t>no windoiw upgrade.  eath advantage manufactured home.</t>
  </si>
  <si>
    <t>R38</t>
  </si>
  <si>
    <t>no replacement windows</t>
  </si>
  <si>
    <t>NO ACESS TO CRAWLSPACE OR ATTIC OWNER THINKS ATTIC FAN INSTALKED AND RUNS 8 HOURS A DAY EVERY DAY COULD NOT VARIFY DUCTS SEALED HY IDAHO POWER PROGRAM DISVONNECTS FIXED AND TESTED VERY TIGHT - WALKS ARE 2X6  OWNER ALSO PAID FOR EXTRA ATTIC INSU</t>
  </si>
  <si>
    <t>unable toopen plastic skirting without breaking it,heat was coming through crossover .</t>
  </si>
  <si>
    <t>A few years ago extra insulation was blown into the trailer's road barrier, the exact amount was unknown to us and the client.</t>
  </si>
  <si>
    <t>Modern</t>
  </si>
  <si>
    <t>The ceiling insulation level was about R-30 now</t>
  </si>
  <si>
    <t>OWNE ADDED CEILING INSULATION PUT FOUNDATION UNDER HOME, no added insulation in floor just existing road barrier. HOME HAS AC DUCTS IN CEILING OWNER TAKES GRILL OFF DURRING SUMMER. ADDED INSULATION IN CRAWL SPACE PERIMITER 2 inches of rugid foa</t>
  </si>
  <si>
    <t>0% in place</t>
  </si>
  <si>
    <t>windows are original  blown in cellulose above factory ins.</t>
  </si>
  <si>
    <t>house has original windows</t>
  </si>
  <si>
    <t>shell is in good condition and well taken care of inside and out. No improvements made other than two 8x8 additions by both doors (unconditioned and closed off)</t>
  </si>
  <si>
    <t>CHA DID DUCT AND AIR SEALING W BLOWER DOOR TEST</t>
  </si>
  <si>
    <t>all windows are factory double pane vinyl</t>
  </si>
  <si>
    <t>oil heater heats the home directly, without duct no input listed.</t>
  </si>
  <si>
    <t>R24</t>
  </si>
  <si>
    <t>NO REPLACEMNT WINDOWS</t>
  </si>
  <si>
    <t>older model in poor'ish shape. did not know the year of model and could not find any signs, labels, or indications of vintage. Significant insulation underneath was missing and hot water heater was inaccessible bc of door access was in poor sha</t>
  </si>
  <si>
    <t>HOMEOWNER SAYS HOUSE IS DRAFTY AND SEEMS EXSPENSIVE TO HEAT</t>
  </si>
  <si>
    <t>WIndows were not replaced</t>
  </si>
  <si>
    <t>SOME R-11 FLOOR INSULATIO SOME OF FLOOR NOT INSULATED. ATTIC LOOKS TO HAVE ANOTHER ROOF BUILT OVER EXISTING LARGE OVERHANGS ON SOUTH SIDE OF HOME HOMEOWNER INSULATED WALLS . CRAWL HAS INSUL AROUND PERIMETER NO INSULATION ON DUCTS ALL WINDOWS RE</t>
  </si>
  <si>
    <t>none</t>
  </si>
  <si>
    <t>occupant has replaced floor barrier and crossover, also sealed ducts and boots were sealed with metal tape , I did not see any mastic at the boot</t>
  </si>
  <si>
    <t>272 sq ft porch was coverted to a conditioned sunspace with no floor or ceiling insulation. 240 sq ft addition on the south side has r18 floor insulation, owner said walls and ceiling were insulated to the standard of the rest of the house, but</t>
  </si>
  <si>
    <t>south windows are covere by 12 foot porch</t>
  </si>
  <si>
    <t>There are no replacement windows</t>
  </si>
  <si>
    <t>LIMITED ACCESS TO CRAWL</t>
  </si>
  <si>
    <t>No ducts, heat pump is through the wall/ductless mini split windows are original</t>
  </si>
  <si>
    <t>hud number ida 140309/10/11 man ser number idflr04a18285hs</t>
  </si>
  <si>
    <t>foundation concrete</t>
  </si>
  <si>
    <t>One electric resistance heater only. No ducts Also a woodstove.</t>
  </si>
  <si>
    <t>PLUMBING BACKED UP COULD NOT MEASURE SHOWER HEAD</t>
  </si>
  <si>
    <t>ductmaterial is flex,bwindows are original</t>
  </si>
  <si>
    <t>metal storm windows over metal double pane clear glass windows and wood front door</t>
  </si>
  <si>
    <t>There are no replacement windows upgrade to report. Equiped with original alum. window units.</t>
  </si>
  <si>
    <t>R7</t>
  </si>
  <si>
    <t>no duct visible in crawl. Per inspection of supply registers, metal ducting installed. Participant noted "goop" used by duct installers, indicating mastic was used.</t>
  </si>
  <si>
    <t>tag on home lists it as a 1999 sgc home, even though it is ot on our list,ceilingr38,floor r33,wallr21</t>
  </si>
  <si>
    <t>COMUNITY ACTION DUCT SEALED REPLACED HEATING AND COOLING EQ INSULATION STICKER IN WATER HEATER CLOSET SHOWS INCREASED INSULATION IN FLOOR ATTIC AND WALLS</t>
  </si>
  <si>
    <t>crawl vents were open, hone was on cinder blocks.</t>
  </si>
  <si>
    <t>no replacement windows.</t>
  </si>
  <si>
    <t>addition is unheated and not included in wal floor or ceiling</t>
  </si>
  <si>
    <t>no notes</t>
  </si>
  <si>
    <t>2/3 OF HOME HAS A CEILING THAT RISES TO A PEAK OF 12 FT. IN THE CENTER.</t>
  </si>
  <si>
    <t>upstairs is 48x26 manufactured home   walls R-19    floor R-30 ceiling R-30    downstairs is site built addition: also 48x26: two concrete walls built into slope firred 2x4's R-19 total walls- exposed walls are 2x6 R-19  no insulation on slab f</t>
  </si>
  <si>
    <t>Flex system</t>
  </si>
  <si>
    <t>val error under windows % Windows South Facing "must be between 0 and 1"</t>
  </si>
  <si>
    <t>increased insulation in past year (ceiling and floor) Walls are 2x2 and could not be added to.</t>
  </si>
  <si>
    <t>OWNER THIMKS ENERGY STAR HOME NO ATTIC ACCESS SMALL INSULATED ADDITION OCER BACK PATIO NOT PART OF CONDITIONED SPACE</t>
  </si>
  <si>
    <t>Hose bibs were running and filled the crawl space</t>
  </si>
  <si>
    <t>should be 'not required' in this case for windows upgraded</t>
  </si>
  <si>
    <t>factory windows, no replacement type</t>
  </si>
  <si>
    <t>NO DUCT MASTIC</t>
  </si>
  <si>
    <t>windows have not been replaced</t>
  </si>
  <si>
    <t>*******************SEE SITE SKETCH***************    Entire home surrounded by 2x4 site built wall.    Two additions,     Variable floor/wall and ceiling insulation:    CEILING:  R7: 854SF  R11: 228SF    WALL:   R7 original home insulation and</t>
  </si>
  <si>
    <t>NO ACESS TO CRAWL ORCATTIC OWNER DOES NOT THINK EITHER HAS ADDED INSULATION</t>
  </si>
  <si>
    <t>windows are original, furnace  serial is N1165MAC73JU1210</t>
  </si>
  <si>
    <t>no window upgrade in original home. Addition has standard alum frame with dbl pane glass.</t>
  </si>
  <si>
    <t>no new window upgrade</t>
  </si>
  <si>
    <t>eden pure run all winter model a3075 guerdon70x14 existing ducting abandoned and not being used</t>
  </si>
  <si>
    <t>pipe broke in floor causing rot and several joists have caused humps in the floor , the barrier is tattered significantly , homeowner does not care and renter will deal with it ,</t>
  </si>
  <si>
    <t>All windows are factory double pane vinyl , they do not need to be replaced , I used the unk to get the tab green since there is no value for none or na</t>
  </si>
  <si>
    <t>SECA REPLACED WINDOWS ROOF INSULATED ROF INSTALLED CO ALARM INSTALLED MINI SPLIT HVAC. no access to attic or crawl sapce. SECA said crawl is to low to access for insulaiton upgrade.</t>
  </si>
  <si>
    <t>ORGIGINAL FACTORY WINDOWS.</t>
  </si>
  <si>
    <t>a leak under the bathroom eroded the barrier and a piece of plywood was just screwed up to repair the hole , no insulation was replaced yet at the leak site</t>
  </si>
  <si>
    <t>new windows, new sealing weatherization</t>
  </si>
  <si>
    <t>Windows are Factory Originals. No replacement type installed.</t>
  </si>
  <si>
    <t>Home is heated with wood stove and back up propane stove.  Duct system is still there but furnace has been removed</t>
  </si>
  <si>
    <t>26 sf of south facing windows</t>
  </si>
  <si>
    <t>furnace does not work. Owner uses space heater and turns stove on to heat area.</t>
  </si>
  <si>
    <t>Surveyor left floor insulation level blank</t>
  </si>
  <si>
    <t>2x4 walls plugged externally from insulation addition. Ceiling and floor were also added to-</t>
  </si>
  <si>
    <t>crawl access blocked no attic accessories</t>
  </si>
  <si>
    <t>no evidence of increased insulation or window replacement.</t>
  </si>
  <si>
    <t>CAN NOT SEE DUCTS HOME OVER FULL BASEMENT</t>
  </si>
  <si>
    <t>2004 sgc</t>
  </si>
  <si>
    <t>CEILING 10' PEAK</t>
  </si>
  <si>
    <t>Windows have not been replaced, software not registering</t>
  </si>
  <si>
    <t>none needed</t>
  </si>
  <si>
    <t>FLOOR-11 CEILING -15 WALLS -11 DUCT-7  CROSSOVER LOOKS TO BE CONNECTED, BUT INSULATION HAS BE TORN AND THE ACTUAL CONNECTION COULD BE DAMAGED.</t>
  </si>
  <si>
    <t>HUD standard construction assumed. No tag or paperwork available.</t>
  </si>
  <si>
    <t>road barrier in tack can not see insulation</t>
  </si>
  <si>
    <t>Plans to upgrade windows in the next year.</t>
  </si>
  <si>
    <t>R19+foam</t>
  </si>
  <si>
    <t>skirted in with no access, got duct info from homeowner</t>
  </si>
  <si>
    <t>only replacement windows are in addition,</t>
  </si>
  <si>
    <t>no replacement windows no bath/kitchen fans</t>
  </si>
  <si>
    <t>No replaced windows-accidentally selects replacement type and cant remove</t>
  </si>
  <si>
    <t>windows are original, vinyl double paned</t>
  </si>
  <si>
    <t>CROSS OVER DUCT TO SMALBLOOKS LIKE 8 INCH DRYER DUCT AIR FLOW WAS POOR</t>
  </si>
  <si>
    <t>1/2 of east bedroom is an add on .ducts are not used but still are thermally bypssed</t>
  </si>
  <si>
    <t>There were no replacement windows</t>
  </si>
  <si>
    <t>occupant had the barrier redone and ducts sealed</t>
  </si>
  <si>
    <t>SINGLE ,NO CROSSOVER</t>
  </si>
  <si>
    <t>internal crossover. this is the alaskan version mobe.</t>
  </si>
  <si>
    <t>Why isn't flex an option for ducts under this tab, this house and others have that</t>
  </si>
  <si>
    <t>DUCTS HAD SOME METAL TAPE BUT DID NOT APPEAR TO QUALIFY AS EVIDENCE OF DUCT SEALING.</t>
  </si>
  <si>
    <t>The crawl has R11 walls in addition to the existing belly insulation.</t>
  </si>
  <si>
    <t>DUCTS ALL IN ROAD COVER DID NOT SEE A CROSS OVER DUCT ENERGY STAR HOME</t>
  </si>
  <si>
    <t>Clotheswasher was running and located in front of the furnace closet so we were not able to get any data from or off the furnace and we were also unable to perform diagnostic testing on the home.</t>
  </si>
  <si>
    <t>There are no Replacement windows and there are no ducts at all.</t>
  </si>
  <si>
    <t>VALIDATION FOR REPLACEMENT WINDOWS SHOULD NOT BE REQUIRED</t>
  </si>
  <si>
    <t>not mastic, but sealed with somthing.  very tight ducts.</t>
  </si>
  <si>
    <t>BUILT IN 1966. NO ACCESS TO CEILING OR WALLS OR DUCTING. NO KWH RATING ON FURNACE.</t>
  </si>
  <si>
    <t>surveyor left ceiling insulation level balnk. Marked as unk.</t>
  </si>
  <si>
    <t>The ceiling is falling in in certain places.  The trailer looks like it is going to fall apart the next time a good wind storm comes through.</t>
  </si>
  <si>
    <t>floor insulation estimated at 75% ish. some fallinf and some gaps, flex duct crossover &amp; insulated.</t>
  </si>
  <si>
    <t>WINDOWS ARE ALL SINGLE PANE ALUM FRAME. BECAUSE OF PIPING, I COULD ONLY GET A BODY LENGTH INTO CRAWL, I DIDN'T OBSERVE ANY CROSSOVER FROM WHERE I WAS.</t>
  </si>
  <si>
    <t>KITCHEN 20 SLOPE</t>
  </si>
  <si>
    <t>double pane vynle 3/8ths inch.  there was indication of newer insulation that was blown in under the belly. could not tell much more than that, owner did not know id therew was insulation above new insulation or not.</t>
  </si>
  <si>
    <t>windows double pane</t>
  </si>
  <si>
    <t>OWNER HAD INSULATION INSTALLED IN WALLS AND CEILING. HE ALSO ADDED FLOOR INSULATION WHEN HE RETILED HIS FLOOR AND PUT IN NEW FURNACE.</t>
  </si>
  <si>
    <t>possum tore some of the bellly up. damaged/goles in the bottom of the skirt protecting the crawl space.</t>
  </si>
  <si>
    <t>60 % OR MORE WINDOWS UPGRADED.</t>
  </si>
  <si>
    <t>FROM THE POINT i COULD GET TO, I COULDN'T SEE A CROSSOVER, BUT THERE WAS INSULATION DAMAGE THAT WAS BLOCKING MY VIEW</t>
  </si>
  <si>
    <t>The conditioned garage was on a slab.  Refer to sketch regarding the square footage and lineal footage.</t>
  </si>
  <si>
    <t>not sure //all windows have been replaced .</t>
  </si>
  <si>
    <t>Uncertain of wall insulation level</t>
  </si>
  <si>
    <t>FLOORING SHOWS SIGNS OF DAMAGE. BATHROOM FLOORING HAS COLLAPSED.</t>
  </si>
  <si>
    <t>u_door</t>
  </si>
  <si>
    <t>MHDoorArea</t>
  </si>
  <si>
    <t>u_skylight</t>
  </si>
  <si>
    <t>MHSkylightArea</t>
  </si>
  <si>
    <t>u_window_s</t>
  </si>
  <si>
    <t>u_window_p</t>
  </si>
  <si>
    <t>MHWindowsSouthFacing</t>
  </si>
  <si>
    <t>MHWindowUpgrades</t>
  </si>
  <si>
    <t>MHWindowUpgdType</t>
  </si>
  <si>
    <t>MHWindowArea_s</t>
  </si>
  <si>
    <t>MHWindowArea_p</t>
  </si>
  <si>
    <t>u_wall</t>
  </si>
  <si>
    <t>MHWallRval_bin</t>
  </si>
  <si>
    <t>MHWallRval</t>
  </si>
  <si>
    <t>MHWallInsulationLevel</t>
  </si>
  <si>
    <t>MHWallArea</t>
  </si>
  <si>
    <t>MHWallAdd</t>
  </si>
  <si>
    <t>u_floor</t>
  </si>
  <si>
    <t>MHFloorRval_bin</t>
  </si>
  <si>
    <t>MHFloorRval</t>
  </si>
  <si>
    <t>MHFloorInsulationLevel</t>
  </si>
  <si>
    <t>MHFloorCond</t>
  </si>
  <si>
    <t>MHFloorArea</t>
  </si>
  <si>
    <t>MHFloorAdd</t>
  </si>
  <si>
    <t>u_ceil</t>
  </si>
  <si>
    <t>MHCeilingRval_bin</t>
  </si>
  <si>
    <t>MHCeilingRval</t>
  </si>
  <si>
    <t>MHCeilingInsulationLevel</t>
  </si>
  <si>
    <t>MHCeilingHeight</t>
  </si>
  <si>
    <t>MHCeilingArea</t>
  </si>
  <si>
    <t>MHCeilingAdd</t>
  </si>
  <si>
    <t>MHAgeStandard</t>
  </si>
  <si>
    <t>utility_id</t>
  </si>
  <si>
    <t>utility_name</t>
  </si>
  <si>
    <t>UtilityType</t>
  </si>
  <si>
    <t>cell</t>
  </si>
  <si>
    <t>stratum</t>
  </si>
  <si>
    <t>pop_ct</t>
  </si>
  <si>
    <t>BPA_region</t>
  </si>
  <si>
    <t>naturalgas_utilityname</t>
  </si>
  <si>
    <t>gasflag</t>
  </si>
  <si>
    <t>zip_zcta</t>
  </si>
  <si>
    <t>heat_clim_zone</t>
  </si>
  <si>
    <t>cool_clim_zone</t>
  </si>
  <si>
    <t>04442</t>
  </si>
  <si>
    <t>PUD No 1 of Cowlitz County</t>
  </si>
  <si>
    <t>NWP</t>
  </si>
  <si>
    <t>WWA</t>
  </si>
  <si>
    <t>04442-mh</t>
  </si>
  <si>
    <t>06022</t>
  </si>
  <si>
    <t>Eugene City of</t>
  </si>
  <si>
    <t>WOR</t>
  </si>
  <si>
    <t>06022-mh</t>
  </si>
  <si>
    <t>15248</t>
  </si>
  <si>
    <t>Portland General Electric Co</t>
  </si>
  <si>
    <t>Private</t>
  </si>
  <si>
    <t>WOR-mh</t>
  </si>
  <si>
    <t>NW Natural</t>
  </si>
  <si>
    <t>18429</t>
  </si>
  <si>
    <t>Tacoma City of</t>
  </si>
  <si>
    <t>PS</t>
  </si>
  <si>
    <t>PS-mh</t>
  </si>
  <si>
    <t>15500</t>
  </si>
  <si>
    <t>Puget Sound Energy Inc</t>
  </si>
  <si>
    <t>08699</t>
  </si>
  <si>
    <t>Inland Power &amp; Light Company</t>
  </si>
  <si>
    <t>EWA</t>
  </si>
  <si>
    <t>EWA-mh</t>
  </si>
  <si>
    <t>E_OR_WA</t>
  </si>
  <si>
    <t>09191</t>
  </si>
  <si>
    <t>Idaho Power Co</t>
  </si>
  <si>
    <t>ID-mh</t>
  </si>
  <si>
    <t>23586</t>
  </si>
  <si>
    <t>Vigilante Electric Coop, Inc</t>
  </si>
  <si>
    <t>MT-mh</t>
  </si>
  <si>
    <t>ID_MT</t>
  </si>
  <si>
    <t>10454</t>
  </si>
  <si>
    <t>Kootenai Electric Coop Inc</t>
  </si>
  <si>
    <t>12825</t>
  </si>
  <si>
    <t>NorthWestern Corporation</t>
  </si>
  <si>
    <t>20169</t>
  </si>
  <si>
    <t>Avista Corp</t>
  </si>
  <si>
    <t>Avista Energy</t>
  </si>
  <si>
    <t>14505</t>
  </si>
  <si>
    <t>Parkland Light &amp; Water Company</t>
  </si>
  <si>
    <t>Northwestern Energy</t>
  </si>
  <si>
    <t>14354</t>
  </si>
  <si>
    <t>PacifiCorp</t>
  </si>
  <si>
    <t>EOR</t>
  </si>
  <si>
    <t>EOR-mh</t>
  </si>
  <si>
    <t>07548</t>
  </si>
  <si>
    <t>PUD No 1 of Grays Harbor Cnty</t>
  </si>
  <si>
    <t>WWA-mh</t>
  </si>
  <si>
    <t>20385</t>
  </si>
  <si>
    <t>West Oregon Electric Coop Inc</t>
  </si>
  <si>
    <t>03660</t>
  </si>
  <si>
    <t>PUD No 1 of Clark County</t>
  </si>
  <si>
    <t>03264</t>
  </si>
  <si>
    <t>Central Lincoln People's Ut Dt</t>
  </si>
  <si>
    <t>09186</t>
  </si>
  <si>
    <t>Idaho Cnty L&amp;P Coop Assn, Inc</t>
  </si>
  <si>
    <t>12692</t>
  </si>
  <si>
    <t>Missoula Electric Coop, Inc</t>
  </si>
  <si>
    <t>18917</t>
  </si>
  <si>
    <t>Tillamook Peoples Utility Dist</t>
  </si>
  <si>
    <t>17470</t>
  </si>
  <si>
    <t>Snohomish County PUD No 1</t>
  </si>
  <si>
    <t>14324</t>
  </si>
  <si>
    <t>Public Utility District No 2 (Pacific Co)</t>
  </si>
  <si>
    <t>06395</t>
  </si>
  <si>
    <t>Flathead Electric Coop Inc</t>
  </si>
  <si>
    <t>14653</t>
  </si>
  <si>
    <t>PUD No 1 of Pend Oreille Cnty</t>
  </si>
  <si>
    <t>40437</t>
  </si>
  <si>
    <t>Emerald People's Utility Dist</t>
  </si>
  <si>
    <t>19603</t>
  </si>
  <si>
    <t>USBIA-Mission Valley Power</t>
  </si>
  <si>
    <t>18404</t>
  </si>
  <si>
    <t>Sun River Electric</t>
  </si>
  <si>
    <t>03240</t>
  </si>
  <si>
    <t>Central Electric Coop Inc</t>
  </si>
  <si>
    <t>17839</t>
  </si>
  <si>
    <t>City of Springfield</t>
  </si>
  <si>
    <t>01736</t>
  </si>
  <si>
    <t>Blachly-Lane Cnty Coop El Assn</t>
  </si>
  <si>
    <t>16565</t>
  </si>
  <si>
    <t>Salmon River Electric Coop Inc</t>
  </si>
  <si>
    <t>28541</t>
  </si>
  <si>
    <t>Clatskanie Peoples Util Dist</t>
  </si>
  <si>
    <t>04743</t>
  </si>
  <si>
    <t>Consumers Power, Inc</t>
  </si>
  <si>
    <t>Puget Sound Energy</t>
  </si>
  <si>
    <t>03739</t>
  </si>
  <si>
    <t>Clearwater Power Company</t>
  </si>
  <si>
    <t>Intermountain Gas</t>
  </si>
  <si>
    <t>03644</t>
  </si>
  <si>
    <t>PUD No 1 of Clallam County</t>
  </si>
  <si>
    <t>14624</t>
  </si>
  <si>
    <t>PUD No 2 of Grant County</t>
  </si>
  <si>
    <t>19236</t>
  </si>
  <si>
    <t>City of Troy</t>
  </si>
  <si>
    <t>10944</t>
  </si>
  <si>
    <t>PUD No 1 of Lewis County</t>
  </si>
  <si>
    <t>15327</t>
  </si>
  <si>
    <t>Public Utility District No 1 (Wahkiakum Co)</t>
  </si>
  <si>
    <t>10681</t>
  </si>
  <si>
    <t>Lane Electric Coop Inc</t>
  </si>
  <si>
    <t>12187</t>
  </si>
  <si>
    <t>McMinnville City of</t>
  </si>
  <si>
    <t>01723</t>
  </si>
  <si>
    <t>Big Bend Electric Coop, Inc</t>
  </si>
  <si>
    <t>13758</t>
  </si>
  <si>
    <t>Northern Lights, Inc</t>
  </si>
  <si>
    <t>04317</t>
  </si>
  <si>
    <t>Coos-Curry Electric Coop, Inc</t>
  </si>
  <si>
    <t>04041</t>
  </si>
  <si>
    <t>Columbia Rural Elec Assn, Inc</t>
  </si>
  <si>
    <t>CNG - Cascade Natural Gas</t>
  </si>
  <si>
    <t>06149</t>
  </si>
  <si>
    <t>City of Ellensburg</t>
  </si>
  <si>
    <t>14012</t>
  </si>
  <si>
    <t>Ohop Mutual Light Company, Inc</t>
  </si>
  <si>
    <t>12439</t>
  </si>
  <si>
    <t>Midstate Electric Coop, Inc</t>
  </si>
  <si>
    <t>14109</t>
  </si>
  <si>
    <t>Oregon Trail El Cons Coop, Inc</t>
  </si>
  <si>
    <t>04008</t>
  </si>
  <si>
    <t>Columbia Power Coop Assn Inc</t>
  </si>
  <si>
    <t>03413</t>
  </si>
  <si>
    <t>PUD No 1 of Chelan County</t>
  </si>
  <si>
    <t>SvyWt</t>
  </si>
  <si>
    <t>Attic R0 - R30</t>
  </si>
  <si>
    <t>Attic R0 - R22</t>
  </si>
  <si>
    <t>Floor R0 - R22</t>
  </si>
  <si>
    <t>Floor R11 - R22</t>
  </si>
  <si>
    <t>Window Double - U30</t>
  </si>
  <si>
    <t>Window Single- U30</t>
  </si>
  <si>
    <t>9 HSPF Upgrade</t>
  </si>
  <si>
    <t>From Mohit S-C's work on MH Wx for RTF, based on RBSA data</t>
  </si>
  <si>
    <t>\\nas2\Q\SeventhPlan\Conservation Analysis\Res\Res Wx\ManufacturedHomesWxSEEMWorkbookRuns12111.xlsm</t>
  </si>
  <si>
    <t>This represents the portion of homes that can install the measure</t>
  </si>
  <si>
    <t>Apply Weighting by heating zone, renaming windows to be consistent w/ other segments</t>
  </si>
  <si>
    <t>Attic - R11 - R30</t>
  </si>
  <si>
    <t>Floors - R0 - R22</t>
  </si>
  <si>
    <t>Attic R19 - R30</t>
  </si>
  <si>
    <t>Attic R0 - R30_Electric FAF</t>
  </si>
  <si>
    <t>Floor R11 - R22_Electric FAF</t>
  </si>
  <si>
    <t>Floor R0 - R22_Electric FAF</t>
  </si>
  <si>
    <t>Attic R0 - R30_Heat Pump</t>
  </si>
  <si>
    <t>Floor R11 - R22_Heat Pump</t>
  </si>
  <si>
    <t>Floor R0 - R22_Heat Pump</t>
  </si>
  <si>
    <t>*</t>
  </si>
  <si>
    <t>Heating Savings - Electric Resistance</t>
  </si>
  <si>
    <t>(kWh/sf)</t>
  </si>
  <si>
    <t>Attic R11 - R30</t>
  </si>
  <si>
    <t>Window Double - U22</t>
  </si>
  <si>
    <t>Window Single- U22</t>
  </si>
  <si>
    <t>Window U35-U30</t>
  </si>
  <si>
    <t>Window U35-U22</t>
  </si>
  <si>
    <t>per ACHn</t>
  </si>
  <si>
    <t>Heating Savings - Heat Pump</t>
  </si>
  <si>
    <t>Attic R0 - R22*</t>
  </si>
  <si>
    <t>Attic R11 - R30*</t>
  </si>
  <si>
    <t xml:space="preserve">Infiltration </t>
  </si>
  <si>
    <t>Heating Savings - Average System</t>
  </si>
  <si>
    <t xml:space="preserve">From: </t>
  </si>
  <si>
    <t>\\nas2\Q\SeventhPlan\Conservation Analysis\Res\Res Wx</t>
  </si>
  <si>
    <t>Heating type</t>
  </si>
  <si>
    <t>Climate Zone</t>
  </si>
  <si>
    <t>Savings (kWh/sqft)</t>
  </si>
  <si>
    <t>Walls R0 - R11</t>
  </si>
  <si>
    <t>Floor R0 - R11</t>
  </si>
  <si>
    <t>Attic R30 - R38</t>
  </si>
  <si>
    <t>Attic R30 - R49</t>
  </si>
  <si>
    <t>Attic R38 - R49</t>
  </si>
  <si>
    <t>Attic R19 - R38</t>
  </si>
  <si>
    <t>Attic R19 - R49</t>
  </si>
  <si>
    <t>Delete CL35 -&gt; windows</t>
  </si>
  <si>
    <t>Attic R0 - R22_Electric FAF</t>
  </si>
  <si>
    <t>Attic R0 - R22_Heat Pump</t>
  </si>
  <si>
    <t>Attic R11 - R30_Electric FAF</t>
  </si>
  <si>
    <t>Attic R11 - R30_Heat Pump</t>
  </si>
  <si>
    <t>R-All-HVAC-ASHP-All-All-E</t>
  </si>
  <si>
    <t>These costs are built up from SF Wx costs, but no better data currently exist</t>
  </si>
  <si>
    <t>25 years</t>
  </si>
  <si>
    <t>HVAC ER and HVAC ASHP</t>
  </si>
  <si>
    <t>MH models have not been calibrated to RBSA data, but rerun fall 2014</t>
  </si>
  <si>
    <t>savingsYear</t>
  </si>
  <si>
    <t>BPA Sector</t>
  </si>
  <si>
    <t>BPA EndUse</t>
  </si>
  <si>
    <t>BPA Category</t>
  </si>
  <si>
    <t>BPA TAP</t>
  </si>
  <si>
    <t>SumOfkWhBusbar</t>
  </si>
  <si>
    <t>SumOfaMWBusbar</t>
  </si>
  <si>
    <t>Residential</t>
  </si>
  <si>
    <t>Envelope</t>
  </si>
  <si>
    <t>Air Sealing</t>
  </si>
  <si>
    <t>Insulation</t>
  </si>
  <si>
    <t>Unknown</t>
  </si>
  <si>
    <t>Windows</t>
  </si>
  <si>
    <t>Ramp Rate</t>
  </si>
  <si>
    <t>Resource Type</t>
  </si>
  <si>
    <t>Measure Category</t>
  </si>
  <si>
    <t>Sector</t>
  </si>
  <si>
    <t>End Use</t>
  </si>
  <si>
    <t>kW per unit</t>
  </si>
  <si>
    <t>kWh per unit</t>
  </si>
  <si>
    <t>TRC Net Levelized Cost (Net of All Benefits)</t>
  </si>
  <si>
    <t>End Use:</t>
  </si>
  <si>
    <t>5th Plan Costs</t>
  </si>
  <si>
    <t>Prototype Component Area</t>
  </si>
  <si>
    <t>UA</t>
  </si>
  <si>
    <t>Delta UA</t>
  </si>
  <si>
    <t>Incremetal Cost</t>
  </si>
  <si>
    <t>Conservation Measure</t>
  </si>
  <si>
    <t>Uo</t>
  </si>
  <si>
    <t>WALL R0</t>
  </si>
  <si>
    <t>WALL R4</t>
  </si>
  <si>
    <t>WALL R11</t>
  </si>
  <si>
    <t>ATTIC R0</t>
  </si>
  <si>
    <t>ATTIC R4</t>
  </si>
  <si>
    <t>ATTIC R11 Batt</t>
  </si>
  <si>
    <t>ATTIC R19 Batt</t>
  </si>
  <si>
    <t>ATTIC R22 Blown</t>
  </si>
  <si>
    <t>ATTIC R38 Blown</t>
  </si>
  <si>
    <t>FLOOR R0</t>
  </si>
  <si>
    <t>FLOOR R4 Batt</t>
  </si>
  <si>
    <t>FLOOR R11 Batt</t>
  </si>
  <si>
    <t>FLOOR R22 Blown</t>
  </si>
  <si>
    <t>FLOOR R30 Blown</t>
  </si>
  <si>
    <t>CLASS 35 PRIME WINDOW (Energy Star)</t>
  </si>
  <si>
    <t xml:space="preserve">CLASS 30 PRIME WINDOW </t>
  </si>
  <si>
    <t>DOOR R2.5</t>
  </si>
  <si>
    <t>DOOR R5</t>
  </si>
  <si>
    <t>INFILTRATION @ O.50 ACH</t>
  </si>
  <si>
    <t>INFILTRATION @ O.40 ACH</t>
  </si>
  <si>
    <t>Incremental Cost (2002$/SF)</t>
  </si>
  <si>
    <t>Not clear what baseline is here? Clas 35?</t>
  </si>
  <si>
    <t>Not clear on what baseline is here. Costs seem too low</t>
  </si>
  <si>
    <t>From:</t>
  </si>
  <si>
    <t>Assessment of Gas and Electricity Savings for Homes Treated under Wisconsin's Home Nenergy Plus Low-Income Weatherization Program, Feb 28, 2014</t>
  </si>
  <si>
    <t>If assume 1000 sq ft</t>
  </si>
  <si>
    <t>Roof:</t>
  </si>
  <si>
    <t>per sqft</t>
  </si>
  <si>
    <t>Floor:</t>
  </si>
  <si>
    <t>As most homes get 2 major measures, use that price bucket for costs</t>
  </si>
  <si>
    <t>R+B</t>
  </si>
  <si>
    <t>R+S</t>
  </si>
  <si>
    <t>B+S</t>
  </si>
  <si>
    <t>S</t>
  </si>
  <si>
    <t>B</t>
  </si>
  <si>
    <t>Current RTF, though insulation costs are based on SF and likely underrepresent MH costs:</t>
  </si>
  <si>
    <t>Since bulk of cost is labor, use same cost for all R-value increments</t>
  </si>
  <si>
    <t>ManufacturedHomesWxSEEMWorkbookRuns1211</t>
  </si>
  <si>
    <t>Phase 2 Savings</t>
  </si>
  <si>
    <t>Cooling Savings</t>
  </si>
  <si>
    <t>CZ1</t>
  </si>
  <si>
    <t>CZ2</t>
  </si>
  <si>
    <t>CZ3</t>
  </si>
  <si>
    <t>Using Mohit's SEEM runs from Dec 2014 RTF mtng, even though calibration has not been approved, it appears to be close to rough estimate of comparing SEEM consumption to VBDD consumption</t>
  </si>
  <si>
    <t>NEB ($/yr)</t>
  </si>
  <si>
    <t>Friday, 6 March , 2015 at 1:52 PM</t>
  </si>
  <si>
    <t>Total Max Potential (aMW)</t>
  </si>
</sst>
</file>

<file path=xl/styles.xml><?xml version="1.0" encoding="utf-8"?>
<styleSheet xmlns="http://schemas.openxmlformats.org/spreadsheetml/2006/main">
  <numFmts count="24">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0000000000000"/>
    <numFmt numFmtId="166" formatCode="0.000000"/>
    <numFmt numFmtId="167" formatCode="0.0000"/>
    <numFmt numFmtId="168" formatCode="0.0%"/>
    <numFmt numFmtId="169" formatCode="_(* #,##0.0_);_(* \(#,##0.0\);_(* &quot;-&quot;?_);_(@_)"/>
    <numFmt numFmtId="170" formatCode="m/d/\ h:mm"/>
    <numFmt numFmtId="171" formatCode="_(* #,##0_);_(* \(#,##0\);_(* &quot;-&quot;??_);_(@_)"/>
    <numFmt numFmtId="172" formatCode="mmm\-yyyy"/>
    <numFmt numFmtId="173" formatCode="_(&quot;$&quot;* #,##0_);_(&quot;$&quot;* \(#,##0\);_(&quot;$&quot;* &quot;-&quot;??_);_(@_)"/>
    <numFmt numFmtId="174" formatCode="dd\-mmm\-yy"/>
    <numFmt numFmtId="175" formatCode="_(&quot;$&quot;* #,##0.0_);_(&quot;$&quot;* \(#,##0.0\);_(&quot;$&quot;* &quot;-&quot;??_);_(@_)"/>
    <numFmt numFmtId="176" formatCode="0.0;[Red]\-0.0"/>
    <numFmt numFmtId="177" formatCode="\ "/>
    <numFmt numFmtId="178" formatCode="_(* #,##0.000_);_(* \(#,##0.000\);_(* &quot;-&quot;??_);_(@_)"/>
    <numFmt numFmtId="179" formatCode="0.000"/>
    <numFmt numFmtId="180" formatCode=".000"/>
  </numFmts>
  <fonts count="70">
    <font>
      <sz val="10"/>
      <color theme="1"/>
      <name val="Arial"/>
      <family val="2"/>
    </font>
    <font>
      <sz val="11"/>
      <color theme="1"/>
      <name val="Calibri"/>
      <family val="2"/>
      <scheme val="minor"/>
    </font>
    <font>
      <sz val="12"/>
      <name val="Arial"/>
      <family val="2"/>
    </font>
    <font>
      <b/>
      <i/>
      <sz val="10"/>
      <name val="Arial"/>
      <family val="2"/>
    </font>
    <font>
      <sz val="10"/>
      <name val="Arial"/>
      <family val="2"/>
    </font>
    <font>
      <b/>
      <sz val="10"/>
      <color indexed="9"/>
      <name val="Arial"/>
      <family val="2"/>
    </font>
    <font>
      <sz val="10"/>
      <color indexed="22"/>
      <name val="Arial"/>
      <family val="2"/>
    </font>
    <font>
      <sz val="10"/>
      <color indexed="12"/>
      <name val="Arial"/>
      <family val="2"/>
    </font>
    <font>
      <sz val="10"/>
      <color indexed="8"/>
      <name val="Arial"/>
      <family val="2"/>
    </font>
    <font>
      <b/>
      <sz val="10"/>
      <name val="Arial"/>
      <family val="2"/>
    </font>
    <font>
      <b/>
      <sz val="8"/>
      <color indexed="81"/>
      <name val="Tahoma"/>
      <family val="2"/>
    </font>
    <font>
      <sz val="8"/>
      <color indexed="81"/>
      <name val="Tahoma"/>
      <family val="2"/>
    </font>
    <font>
      <b/>
      <sz val="10"/>
      <color rgb="FFFF0000"/>
      <name val="Arial"/>
      <family val="2"/>
    </font>
    <font>
      <sz val="10"/>
      <color indexed="9"/>
      <name val="Arial"/>
      <family val="2"/>
    </font>
    <font>
      <sz val="10"/>
      <color indexed="10"/>
      <name val="Arial"/>
      <family val="2"/>
    </font>
    <font>
      <sz val="10"/>
      <color theme="1"/>
      <name val="Arial"/>
      <family val="2"/>
    </font>
    <font>
      <sz val="12"/>
      <name val="Times New Roman"/>
      <family val="1"/>
    </font>
    <font>
      <b/>
      <sz val="12"/>
      <name val="Times New Roman"/>
      <family val="1"/>
    </font>
    <font>
      <sz val="11"/>
      <color theme="1"/>
      <name val="Calibri"/>
      <family val="2"/>
      <scheme val="minor"/>
    </font>
    <font>
      <b/>
      <sz val="11"/>
      <color theme="1"/>
      <name val="Calibri"/>
      <family val="2"/>
      <scheme val="minor"/>
    </font>
    <font>
      <sz val="11"/>
      <color indexed="8"/>
      <name val="Calibri"/>
      <family val="2"/>
    </font>
    <font>
      <sz val="11"/>
      <color rgb="FFFF0000"/>
      <name val="Calibri"/>
      <family val="2"/>
      <scheme val="minor"/>
    </font>
    <font>
      <sz val="9"/>
      <color theme="1"/>
      <name val="Consolas"/>
      <family val="3"/>
    </font>
    <font>
      <b/>
      <sz val="9"/>
      <color indexed="81"/>
      <name val="Tahoma"/>
      <family val="2"/>
    </font>
    <font>
      <sz val="9"/>
      <color indexed="81"/>
      <name val="Tahoma"/>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1"/>
      <color indexed="56"/>
      <name val="Calibri"/>
      <family val="2"/>
    </font>
    <font>
      <u/>
      <sz val="11"/>
      <color theme="10"/>
      <name val="Calibri"/>
      <family val="2"/>
    </font>
    <font>
      <sz val="11"/>
      <color indexed="62"/>
      <name val="Calibri"/>
      <family val="2"/>
    </font>
    <font>
      <sz val="9"/>
      <name val="Consolas"/>
      <family val="3"/>
    </font>
    <font>
      <sz val="11"/>
      <color indexed="52"/>
      <name val="Calibri"/>
      <family val="2"/>
    </font>
    <font>
      <sz val="11"/>
      <color indexed="60"/>
      <name val="Calibri"/>
      <family val="2"/>
    </font>
    <font>
      <sz val="9"/>
      <color theme="1"/>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MS Sans Serif"/>
      <family val="2"/>
    </font>
    <font>
      <sz val="10"/>
      <name val="Times New Roman"/>
      <family val="1"/>
    </font>
    <font>
      <b/>
      <sz val="10"/>
      <color indexed="8"/>
      <name val="Arial"/>
      <family val="2"/>
    </font>
    <font>
      <b/>
      <sz val="15"/>
      <color indexed="62"/>
      <name val="Calibri"/>
      <family val="2"/>
    </font>
    <font>
      <b/>
      <sz val="13"/>
      <color indexed="62"/>
      <name val="Calibri"/>
      <family val="2"/>
    </font>
    <font>
      <b/>
      <sz val="11"/>
      <color indexed="62"/>
      <name val="Calibri"/>
      <family val="2"/>
    </font>
    <font>
      <u/>
      <sz val="7"/>
      <color indexed="12"/>
      <name val="Arial"/>
      <family val="2"/>
    </font>
    <font>
      <u/>
      <sz val="10"/>
      <color indexed="12"/>
      <name val="Times New Roman"/>
      <family val="1"/>
    </font>
    <font>
      <u/>
      <sz val="10"/>
      <color theme="10"/>
      <name val="Arial"/>
      <family val="2"/>
    </font>
    <font>
      <u/>
      <sz val="11"/>
      <color theme="10"/>
      <name val="Calibri"/>
      <family val="2"/>
      <scheme val="minor"/>
    </font>
    <font>
      <sz val="9"/>
      <name val="Arial"/>
      <family val="2"/>
    </font>
    <font>
      <sz val="12"/>
      <name val="Helv"/>
    </font>
    <font>
      <sz val="10"/>
      <name val="Helv"/>
    </font>
    <font>
      <sz val="10"/>
      <name val="Helv"/>
      <charset val="204"/>
    </font>
    <font>
      <b/>
      <sz val="18"/>
      <color indexed="62"/>
      <name val="Cambria"/>
      <family val="2"/>
    </font>
    <font>
      <sz val="10"/>
      <name val="굴림"/>
      <family val="3"/>
      <charset val="129"/>
    </font>
    <font>
      <sz val="10"/>
      <name val="Arial"/>
      <family val="2"/>
    </font>
    <font>
      <u/>
      <sz val="10"/>
      <color indexed="12"/>
      <name val="Arial"/>
      <family val="2"/>
    </font>
    <font>
      <b/>
      <sz val="14"/>
      <color theme="1"/>
      <name val="Calibri"/>
      <family val="2"/>
      <scheme val="minor"/>
    </font>
    <font>
      <b/>
      <sz val="11"/>
      <name val="Calibri"/>
      <family val="2"/>
      <scheme val="minor"/>
    </font>
    <font>
      <sz val="11"/>
      <name val="Calibri"/>
      <family val="2"/>
      <scheme val="minor"/>
    </font>
    <font>
      <sz val="10"/>
      <name val="Arial"/>
      <family val="2"/>
    </font>
    <font>
      <b/>
      <sz val="9"/>
      <color theme="1"/>
      <name val="Consolas"/>
      <family val="3"/>
    </font>
    <font>
      <b/>
      <sz val="10"/>
      <color theme="0"/>
      <name val="Calibri"/>
      <family val="2"/>
      <scheme val="minor"/>
    </font>
    <font>
      <sz val="10"/>
      <color theme="1"/>
      <name val="Calibri"/>
      <family val="2"/>
      <scheme val="minor"/>
    </font>
    <font>
      <b/>
      <sz val="12"/>
      <name val="Arial"/>
      <family val="2"/>
    </font>
    <font>
      <b/>
      <sz val="10"/>
      <color indexed="17"/>
      <name val="Arial"/>
      <family val="2"/>
    </font>
  </fonts>
  <fills count="89">
    <fill>
      <patternFill patternType="none"/>
    </fill>
    <fill>
      <patternFill patternType="gray125"/>
    </fill>
    <fill>
      <patternFill patternType="solid">
        <fgColor indexed="18"/>
        <bgColor indexed="64"/>
      </patternFill>
    </fill>
    <fill>
      <patternFill patternType="solid">
        <fgColor indexed="26"/>
        <bgColor indexed="64"/>
      </patternFill>
    </fill>
    <fill>
      <patternFill patternType="solid">
        <fgColor indexed="12"/>
        <bgColor indexed="64"/>
      </patternFill>
    </fill>
    <fill>
      <patternFill patternType="solid">
        <fgColor indexed="22"/>
        <bgColor indexed="64"/>
      </patternFill>
    </fill>
    <fill>
      <patternFill patternType="solid">
        <fgColor rgb="FFFFFF00"/>
        <bgColor indexed="64"/>
      </patternFill>
    </fill>
    <fill>
      <patternFill patternType="solid">
        <fgColor indexed="57"/>
        <bgColor indexed="64"/>
      </patternFill>
    </fill>
    <fill>
      <patternFill patternType="solid">
        <fgColor indexed="44"/>
        <bgColor indexed="64"/>
      </patternFill>
    </fill>
    <fill>
      <patternFill patternType="solid">
        <fgColor indexed="47"/>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8"/>
        <bgColor indexed="64"/>
      </patternFill>
    </fill>
    <fill>
      <patternFill patternType="solid">
        <fgColor theme="6"/>
        <bgColor indexed="64"/>
      </patternFill>
    </fill>
    <fill>
      <patternFill patternType="solid">
        <fgColor indexed="43"/>
      </patternFill>
    </fill>
    <fill>
      <patternFill patternType="solid">
        <fgColor theme="3" tint="0.79998168889431442"/>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indexed="43"/>
        <bgColor indexed="64"/>
      </patternFill>
    </fill>
    <fill>
      <patternFill patternType="solid">
        <fgColor indexed="9"/>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45"/>
        <bgColor indexed="45"/>
      </patternFill>
    </fill>
    <fill>
      <patternFill patternType="solid">
        <fgColor indexed="29"/>
        <bgColor indexed="29"/>
      </patternFill>
    </fill>
    <fill>
      <patternFill patternType="solid">
        <fgColor indexed="42"/>
        <bgColor indexed="42"/>
      </patternFill>
    </fill>
    <fill>
      <patternFill patternType="solid">
        <fgColor indexed="11"/>
        <bgColor indexed="11"/>
      </patternFill>
    </fill>
    <fill>
      <patternFill patternType="solid">
        <fgColor indexed="46"/>
        <bgColor indexed="46"/>
      </patternFill>
    </fill>
    <fill>
      <patternFill patternType="solid">
        <fgColor indexed="36"/>
        <bgColor indexed="36"/>
      </patternFill>
    </fill>
    <fill>
      <patternFill patternType="solid">
        <fgColor indexed="54"/>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26"/>
      </patternFill>
    </fill>
    <fill>
      <patternFill patternType="solid">
        <fgColor theme="4"/>
        <bgColor theme="4"/>
      </patternFill>
    </fill>
    <fill>
      <patternFill patternType="solid">
        <fgColor theme="4" tint="0.79998168889431442"/>
        <bgColor theme="4" tint="0.79998168889431442"/>
      </patternFill>
    </fill>
    <fill>
      <patternFill patternType="solid">
        <fgColor theme="3"/>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indexed="22"/>
        <bgColor indexed="8"/>
      </patternFill>
    </fill>
    <fill>
      <patternFill patternType="solid">
        <fgColor indexed="43"/>
        <bgColor indexed="0"/>
      </patternFill>
    </fill>
    <fill>
      <patternFill patternType="solid">
        <fgColor indexed="15"/>
        <bgColor indexed="64"/>
      </patternFill>
    </fill>
    <fill>
      <patternFill patternType="solid">
        <fgColor indexed="60"/>
        <bgColor indexed="64"/>
      </patternFill>
    </fill>
    <fill>
      <patternFill patternType="solid">
        <fgColor indexed="31"/>
        <bgColor indexed="64"/>
      </patternFill>
    </fill>
    <fill>
      <patternFill patternType="solid">
        <fgColor theme="9" tint="0.79998168889431442"/>
        <bgColor indexed="64"/>
      </patternFill>
    </fill>
    <fill>
      <patternFill patternType="solid">
        <fgColor rgb="FFFF0000"/>
        <bgColor indexed="64"/>
      </patternFill>
    </fill>
  </fills>
  <borders count="76">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style="thin">
        <color theme="0"/>
      </left>
      <right style="thin">
        <color theme="0"/>
      </right>
      <top style="thin">
        <color theme="0"/>
      </top>
      <bottom style="thin">
        <color theme="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top style="thin">
        <color indexed="65"/>
      </top>
      <bottom/>
      <diagonal/>
    </border>
    <border>
      <left style="thin">
        <color indexed="8"/>
      </left>
      <right/>
      <top/>
      <bottom/>
      <diagonal/>
    </border>
    <border>
      <left style="thin">
        <color indexed="8"/>
      </left>
      <right style="thin">
        <color indexed="8"/>
      </right>
      <top/>
      <bottom/>
      <diagonal/>
    </border>
    <border>
      <left style="thin">
        <color indexed="65"/>
      </left>
      <right/>
      <top style="thin">
        <color indexed="8"/>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top style="medium">
        <color indexed="64"/>
      </top>
      <bottom/>
      <diagonal/>
    </border>
    <border>
      <left/>
      <right style="thin">
        <color theme="4" tint="0.39997558519241921"/>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s>
  <cellStyleXfs count="542">
    <xf numFmtId="0" fontId="0" fillId="0" borderId="0"/>
    <xf numFmtId="0" fontId="2" fillId="0" borderId="0"/>
    <xf numFmtId="0" fontId="4" fillId="0" borderId="0"/>
    <xf numFmtId="0" fontId="4" fillId="0" borderId="0"/>
    <xf numFmtId="9" fontId="15" fillId="0" borderId="0" applyFont="0" applyFill="0" applyBorder="0" applyAlignment="0" applyProtection="0"/>
    <xf numFmtId="44" fontId="15" fillId="0" borderId="0" applyFont="0" applyFill="0" applyBorder="0" applyAlignment="0" applyProtection="0"/>
    <xf numFmtId="0" fontId="4" fillId="0" borderId="0"/>
    <xf numFmtId="0" fontId="4" fillId="0" borderId="0">
      <alignment readingOrder="1"/>
    </xf>
    <xf numFmtId="9" fontId="4" fillId="0" borderId="0" applyFont="0" applyFill="0" applyBorder="0" applyAlignment="0" applyProtection="0"/>
    <xf numFmtId="0" fontId="4" fillId="8" borderId="0" applyNumberFormat="0" applyAlignment="0">
      <alignment horizontal="right"/>
    </xf>
    <xf numFmtId="0" fontId="4" fillId="9" borderId="0" applyNumberFormat="0" applyAlignment="0"/>
    <xf numFmtId="170" fontId="16" fillId="0" borderId="0"/>
    <xf numFmtId="0" fontId="17" fillId="0" borderId="0">
      <alignment horizontal="center" wrapText="1"/>
    </xf>
    <xf numFmtId="0" fontId="18" fillId="0" borderId="0"/>
    <xf numFmtId="0" fontId="22" fillId="0" borderId="0" applyAlignment="0"/>
    <xf numFmtId="9" fontId="22" fillId="0" borderId="0" applyFont="0" applyFill="0" applyBorder="0" applyAlignment="0" applyProtection="0"/>
    <xf numFmtId="43" fontId="22" fillId="0" borderId="0" applyFont="0" applyFill="0" applyBorder="0" applyAlignment="0" applyProtection="0"/>
    <xf numFmtId="0" fontId="20" fillId="24" borderId="0" applyNumberFormat="0" applyBorder="0" applyAlignment="0" applyProtection="0"/>
    <xf numFmtId="0" fontId="18" fillId="11" borderId="0" applyNumberFormat="0" applyBorder="0" applyAlignment="0" applyProtection="0"/>
    <xf numFmtId="0" fontId="20" fillId="25" borderId="0" applyNumberFormat="0" applyBorder="0" applyAlignment="0" applyProtection="0"/>
    <xf numFmtId="0" fontId="18" fillId="13" borderId="0" applyNumberFormat="0" applyBorder="0" applyAlignment="0" applyProtection="0"/>
    <xf numFmtId="0" fontId="20" fillId="26" borderId="0" applyNumberFormat="0" applyBorder="0" applyAlignment="0" applyProtection="0"/>
    <xf numFmtId="0" fontId="18" fillId="15" borderId="0" applyNumberFormat="0" applyBorder="0" applyAlignment="0" applyProtection="0"/>
    <xf numFmtId="0" fontId="20" fillId="27" borderId="0" applyNumberFormat="0" applyBorder="0" applyAlignment="0" applyProtection="0"/>
    <xf numFmtId="0" fontId="18" fillId="17" borderId="0" applyNumberFormat="0" applyBorder="0" applyAlignment="0" applyProtection="0"/>
    <xf numFmtId="0" fontId="20" fillId="28" borderId="0" applyNumberFormat="0" applyBorder="0" applyAlignment="0" applyProtection="0"/>
    <xf numFmtId="0" fontId="18" fillId="19" borderId="0" applyNumberFormat="0" applyBorder="0" applyAlignment="0" applyProtection="0"/>
    <xf numFmtId="0" fontId="20" fillId="29" borderId="0" applyNumberFormat="0" applyBorder="0" applyAlignment="0" applyProtection="0"/>
    <xf numFmtId="0" fontId="18" fillId="21" borderId="0" applyNumberFormat="0" applyBorder="0" applyAlignment="0" applyProtection="0"/>
    <xf numFmtId="0" fontId="20" fillId="30" borderId="0" applyNumberFormat="0" applyBorder="0" applyAlignment="0" applyProtection="0"/>
    <xf numFmtId="0" fontId="18" fillId="12" borderId="0" applyNumberFormat="0" applyBorder="0" applyAlignment="0" applyProtection="0"/>
    <xf numFmtId="0" fontId="20" fillId="31" borderId="0" applyNumberFormat="0" applyBorder="0" applyAlignment="0" applyProtection="0"/>
    <xf numFmtId="0" fontId="18" fillId="14" borderId="0" applyNumberFormat="0" applyBorder="0" applyAlignment="0" applyProtection="0"/>
    <xf numFmtId="0" fontId="20" fillId="32" borderId="0" applyNumberFormat="0" applyBorder="0" applyAlignment="0" applyProtection="0"/>
    <xf numFmtId="0" fontId="18" fillId="16" borderId="0" applyNumberFormat="0" applyBorder="0" applyAlignment="0" applyProtection="0"/>
    <xf numFmtId="0" fontId="20" fillId="27" borderId="0" applyNumberFormat="0" applyBorder="0" applyAlignment="0" applyProtection="0"/>
    <xf numFmtId="0" fontId="18" fillId="18" borderId="0" applyNumberFormat="0" applyBorder="0" applyAlignment="0" applyProtection="0"/>
    <xf numFmtId="0" fontId="20" fillId="30" borderId="0" applyNumberFormat="0" applyBorder="0" applyAlignment="0" applyProtection="0"/>
    <xf numFmtId="0" fontId="18" fillId="20" borderId="0" applyNumberFormat="0" applyBorder="0" applyAlignment="0" applyProtection="0"/>
    <xf numFmtId="0" fontId="20" fillId="33" borderId="0" applyNumberFormat="0" applyBorder="0" applyAlignment="0" applyProtection="0"/>
    <xf numFmtId="0" fontId="18" fillId="22" borderId="0" applyNumberFormat="0" applyBorder="0" applyAlignment="0" applyProtection="0"/>
    <xf numFmtId="0" fontId="25" fillId="34"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6" fillId="25" borderId="0" applyNumberFormat="0" applyBorder="0" applyAlignment="0" applyProtection="0"/>
    <xf numFmtId="0" fontId="27" fillId="42" borderId="30" applyNumberFormat="0" applyAlignment="0" applyProtection="0"/>
    <xf numFmtId="0" fontId="28" fillId="43" borderId="31" applyNumberFormat="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4" fontId="4" fillId="0" borderId="0" applyFont="0" applyFill="0" applyBorder="0" applyAlignment="0" applyProtection="0"/>
    <xf numFmtId="0" fontId="29" fillId="0" borderId="0" applyNumberFormat="0" applyFill="0" applyBorder="0" applyAlignment="0" applyProtection="0"/>
    <xf numFmtId="0" fontId="30" fillId="26" borderId="0" applyNumberFormat="0" applyBorder="0" applyAlignment="0" applyProtection="0"/>
    <xf numFmtId="0" fontId="31" fillId="0" borderId="32" applyNumberFormat="0" applyFill="0" applyAlignment="0" applyProtection="0"/>
    <xf numFmtId="0" fontId="5" fillId="44" borderId="5">
      <alignment horizontal="left"/>
    </xf>
    <xf numFmtId="0" fontId="32" fillId="0" borderId="33"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34" fillId="29" borderId="30" applyNumberFormat="0" applyAlignment="0" applyProtection="0"/>
    <xf numFmtId="0" fontId="35" fillId="45" borderId="34" applyNumberFormat="0" applyProtection="0">
      <alignment horizontal="center"/>
    </xf>
    <xf numFmtId="0" fontId="36" fillId="0" borderId="35" applyNumberFormat="0" applyFill="0" applyAlignment="0" applyProtection="0"/>
    <xf numFmtId="0" fontId="37" fillId="46" borderId="0" applyNumberFormat="0" applyBorder="0" applyAlignment="0" applyProtection="0"/>
    <xf numFmtId="0" fontId="18" fillId="0" borderId="0"/>
    <xf numFmtId="0" fontId="4" fillId="0" borderId="0"/>
    <xf numFmtId="0" fontId="38" fillId="0" borderId="0"/>
    <xf numFmtId="0" fontId="38" fillId="0" borderId="0"/>
    <xf numFmtId="0" fontId="38" fillId="0" borderId="0"/>
    <xf numFmtId="0" fontId="18" fillId="0" borderId="0"/>
    <xf numFmtId="0" fontId="18" fillId="0" borderId="0"/>
    <xf numFmtId="0" fontId="18" fillId="0" borderId="0"/>
    <xf numFmtId="0" fontId="4" fillId="0" borderId="0"/>
    <xf numFmtId="0" fontId="4" fillId="0" borderId="0"/>
    <xf numFmtId="0" fontId="4" fillId="0" borderId="0"/>
    <xf numFmtId="0" fontId="18" fillId="0" borderId="0"/>
    <xf numFmtId="0" fontId="18" fillId="0" borderId="0"/>
    <xf numFmtId="0" fontId="18" fillId="0" borderId="0"/>
    <xf numFmtId="0" fontId="18" fillId="0" borderId="0"/>
    <xf numFmtId="0" fontId="18" fillId="0" borderId="0"/>
    <xf numFmtId="0" fontId="22" fillId="0" borderId="0"/>
    <xf numFmtId="0" fontId="18" fillId="0" borderId="0"/>
    <xf numFmtId="0" fontId="18" fillId="0" borderId="0"/>
    <xf numFmtId="0" fontId="18" fillId="0" borderId="0"/>
    <xf numFmtId="0" fontId="18" fillId="10" borderId="15" applyNumberFormat="0" applyFont="0" applyAlignment="0" applyProtection="0"/>
    <xf numFmtId="0" fontId="18" fillId="10" borderId="15" applyNumberFormat="0" applyFont="0" applyAlignment="0" applyProtection="0"/>
    <xf numFmtId="0" fontId="39" fillId="42" borderId="36" applyNumberFormat="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0" fillId="0" borderId="0" applyNumberFormat="0" applyFill="0" applyBorder="0" applyAlignment="0" applyProtection="0"/>
    <xf numFmtId="0" fontId="41" fillId="0" borderId="37" applyNumberFormat="0" applyFill="0" applyAlignment="0" applyProtection="0"/>
    <xf numFmtId="0" fontId="42" fillId="0" borderId="0" applyNumberFormat="0" applyFill="0" applyBorder="0" applyAlignment="0" applyProtection="0"/>
    <xf numFmtId="0" fontId="4" fillId="0" borderId="0"/>
    <xf numFmtId="0" fontId="4" fillId="0" borderId="0"/>
    <xf numFmtId="0" fontId="43" fillId="0" borderId="0"/>
    <xf numFmtId="0" fontId="4" fillId="0" borderId="0">
      <alignment readingOrder="1"/>
    </xf>
    <xf numFmtId="0" fontId="4" fillId="0" borderId="0">
      <alignment readingOrder="1"/>
    </xf>
    <xf numFmtId="0" fontId="20" fillId="54" borderId="0" applyNumberFormat="0" applyBorder="0" applyAlignment="0" applyProtection="0"/>
    <xf numFmtId="0" fontId="20" fillId="25" borderId="0" applyNumberFormat="0" applyBorder="0" applyAlignment="0" applyProtection="0"/>
    <xf numFmtId="0" fontId="20" fillId="54" borderId="0" applyNumberFormat="0" applyBorder="0" applyAlignment="0" applyProtection="0"/>
    <xf numFmtId="0" fontId="20" fillId="42"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25" borderId="0" applyNumberFormat="0" applyBorder="0" applyAlignment="0" applyProtection="0"/>
    <xf numFmtId="0" fontId="25" fillId="31" borderId="0" applyNumberFormat="0" applyBorder="0" applyAlignment="0" applyProtection="0"/>
    <xf numFmtId="0" fontId="25" fillId="25" borderId="0" applyNumberFormat="0" applyBorder="0" applyAlignment="0" applyProtection="0"/>
    <xf numFmtId="0" fontId="25" fillId="46"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6"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13" fillId="57"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13" fillId="59" borderId="0" applyNumberFormat="0" applyBorder="0" applyAlignment="0" applyProtection="0"/>
    <xf numFmtId="0" fontId="25" fillId="39" borderId="0" applyNumberFormat="0" applyBorder="0" applyAlignment="0" applyProtection="0"/>
    <xf numFmtId="0" fontId="8" fillId="60" borderId="0" applyNumberFormat="0" applyBorder="0" applyAlignment="0" applyProtection="0"/>
    <xf numFmtId="0" fontId="8" fillId="61" borderId="0" applyNumberFormat="0" applyBorder="0" applyAlignment="0" applyProtection="0"/>
    <xf numFmtId="0" fontId="13" fillId="61" borderId="0" applyNumberFormat="0" applyBorder="0" applyAlignment="0" applyProtection="0"/>
    <xf numFmtId="0" fontId="25" fillId="25" borderId="0" applyNumberFormat="0" applyBorder="0" applyAlignment="0" applyProtection="0"/>
    <xf numFmtId="0" fontId="25" fillId="40"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13" fillId="63" borderId="0" applyNumberFormat="0" applyBorder="0" applyAlignment="0" applyProtection="0"/>
    <xf numFmtId="0" fontId="25" fillId="64" borderId="0" applyNumberFormat="0" applyBorder="0" applyAlignment="0" applyProtection="0"/>
    <xf numFmtId="0" fontId="25" fillId="64" borderId="0" applyNumberFormat="0" applyBorder="0" applyAlignment="0" applyProtection="0"/>
    <xf numFmtId="0" fontId="8" fillId="65" borderId="0" applyNumberFormat="0" applyBorder="0" applyAlignment="0" applyProtection="0"/>
    <xf numFmtId="0" fontId="8" fillId="56" borderId="0" applyNumberFormat="0" applyBorder="0" applyAlignment="0" applyProtection="0"/>
    <xf numFmtId="0" fontId="13" fillId="66" borderId="0" applyNumberFormat="0" applyBorder="0" applyAlignment="0" applyProtection="0"/>
    <xf numFmtId="0" fontId="25" fillId="36" borderId="0" applyNumberFormat="0" applyBorder="0" applyAlignment="0" applyProtection="0"/>
    <xf numFmtId="0" fontId="8" fillId="67" borderId="0" applyNumberFormat="0" applyBorder="0" applyAlignment="0" applyProtection="0"/>
    <xf numFmtId="0" fontId="8" fillId="68" borderId="0" applyNumberFormat="0" applyBorder="0" applyAlignment="0" applyProtection="0"/>
    <xf numFmtId="0" fontId="13" fillId="69" borderId="0" applyNumberFormat="0" applyBorder="0" applyAlignment="0" applyProtection="0"/>
    <xf numFmtId="0" fontId="25" fillId="41" borderId="0" applyNumberFormat="0" applyBorder="0" applyAlignment="0" applyProtection="0"/>
    <xf numFmtId="0" fontId="26" fillId="27" borderId="0" applyNumberFormat="0" applyBorder="0" applyAlignment="0" applyProtection="0"/>
    <xf numFmtId="0" fontId="26" fillId="25" borderId="0" applyNumberFormat="0" applyBorder="0" applyAlignment="0" applyProtection="0"/>
    <xf numFmtId="0" fontId="27" fillId="54" borderId="30" applyNumberFormat="0" applyAlignment="0" applyProtection="0"/>
    <xf numFmtId="0" fontId="27" fillId="54" borderId="30" applyNumberFormat="0" applyAlignment="0" applyProtection="0"/>
    <xf numFmtId="0" fontId="28" fillId="43" borderId="31" applyNumberFormat="0" applyAlignment="0" applyProtection="0"/>
    <xf numFmtId="41" fontId="4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4" fillId="8" borderId="0" applyNumberFormat="0" applyAlignment="0">
      <alignment horizontal="right"/>
    </xf>
    <xf numFmtId="0" fontId="4" fillId="8" borderId="0" applyNumberFormat="0" applyAlignment="0">
      <alignment horizontal="right"/>
    </xf>
    <xf numFmtId="0" fontId="4" fillId="8" borderId="0" applyNumberFormat="0" applyAlignment="0">
      <alignment horizontal="right"/>
    </xf>
    <xf numFmtId="0" fontId="4" fillId="8" borderId="0" applyNumberFormat="0" applyAlignment="0">
      <alignment horizontal="right"/>
    </xf>
    <xf numFmtId="0" fontId="4" fillId="8" borderId="0" applyNumberFormat="0" applyAlignment="0">
      <alignment horizontal="right"/>
    </xf>
    <xf numFmtId="0" fontId="45" fillId="70"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29" fillId="0" borderId="0" applyNumberFormat="0" applyFill="0" applyBorder="0" applyAlignment="0" applyProtection="0"/>
    <xf numFmtId="0" fontId="30" fillId="26" borderId="0" applyNumberFormat="0" applyBorder="0" applyAlignment="0" applyProtection="0"/>
    <xf numFmtId="0" fontId="46" fillId="0" borderId="38" applyNumberFormat="0" applyFill="0" applyAlignment="0" applyProtection="0"/>
    <xf numFmtId="0" fontId="46" fillId="0" borderId="38" applyNumberFormat="0" applyFill="0" applyAlignment="0" applyProtection="0"/>
    <xf numFmtId="0" fontId="47" fillId="0" borderId="39" applyNumberFormat="0" applyFill="0" applyAlignment="0" applyProtection="0"/>
    <xf numFmtId="0" fontId="48" fillId="0" borderId="40" applyNumberFormat="0" applyFill="0" applyAlignment="0" applyProtection="0"/>
    <xf numFmtId="0" fontId="48" fillId="0" borderId="40"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36" fillId="0" borderId="35" applyNumberFormat="0" applyFill="0" applyAlignment="0" applyProtection="0"/>
    <xf numFmtId="0" fontId="37" fillId="46" borderId="0" applyNumberFormat="0" applyBorder="0" applyAlignment="0" applyProtection="0"/>
    <xf numFmtId="0" fontId="20" fillId="0" borderId="0"/>
    <xf numFmtId="0" fontId="4" fillId="0" borderId="0"/>
    <xf numFmtId="0" fontId="20" fillId="0" borderId="0"/>
    <xf numFmtId="0" fontId="20" fillId="0" borderId="0"/>
    <xf numFmtId="0" fontId="4" fillId="0" borderId="0"/>
    <xf numFmtId="0" fontId="4" fillId="0" borderId="0">
      <alignment readingOrder="1"/>
    </xf>
    <xf numFmtId="0" fontId="18" fillId="0" borderId="0"/>
    <xf numFmtId="0" fontId="18" fillId="0" borderId="0"/>
    <xf numFmtId="0" fontId="18" fillId="0" borderId="0"/>
    <xf numFmtId="0" fontId="15" fillId="0" borderId="0"/>
    <xf numFmtId="0" fontId="18" fillId="0" borderId="0"/>
    <xf numFmtId="0" fontId="18" fillId="0" borderId="0"/>
    <xf numFmtId="0" fontId="15"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4" fillId="0" borderId="0">
      <alignment readingOrder="1"/>
    </xf>
    <xf numFmtId="0" fontId="18" fillId="0" borderId="0"/>
    <xf numFmtId="0" fontId="4" fillId="0" borderId="0"/>
    <xf numFmtId="0" fontId="4" fillId="0" borderId="0"/>
    <xf numFmtId="0" fontId="4" fillId="0" borderId="0"/>
    <xf numFmtId="0" fontId="4" fillId="0" borderId="0">
      <alignment readingOrder="1"/>
    </xf>
    <xf numFmtId="0" fontId="18" fillId="0" borderId="0"/>
    <xf numFmtId="0" fontId="18" fillId="0" borderId="0"/>
    <xf numFmtId="0" fontId="18" fillId="0" borderId="0"/>
    <xf numFmtId="0" fontId="18" fillId="0" borderId="0"/>
    <xf numFmtId="0" fontId="4" fillId="0" borderId="0">
      <alignment readingOrder="1"/>
    </xf>
    <xf numFmtId="0" fontId="18" fillId="0" borderId="0"/>
    <xf numFmtId="0" fontId="18" fillId="0" borderId="0"/>
    <xf numFmtId="0" fontId="4" fillId="0" borderId="0">
      <alignment readingOrder="1"/>
    </xf>
    <xf numFmtId="0" fontId="18" fillId="0" borderId="0"/>
    <xf numFmtId="0" fontId="18" fillId="0" borderId="0"/>
    <xf numFmtId="0" fontId="4" fillId="0" borderId="0">
      <alignment readingOrder="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53" fillId="0" borderId="0"/>
    <xf numFmtId="0" fontId="54" fillId="0" borderId="0"/>
    <xf numFmtId="0" fontId="54" fillId="0" borderId="0"/>
    <xf numFmtId="0" fontId="54" fillId="0" borderId="0"/>
    <xf numFmtId="0" fontId="4" fillId="0" borderId="0"/>
    <xf numFmtId="0" fontId="4" fillId="0" borderId="0"/>
    <xf numFmtId="0" fontId="4" fillId="0" borderId="0"/>
    <xf numFmtId="0" fontId="54" fillId="0" borderId="0"/>
    <xf numFmtId="0" fontId="54" fillId="0" borderId="0"/>
    <xf numFmtId="0" fontId="54" fillId="0" borderId="0"/>
    <xf numFmtId="0" fontId="4" fillId="0" borderId="0"/>
    <xf numFmtId="0" fontId="4" fillId="0" borderId="0"/>
    <xf numFmtId="0" fontId="4" fillId="0" borderId="0"/>
    <xf numFmtId="0" fontId="4" fillId="0" borderId="0"/>
    <xf numFmtId="0" fontId="4" fillId="0" borderId="0">
      <alignment readingOrder="1"/>
    </xf>
    <xf numFmtId="0" fontId="4" fillId="0" borderId="0"/>
    <xf numFmtId="0" fontId="4" fillId="0" borderId="0"/>
    <xf numFmtId="0" fontId="20"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8" fillId="0" borderId="0"/>
    <xf numFmtId="0" fontId="4" fillId="0" borderId="0" applyNumberFormat="0" applyFill="0" applyBorder="0" applyAlignment="0" applyProtection="0"/>
    <xf numFmtId="0" fontId="18" fillId="0" borderId="0"/>
    <xf numFmtId="0" fontId="18" fillId="0" borderId="0"/>
    <xf numFmtId="0" fontId="44" fillId="0" borderId="0"/>
    <xf numFmtId="0" fontId="18" fillId="0" borderId="0"/>
    <xf numFmtId="0" fontId="18" fillId="0" borderId="0"/>
    <xf numFmtId="0" fontId="4" fillId="0" borderId="0">
      <alignment readingOrder="1"/>
    </xf>
    <xf numFmtId="0" fontId="18" fillId="0" borderId="0"/>
    <xf numFmtId="0" fontId="18" fillId="0" borderId="0"/>
    <xf numFmtId="0" fontId="18" fillId="0" borderId="0"/>
    <xf numFmtId="0" fontId="18" fillId="0" borderId="0"/>
    <xf numFmtId="0" fontId="18"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4" fillId="0" borderId="0"/>
    <xf numFmtId="0" fontId="18" fillId="0" borderId="0"/>
    <xf numFmtId="0" fontId="18" fillId="0" borderId="0"/>
    <xf numFmtId="0" fontId="4" fillId="0" borderId="0"/>
    <xf numFmtId="0" fontId="20" fillId="0" borderId="0"/>
    <xf numFmtId="0" fontId="18" fillId="0" borderId="0"/>
    <xf numFmtId="0" fontId="20" fillId="0" borderId="0"/>
    <xf numFmtId="0" fontId="20" fillId="0" borderId="0"/>
    <xf numFmtId="0" fontId="20" fillId="0" borderId="0"/>
    <xf numFmtId="0" fontId="4" fillId="0" borderId="0">
      <alignment readingOrder="1"/>
    </xf>
    <xf numFmtId="0" fontId="4" fillId="0" borderId="0">
      <alignment readingOrder="1"/>
    </xf>
    <xf numFmtId="0" fontId="4" fillId="0" borderId="0">
      <alignment readingOrder="1"/>
    </xf>
    <xf numFmtId="0" fontId="20" fillId="73" borderId="41" applyNumberFormat="0" applyFont="0" applyAlignment="0" applyProtection="0"/>
    <xf numFmtId="0" fontId="39" fillId="54" borderId="36" applyNumberFormat="0" applyAlignment="0" applyProtection="0"/>
    <xf numFmtId="0" fontId="39" fillId="54" borderId="36"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0" fillId="0" borderId="0" applyNumberFormat="0" applyFill="0" applyBorder="0" applyAlignment="0" applyProtection="0"/>
    <xf numFmtId="0" fontId="55" fillId="0" borderId="0"/>
    <xf numFmtId="0" fontId="56" fillId="0" borderId="0"/>
    <xf numFmtId="172" fontId="4" fillId="0" borderId="0" applyFill="0" applyBorder="0" applyAlignment="0" applyProtection="0">
      <alignment wrapText="1"/>
    </xf>
    <xf numFmtId="0" fontId="57" fillId="0" borderId="0" applyNumberFormat="0" applyFill="0" applyBorder="0" applyAlignment="0" applyProtection="0"/>
    <xf numFmtId="0" fontId="57" fillId="0" borderId="0" applyNumberFormat="0" applyFill="0" applyBorder="0" applyAlignment="0" applyProtection="0"/>
    <xf numFmtId="0" fontId="41" fillId="0" borderId="42" applyNumberFormat="0" applyFill="0" applyAlignment="0" applyProtection="0"/>
    <xf numFmtId="0" fontId="39" fillId="0" borderId="42" applyNumberFormat="0" applyFill="0" applyAlignment="0" applyProtection="0"/>
    <xf numFmtId="0" fontId="42" fillId="0" borderId="0" applyNumberFormat="0" applyFill="0" applyBorder="0" applyAlignment="0" applyProtection="0"/>
    <xf numFmtId="0" fontId="58" fillId="0" borderId="0">
      <alignment vertical="center"/>
    </xf>
    <xf numFmtId="0" fontId="59" fillId="0" borderId="0">
      <alignment readingOrder="1"/>
    </xf>
    <xf numFmtId="43" fontId="4" fillId="0" borderId="0" applyFont="0" applyFill="0" applyBorder="0" applyAlignment="0" applyProtection="0"/>
    <xf numFmtId="0" fontId="60" fillId="0" borderId="0" applyNumberFormat="0" applyFill="0" applyBorder="0" applyAlignment="0" applyProtection="0">
      <alignment vertical="top"/>
      <protection locked="0"/>
    </xf>
    <xf numFmtId="9" fontId="20" fillId="0" borderId="0" applyFont="0" applyFill="0" applyBorder="0" applyAlignment="0" applyProtection="0"/>
    <xf numFmtId="0" fontId="1" fillId="0" borderId="0"/>
    <xf numFmtId="0" fontId="20" fillId="0" borderId="0"/>
    <xf numFmtId="0" fontId="20" fillId="0" borderId="0"/>
    <xf numFmtId="0" fontId="20" fillId="0" borderId="0"/>
    <xf numFmtId="0" fontId="20" fillId="0" borderId="0"/>
    <xf numFmtId="43" fontId="4" fillId="0" borderId="0" applyFont="0" applyFill="0" applyBorder="0" applyAlignment="0" applyProtection="0"/>
    <xf numFmtId="0" fontId="43" fillId="0" borderId="0"/>
    <xf numFmtId="43" fontId="4" fillId="0" borderId="0" applyFont="0" applyFill="0" applyBorder="0" applyAlignment="0" applyProtection="0"/>
    <xf numFmtId="0" fontId="1" fillId="0" borderId="0"/>
    <xf numFmtId="0" fontId="20" fillId="73" borderId="41" applyNumberFormat="0" applyFont="0" applyAlignment="0" applyProtection="0"/>
    <xf numFmtId="9"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2" fillId="0" borderId="0"/>
    <xf numFmtId="43" fontId="15" fillId="0" borderId="0" applyFont="0" applyFill="0" applyBorder="0" applyAlignment="0" applyProtection="0"/>
    <xf numFmtId="0" fontId="8" fillId="0" borderId="0"/>
    <xf numFmtId="0" fontId="64" fillId="0" borderId="0"/>
    <xf numFmtId="0" fontId="8" fillId="0" borderId="0"/>
    <xf numFmtId="0" fontId="4" fillId="0" borderId="0">
      <alignment readingOrder="1"/>
    </xf>
    <xf numFmtId="0" fontId="4" fillId="9" borderId="0" applyNumberFormat="0" applyAlignment="0"/>
    <xf numFmtId="0" fontId="4" fillId="0" borderId="0"/>
    <xf numFmtId="0" fontId="4" fillId="0" borderId="0"/>
    <xf numFmtId="0" fontId="51" fillId="0" borderId="0" applyNumberFormat="0" applyFill="0" applyBorder="0" applyAlignment="0" applyProtection="0">
      <alignment vertical="top"/>
      <protection locked="0"/>
    </xf>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8" borderId="0" applyNumberFormat="0" applyAlignment="0">
      <alignment horizontal="right"/>
    </xf>
    <xf numFmtId="0" fontId="4" fillId="9" borderId="0" applyNumberFormat="0" applyAlignment="0"/>
    <xf numFmtId="0" fontId="4" fillId="9" borderId="0" applyNumberFormat="0" applyAlignment="0"/>
    <xf numFmtId="0" fontId="4" fillId="9" borderId="0" applyNumberFormat="0" applyAlignment="0"/>
    <xf numFmtId="0" fontId="20" fillId="0" borderId="0"/>
    <xf numFmtId="0" fontId="20" fillId="0" borderId="0"/>
    <xf numFmtId="0" fontId="15" fillId="0" borderId="0"/>
    <xf numFmtId="0" fontId="15" fillId="0" borderId="0"/>
    <xf numFmtId="0" fontId="1" fillId="0" borderId="0"/>
    <xf numFmtId="0" fontId="4" fillId="0" borderId="0">
      <alignment readingOrder="1"/>
    </xf>
    <xf numFmtId="0" fontId="1" fillId="0" borderId="0"/>
    <xf numFmtId="0" fontId="4" fillId="0" borderId="0"/>
    <xf numFmtId="0" fontId="1" fillId="0" borderId="0"/>
    <xf numFmtId="0" fontId="1" fillId="0" borderId="0"/>
    <xf numFmtId="0" fontId="4" fillId="0" borderId="0"/>
    <xf numFmtId="0" fontId="4"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5" fillId="0" borderId="0" applyFont="0" applyFill="0" applyBorder="0" applyAlignment="0" applyProtection="0"/>
    <xf numFmtId="0" fontId="2" fillId="0" borderId="0"/>
    <xf numFmtId="0" fontId="2" fillId="0" borderId="0"/>
    <xf numFmtId="0" fontId="43" fillId="0" borderId="0"/>
    <xf numFmtId="0" fontId="43" fillId="0" borderId="0"/>
  </cellStyleXfs>
  <cellXfs count="410">
    <xf numFmtId="0" fontId="0" fillId="0" borderId="0" xfId="0"/>
    <xf numFmtId="0" fontId="3" fillId="0" borderId="0" xfId="1" applyFont="1"/>
    <xf numFmtId="0" fontId="4" fillId="0" borderId="0" xfId="1" applyFont="1"/>
    <xf numFmtId="5" fontId="4" fillId="0" borderId="0" xfId="1" applyNumberFormat="1" applyFont="1"/>
    <xf numFmtId="164" fontId="4" fillId="0" borderId="0" xfId="1" applyNumberFormat="1" applyFont="1"/>
    <xf numFmtId="0" fontId="4" fillId="0" borderId="0" xfId="1" applyFont="1" applyFill="1"/>
    <xf numFmtId="165" fontId="4" fillId="0" borderId="0" xfId="1" applyNumberFormat="1" applyFont="1"/>
    <xf numFmtId="0" fontId="4" fillId="0" borderId="0" xfId="2"/>
    <xf numFmtId="0" fontId="3" fillId="0" borderId="0" xfId="1" applyFont="1" applyAlignment="1">
      <alignment horizontal="left"/>
    </xf>
    <xf numFmtId="166" fontId="4" fillId="0" borderId="0" xfId="2" applyNumberFormat="1" applyAlignment="1">
      <alignment horizontal="center" readingOrder="1"/>
    </xf>
    <xf numFmtId="167" fontId="4" fillId="0" borderId="0" xfId="2" applyNumberFormat="1" applyAlignment="1">
      <alignment horizontal="center" readingOrder="1"/>
    </xf>
    <xf numFmtId="0" fontId="4" fillId="0" borderId="0" xfId="1" applyFont="1" applyAlignment="1">
      <alignment horizontal="center"/>
    </xf>
    <xf numFmtId="0" fontId="5" fillId="2" borderId="1" xfId="1" applyFont="1" applyFill="1" applyBorder="1" applyAlignment="1">
      <alignment horizontal="centerContinuous"/>
    </xf>
    <xf numFmtId="0" fontId="6" fillId="2" borderId="1" xfId="1" applyFont="1" applyFill="1" applyBorder="1" applyAlignment="1">
      <alignment horizontal="centerContinuous"/>
    </xf>
    <xf numFmtId="0" fontId="6" fillId="2" borderId="2" xfId="1" applyFont="1" applyFill="1" applyBorder="1" applyAlignment="1">
      <alignment horizontal="centerContinuous"/>
    </xf>
    <xf numFmtId="0" fontId="7" fillId="2" borderId="3" xfId="1" applyFont="1" applyFill="1" applyBorder="1" applyAlignment="1">
      <alignment horizontal="centerContinuous"/>
    </xf>
    <xf numFmtId="0" fontId="5" fillId="0" borderId="0" xfId="1" applyFont="1" applyFill="1" applyBorder="1" applyAlignment="1">
      <alignment horizontal="centerContinuous"/>
    </xf>
    <xf numFmtId="0" fontId="6" fillId="0" borderId="0" xfId="1" applyFont="1" applyFill="1" applyBorder="1" applyAlignment="1">
      <alignment horizontal="centerContinuous"/>
    </xf>
    <xf numFmtId="0" fontId="7" fillId="0" borderId="0" xfId="1" applyFont="1" applyFill="1" applyBorder="1" applyAlignment="1">
      <alignment horizontal="centerContinuous"/>
    </xf>
    <xf numFmtId="0" fontId="8" fillId="0" borderId="0" xfId="1" applyFont="1" applyFill="1" applyBorder="1" applyAlignment="1">
      <alignment horizontal="centerContinuous"/>
    </xf>
    <xf numFmtId="0" fontId="4" fillId="0" borderId="0" xfId="1" applyFont="1" applyFill="1" applyBorder="1"/>
    <xf numFmtId="0" fontId="8" fillId="5" borderId="7" xfId="1" applyFont="1" applyFill="1" applyBorder="1" applyAlignment="1">
      <alignment horizontal="center" wrapText="1"/>
    </xf>
    <xf numFmtId="0" fontId="8" fillId="5" borderId="8" xfId="1" applyFont="1" applyFill="1" applyBorder="1" applyAlignment="1">
      <alignment horizontal="center" wrapText="1"/>
    </xf>
    <xf numFmtId="0" fontId="8" fillId="5" borderId="9" xfId="1" applyFont="1" applyFill="1" applyBorder="1" applyAlignment="1">
      <alignment horizontal="center" wrapText="1"/>
    </xf>
    <xf numFmtId="0" fontId="8" fillId="5" borderId="9" xfId="2" applyFont="1" applyFill="1" applyBorder="1" applyAlignment="1">
      <alignment horizontal="center" wrapText="1"/>
    </xf>
    <xf numFmtId="0" fontId="8" fillId="0" borderId="0" xfId="1" applyFont="1" applyFill="1" applyBorder="1" applyAlignment="1">
      <alignment horizontal="center" wrapText="1"/>
    </xf>
    <xf numFmtId="0" fontId="0" fillId="6" borderId="0" xfId="0" applyFill="1"/>
    <xf numFmtId="0" fontId="0" fillId="0" borderId="0" xfId="0">
      <alignment readingOrder="1"/>
    </xf>
    <xf numFmtId="0" fontId="7" fillId="2" borderId="10" xfId="1" applyFont="1" applyFill="1" applyBorder="1" applyAlignment="1">
      <alignment horizontal="centerContinuous"/>
    </xf>
    <xf numFmtId="0" fontId="8" fillId="5" borderId="6" xfId="1" applyFont="1" applyFill="1" applyBorder="1" applyAlignment="1">
      <alignment horizontal="center" wrapText="1"/>
    </xf>
    <xf numFmtId="0" fontId="8" fillId="5" borderId="6" xfId="0" applyFont="1" applyFill="1" applyBorder="1" applyAlignment="1">
      <alignment horizontal="center" wrapText="1"/>
    </xf>
    <xf numFmtId="1" fontId="0" fillId="0" borderId="0" xfId="0" applyNumberFormat="1"/>
    <xf numFmtId="0" fontId="12" fillId="0" borderId="0" xfId="3" applyFont="1"/>
    <xf numFmtId="164" fontId="12" fillId="0" borderId="0" xfId="1" applyNumberFormat="1" applyFont="1"/>
    <xf numFmtId="166" fontId="0" fillId="0" borderId="0" xfId="0" applyNumberFormat="1" applyAlignment="1">
      <alignment horizontal="center" readingOrder="1"/>
    </xf>
    <xf numFmtId="167" fontId="0" fillId="0" borderId="0" xfId="0" applyNumberFormat="1" applyAlignment="1">
      <alignment horizontal="center" readingOrder="1"/>
    </xf>
    <xf numFmtId="0" fontId="13" fillId="7" borderId="4" xfId="0" applyFont="1" applyFill="1" applyBorder="1" applyAlignment="1">
      <alignment horizontal="left" readingOrder="1"/>
    </xf>
    <xf numFmtId="0" fontId="13" fillId="7" borderId="3" xfId="0" applyFont="1" applyFill="1" applyBorder="1" applyAlignment="1">
      <alignment horizontal="center" wrapText="1" readingOrder="1"/>
    </xf>
    <xf numFmtId="164" fontId="0" fillId="0" borderId="0" xfId="0" applyNumberFormat="1">
      <alignment readingOrder="1"/>
    </xf>
    <xf numFmtId="0" fontId="8" fillId="8" borderId="6" xfId="0" applyFont="1" applyFill="1" applyBorder="1" applyAlignment="1">
      <alignment horizontal="center" wrapText="1" readingOrder="1"/>
    </xf>
    <xf numFmtId="0" fontId="8" fillId="8" borderId="3" xfId="0" applyFont="1" applyFill="1" applyBorder="1" applyAlignment="1">
      <alignment horizontal="center" wrapText="1" readingOrder="1"/>
    </xf>
    <xf numFmtId="164" fontId="8" fillId="8" borderId="3" xfId="0" applyNumberFormat="1" applyFont="1" applyFill="1" applyBorder="1" applyAlignment="1">
      <alignment horizontal="center" wrapText="1" readingOrder="1"/>
    </xf>
    <xf numFmtId="164" fontId="8" fillId="8" borderId="12" xfId="0" applyNumberFormat="1" applyFont="1" applyFill="1" applyBorder="1" applyAlignment="1">
      <alignment horizontal="centerContinuous" wrapText="1" readingOrder="1"/>
    </xf>
    <xf numFmtId="164" fontId="8" fillId="8" borderId="13" xfId="0" applyNumberFormat="1" applyFont="1" applyFill="1" applyBorder="1" applyAlignment="1">
      <alignment horizontal="centerContinuous" wrapText="1" readingOrder="1"/>
    </xf>
    <xf numFmtId="164" fontId="8" fillId="8" borderId="14" xfId="0" applyNumberFormat="1" applyFont="1" applyFill="1" applyBorder="1" applyAlignment="1">
      <alignment horizontal="centerContinuous" wrapText="1" readingOrder="1"/>
    </xf>
    <xf numFmtId="0" fontId="8" fillId="9" borderId="6" xfId="0" applyFont="1" applyFill="1" applyBorder="1" applyAlignment="1">
      <alignment horizontal="center" wrapText="1" readingOrder="1"/>
    </xf>
    <xf numFmtId="0" fontId="8" fillId="9" borderId="3" xfId="0" applyFont="1" applyFill="1" applyBorder="1" applyAlignment="1">
      <alignment horizontal="center" wrapText="1" readingOrder="1"/>
    </xf>
    <xf numFmtId="164" fontId="8" fillId="9" borderId="3" xfId="0" applyNumberFormat="1" applyFont="1" applyFill="1" applyBorder="1" applyAlignment="1">
      <alignment horizontal="center" wrapText="1" readingOrder="1"/>
    </xf>
    <xf numFmtId="1" fontId="0" fillId="0" borderId="0" xfId="0" applyNumberFormat="1">
      <alignment readingOrder="1"/>
    </xf>
    <xf numFmtId="164" fontId="7" fillId="0" borderId="0" xfId="0" applyNumberFormat="1" applyFont="1">
      <alignment readingOrder="1"/>
    </xf>
    <xf numFmtId="164" fontId="14" fillId="0" borderId="0" xfId="0" applyNumberFormat="1" applyFont="1">
      <alignment readingOrder="1"/>
    </xf>
    <xf numFmtId="9" fontId="0" fillId="0" borderId="0" xfId="0" applyNumberFormat="1"/>
    <xf numFmtId="9" fontId="0" fillId="0" borderId="0" xfId="4" applyFont="1"/>
    <xf numFmtId="1" fontId="4" fillId="0" borderId="0" xfId="6" applyNumberFormat="1" applyFont="1" applyBorder="1" applyAlignment="1">
      <alignment wrapText="1"/>
    </xf>
    <xf numFmtId="1" fontId="4" fillId="0" borderId="0" xfId="6" applyNumberFormat="1" applyFont="1" applyFill="1" applyBorder="1" applyAlignment="1">
      <alignment wrapText="1"/>
    </xf>
    <xf numFmtId="0" fontId="9" fillId="0" borderId="0" xfId="7" applyFont="1">
      <alignment readingOrder="1"/>
    </xf>
    <xf numFmtId="0" fontId="4" fillId="0" borderId="0" xfId="7">
      <alignment readingOrder="1"/>
    </xf>
    <xf numFmtId="49" fontId="4" fillId="0" borderId="0" xfId="7" applyNumberFormat="1">
      <alignment readingOrder="1"/>
    </xf>
    <xf numFmtId="0" fontId="4" fillId="0" borderId="0" xfId="7"/>
    <xf numFmtId="1" fontId="4" fillId="0" borderId="0" xfId="7" applyNumberFormat="1">
      <alignment readingOrder="1"/>
    </xf>
    <xf numFmtId="164" fontId="4" fillId="0" borderId="0" xfId="7" applyNumberFormat="1">
      <alignment readingOrder="1"/>
    </xf>
    <xf numFmtId="164" fontId="4" fillId="0" borderId="0" xfId="7" applyNumberFormat="1" applyAlignment="1">
      <alignment horizontal="center" readingOrder="1"/>
    </xf>
    <xf numFmtId="0" fontId="4" fillId="0" borderId="0" xfId="7" applyAlignment="1">
      <alignment horizontal="center" readingOrder="1"/>
    </xf>
    <xf numFmtId="0" fontId="4" fillId="0" borderId="0" xfId="7" applyFill="1" applyAlignment="1">
      <alignment horizontal="center" readingOrder="1"/>
    </xf>
    <xf numFmtId="169" fontId="4" fillId="0" borderId="0" xfId="7" applyNumberFormat="1">
      <alignment readingOrder="1"/>
    </xf>
    <xf numFmtId="0" fontId="0" fillId="0" borderId="0" xfId="0" applyAlignment="1">
      <alignment horizontal="left"/>
    </xf>
    <xf numFmtId="0" fontId="0" fillId="0" borderId="0" xfId="0" applyNumberFormat="1"/>
    <xf numFmtId="0" fontId="0" fillId="48" borderId="0" xfId="0" applyFill="1">
      <alignment readingOrder="1"/>
    </xf>
    <xf numFmtId="0" fontId="0" fillId="0" borderId="0" xfId="0" quotePrefix="1" applyFill="1">
      <alignment readingOrder="1"/>
    </xf>
    <xf numFmtId="0" fontId="19" fillId="49" borderId="6" xfId="0" applyFont="1" applyFill="1" applyBorder="1"/>
    <xf numFmtId="0" fontId="19" fillId="50" borderId="1" xfId="0" applyFont="1" applyFill="1" applyBorder="1"/>
    <xf numFmtId="0" fontId="19" fillId="50" borderId="11" xfId="0" applyFont="1" applyFill="1" applyBorder="1"/>
    <xf numFmtId="0" fontId="19" fillId="50" borderId="10" xfId="0" applyFont="1" applyFill="1" applyBorder="1"/>
    <xf numFmtId="0" fontId="19" fillId="50" borderId="26" xfId="0" applyFont="1" applyFill="1" applyBorder="1"/>
    <xf numFmtId="0" fontId="19" fillId="50" borderId="27" xfId="0" applyFont="1" applyFill="1" applyBorder="1"/>
    <xf numFmtId="0" fontId="19" fillId="50" borderId="28" xfId="0" applyFont="1" applyFill="1" applyBorder="1"/>
    <xf numFmtId="0" fontId="19" fillId="50" borderId="6" xfId="0" applyFont="1" applyFill="1" applyBorder="1"/>
    <xf numFmtId="9" fontId="19" fillId="50" borderId="6" xfId="8" applyFont="1" applyFill="1" applyBorder="1"/>
    <xf numFmtId="1" fontId="0" fillId="51" borderId="0" xfId="0" applyNumberFormat="1" applyFill="1" applyAlignment="1">
      <alignment horizontal="center" readingOrder="1"/>
    </xf>
    <xf numFmtId="9" fontId="4" fillId="51" borderId="0" xfId="8" applyFill="1" applyAlignment="1">
      <alignment horizontal="center" readingOrder="1"/>
    </xf>
    <xf numFmtId="164" fontId="0" fillId="52" borderId="0" xfId="0" applyNumberFormat="1" applyFill="1" applyAlignment="1">
      <alignment horizontal="center" readingOrder="1"/>
    </xf>
    <xf numFmtId="0" fontId="19" fillId="51" borderId="6" xfId="0" applyFont="1" applyFill="1" applyBorder="1"/>
    <xf numFmtId="164" fontId="19" fillId="51" borderId="6" xfId="0" applyNumberFormat="1" applyFont="1" applyFill="1" applyBorder="1"/>
    <xf numFmtId="168" fontId="4" fillId="51" borderId="0" xfId="8" applyNumberFormat="1" applyFill="1" applyAlignment="1">
      <alignment horizontal="center" readingOrder="1"/>
    </xf>
    <xf numFmtId="0" fontId="59" fillId="0" borderId="0" xfId="369" applyFill="1">
      <alignment readingOrder="1"/>
    </xf>
    <xf numFmtId="0" fontId="59" fillId="0" borderId="0" xfId="369">
      <alignment readingOrder="1"/>
    </xf>
    <xf numFmtId="0" fontId="4" fillId="0" borderId="0" xfId="369" applyFont="1" applyBorder="1">
      <alignment readingOrder="1"/>
    </xf>
    <xf numFmtId="1" fontId="59" fillId="0" borderId="0" xfId="369" applyNumberFormat="1">
      <alignment readingOrder="1"/>
    </xf>
    <xf numFmtId="0" fontId="4" fillId="0" borderId="0" xfId="369" applyFont="1" applyAlignment="1">
      <alignment horizontal="center" readingOrder="1"/>
    </xf>
    <xf numFmtId="44" fontId="59" fillId="0" borderId="0" xfId="61" applyFont="1">
      <alignment readingOrder="1"/>
    </xf>
    <xf numFmtId="1" fontId="4" fillId="0" borderId="0" xfId="6" applyNumberFormat="1" applyFont="1" applyBorder="1" applyAlignment="1">
      <alignment wrapText="1"/>
    </xf>
    <xf numFmtId="2" fontId="4" fillId="0" borderId="0" xfId="6" applyNumberFormat="1" applyFont="1" applyBorder="1" applyAlignment="1">
      <alignment wrapText="1"/>
    </xf>
    <xf numFmtId="0" fontId="1" fillId="0" borderId="0" xfId="256" applyFont="1"/>
    <xf numFmtId="0" fontId="61" fillId="47" borderId="49" xfId="256" applyFont="1" applyFill="1" applyBorder="1"/>
    <xf numFmtId="0" fontId="61" fillId="47" borderId="50" xfId="256" applyFont="1" applyFill="1" applyBorder="1"/>
    <xf numFmtId="0" fontId="61" fillId="47" borderId="14" xfId="256" applyFont="1" applyFill="1" applyBorder="1"/>
    <xf numFmtId="0" fontId="62" fillId="50" borderId="9" xfId="105" applyFont="1" applyFill="1" applyBorder="1" applyAlignment="1">
      <alignment horizontal="left" vertical="center" wrapText="1"/>
    </xf>
    <xf numFmtId="0" fontId="62" fillId="50" borderId="6" xfId="105" applyFont="1" applyFill="1" applyBorder="1" applyAlignment="1">
      <alignment horizontal="left" vertical="center" wrapText="1"/>
    </xf>
    <xf numFmtId="0" fontId="63" fillId="0" borderId="6" xfId="105" applyNumberFormat="1" applyFont="1" applyFill="1" applyBorder="1" applyAlignment="1">
      <alignment horizontal="left" vertical="center" wrapText="1"/>
    </xf>
    <xf numFmtId="0" fontId="63" fillId="0" borderId="6" xfId="105" applyFont="1" applyFill="1" applyBorder="1" applyAlignment="1">
      <alignment horizontal="left" vertical="center" wrapText="1"/>
    </xf>
    <xf numFmtId="0" fontId="1" fillId="0" borderId="6" xfId="105" applyFont="1" applyFill="1" applyBorder="1" applyAlignment="1">
      <alignment horizontal="left" vertical="center" wrapText="1"/>
    </xf>
    <xf numFmtId="0" fontId="63" fillId="0" borderId="6" xfId="105" applyFont="1" applyBorder="1" applyAlignment="1">
      <alignment horizontal="left" vertical="center" wrapText="1" readingOrder="1"/>
    </xf>
    <xf numFmtId="0" fontId="21" fillId="0" borderId="6" xfId="105" applyFont="1" applyFill="1" applyBorder="1" applyAlignment="1">
      <alignment horizontal="left" vertical="center" wrapText="1"/>
    </xf>
    <xf numFmtId="0" fontId="63" fillId="0" borderId="6" xfId="105" applyFont="1" applyBorder="1" applyAlignment="1">
      <alignment vertical="center" wrapText="1" readingOrder="1"/>
    </xf>
    <xf numFmtId="0" fontId="63" fillId="0" borderId="6" xfId="105" applyFont="1" applyBorder="1" applyAlignment="1">
      <alignment wrapText="1" readingOrder="1"/>
    </xf>
    <xf numFmtId="0" fontId="63" fillId="0" borderId="6" xfId="105" applyNumberFormat="1" applyFont="1" applyBorder="1" applyAlignment="1">
      <alignment vertical="center" wrapText="1" readingOrder="1"/>
    </xf>
    <xf numFmtId="2" fontId="4" fillId="0" borderId="0" xfId="388" applyNumberFormat="1" applyFont="1"/>
    <xf numFmtId="0" fontId="6" fillId="76" borderId="3" xfId="1" applyFont="1" applyFill="1" applyBorder="1" applyAlignment="1">
      <alignment horizontal="center"/>
    </xf>
    <xf numFmtId="0" fontId="8" fillId="78" borderId="3" xfId="1" applyFont="1" applyFill="1" applyBorder="1" applyAlignment="1">
      <alignment horizontal="center" wrapText="1"/>
    </xf>
    <xf numFmtId="0" fontId="8" fillId="78" borderId="6" xfId="1" applyFont="1" applyFill="1" applyBorder="1" applyAlignment="1">
      <alignment horizontal="center" wrapText="1"/>
    </xf>
    <xf numFmtId="173" fontId="45" fillId="23" borderId="48" xfId="5" applyNumberFormat="1" applyFont="1" applyFill="1" applyBorder="1" applyAlignment="1">
      <alignment horizontal="center"/>
    </xf>
    <xf numFmtId="43" fontId="45" fillId="23" borderId="48" xfId="389" applyFont="1" applyFill="1" applyBorder="1" applyAlignment="1">
      <alignment horizontal="center"/>
    </xf>
    <xf numFmtId="0" fontId="64" fillId="0" borderId="0" xfId="391"/>
    <xf numFmtId="44" fontId="64" fillId="0" borderId="0" xfId="5" applyFont="1"/>
    <xf numFmtId="173" fontId="64" fillId="0" borderId="0" xfId="5" applyNumberFormat="1" applyFont="1"/>
    <xf numFmtId="43" fontId="64" fillId="0" borderId="0" xfId="389" applyFont="1"/>
    <xf numFmtId="0" fontId="64" fillId="0" borderId="6" xfId="391" applyFont="1" applyBorder="1"/>
    <xf numFmtId="173" fontId="64" fillId="0" borderId="6" xfId="5" applyNumberFormat="1" applyFont="1" applyBorder="1"/>
    <xf numFmtId="0" fontId="64" fillId="0" borderId="6" xfId="391" applyBorder="1"/>
    <xf numFmtId="44" fontId="64" fillId="0" borderId="6" xfId="5" applyFont="1" applyBorder="1"/>
    <xf numFmtId="0" fontId="64" fillId="79" borderId="6" xfId="391" applyFill="1" applyBorder="1"/>
    <xf numFmtId="173" fontId="64" fillId="79" borderId="6" xfId="5" applyNumberFormat="1" applyFont="1" applyFill="1" applyBorder="1"/>
    <xf numFmtId="0" fontId="4" fillId="0" borderId="4" xfId="0" applyFont="1" applyBorder="1">
      <alignment readingOrder="1"/>
    </xf>
    <xf numFmtId="0" fontId="0" fillId="0" borderId="5" xfId="0" applyBorder="1">
      <alignment readingOrder="1"/>
    </xf>
    <xf numFmtId="0" fontId="0" fillId="0" borderId="3" xfId="0" applyBorder="1">
      <alignment readingOrder="1"/>
    </xf>
    <xf numFmtId="0" fontId="4" fillId="0" borderId="1" xfId="0" applyFont="1" applyBorder="1">
      <alignment readingOrder="1"/>
    </xf>
    <xf numFmtId="44" fontId="0" fillId="0" borderId="11" xfId="0" applyNumberFormat="1" applyBorder="1">
      <alignment readingOrder="1"/>
    </xf>
    <xf numFmtId="0" fontId="0" fillId="0" borderId="11" xfId="0" applyBorder="1">
      <alignment readingOrder="1"/>
    </xf>
    <xf numFmtId="0" fontId="0" fillId="0" borderId="10" xfId="0" applyBorder="1">
      <alignment readingOrder="1"/>
    </xf>
    <xf numFmtId="0" fontId="4" fillId="0" borderId="7" xfId="0" applyFont="1" applyBorder="1">
      <alignment readingOrder="1"/>
    </xf>
    <xf numFmtId="44" fontId="0" fillId="0" borderId="0" xfId="0" applyNumberFormat="1" applyBorder="1">
      <alignment readingOrder="1"/>
    </xf>
    <xf numFmtId="0" fontId="0" fillId="0" borderId="0" xfId="0" applyBorder="1">
      <alignment readingOrder="1"/>
    </xf>
    <xf numFmtId="0" fontId="0" fillId="0" borderId="29" xfId="0" applyBorder="1">
      <alignment readingOrder="1"/>
    </xf>
    <xf numFmtId="0" fontId="4" fillId="0" borderId="26" xfId="0" applyFont="1" applyBorder="1">
      <alignment readingOrder="1"/>
    </xf>
    <xf numFmtId="44" fontId="0" fillId="0" borderId="27" xfId="0" applyNumberFormat="1" applyBorder="1">
      <alignment readingOrder="1"/>
    </xf>
    <xf numFmtId="0" fontId="0" fillId="0" borderId="27" xfId="0" applyBorder="1">
      <alignment readingOrder="1"/>
    </xf>
    <xf numFmtId="0" fontId="0" fillId="0" borderId="28" xfId="0" applyBorder="1">
      <alignment readingOrder="1"/>
    </xf>
    <xf numFmtId="0" fontId="0" fillId="0" borderId="0" xfId="0" applyFill="1" applyBorder="1">
      <alignment readingOrder="1"/>
    </xf>
    <xf numFmtId="44" fontId="0" fillId="0" borderId="10" xfId="0" applyNumberFormat="1" applyBorder="1">
      <alignment readingOrder="1"/>
    </xf>
    <xf numFmtId="44" fontId="0" fillId="0" borderId="29" xfId="0" applyNumberFormat="1" applyBorder="1">
      <alignment readingOrder="1"/>
    </xf>
    <xf numFmtId="44" fontId="0" fillId="0" borderId="28" xfId="0" applyNumberFormat="1" applyBorder="1">
      <alignment readingOrder="1"/>
    </xf>
    <xf numFmtId="1" fontId="59" fillId="0" borderId="0" xfId="369" applyNumberFormat="1" applyFill="1">
      <alignment readingOrder="1"/>
    </xf>
    <xf numFmtId="44" fontId="59" fillId="0" borderId="0" xfId="61" applyFont="1" applyFill="1">
      <alignment readingOrder="1"/>
    </xf>
    <xf numFmtId="0" fontId="4" fillId="0" borderId="0" xfId="369" applyFont="1" applyFill="1" applyBorder="1">
      <alignment readingOrder="1"/>
    </xf>
    <xf numFmtId="0" fontId="45" fillId="23" borderId="48" xfId="392" applyFont="1" applyFill="1" applyBorder="1" applyAlignment="1">
      <alignment horizontal="center"/>
    </xf>
    <xf numFmtId="0" fontId="8" fillId="0" borderId="58" xfId="392" applyFont="1" applyFill="1" applyBorder="1" applyAlignment="1">
      <alignment wrapText="1"/>
    </xf>
    <xf numFmtId="0" fontId="8" fillId="0" borderId="59" xfId="392" applyFont="1" applyFill="1" applyBorder="1" applyAlignment="1">
      <alignment wrapText="1"/>
    </xf>
    <xf numFmtId="174" fontId="8" fillId="0" borderId="59" xfId="392" applyNumberFormat="1" applyFont="1" applyFill="1" applyBorder="1" applyAlignment="1">
      <alignment horizontal="right" wrapText="1"/>
    </xf>
    <xf numFmtId="0" fontId="8" fillId="0" borderId="59" xfId="392" applyFont="1" applyFill="1" applyBorder="1" applyAlignment="1">
      <alignment horizontal="right" wrapText="1"/>
    </xf>
    <xf numFmtId="173" fontId="8" fillId="0" borderId="59" xfId="5" applyNumberFormat="1" applyFont="1" applyFill="1" applyBorder="1" applyAlignment="1">
      <alignment horizontal="right" wrapText="1"/>
    </xf>
    <xf numFmtId="44" fontId="8" fillId="0" borderId="59" xfId="5" applyFont="1" applyFill="1" applyBorder="1" applyAlignment="1">
      <alignment horizontal="right" wrapText="1"/>
    </xf>
    <xf numFmtId="43" fontId="8" fillId="0" borderId="59" xfId="389" applyNumberFormat="1" applyFont="1" applyFill="1" applyBorder="1" applyAlignment="1">
      <alignment horizontal="right" wrapText="1"/>
    </xf>
    <xf numFmtId="0" fontId="8" fillId="0" borderId="60" xfId="392" applyFont="1" applyFill="1" applyBorder="1" applyAlignment="1">
      <alignment horizontal="right" wrapText="1"/>
    </xf>
    <xf numFmtId="0" fontId="8" fillId="0" borderId="47" xfId="392" applyFont="1" applyFill="1" applyBorder="1" applyAlignment="1">
      <alignment wrapText="1"/>
    </xf>
    <xf numFmtId="0" fontId="8" fillId="0" borderId="0" xfId="392" applyFont="1" applyFill="1" applyBorder="1" applyAlignment="1">
      <alignment wrapText="1"/>
    </xf>
    <xf numFmtId="174" fontId="8" fillId="0" borderId="0" xfId="392" applyNumberFormat="1" applyFont="1" applyFill="1" applyBorder="1" applyAlignment="1">
      <alignment horizontal="right" wrapText="1"/>
    </xf>
    <xf numFmtId="0" fontId="8" fillId="0" borderId="0" xfId="392" applyFont="1" applyFill="1" applyBorder="1" applyAlignment="1">
      <alignment horizontal="right" wrapText="1"/>
    </xf>
    <xf numFmtId="173" fontId="8" fillId="0" borderId="0" xfId="5" applyNumberFormat="1" applyFont="1" applyFill="1" applyBorder="1" applyAlignment="1">
      <alignment horizontal="right" wrapText="1"/>
    </xf>
    <xf numFmtId="44" fontId="8" fillId="0" borderId="0" xfId="5" applyFont="1" applyFill="1" applyBorder="1" applyAlignment="1">
      <alignment horizontal="right" wrapText="1"/>
    </xf>
    <xf numFmtId="43" fontId="8" fillId="0" borderId="0" xfId="389" applyNumberFormat="1" applyFont="1" applyFill="1" applyBorder="1" applyAlignment="1">
      <alignment horizontal="right" wrapText="1"/>
    </xf>
    <xf numFmtId="0" fontId="8" fillId="0" borderId="51" xfId="392" applyFont="1" applyFill="1" applyBorder="1" applyAlignment="1">
      <alignment horizontal="right" wrapText="1"/>
    </xf>
    <xf numFmtId="0" fontId="8" fillId="0" borderId="56" xfId="392" applyFont="1" applyFill="1" applyBorder="1" applyAlignment="1">
      <alignment wrapText="1"/>
    </xf>
    <xf numFmtId="0" fontId="8" fillId="0" borderId="52" xfId="392" applyFont="1" applyFill="1" applyBorder="1" applyAlignment="1">
      <alignment wrapText="1"/>
    </xf>
    <xf numFmtId="174" fontId="8" fillId="0" borderId="52" xfId="392" applyNumberFormat="1" applyFont="1" applyFill="1" applyBorder="1" applyAlignment="1">
      <alignment horizontal="right" wrapText="1"/>
    </xf>
    <xf numFmtId="0" fontId="8" fillId="0" borderId="52" xfId="392" applyFont="1" applyFill="1" applyBorder="1" applyAlignment="1">
      <alignment horizontal="right" wrapText="1"/>
    </xf>
    <xf numFmtId="173" fontId="8" fillId="0" borderId="52" xfId="5" applyNumberFormat="1" applyFont="1" applyFill="1" applyBorder="1" applyAlignment="1">
      <alignment horizontal="right" wrapText="1"/>
    </xf>
    <xf numFmtId="44" fontId="8" fillId="0" borderId="52" xfId="5" applyFont="1" applyFill="1" applyBorder="1" applyAlignment="1">
      <alignment horizontal="right" wrapText="1"/>
    </xf>
    <xf numFmtId="43" fontId="8" fillId="0" borderId="52" xfId="389" applyNumberFormat="1" applyFont="1" applyFill="1" applyBorder="1" applyAlignment="1">
      <alignment horizontal="right" wrapText="1"/>
    </xf>
    <xf numFmtId="0" fontId="8" fillId="0" borderId="53" xfId="392" applyFont="1" applyFill="1" applyBorder="1" applyAlignment="1">
      <alignment horizontal="right" wrapText="1"/>
    </xf>
    <xf numFmtId="2" fontId="64" fillId="79" borderId="6" xfId="391" applyNumberFormat="1" applyFill="1" applyBorder="1"/>
    <xf numFmtId="175" fontId="64" fillId="79" borderId="6" xfId="5" applyNumberFormat="1" applyFont="1" applyFill="1" applyBorder="1"/>
    <xf numFmtId="2" fontId="64" fillId="0" borderId="6" xfId="391" applyNumberFormat="1" applyBorder="1"/>
    <xf numFmtId="44" fontId="64" fillId="79" borderId="6" xfId="5" applyNumberFormat="1" applyFont="1" applyFill="1" applyBorder="1"/>
    <xf numFmtId="2" fontId="64" fillId="53" borderId="6" xfId="391" applyNumberFormat="1" applyFill="1" applyBorder="1"/>
    <xf numFmtId="173" fontId="64" fillId="53" borderId="6" xfId="5" applyNumberFormat="1" applyFont="1" applyFill="1" applyBorder="1"/>
    <xf numFmtId="0" fontId="64" fillId="53" borderId="6" xfId="391" applyFill="1" applyBorder="1"/>
    <xf numFmtId="0" fontId="64" fillId="79" borderId="6" xfId="391" applyFont="1" applyFill="1" applyBorder="1"/>
    <xf numFmtId="44" fontId="64" fillId="79" borderId="6" xfId="5" applyFont="1" applyFill="1" applyBorder="1"/>
    <xf numFmtId="0" fontId="4" fillId="0" borderId="0" xfId="106">
      <alignment readingOrder="1"/>
    </xf>
    <xf numFmtId="44" fontId="0" fillId="0" borderId="5" xfId="61" applyFont="1" applyBorder="1">
      <alignment readingOrder="1"/>
    </xf>
    <xf numFmtId="8" fontId="0" fillId="0" borderId="3" xfId="0" applyNumberFormat="1" applyBorder="1">
      <alignment readingOrder="1"/>
    </xf>
    <xf numFmtId="0" fontId="4" fillId="0" borderId="0" xfId="0" applyFont="1">
      <alignment readingOrder="1"/>
    </xf>
    <xf numFmtId="0" fontId="8" fillId="23" borderId="6" xfId="390" applyFont="1" applyFill="1" applyBorder="1" applyAlignment="1">
      <alignment horizontal="left" wrapText="1"/>
    </xf>
    <xf numFmtId="173" fontId="8" fillId="23" borderId="6" xfId="61" applyNumberFormat="1" applyFont="1" applyFill="1" applyBorder="1" applyAlignment="1">
      <alignment horizontal="left" wrapText="1"/>
    </xf>
    <xf numFmtId="0" fontId="8" fillId="82" borderId="6" xfId="390" applyFont="1" applyFill="1" applyBorder="1" applyAlignment="1">
      <alignment horizontal="left" wrapText="1"/>
    </xf>
    <xf numFmtId="0" fontId="4" fillId="0" borderId="0" xfId="395" applyAlignment="1">
      <alignment wrapText="1"/>
    </xf>
    <xf numFmtId="0" fontId="4" fillId="0" borderId="64" xfId="106" applyBorder="1">
      <alignment readingOrder="1"/>
    </xf>
    <xf numFmtId="43" fontId="4" fillId="0" borderId="65" xfId="384" applyBorder="1">
      <alignment readingOrder="1"/>
    </xf>
    <xf numFmtId="0" fontId="8" fillId="0" borderId="6" xfId="390" applyFont="1" applyFill="1" applyBorder="1" applyAlignment="1">
      <alignment wrapText="1"/>
    </xf>
    <xf numFmtId="174" fontId="8" fillId="0" borderId="6" xfId="390" applyNumberFormat="1" applyFont="1" applyFill="1" applyBorder="1" applyAlignment="1">
      <alignment horizontal="right" wrapText="1"/>
    </xf>
    <xf numFmtId="0" fontId="8" fillId="0" borderId="6" xfId="390" applyFont="1" applyFill="1" applyBorder="1" applyAlignment="1">
      <alignment horizontal="right" wrapText="1"/>
    </xf>
    <xf numFmtId="173" fontId="8" fillId="0" borderId="6" xfId="61" applyNumberFormat="1" applyFont="1" applyFill="1" applyBorder="1" applyAlignment="1">
      <alignment horizontal="right" wrapText="1"/>
    </xf>
    <xf numFmtId="0" fontId="4" fillId="0" borderId="6" xfId="395" applyBorder="1"/>
    <xf numFmtId="44" fontId="4" fillId="0" borderId="6" xfId="61" applyNumberFormat="1" applyBorder="1"/>
    <xf numFmtId="44" fontId="4" fillId="0" borderId="6" xfId="395" applyNumberFormat="1" applyBorder="1"/>
    <xf numFmtId="0" fontId="4" fillId="0" borderId="0" xfId="395"/>
    <xf numFmtId="171" fontId="4" fillId="0" borderId="65" xfId="384" applyNumberFormat="1" applyBorder="1">
      <alignment readingOrder="1"/>
    </xf>
    <xf numFmtId="0" fontId="4" fillId="0" borderId="66" xfId="106" applyBorder="1">
      <alignment readingOrder="1"/>
    </xf>
    <xf numFmtId="0" fontId="4" fillId="0" borderId="67" xfId="106" applyBorder="1">
      <alignment readingOrder="1"/>
    </xf>
    <xf numFmtId="171" fontId="4" fillId="0" borderId="68" xfId="384" applyNumberFormat="1" applyBorder="1">
      <alignment readingOrder="1"/>
    </xf>
    <xf numFmtId="44" fontId="4" fillId="0" borderId="68" xfId="384" applyNumberFormat="1" applyBorder="1">
      <alignment readingOrder="1"/>
    </xf>
    <xf numFmtId="0" fontId="4" fillId="0" borderId="69" xfId="106" applyBorder="1">
      <alignment readingOrder="1"/>
    </xf>
    <xf numFmtId="0" fontId="4" fillId="0" borderId="70" xfId="106" applyBorder="1">
      <alignment readingOrder="1"/>
    </xf>
    <xf numFmtId="0" fontId="4" fillId="0" borderId="71" xfId="106" applyBorder="1">
      <alignment readingOrder="1"/>
    </xf>
    <xf numFmtId="43" fontId="4" fillId="0" borderId="72" xfId="384" applyBorder="1">
      <alignment readingOrder="1"/>
    </xf>
    <xf numFmtId="43" fontId="4" fillId="0" borderId="0" xfId="384"/>
    <xf numFmtId="0" fontId="8" fillId="83" borderId="6" xfId="390" applyFont="1" applyFill="1" applyBorder="1" applyAlignment="1">
      <alignment horizontal="left" wrapText="1"/>
    </xf>
    <xf numFmtId="173" fontId="4" fillId="0" borderId="0" xfId="61" applyNumberFormat="1"/>
    <xf numFmtId="0" fontId="4" fillId="0" borderId="6" xfId="395" applyFont="1" applyBorder="1" applyAlignment="1">
      <alignment horizontal="right"/>
    </xf>
    <xf numFmtId="171" fontId="4" fillId="0" borderId="6" xfId="384" applyNumberFormat="1" applyBorder="1"/>
    <xf numFmtId="44" fontId="4" fillId="0" borderId="6" xfId="61" applyBorder="1"/>
    <xf numFmtId="171" fontId="4" fillId="0" borderId="0" xfId="384" applyNumberFormat="1"/>
    <xf numFmtId="44" fontId="4" fillId="81" borderId="6" xfId="61" applyFill="1" applyBorder="1"/>
    <xf numFmtId="0" fontId="4" fillId="0" borderId="6" xfId="395" applyFont="1" applyBorder="1"/>
    <xf numFmtId="9" fontId="4" fillId="0" borderId="0" xfId="8"/>
    <xf numFmtId="0" fontId="4" fillId="53" borderId="6" xfId="395" applyFont="1" applyFill="1" applyBorder="1"/>
    <xf numFmtId="44" fontId="4" fillId="79" borderId="6" xfId="395" applyNumberFormat="1" applyFill="1" applyBorder="1"/>
    <xf numFmtId="0" fontId="4" fillId="53" borderId="58" xfId="395" applyFont="1" applyFill="1" applyBorder="1"/>
    <xf numFmtId="173" fontId="4" fillId="53" borderId="62" xfId="61" applyNumberFormat="1" applyFill="1" applyBorder="1"/>
    <xf numFmtId="43" fontId="4" fillId="53" borderId="62" xfId="384" applyFont="1" applyFill="1" applyBorder="1" applyAlignment="1">
      <alignment horizontal="right"/>
    </xf>
    <xf numFmtId="43" fontId="4" fillId="53" borderId="63" xfId="384" applyFill="1" applyBorder="1" applyAlignment="1">
      <alignment horizontal="right"/>
    </xf>
    <xf numFmtId="43" fontId="4" fillId="80" borderId="62" xfId="384" applyFill="1" applyBorder="1" applyAlignment="1">
      <alignment horizontal="right"/>
    </xf>
    <xf numFmtId="173" fontId="4" fillId="84" borderId="73" xfId="61" applyNumberFormat="1" applyFill="1" applyBorder="1"/>
    <xf numFmtId="173" fontId="4" fillId="53" borderId="61" xfId="61" applyNumberFormat="1" applyFont="1" applyFill="1" applyBorder="1"/>
    <xf numFmtId="0" fontId="4" fillId="53" borderId="12" xfId="395" applyFont="1" applyFill="1" applyBorder="1"/>
    <xf numFmtId="173" fontId="4" fillId="53" borderId="54" xfId="61" applyNumberFormat="1" applyFont="1" applyFill="1" applyBorder="1"/>
    <xf numFmtId="43" fontId="4" fillId="53" borderId="54" xfId="384" applyFont="1" applyFill="1" applyBorder="1" applyAlignment="1">
      <alignment horizontal="right"/>
    </xf>
    <xf numFmtId="43" fontId="4" fillId="53" borderId="55" xfId="384" applyFont="1" applyFill="1" applyBorder="1" applyAlignment="1">
      <alignment horizontal="right"/>
    </xf>
    <xf numFmtId="43" fontId="4" fillId="80" borderId="62" xfId="384" applyFont="1" applyFill="1" applyBorder="1" applyAlignment="1">
      <alignment horizontal="right"/>
    </xf>
    <xf numFmtId="173" fontId="4" fillId="84" borderId="73" xfId="61" applyNumberFormat="1" applyFont="1" applyFill="1" applyBorder="1"/>
    <xf numFmtId="173" fontId="4" fillId="53" borderId="57" xfId="61" applyNumberFormat="1" applyFont="1" applyFill="1" applyBorder="1"/>
    <xf numFmtId="0" fontId="4" fillId="0" borderId="18" xfId="395" applyBorder="1"/>
    <xf numFmtId="0" fontId="4" fillId="0" borderId="19" xfId="396" applyBorder="1" applyAlignment="1">
      <alignment horizontal="center"/>
    </xf>
    <xf numFmtId="44" fontId="4" fillId="0" borderId="19" xfId="61" applyBorder="1" applyAlignment="1">
      <alignment horizontal="right"/>
    </xf>
    <xf numFmtId="44" fontId="4" fillId="0" borderId="20" xfId="61" applyBorder="1" applyAlignment="1">
      <alignment horizontal="right"/>
    </xf>
    <xf numFmtId="43" fontId="4" fillId="0" borderId="20" xfId="384" applyBorder="1" applyAlignment="1">
      <alignment horizontal="right"/>
    </xf>
    <xf numFmtId="44" fontId="4" fillId="0" borderId="20" xfId="61" applyBorder="1"/>
    <xf numFmtId="0" fontId="4" fillId="0" borderId="21" xfId="395" applyBorder="1"/>
    <xf numFmtId="0" fontId="4" fillId="0" borderId="6" xfId="396" applyBorder="1" applyAlignment="1">
      <alignment horizontal="center"/>
    </xf>
    <xf numFmtId="44" fontId="4" fillId="0" borderId="6" xfId="61" applyBorder="1" applyAlignment="1">
      <alignment horizontal="right"/>
    </xf>
    <xf numFmtId="44" fontId="4" fillId="0" borderId="22" xfId="61" applyBorder="1" applyAlignment="1">
      <alignment horizontal="right"/>
    </xf>
    <xf numFmtId="43" fontId="4" fillId="0" borderId="22" xfId="384" applyBorder="1" applyAlignment="1">
      <alignment horizontal="right"/>
    </xf>
    <xf numFmtId="44" fontId="4" fillId="0" borderId="22" xfId="61" applyBorder="1"/>
    <xf numFmtId="0" fontId="4" fillId="0" borderId="21" xfId="395" applyFont="1" applyBorder="1"/>
    <xf numFmtId="0" fontId="4" fillId="0" borderId="23" xfId="395" applyBorder="1"/>
    <xf numFmtId="0" fontId="4" fillId="0" borderId="24" xfId="396" applyBorder="1" applyAlignment="1">
      <alignment horizontal="center"/>
    </xf>
    <xf numFmtId="44" fontId="4" fillId="0" borderId="24" xfId="61" applyBorder="1" applyAlignment="1">
      <alignment horizontal="right"/>
    </xf>
    <xf numFmtId="44" fontId="4" fillId="0" borderId="25" xfId="61" applyBorder="1" applyAlignment="1">
      <alignment horizontal="right"/>
    </xf>
    <xf numFmtId="43" fontId="4" fillId="0" borderId="25" xfId="384" applyBorder="1" applyAlignment="1">
      <alignment horizontal="right"/>
    </xf>
    <xf numFmtId="44" fontId="4" fillId="0" borderId="25" xfId="61" applyBorder="1"/>
    <xf numFmtId="44" fontId="4" fillId="0" borderId="22" xfId="61" applyNumberFormat="1" applyBorder="1" applyAlignment="1">
      <alignment horizontal="right"/>
    </xf>
    <xf numFmtId="0" fontId="4" fillId="0" borderId="16" xfId="395" applyBorder="1"/>
    <xf numFmtId="0" fontId="4" fillId="0" borderId="2" xfId="396" applyBorder="1" applyAlignment="1">
      <alignment horizontal="center"/>
    </xf>
    <xf numFmtId="44" fontId="4" fillId="0" borderId="2" xfId="61" applyBorder="1" applyAlignment="1">
      <alignment horizontal="right"/>
    </xf>
    <xf numFmtId="44" fontId="4" fillId="0" borderId="17" xfId="61" applyBorder="1" applyAlignment="1">
      <alignment horizontal="right"/>
    </xf>
    <xf numFmtId="43" fontId="4" fillId="0" borderId="17" xfId="384" applyBorder="1" applyAlignment="1">
      <alignment horizontal="right"/>
    </xf>
    <xf numFmtId="44" fontId="4" fillId="0" borderId="17" xfId="61" applyBorder="1"/>
    <xf numFmtId="0" fontId="4" fillId="0" borderId="23" xfId="395" applyFont="1" applyBorder="1"/>
    <xf numFmtId="0" fontId="0" fillId="0" borderId="27" xfId="0" applyBorder="1"/>
    <xf numFmtId="1" fontId="4" fillId="0" borderId="27" xfId="6" applyNumberFormat="1" applyFont="1" applyBorder="1" applyAlignment="1">
      <alignment wrapText="1"/>
    </xf>
    <xf numFmtId="2" fontId="4" fillId="0" borderId="27" xfId="6" applyNumberFormat="1" applyFont="1" applyBorder="1" applyAlignment="1">
      <alignment wrapText="1"/>
    </xf>
    <xf numFmtId="1" fontId="59" fillId="0" borderId="27" xfId="369" applyNumberFormat="1" applyBorder="1">
      <alignment readingOrder="1"/>
    </xf>
    <xf numFmtId="44" fontId="59" fillId="0" borderId="27" xfId="61" applyFont="1" applyBorder="1">
      <alignment readingOrder="1"/>
    </xf>
    <xf numFmtId="0" fontId="4" fillId="0" borderId="27" xfId="369" applyFont="1" applyBorder="1">
      <alignment readingOrder="1"/>
    </xf>
    <xf numFmtId="44" fontId="59" fillId="0" borderId="0" xfId="369" applyNumberFormat="1">
      <alignment readingOrder="1"/>
    </xf>
    <xf numFmtId="0" fontId="0" fillId="0" borderId="0" xfId="0" applyAlignment="1">
      <alignment wrapText="1"/>
    </xf>
    <xf numFmtId="9" fontId="4" fillId="0" borderId="0" xfId="7" applyNumberFormat="1">
      <alignment readingOrder="1"/>
    </xf>
    <xf numFmtId="0" fontId="0" fillId="0" borderId="0" xfId="0" applyFill="1" applyAlignment="1">
      <alignment horizontal="center" readingOrder="1"/>
    </xf>
    <xf numFmtId="0" fontId="13" fillId="85" borderId="4" xfId="0" applyFont="1" applyFill="1" applyBorder="1" applyAlignment="1">
      <alignment horizontal="left" wrapText="1" readingOrder="1"/>
    </xf>
    <xf numFmtId="0" fontId="13" fillId="85" borderId="3" xfId="0" applyFont="1" applyFill="1" applyBorder="1" applyAlignment="1">
      <alignment horizontal="center" wrapText="1" readingOrder="1"/>
    </xf>
    <xf numFmtId="0" fontId="13" fillId="7" borderId="5" xfId="0" applyFont="1" applyFill="1" applyBorder="1" applyAlignment="1">
      <alignment horizontal="center" wrapText="1" readingOrder="1"/>
    </xf>
    <xf numFmtId="0" fontId="0" fillId="0" borderId="58" xfId="0" applyBorder="1">
      <alignment readingOrder="1"/>
    </xf>
    <xf numFmtId="0" fontId="0" fillId="0" borderId="59" xfId="0" applyBorder="1">
      <alignment readingOrder="1"/>
    </xf>
    <xf numFmtId="0" fontId="0" fillId="0" borderId="60" xfId="0" applyBorder="1">
      <alignment readingOrder="1"/>
    </xf>
    <xf numFmtId="0" fontId="0" fillId="0" borderId="47" xfId="0" applyBorder="1">
      <alignment readingOrder="1"/>
    </xf>
    <xf numFmtId="0" fontId="0" fillId="0" borderId="51" xfId="0" applyBorder="1">
      <alignment readingOrder="1"/>
    </xf>
    <xf numFmtId="0" fontId="0" fillId="0" borderId="56" xfId="0" applyBorder="1">
      <alignment readingOrder="1"/>
    </xf>
    <xf numFmtId="0" fontId="0" fillId="0" borderId="52" xfId="0" applyBorder="1">
      <alignment readingOrder="1"/>
    </xf>
    <xf numFmtId="0" fontId="0" fillId="0" borderId="53" xfId="0" applyBorder="1">
      <alignment readingOrder="1"/>
    </xf>
    <xf numFmtId="0" fontId="8" fillId="86" borderId="49" xfId="0" applyFont="1" applyFill="1" applyBorder="1" applyAlignment="1">
      <alignment horizontal="centerContinuous" wrapText="1" readingOrder="1"/>
    </xf>
    <xf numFmtId="0" fontId="8" fillId="86" borderId="14" xfId="0" applyFont="1" applyFill="1" applyBorder="1" applyAlignment="1">
      <alignment horizontal="centerContinuous" wrapText="1" readingOrder="1"/>
    </xf>
    <xf numFmtId="164" fontId="8" fillId="86" borderId="49" xfId="0" applyNumberFormat="1" applyFont="1" applyFill="1" applyBorder="1" applyAlignment="1">
      <alignment horizontal="centerContinuous" wrapText="1" readingOrder="1"/>
    </xf>
    <xf numFmtId="164" fontId="8" fillId="86" borderId="50" xfId="0" applyNumberFormat="1" applyFont="1" applyFill="1" applyBorder="1" applyAlignment="1">
      <alignment horizontal="centerContinuous" wrapText="1" readingOrder="1"/>
    </xf>
    <xf numFmtId="164" fontId="8" fillId="86" borderId="14" xfId="0" applyNumberFormat="1" applyFont="1" applyFill="1" applyBorder="1" applyAlignment="1">
      <alignment horizontal="centerContinuous" wrapText="1" readingOrder="1"/>
    </xf>
    <xf numFmtId="164" fontId="8" fillId="86" borderId="5" xfId="0" applyNumberFormat="1" applyFont="1" applyFill="1" applyBorder="1" applyAlignment="1">
      <alignment horizontal="center" wrapText="1" readingOrder="1"/>
    </xf>
    <xf numFmtId="176" fontId="8" fillId="9" borderId="3" xfId="0" applyNumberFormat="1" applyFont="1" applyFill="1" applyBorder="1" applyAlignment="1">
      <alignment horizontal="center" wrapText="1" readingOrder="1"/>
    </xf>
    <xf numFmtId="0" fontId="8" fillId="8" borderId="49" xfId="0" applyFont="1" applyFill="1" applyBorder="1" applyAlignment="1">
      <alignment horizontal="centerContinuous" wrapText="1" readingOrder="1"/>
    </xf>
    <xf numFmtId="0" fontId="8" fillId="8" borderId="50" xfId="0" applyFont="1" applyFill="1" applyBorder="1" applyAlignment="1">
      <alignment horizontal="centerContinuous" wrapText="1" readingOrder="1"/>
    </xf>
    <xf numFmtId="164" fontId="8" fillId="8" borderId="50" xfId="0" applyNumberFormat="1" applyFont="1" applyFill="1" applyBorder="1" applyAlignment="1">
      <alignment horizontal="centerContinuous" wrapText="1" readingOrder="1"/>
    </xf>
    <xf numFmtId="164" fontId="8" fillId="8" borderId="5" xfId="0" applyNumberFormat="1" applyFont="1" applyFill="1" applyBorder="1" applyAlignment="1">
      <alignment horizontal="center" wrapText="1" readingOrder="1"/>
    </xf>
    <xf numFmtId="164" fontId="8" fillId="8" borderId="49" xfId="0" applyNumberFormat="1" applyFont="1" applyFill="1" applyBorder="1" applyAlignment="1">
      <alignment horizontal="centerContinuous" wrapText="1" readingOrder="1"/>
    </xf>
    <xf numFmtId="0" fontId="9" fillId="0" borderId="0" xfId="0" applyFont="1">
      <alignment readingOrder="1"/>
    </xf>
    <xf numFmtId="177" fontId="9" fillId="0" borderId="0" xfId="0" applyNumberFormat="1" applyFont="1">
      <alignment readingOrder="1"/>
    </xf>
    <xf numFmtId="177" fontId="0" fillId="0" borderId="0" xfId="0" applyNumberFormat="1">
      <alignment readingOrder="1"/>
    </xf>
    <xf numFmtId="177" fontId="14" fillId="0" borderId="0" xfId="0" applyNumberFormat="1" applyFont="1">
      <alignment readingOrder="1"/>
    </xf>
    <xf numFmtId="0" fontId="43" fillId="0" borderId="0" xfId="379"/>
    <xf numFmtId="168" fontId="0" fillId="0" borderId="0" xfId="15" applyNumberFormat="1" applyFont="1"/>
    <xf numFmtId="0" fontId="51" fillId="0" borderId="0" xfId="397" applyAlignment="1" applyProtection="1"/>
    <xf numFmtId="0" fontId="0" fillId="0" borderId="0" xfId="0" applyAlignment="1">
      <alignment horizontal="center"/>
    </xf>
    <xf numFmtId="0" fontId="65" fillId="0" borderId="0" xfId="0" applyFont="1" applyFill="1" applyBorder="1" applyAlignment="1">
      <alignment horizontal="left"/>
    </xf>
    <xf numFmtId="178" fontId="0" fillId="0" borderId="0" xfId="16" applyNumberFormat="1" applyFont="1"/>
    <xf numFmtId="178" fontId="0" fillId="0" borderId="0" xfId="16" applyNumberFormat="1" applyFont="1" applyFill="1"/>
    <xf numFmtId="43" fontId="0" fillId="0" borderId="0" xfId="0" applyNumberFormat="1"/>
    <xf numFmtId="2" fontId="0" fillId="0" borderId="0" xfId="0" applyNumberFormat="1" applyFill="1"/>
    <xf numFmtId="43" fontId="0" fillId="0" borderId="0" xfId="16" applyFont="1" applyFill="1"/>
    <xf numFmtId="43" fontId="0" fillId="0" borderId="0" xfId="16" applyFont="1"/>
    <xf numFmtId="171" fontId="0" fillId="0" borderId="0" xfId="16" applyNumberFormat="1" applyFont="1"/>
    <xf numFmtId="178" fontId="0" fillId="6" borderId="0" xfId="16" applyNumberFormat="1" applyFont="1" applyFill="1"/>
    <xf numFmtId="2" fontId="0" fillId="0" borderId="0" xfId="0" applyNumberFormat="1"/>
    <xf numFmtId="2" fontId="4" fillId="0" borderId="0" xfId="6" applyNumberFormat="1" applyFont="1" applyFill="1" applyBorder="1" applyAlignment="1">
      <alignment wrapText="1"/>
    </xf>
    <xf numFmtId="0" fontId="4" fillId="0" borderId="5" xfId="0" applyFont="1" applyBorder="1">
      <alignment readingOrder="1"/>
    </xf>
    <xf numFmtId="0" fontId="4" fillId="0" borderId="11" xfId="0" applyFont="1" applyBorder="1">
      <alignment readingOrder="1"/>
    </xf>
    <xf numFmtId="0" fontId="4" fillId="0" borderId="0" xfId="0" applyFont="1" applyBorder="1">
      <alignment readingOrder="1"/>
    </xf>
    <xf numFmtId="0" fontId="4" fillId="0" borderId="27" xfId="0" applyFont="1" applyBorder="1">
      <alignment readingOrder="1"/>
    </xf>
    <xf numFmtId="0" fontId="4" fillId="87" borderId="11" xfId="0" applyFont="1" applyFill="1" applyBorder="1">
      <alignment readingOrder="1"/>
    </xf>
    <xf numFmtId="0" fontId="4" fillId="0" borderId="11" xfId="0" applyFont="1" applyFill="1" applyBorder="1">
      <alignment readingOrder="1"/>
    </xf>
    <xf numFmtId="2" fontId="4" fillId="0" borderId="27" xfId="6" applyNumberFormat="1" applyFont="1" applyFill="1" applyBorder="1" applyAlignment="1">
      <alignment wrapText="1"/>
    </xf>
    <xf numFmtId="1" fontId="0" fillId="87" borderId="0" xfId="0" applyNumberFormat="1" applyFill="1"/>
    <xf numFmtId="0" fontId="66" fillId="74" borderId="43" xfId="0" applyFont="1" applyFill="1" applyBorder="1"/>
    <xf numFmtId="0" fontId="66" fillId="74" borderId="44" xfId="0" applyFont="1" applyFill="1" applyBorder="1"/>
    <xf numFmtId="0" fontId="66" fillId="74" borderId="74" xfId="0" applyFont="1" applyFill="1" applyBorder="1"/>
    <xf numFmtId="0" fontId="67" fillId="75" borderId="43" xfId="0" applyFont="1" applyFill="1" applyBorder="1"/>
    <xf numFmtId="0" fontId="67" fillId="75" borderId="44" xfId="0" applyFont="1" applyFill="1" applyBorder="1"/>
    <xf numFmtId="3" fontId="67" fillId="75" borderId="44" xfId="0" applyNumberFormat="1" applyFont="1" applyFill="1" applyBorder="1"/>
    <xf numFmtId="179" fontId="67" fillId="75" borderId="74" xfId="0" applyNumberFormat="1" applyFont="1" applyFill="1" applyBorder="1"/>
    <xf numFmtId="0" fontId="67" fillId="0" borderId="45" xfId="0" applyFont="1" applyBorder="1"/>
    <xf numFmtId="0" fontId="67" fillId="0" borderId="46" xfId="0" applyFont="1" applyBorder="1"/>
    <xf numFmtId="3" fontId="67" fillId="0" borderId="46" xfId="0" applyNumberFormat="1" applyFont="1" applyBorder="1"/>
    <xf numFmtId="179" fontId="67" fillId="0" borderId="75" xfId="0" applyNumberFormat="1" applyFont="1" applyBorder="1"/>
    <xf numFmtId="0" fontId="67" fillId="75" borderId="45" xfId="0" applyFont="1" applyFill="1" applyBorder="1"/>
    <xf numFmtId="0" fontId="67" fillId="75" borderId="46" xfId="0" applyFont="1" applyFill="1" applyBorder="1"/>
    <xf numFmtId="3" fontId="67" fillId="75" borderId="46" xfId="0" applyNumberFormat="1" applyFont="1" applyFill="1" applyBorder="1"/>
    <xf numFmtId="179" fontId="67" fillId="75" borderId="75" xfId="0" applyNumberFormat="1" applyFont="1" applyFill="1" applyBorder="1"/>
    <xf numFmtId="164" fontId="0" fillId="0" borderId="0" xfId="0" applyNumberFormat="1"/>
    <xf numFmtId="0" fontId="19" fillId="50" borderId="6" xfId="106" applyFont="1" applyFill="1" applyBorder="1"/>
    <xf numFmtId="0" fontId="19" fillId="50" borderId="1" xfId="106" applyFont="1" applyFill="1" applyBorder="1"/>
    <xf numFmtId="0" fontId="19" fillId="50" borderId="11" xfId="106" applyFont="1" applyFill="1" applyBorder="1"/>
    <xf numFmtId="0" fontId="19" fillId="50" borderId="10" xfId="106" applyFont="1" applyFill="1" applyBorder="1"/>
    <xf numFmtId="164" fontId="8" fillId="8" borderId="12" xfId="106" applyNumberFormat="1" applyFont="1" applyFill="1" applyBorder="1" applyAlignment="1">
      <alignment horizontal="centerContinuous" wrapText="1" readingOrder="1"/>
    </xf>
    <xf numFmtId="164" fontId="8" fillId="8" borderId="13" xfId="106" applyNumberFormat="1" applyFont="1" applyFill="1" applyBorder="1" applyAlignment="1">
      <alignment horizontal="centerContinuous" wrapText="1" readingOrder="1"/>
    </xf>
    <xf numFmtId="164" fontId="8" fillId="8" borderId="14" xfId="106" applyNumberFormat="1" applyFont="1" applyFill="1" applyBorder="1" applyAlignment="1">
      <alignment horizontal="centerContinuous" wrapText="1" readingOrder="1"/>
    </xf>
    <xf numFmtId="164" fontId="8" fillId="8" borderId="3" xfId="106" applyNumberFormat="1" applyFont="1" applyFill="1" applyBorder="1" applyAlignment="1">
      <alignment horizontal="center" wrapText="1" readingOrder="1"/>
    </xf>
    <xf numFmtId="0" fontId="4" fillId="0" borderId="0" xfId="106"/>
    <xf numFmtId="0" fontId="19" fillId="50" borderId="26" xfId="106" applyFont="1" applyFill="1" applyBorder="1"/>
    <xf numFmtId="0" fontId="19" fillId="50" borderId="27" xfId="106" applyFont="1" applyFill="1" applyBorder="1"/>
    <xf numFmtId="0" fontId="19" fillId="50" borderId="28" xfId="106" applyFont="1" applyFill="1" applyBorder="1"/>
    <xf numFmtId="164" fontId="8" fillId="9" borderId="3" xfId="106" applyNumberFormat="1" applyFont="1" applyFill="1" applyBorder="1" applyAlignment="1">
      <alignment horizontal="center" wrapText="1" readingOrder="1"/>
    </xf>
    <xf numFmtId="0" fontId="19" fillId="49" borderId="6" xfId="106" applyFont="1" applyFill="1" applyBorder="1"/>
    <xf numFmtId="2" fontId="4" fillId="78" borderId="0" xfId="106" applyNumberFormat="1" applyFill="1" applyAlignment="1">
      <alignment horizontal="center" readingOrder="1"/>
    </xf>
    <xf numFmtId="1" fontId="4" fillId="78" borderId="0" xfId="106" applyNumberFormat="1" applyFill="1" applyAlignment="1">
      <alignment horizontal="center" readingOrder="1"/>
    </xf>
    <xf numFmtId="164" fontId="4" fillId="0" borderId="0" xfId="106" applyNumberFormat="1">
      <alignment readingOrder="1"/>
    </xf>
    <xf numFmtId="43" fontId="0" fillId="78" borderId="0" xfId="384" applyFont="1" applyFill="1" applyAlignment="1">
      <alignment horizontal="center" readingOrder="1"/>
    </xf>
    <xf numFmtId="0" fontId="0" fillId="50" borderId="0" xfId="0" applyFill="1">
      <alignment readingOrder="1"/>
    </xf>
    <xf numFmtId="0" fontId="0" fillId="50" borderId="0" xfId="0" applyFill="1" applyAlignment="1">
      <alignment vertical="center" wrapText="1" readingOrder="1"/>
    </xf>
    <xf numFmtId="0" fontId="2" fillId="0" borderId="0" xfId="538"/>
    <xf numFmtId="0" fontId="68" fillId="0" borderId="0" xfId="538" applyFont="1"/>
    <xf numFmtId="0" fontId="9" fillId="53" borderId="48" xfId="539" applyFont="1" applyFill="1" applyBorder="1" applyAlignment="1">
      <alignment horizontal="center"/>
    </xf>
    <xf numFmtId="0" fontId="68" fillId="53" borderId="56" xfId="538" applyFont="1" applyFill="1" applyBorder="1"/>
    <xf numFmtId="0" fontId="68" fillId="53" borderId="48" xfId="538" applyFont="1" applyFill="1" applyBorder="1"/>
    <xf numFmtId="0" fontId="4" fillId="0" borderId="6" xfId="538" quotePrefix="1" applyFont="1" applyFill="1" applyBorder="1" applyAlignment="1" applyProtection="1">
      <alignment horizontal="left"/>
    </xf>
    <xf numFmtId="180" fontId="43" fillId="0" borderId="6" xfId="540" applyNumberFormat="1" applyFill="1" applyBorder="1"/>
    <xf numFmtId="0" fontId="69" fillId="0" borderId="6" xfId="538" applyFont="1" applyFill="1" applyBorder="1" applyAlignment="1">
      <alignment horizontal="centerContinuous"/>
    </xf>
    <xf numFmtId="1" fontId="2" fillId="0" borderId="6" xfId="538" applyNumberFormat="1" applyFill="1" applyBorder="1"/>
    <xf numFmtId="7" fontId="2" fillId="0" borderId="6" xfId="538" applyNumberFormat="1" applyFill="1" applyBorder="1"/>
    <xf numFmtId="5" fontId="2" fillId="0" borderId="6" xfId="61" applyNumberFormat="1" applyFont="1" applyFill="1" applyBorder="1"/>
    <xf numFmtId="0" fontId="4" fillId="81" borderId="6" xfId="538" quotePrefix="1" applyFont="1" applyFill="1" applyBorder="1" applyAlignment="1" applyProtection="1">
      <alignment horizontal="left"/>
    </xf>
    <xf numFmtId="180" fontId="4" fillId="81" borderId="6" xfId="538" applyNumberFormat="1" applyFont="1" applyFill="1" applyBorder="1" applyProtection="1"/>
    <xf numFmtId="0" fontId="69" fillId="81" borderId="9" xfId="538" applyFont="1" applyFill="1" applyBorder="1" applyAlignment="1">
      <alignment horizontal="centerContinuous"/>
    </xf>
    <xf numFmtId="1" fontId="2" fillId="81" borderId="6" xfId="538" applyNumberFormat="1" applyFill="1" applyBorder="1"/>
    <xf numFmtId="1" fontId="2" fillId="81" borderId="9" xfId="538" applyNumberFormat="1" applyFill="1" applyBorder="1"/>
    <xf numFmtId="7" fontId="2" fillId="81" borderId="9" xfId="538" applyNumberFormat="1" applyFill="1" applyBorder="1"/>
    <xf numFmtId="5" fontId="2" fillId="81" borderId="6" xfId="61" applyNumberFormat="1" applyFont="1" applyFill="1" applyBorder="1"/>
    <xf numFmtId="180" fontId="4" fillId="0" borderId="6" xfId="538" applyNumberFormat="1" applyFont="1" applyFill="1" applyBorder="1" applyProtection="1"/>
    <xf numFmtId="0" fontId="69" fillId="81" borderId="6" xfId="538" applyFont="1" applyFill="1" applyBorder="1" applyAlignment="1">
      <alignment horizontal="centerContinuous"/>
    </xf>
    <xf numFmtId="7" fontId="2" fillId="81" borderId="6" xfId="538" applyNumberFormat="1" applyFill="1" applyBorder="1"/>
    <xf numFmtId="180" fontId="43" fillId="0" borderId="6" xfId="541" applyNumberFormat="1" applyFill="1" applyBorder="1"/>
    <xf numFmtId="7" fontId="2" fillId="0" borderId="0" xfId="61" applyNumberFormat="1" applyFont="1" applyFill="1"/>
    <xf numFmtId="180" fontId="0" fillId="0" borderId="6" xfId="0" applyNumberFormat="1" applyFill="1" applyBorder="1"/>
    <xf numFmtId="0" fontId="4" fillId="0" borderId="6" xfId="538" applyFont="1" applyFill="1" applyBorder="1"/>
    <xf numFmtId="180" fontId="4" fillId="0" borderId="6" xfId="538" applyNumberFormat="1" applyFont="1" applyFill="1" applyBorder="1"/>
    <xf numFmtId="1" fontId="69" fillId="81" borderId="6" xfId="538" applyNumberFormat="1" applyFont="1" applyFill="1" applyBorder="1" applyAlignment="1">
      <alignment horizontal="centerContinuous"/>
    </xf>
    <xf numFmtId="0" fontId="4" fillId="0" borderId="6" xfId="538" quotePrefix="1" applyFont="1" applyFill="1" applyBorder="1" applyAlignment="1">
      <alignment horizontal="left"/>
    </xf>
    <xf numFmtId="1" fontId="69" fillId="0" borderId="6" xfId="538" applyNumberFormat="1" applyFont="1" applyFill="1" applyBorder="1" applyAlignment="1">
      <alignment horizontal="centerContinuous"/>
    </xf>
    <xf numFmtId="6" fontId="0" fillId="0" borderId="0" xfId="0" applyNumberFormat="1">
      <alignment readingOrder="1"/>
    </xf>
    <xf numFmtId="6" fontId="0" fillId="0" borderId="0" xfId="0" applyNumberFormat="1"/>
    <xf numFmtId="8" fontId="0" fillId="0" borderId="0" xfId="0" applyNumberFormat="1"/>
    <xf numFmtId="6" fontId="59" fillId="0" borderId="0" xfId="61" applyNumberFormat="1" applyFont="1" applyFill="1">
      <alignment readingOrder="1"/>
    </xf>
    <xf numFmtId="8" fontId="59" fillId="0" borderId="0" xfId="61" applyNumberFormat="1" applyFont="1" applyFill="1">
      <alignment readingOrder="1"/>
    </xf>
    <xf numFmtId="6" fontId="59" fillId="0" borderId="27" xfId="61" applyNumberFormat="1" applyFont="1" applyFill="1" applyBorder="1">
      <alignment readingOrder="1"/>
    </xf>
    <xf numFmtId="0" fontId="65" fillId="0" borderId="0" xfId="0" applyFont="1"/>
    <xf numFmtId="178" fontId="0" fillId="88" borderId="0" xfId="16" applyNumberFormat="1" applyFont="1" applyFill="1"/>
    <xf numFmtId="164" fontId="0" fillId="48" borderId="0" xfId="0" applyNumberFormat="1" applyFill="1">
      <alignment readingOrder="1"/>
    </xf>
    <xf numFmtId="0" fontId="0" fillId="47" borderId="0" xfId="0" applyFill="1" applyAlignment="1">
      <alignment horizontal="left" vertical="center" readingOrder="1"/>
    </xf>
    <xf numFmtId="0" fontId="8" fillId="3" borderId="1" xfId="1" applyFont="1" applyFill="1" applyBorder="1" applyAlignment="1">
      <alignment horizontal="center"/>
    </xf>
    <xf numFmtId="0" fontId="8" fillId="3" borderId="11" xfId="1" applyFont="1" applyFill="1" applyBorder="1" applyAlignment="1">
      <alignment horizontal="center"/>
    </xf>
    <xf numFmtId="0" fontId="8" fillId="3" borderId="10" xfId="1" applyFont="1" applyFill="1" applyBorder="1" applyAlignment="1">
      <alignment horizontal="center"/>
    </xf>
    <xf numFmtId="0" fontId="5" fillId="4" borderId="2" xfId="0" applyFont="1" applyFill="1" applyBorder="1" applyAlignment="1">
      <alignment horizontal="center"/>
    </xf>
    <xf numFmtId="0" fontId="9" fillId="0" borderId="2" xfId="0" applyFont="1" applyBorder="1" applyAlignment="1">
      <alignment horizontal="center"/>
    </xf>
    <xf numFmtId="0" fontId="9" fillId="77" borderId="6" xfId="1" applyFont="1" applyFill="1" applyBorder="1" applyAlignment="1">
      <alignment horizontal="center"/>
    </xf>
    <xf numFmtId="0" fontId="8" fillId="3" borderId="4" xfId="1" applyFont="1" applyFill="1" applyBorder="1" applyAlignment="1">
      <alignment horizontal="center"/>
    </xf>
    <xf numFmtId="0" fontId="8" fillId="3" borderId="5" xfId="1" applyFont="1" applyFill="1" applyBorder="1" applyAlignment="1">
      <alignment horizontal="center"/>
    </xf>
    <xf numFmtId="0" fontId="8" fillId="3" borderId="3" xfId="1" applyFont="1" applyFill="1" applyBorder="1" applyAlignment="1">
      <alignment horizontal="center"/>
    </xf>
    <xf numFmtId="0" fontId="5" fillId="4" borderId="6" xfId="2" applyFont="1" applyFill="1" applyBorder="1" applyAlignment="1">
      <alignment horizontal="center"/>
    </xf>
    <xf numFmtId="0" fontId="9" fillId="0" borderId="6" xfId="2" applyFont="1" applyBorder="1" applyAlignment="1">
      <alignment horizontal="center"/>
    </xf>
    <xf numFmtId="0" fontId="0" fillId="0" borderId="0" xfId="0" applyAlignment="1">
      <alignment horizontal="center"/>
    </xf>
    <xf numFmtId="0" fontId="9" fillId="53" borderId="49" xfId="539" applyFont="1" applyFill="1" applyBorder="1" applyAlignment="1">
      <alignment horizontal="center"/>
    </xf>
    <xf numFmtId="0" fontId="9" fillId="53" borderId="50" xfId="539" applyFont="1" applyFill="1" applyBorder="1" applyAlignment="1">
      <alignment horizontal="center"/>
    </xf>
    <xf numFmtId="0" fontId="9" fillId="53" borderId="61" xfId="539" applyFont="1" applyFill="1" applyBorder="1" applyAlignment="1">
      <alignment horizontal="center" wrapText="1"/>
    </xf>
    <xf numFmtId="0" fontId="9" fillId="53" borderId="57" xfId="539" applyFont="1" applyFill="1" applyBorder="1" applyAlignment="1">
      <alignment horizontal="center" wrapText="1"/>
    </xf>
    <xf numFmtId="0" fontId="9" fillId="53" borderId="14" xfId="539" applyFont="1" applyFill="1" applyBorder="1" applyAlignment="1">
      <alignment horizontal="center"/>
    </xf>
  </cellXfs>
  <cellStyles count="542">
    <cellStyle name="20% - Accent1 2" xfId="17"/>
    <cellStyle name="20% - Accent1 2 2" xfId="107"/>
    <cellStyle name="20% - Accent1 3" xfId="18"/>
    <cellStyle name="20% - Accent1 3 2" xfId="398"/>
    <cellStyle name="20% - Accent1 4" xfId="399"/>
    <cellStyle name="20% - Accent1 4 2" xfId="400"/>
    <cellStyle name="20% - Accent1 5" xfId="401"/>
    <cellStyle name="20% - Accent2 2" xfId="19"/>
    <cellStyle name="20% - Accent2 2 2" xfId="402"/>
    <cellStyle name="20% - Accent2 3" xfId="20"/>
    <cellStyle name="20% - Accent2 3 2" xfId="403"/>
    <cellStyle name="20% - Accent2 4" xfId="404"/>
    <cellStyle name="20% - Accent2 4 2" xfId="405"/>
    <cellStyle name="20% - Accent2 5" xfId="406"/>
    <cellStyle name="20% - Accent3 2" xfId="21"/>
    <cellStyle name="20% - Accent3 2 2" xfId="108"/>
    <cellStyle name="20% - Accent3 3" xfId="22"/>
    <cellStyle name="20% - Accent3 3 2" xfId="407"/>
    <cellStyle name="20% - Accent3 4" xfId="408"/>
    <cellStyle name="20% - Accent3 4 2" xfId="409"/>
    <cellStyle name="20% - Accent3 5" xfId="410"/>
    <cellStyle name="20% - Accent4 2" xfId="23"/>
    <cellStyle name="20% - Accent4 2 2" xfId="109"/>
    <cellStyle name="20% - Accent4 3" xfId="24"/>
    <cellStyle name="20% - Accent4 3 2" xfId="411"/>
    <cellStyle name="20% - Accent4 4" xfId="412"/>
    <cellStyle name="20% - Accent4 4 2" xfId="413"/>
    <cellStyle name="20% - Accent4 5" xfId="414"/>
    <cellStyle name="20% - Accent5 2" xfId="25"/>
    <cellStyle name="20% - Accent5 2 2" xfId="415"/>
    <cellStyle name="20% - Accent5 3" xfId="26"/>
    <cellStyle name="20% - Accent5 3 2" xfId="416"/>
    <cellStyle name="20% - Accent5 4" xfId="417"/>
    <cellStyle name="20% - Accent5 4 2" xfId="418"/>
    <cellStyle name="20% - Accent5 5" xfId="419"/>
    <cellStyle name="20% - Accent6 2" xfId="27"/>
    <cellStyle name="20% - Accent6 2 2" xfId="420"/>
    <cellStyle name="20% - Accent6 3" xfId="28"/>
    <cellStyle name="20% - Accent6 3 2" xfId="421"/>
    <cellStyle name="20% - Accent6 4" xfId="422"/>
    <cellStyle name="20% - Accent6 4 2" xfId="423"/>
    <cellStyle name="20% - Accent6 5" xfId="424"/>
    <cellStyle name="40% - Accent1 2" xfId="29"/>
    <cellStyle name="40% - Accent1 2 2" xfId="110"/>
    <cellStyle name="40% - Accent1 3" xfId="30"/>
    <cellStyle name="40% - Accent1 3 2" xfId="425"/>
    <cellStyle name="40% - Accent1 4" xfId="426"/>
    <cellStyle name="40% - Accent1 4 2" xfId="427"/>
    <cellStyle name="40% - Accent1 5" xfId="428"/>
    <cellStyle name="40% - Accent2 2" xfId="31"/>
    <cellStyle name="40% - Accent2 2 2" xfId="111"/>
    <cellStyle name="40% - Accent2 3" xfId="32"/>
    <cellStyle name="40% - Accent2 3 2" xfId="429"/>
    <cellStyle name="40% - Accent2 4" xfId="430"/>
    <cellStyle name="40% - Accent2 4 2" xfId="431"/>
    <cellStyle name="40% - Accent2 5" xfId="432"/>
    <cellStyle name="40% - Accent3 2" xfId="33"/>
    <cellStyle name="40% - Accent3 2 2" xfId="112"/>
    <cellStyle name="40% - Accent3 3" xfId="34"/>
    <cellStyle name="40% - Accent3 3 2" xfId="433"/>
    <cellStyle name="40% - Accent3 4" xfId="434"/>
    <cellStyle name="40% - Accent3 4 2" xfId="435"/>
    <cellStyle name="40% - Accent3 5" xfId="436"/>
    <cellStyle name="40% - Accent4 2" xfId="35"/>
    <cellStyle name="40% - Accent4 2 2" xfId="113"/>
    <cellStyle name="40% - Accent4 3" xfId="36"/>
    <cellStyle name="40% - Accent4 3 2" xfId="437"/>
    <cellStyle name="40% - Accent4 4" xfId="438"/>
    <cellStyle name="40% - Accent4 4 2" xfId="439"/>
    <cellStyle name="40% - Accent4 5" xfId="440"/>
    <cellStyle name="40% - Accent5 2" xfId="37"/>
    <cellStyle name="40% - Accent5 2 2" xfId="441"/>
    <cellStyle name="40% - Accent5 3" xfId="38"/>
    <cellStyle name="40% - Accent5 3 2" xfId="442"/>
    <cellStyle name="40% - Accent5 4" xfId="443"/>
    <cellStyle name="40% - Accent5 4 2" xfId="444"/>
    <cellStyle name="40% - Accent5 5" xfId="445"/>
    <cellStyle name="40% - Accent6 2" xfId="39"/>
    <cellStyle name="40% - Accent6 2 2" xfId="114"/>
    <cellStyle name="40% - Accent6 3" xfId="40"/>
    <cellStyle name="40% - Accent6 3 2" xfId="446"/>
    <cellStyle name="40% - Accent6 4" xfId="447"/>
    <cellStyle name="40% - Accent6 4 2" xfId="448"/>
    <cellStyle name="40% - Accent6 5" xfId="449"/>
    <cellStyle name="60% - Accent1 2" xfId="41"/>
    <cellStyle name="60% - Accent1 2 2" xfId="115"/>
    <cellStyle name="60% - Accent1 3" xfId="116"/>
    <cellStyle name="60% - Accent2 2" xfId="42"/>
    <cellStyle name="60% - Accent2 2 2" xfId="117"/>
    <cellStyle name="60% - Accent2 3" xfId="118"/>
    <cellStyle name="60% - Accent3 2" xfId="43"/>
    <cellStyle name="60% - Accent3 2 2" xfId="119"/>
    <cellStyle name="60% - Accent3 3" xfId="120"/>
    <cellStyle name="60% - Accent4 2" xfId="44"/>
    <cellStyle name="60% - Accent4 2 2" xfId="121"/>
    <cellStyle name="60% - Accent4 3" xfId="122"/>
    <cellStyle name="60% - Accent5 2" xfId="45"/>
    <cellStyle name="60% - Accent5 3" xfId="123"/>
    <cellStyle name="60% - Accent6 2" xfId="46"/>
    <cellStyle name="60% - Accent6 2 2" xfId="124"/>
    <cellStyle name="60% - Accent6 3" xfId="125"/>
    <cellStyle name="Accent1 - 20%" xfId="126"/>
    <cellStyle name="Accent1 - 40%" xfId="127"/>
    <cellStyle name="Accent1 - 60%" xfId="128"/>
    <cellStyle name="Accent1 2" xfId="47"/>
    <cellStyle name="Accent1 2 2" xfId="129"/>
    <cellStyle name="Accent1 3" xfId="130"/>
    <cellStyle name="Accent2 - 20%" xfId="131"/>
    <cellStyle name="Accent2 - 40%" xfId="132"/>
    <cellStyle name="Accent2 - 60%" xfId="133"/>
    <cellStyle name="Accent2 2" xfId="48"/>
    <cellStyle name="Accent2 3" xfId="134"/>
    <cellStyle name="Accent3 - 20%" xfId="135"/>
    <cellStyle name="Accent3 - 40%" xfId="136"/>
    <cellStyle name="Accent3 - 60%" xfId="137"/>
    <cellStyle name="Accent3 2" xfId="49"/>
    <cellStyle name="Accent3 2 2" xfId="138"/>
    <cellStyle name="Accent3 3" xfId="139"/>
    <cellStyle name="Accent4 - 20%" xfId="140"/>
    <cellStyle name="Accent4 - 40%" xfId="141"/>
    <cellStyle name="Accent4 - 60%" xfId="142"/>
    <cellStyle name="Accent4 2" xfId="50"/>
    <cellStyle name="Accent4 2 2" xfId="143"/>
    <cellStyle name="Accent4 3" xfId="144"/>
    <cellStyle name="Accent5 - 20%" xfId="145"/>
    <cellStyle name="Accent5 - 40%" xfId="146"/>
    <cellStyle name="Accent5 - 60%" xfId="147"/>
    <cellStyle name="Accent5 2" xfId="51"/>
    <cellStyle name="Accent5 3" xfId="148"/>
    <cellStyle name="Accent6 - 20%" xfId="149"/>
    <cellStyle name="Accent6 - 40%" xfId="150"/>
    <cellStyle name="Accent6 - 60%" xfId="151"/>
    <cellStyle name="Accent6 2" xfId="52"/>
    <cellStyle name="Accent6 3" xfId="152"/>
    <cellStyle name="Bad 2" xfId="53"/>
    <cellStyle name="Bad 2 2" xfId="153"/>
    <cellStyle name="Bad 3" xfId="154"/>
    <cellStyle name="Calculation 2" xfId="54"/>
    <cellStyle name="Calculation 2 2" xfId="155"/>
    <cellStyle name="Calculation 3" xfId="156"/>
    <cellStyle name="Check Cell 2" xfId="55"/>
    <cellStyle name="Check Cell 3" xfId="157"/>
    <cellStyle name="Comma" xfId="389" builtinId="3"/>
    <cellStyle name="Comma [0] 2" xfId="158"/>
    <cellStyle name="Comma 10" xfId="384"/>
    <cellStyle name="Comma 11" xfId="378"/>
    <cellStyle name="Comma 2" xfId="16"/>
    <cellStyle name="Comma 2 2" xfId="56"/>
    <cellStyle name="Comma 2 2 2" xfId="159"/>
    <cellStyle name="Comma 2 2 3" xfId="160"/>
    <cellStyle name="Comma 2 2 3 2" xfId="450"/>
    <cellStyle name="Comma 2 2 4" xfId="451"/>
    <cellStyle name="Comma 2 2 4 2" xfId="452"/>
    <cellStyle name="Comma 2 2 5" xfId="453"/>
    <cellStyle name="Comma 2 2 5 2" xfId="454"/>
    <cellStyle name="Comma 2 2 6" xfId="455"/>
    <cellStyle name="Comma 2 2 6 2" xfId="456"/>
    <cellStyle name="Comma 2 2 7" xfId="457"/>
    <cellStyle name="Comma 2 2 8" xfId="458"/>
    <cellStyle name="Comma 2 3" xfId="57"/>
    <cellStyle name="Comma 2 3 2" xfId="380"/>
    <cellStyle name="Comma 2 4" xfId="58"/>
    <cellStyle name="Comma 2 5" xfId="59"/>
    <cellStyle name="Comma 3" xfId="60"/>
    <cellStyle name="Comma 3 10" xfId="459"/>
    <cellStyle name="Comma 3 2" xfId="161"/>
    <cellStyle name="Comma 3 2 2" xfId="162"/>
    <cellStyle name="Comma 3 2 3" xfId="163"/>
    <cellStyle name="Comma 3 3" xfId="164"/>
    <cellStyle name="Comma 3 3 2" xfId="165"/>
    <cellStyle name="Comma 3 3 3" xfId="166"/>
    <cellStyle name="Comma 3 3 4" xfId="167"/>
    <cellStyle name="Comma 3 4" xfId="168"/>
    <cellStyle name="Comma 3 4 2" xfId="460"/>
    <cellStyle name="Comma 3 5" xfId="461"/>
    <cellStyle name="Comma 3 5 2" xfId="462"/>
    <cellStyle name="Comma 3 6" xfId="463"/>
    <cellStyle name="Comma 3 6 2" xfId="464"/>
    <cellStyle name="Comma 3 7" xfId="465"/>
    <cellStyle name="Comma 3 8" xfId="466"/>
    <cellStyle name="Comma 3 9" xfId="467"/>
    <cellStyle name="Comma 4" xfId="169"/>
    <cellStyle name="Comma 4 2" xfId="170"/>
    <cellStyle name="Comma 4 2 2" xfId="171"/>
    <cellStyle name="Comma 4 3" xfId="172"/>
    <cellStyle name="Comma 5" xfId="173"/>
    <cellStyle name="Comma 5 2" xfId="174"/>
    <cellStyle name="Comma 5 3" xfId="175"/>
    <cellStyle name="Comma 6" xfId="176"/>
    <cellStyle name="Comma 7" xfId="177"/>
    <cellStyle name="Comma 8" xfId="178"/>
    <cellStyle name="Comma 9" xfId="370"/>
    <cellStyle name="Currency" xfId="5" builtinId="4"/>
    <cellStyle name="Currency 2" xfId="61"/>
    <cellStyle name="Currency 2 2" xfId="179"/>
    <cellStyle name="Currency 2 2 2" xfId="180"/>
    <cellStyle name="Currency 2 2 3" xfId="181"/>
    <cellStyle name="Currency 2 3" xfId="182"/>
    <cellStyle name="Currency 2 4" xfId="183"/>
    <cellStyle name="Currency 2 5" xfId="184"/>
    <cellStyle name="Currency 3" xfId="185"/>
    <cellStyle name="Currency 3 2" xfId="186"/>
    <cellStyle name="Currency 3 2 2" xfId="187"/>
    <cellStyle name="Currency 3 2 3" xfId="188"/>
    <cellStyle name="Currency 3 3" xfId="189"/>
    <cellStyle name="Currency 3 4" xfId="190"/>
    <cellStyle name="Currency 3 5" xfId="468"/>
    <cellStyle name="Currency 4" xfId="191"/>
    <cellStyle name="Currency 4 2" xfId="469"/>
    <cellStyle name="Currency 4 3" xfId="470"/>
    <cellStyle name="Currency 5" xfId="192"/>
    <cellStyle name="Currency 5 2" xfId="193"/>
    <cellStyle name="Currency 5 2 2" xfId="194"/>
    <cellStyle name="Currency 5 3" xfId="195"/>
    <cellStyle name="Currency 6" xfId="196"/>
    <cellStyle name="Currency 6 2" xfId="197"/>
    <cellStyle name="Currency 7" xfId="198"/>
    <cellStyle name="Currency 7 2" xfId="199"/>
    <cellStyle name="Currency 8" xfId="200"/>
    <cellStyle name="Data Field" xfId="9"/>
    <cellStyle name="Data Field 2" xfId="201"/>
    <cellStyle name="Data Field 2 2" xfId="202"/>
    <cellStyle name="Data Field 2 3" xfId="203"/>
    <cellStyle name="Data Field 3" xfId="204"/>
    <cellStyle name="Data Field 4" xfId="205"/>
    <cellStyle name="Data Field 5" xfId="471"/>
    <cellStyle name="Data Name" xfId="10"/>
    <cellStyle name="Data Name 2" xfId="394"/>
    <cellStyle name="Data Name 2 2" xfId="472"/>
    <cellStyle name="Data Name 3" xfId="473"/>
    <cellStyle name="Data Name 4" xfId="474"/>
    <cellStyle name="Date/Time" xfId="11"/>
    <cellStyle name="Emphasis 1" xfId="206"/>
    <cellStyle name="Emphasis 2" xfId="207"/>
    <cellStyle name="Emphasis 3" xfId="208"/>
    <cellStyle name="Explanatory Text 2" xfId="62"/>
    <cellStyle name="Explanatory Text 3" xfId="209"/>
    <cellStyle name="Good 2" xfId="63"/>
    <cellStyle name="Good 3" xfId="210"/>
    <cellStyle name="Heading" xfId="12"/>
    <cellStyle name="Heading 1 2" xfId="64"/>
    <cellStyle name="Heading 1 2 2" xfId="211"/>
    <cellStyle name="Heading 1 3" xfId="212"/>
    <cellStyle name="Heading 2 2" xfId="65"/>
    <cellStyle name="Heading 2 3" xfId="213"/>
    <cellStyle name="Heading 3 2" xfId="66"/>
    <cellStyle name="Heading 3 2 2" xfId="214"/>
    <cellStyle name="Heading 3 3" xfId="215"/>
    <cellStyle name="Heading 4 2" xfId="67"/>
    <cellStyle name="Heading 4 2 2" xfId="216"/>
    <cellStyle name="Heading 4 3" xfId="217"/>
    <cellStyle name="Hyperlink" xfId="397" builtinId="8"/>
    <cellStyle name="Hyperlink 2" xfId="68"/>
    <cellStyle name="Hyperlink 2 2" xfId="218"/>
    <cellStyle name="Hyperlink 2 2 2" xfId="219"/>
    <cellStyle name="Hyperlink 2 3" xfId="371"/>
    <cellStyle name="Hyperlink 2_ResWXMF_FY10v2_0" xfId="220"/>
    <cellStyle name="Hyperlink 3" xfId="221"/>
    <cellStyle name="Hyperlink 3 2" xfId="222"/>
    <cellStyle name="Hyperlink 3 2 2" xfId="223"/>
    <cellStyle name="Hyperlink 4" xfId="224"/>
    <cellStyle name="Hyperlink 5" xfId="225"/>
    <cellStyle name="Hyperlink 6" xfId="226"/>
    <cellStyle name="Hyperlink 7" xfId="227"/>
    <cellStyle name="Hyperlink 8" xfId="228"/>
    <cellStyle name="Input 2" xfId="69"/>
    <cellStyle name="Input 3" xfId="70"/>
    <cellStyle name="Linked Cell 2" xfId="71"/>
    <cellStyle name="Linked Cell 3" xfId="229"/>
    <cellStyle name="Neutral 2" xfId="72"/>
    <cellStyle name="Neutral 3" xfId="230"/>
    <cellStyle name="Normal" xfId="0" builtinId="0"/>
    <cellStyle name="Normal 10" xfId="231"/>
    <cellStyle name="Normal 10 2" xfId="232"/>
    <cellStyle name="Normal 11" xfId="233"/>
    <cellStyle name="Normal 11 2" xfId="475"/>
    <cellStyle name="Normal 12" xfId="234"/>
    <cellStyle name="Normal 12 2" xfId="476"/>
    <cellStyle name="Normal 13" xfId="106"/>
    <cellStyle name="Normal 13 2" xfId="235"/>
    <cellStyle name="Normal 13 3" xfId="236"/>
    <cellStyle name="Normal 14" xfId="237"/>
    <cellStyle name="Normal 14 2" xfId="238"/>
    <cellStyle name="Normal 14 2 2" xfId="239"/>
    <cellStyle name="Normal 14 3" xfId="240"/>
    <cellStyle name="Normal 14 3 2" xfId="477"/>
    <cellStyle name="Normal 14 4" xfId="241"/>
    <cellStyle name="Normal 14 5" xfId="385"/>
    <cellStyle name="Normal 15" xfId="242"/>
    <cellStyle name="Normal 15 2" xfId="243"/>
    <cellStyle name="Normal 15 2 2" xfId="478"/>
    <cellStyle name="Normal 15 3" xfId="244"/>
    <cellStyle name="Normal 15 4" xfId="245"/>
    <cellStyle name="Normal 15 5" xfId="386"/>
    <cellStyle name="Normal 16" xfId="246"/>
    <cellStyle name="Normal 16 2" xfId="247"/>
    <cellStyle name="Normal 16 3" xfId="248"/>
    <cellStyle name="Normal 16 4" xfId="387"/>
    <cellStyle name="Normal 17" xfId="249"/>
    <cellStyle name="Normal 17 2" xfId="250"/>
    <cellStyle name="Normal 18" xfId="251"/>
    <cellStyle name="Normal 19" xfId="252"/>
    <cellStyle name="Normal 2" xfId="7"/>
    <cellStyle name="Normal 2 10" xfId="479"/>
    <cellStyle name="Normal 2 11" xfId="480"/>
    <cellStyle name="Normal 2 12" xfId="481"/>
    <cellStyle name="Normal 2 2" xfId="73"/>
    <cellStyle name="Normal 2 2 2" xfId="74"/>
    <cellStyle name="Normal 2 2 2 2" xfId="253"/>
    <cellStyle name="Normal 2 2 2 3" xfId="254"/>
    <cellStyle name="Normal 2 2 3" xfId="75"/>
    <cellStyle name="Normal 2 2 3 2" xfId="255"/>
    <cellStyle name="Normal 2 2 3 3" xfId="256"/>
    <cellStyle name="Normal 2 2 4" xfId="76"/>
    <cellStyle name="Normal 2 2 4 2" xfId="482"/>
    <cellStyle name="Normal 2 2 5" xfId="77"/>
    <cellStyle name="Normal 2 2 6" xfId="78"/>
    <cellStyle name="Normal 2 3" xfId="79"/>
    <cellStyle name="Normal 2 3 2" xfId="80"/>
    <cellStyle name="Normal 2 3 2 2" xfId="257"/>
    <cellStyle name="Normal 2 3 2 2 2" xfId="258"/>
    <cellStyle name="Normal 2 3 2 3" xfId="375"/>
    <cellStyle name="Normal 2 3 3" xfId="259"/>
    <cellStyle name="Normal 2 3 3 2" xfId="260"/>
    <cellStyle name="Normal 2 3 4" xfId="374"/>
    <cellStyle name="Normal 2 4" xfId="81"/>
    <cellStyle name="Normal 2 4 2" xfId="82"/>
    <cellStyle name="Normal 2 4 2 2" xfId="261"/>
    <cellStyle name="Normal 2 4 2 3" xfId="262"/>
    <cellStyle name="Normal 2 4 2 4" xfId="263"/>
    <cellStyle name="Normal 2 4 3" xfId="264"/>
    <cellStyle name="Normal 2 5" xfId="83"/>
    <cellStyle name="Normal 2 5 2" xfId="376"/>
    <cellStyle name="Normal 2 6" xfId="84"/>
    <cellStyle name="Normal 2 6 2" xfId="265"/>
    <cellStyle name="Normal 2 6 2 2" xfId="266"/>
    <cellStyle name="Normal 2 6 2 3" xfId="267"/>
    <cellStyle name="Normal 2 6 3" xfId="268"/>
    <cellStyle name="Normal 2 6 3 2" xfId="269"/>
    <cellStyle name="Normal 2 6 4" xfId="270"/>
    <cellStyle name="Normal 2 6 4 2" xfId="271"/>
    <cellStyle name="Normal 2 6 5" xfId="272"/>
    <cellStyle name="Normal 2 6 6" xfId="273"/>
    <cellStyle name="Normal 2 7" xfId="85"/>
    <cellStyle name="Normal 2 7 2" xfId="274"/>
    <cellStyle name="Normal 2 7 2 2" xfId="275"/>
    <cellStyle name="Normal 2 7 3" xfId="276"/>
    <cellStyle name="Normal 2 8" xfId="86"/>
    <cellStyle name="Normal 2 8 2" xfId="483"/>
    <cellStyle name="Normal 2 9" xfId="277"/>
    <cellStyle name="Normal 2 9 2" xfId="484"/>
    <cellStyle name="Normal 20" xfId="278"/>
    <cellStyle name="Normal 21" xfId="279"/>
    <cellStyle name="Normal 22" xfId="280"/>
    <cellStyle name="Normal 23" xfId="281"/>
    <cellStyle name="Normal 24" xfId="282"/>
    <cellStyle name="Normal 25" xfId="283"/>
    <cellStyle name="Normal 26" xfId="284"/>
    <cellStyle name="Normal 27" xfId="285"/>
    <cellStyle name="Normal 28" xfId="286"/>
    <cellStyle name="Normal 29" xfId="287"/>
    <cellStyle name="Normal 3" xfId="14"/>
    <cellStyle name="Normal 3 2" xfId="288"/>
    <cellStyle name="Normal 3 2 2" xfId="289"/>
    <cellStyle name="Normal 3 2 3" xfId="290"/>
    <cellStyle name="Normal 3 3" xfId="291"/>
    <cellStyle name="Normal 3 3 2" xfId="292"/>
    <cellStyle name="Normal 3 3 2 2" xfId="293"/>
    <cellStyle name="Normal 3 4" xfId="294"/>
    <cellStyle name="Normal 3 4 2" xfId="485"/>
    <cellStyle name="Normal 3 5" xfId="486"/>
    <cellStyle name="Normal 3 66" xfId="295"/>
    <cellStyle name="Normal 30" xfId="296"/>
    <cellStyle name="Normal 31" xfId="297"/>
    <cellStyle name="Normal 32" xfId="298"/>
    <cellStyle name="Normal 33" xfId="299"/>
    <cellStyle name="Normal 34" xfId="300"/>
    <cellStyle name="Normal 35" xfId="301"/>
    <cellStyle name="Normal 36" xfId="302"/>
    <cellStyle name="Normal 37" xfId="303"/>
    <cellStyle name="Normal 38" xfId="304"/>
    <cellStyle name="Normal 39" xfId="305"/>
    <cellStyle name="Normal 4" xfId="87"/>
    <cellStyle name="Normal 4 2" xfId="88"/>
    <cellStyle name="Normal 4 2 2" xfId="377"/>
    <cellStyle name="Normal 4 3" xfId="306"/>
    <cellStyle name="Normal 4 3 2" xfId="307"/>
    <cellStyle name="Normal 4 3 2 2" xfId="308"/>
    <cellStyle name="Normal 4 3 2 3" xfId="309"/>
    <cellStyle name="Normal 4 3 3" xfId="310"/>
    <cellStyle name="Normal 4 3 4" xfId="381"/>
    <cellStyle name="Normal 4 4" xfId="311"/>
    <cellStyle name="Normal 4 4 2" xfId="312"/>
    <cellStyle name="Normal 4 4 3" xfId="313"/>
    <cellStyle name="Normal 4 5" xfId="314"/>
    <cellStyle name="Normal 4 5 2" xfId="315"/>
    <cellStyle name="Normal 4 5 3" xfId="316"/>
    <cellStyle name="Normal 4 6" xfId="317"/>
    <cellStyle name="Normal 4 7" xfId="318"/>
    <cellStyle name="Normal 4 8" xfId="373"/>
    <cellStyle name="Normal 40" xfId="319"/>
    <cellStyle name="Normal 41" xfId="320"/>
    <cellStyle name="Normal 42" xfId="321"/>
    <cellStyle name="Normal 43" xfId="322"/>
    <cellStyle name="Normal 44" xfId="323"/>
    <cellStyle name="Normal 45" xfId="324"/>
    <cellStyle name="Normal 46" xfId="325"/>
    <cellStyle name="Normal 47" xfId="326"/>
    <cellStyle name="Normal 48" xfId="327"/>
    <cellStyle name="Normal 48 2" xfId="328"/>
    <cellStyle name="Normal 49" xfId="329"/>
    <cellStyle name="Normal 5" xfId="89"/>
    <cellStyle name="Normal 5 2" xfId="330"/>
    <cellStyle name="Normal 5 2 2" xfId="487"/>
    <cellStyle name="Normal 5 3" xfId="393"/>
    <cellStyle name="Normal 5 3 2" xfId="488"/>
    <cellStyle name="Normal 5 4" xfId="489"/>
    <cellStyle name="Normal 5 4 2" xfId="490"/>
    <cellStyle name="Normal 5 5" xfId="491"/>
    <cellStyle name="Normal 5 5 2" xfId="492"/>
    <cellStyle name="Normal 5 6" xfId="493"/>
    <cellStyle name="Normal 5 6 2" xfId="494"/>
    <cellStyle name="Normal 5 7" xfId="495"/>
    <cellStyle name="Normal 50" xfId="331"/>
    <cellStyle name="Normal 51" xfId="369"/>
    <cellStyle name="Normal 6" xfId="13"/>
    <cellStyle name="Normal 6 2" xfId="90"/>
    <cellStyle name="Normal 6 3" xfId="91"/>
    <cellStyle name="Normal 6 4" xfId="92"/>
    <cellStyle name="Normal 6 5" xfId="379"/>
    <cellStyle name="Normal 7" xfId="104"/>
    <cellStyle name="Normal 7 2" xfId="332"/>
    <cellStyle name="Normal 7 2 2" xfId="496"/>
    <cellStyle name="Normal 7 3" xfId="497"/>
    <cellStyle name="Normal 8" xfId="333"/>
    <cellStyle name="Normal 8 2" xfId="334"/>
    <cellStyle name="Normal 8 2 2" xfId="498"/>
    <cellStyle name="Normal 8 3" xfId="499"/>
    <cellStyle name="Normal 9" xfId="335"/>
    <cellStyle name="Normal 9 2" xfId="336"/>
    <cellStyle name="Normal 9 3" xfId="337"/>
    <cellStyle name="Normal_AWALLU" xfId="540"/>
    <cellStyle name="Normal_CEILINGU" xfId="541"/>
    <cellStyle name="Normal_ConMeasSingleFamily" xfId="539"/>
    <cellStyle name="Normal_EStarWASHERResTiersFY07v1_3_postJan07" xfId="6"/>
    <cellStyle name="Normal_ETO_Insulation data with R-values 080716 (2)" xfId="395"/>
    <cellStyle name="Normal_ETO_MF Ins SF and MF Windows SF duct Ins_Data" xfId="391"/>
    <cellStyle name="Normal_ETO_MF Ins SF and MF Windows SF duct Ins_Data 2" xfId="396"/>
    <cellStyle name="Normal_MF_Windows" xfId="392"/>
    <cellStyle name="Normal_MTDUCT" xfId="1"/>
    <cellStyle name="Normal_MTRESAPPLPOT" xfId="388"/>
    <cellStyle name="Normal_New Mobile Home" xfId="538"/>
    <cellStyle name="Normal_PC-LPDPackage-6P-D14" xfId="105"/>
    <cellStyle name="Normal_ProCostFinAssumptions_Sector" xfId="3"/>
    <cellStyle name="Normal_ResWXSFsqfFY07v1_5" xfId="2"/>
    <cellStyle name="Normal_Sheet1" xfId="390"/>
    <cellStyle name="Note 2" xfId="93"/>
    <cellStyle name="Note 2 2" xfId="94"/>
    <cellStyle name="Note 2 2 2" xfId="500"/>
    <cellStyle name="Note 2 3" xfId="382"/>
    <cellStyle name="Note 2 3 2" xfId="501"/>
    <cellStyle name="Note 2 4" xfId="502"/>
    <cellStyle name="Note 2 4 2" xfId="503"/>
    <cellStyle name="Note 2 5" xfId="504"/>
    <cellStyle name="Note 3" xfId="338"/>
    <cellStyle name="Output 2" xfId="95"/>
    <cellStyle name="Output 2 2" xfId="339"/>
    <cellStyle name="Output 3" xfId="340"/>
    <cellStyle name="Percent" xfId="4" builtinId="5"/>
    <cellStyle name="Percent 2" xfId="8"/>
    <cellStyle name="Percent 2 10" xfId="505"/>
    <cellStyle name="Percent 2 2" xfId="96"/>
    <cellStyle name="Percent 2 2 2" xfId="97"/>
    <cellStyle name="Percent 2 2 2 2" xfId="98"/>
    <cellStyle name="Percent 2 2 2 2 2" xfId="383"/>
    <cellStyle name="Percent 2 2 2 3" xfId="341"/>
    <cellStyle name="Percent 2 2 3" xfId="342"/>
    <cellStyle name="Percent 2 2 4" xfId="343"/>
    <cellStyle name="Percent 2 3" xfId="344"/>
    <cellStyle name="Percent 2 3 2" xfId="345"/>
    <cellStyle name="Percent 2 3 2 2" xfId="506"/>
    <cellStyle name="Percent 2 3 2 2 2" xfId="507"/>
    <cellStyle name="Percent 2 3 2 3" xfId="508"/>
    <cellStyle name="Percent 2 3 2 3 2" xfId="509"/>
    <cellStyle name="Percent 2 3 2 4" xfId="510"/>
    <cellStyle name="Percent 2 3 2 4 2" xfId="511"/>
    <cellStyle name="Percent 2 3 2 5" xfId="512"/>
    <cellStyle name="Percent 2 3 2 6" xfId="513"/>
    <cellStyle name="Percent 2 3 3" xfId="346"/>
    <cellStyle name="Percent 2 4" xfId="372"/>
    <cellStyle name="Percent 2 4 2" xfId="514"/>
    <cellStyle name="Percent 2 4 3" xfId="515"/>
    <cellStyle name="Percent 2 5" xfId="516"/>
    <cellStyle name="Percent 2 5 2" xfId="517"/>
    <cellStyle name="Percent 2 6" xfId="518"/>
    <cellStyle name="Percent 2 6 2" xfId="519"/>
    <cellStyle name="Percent 2 7" xfId="520"/>
    <cellStyle name="Percent 2 7 2" xfId="521"/>
    <cellStyle name="Percent 2 8" xfId="522"/>
    <cellStyle name="Percent 2 9" xfId="523"/>
    <cellStyle name="Percent 3" xfId="15"/>
    <cellStyle name="Percent 3 2" xfId="347"/>
    <cellStyle name="Percent 3 2 2" xfId="348"/>
    <cellStyle name="Percent 3 2 2 2" xfId="524"/>
    <cellStyle name="Percent 3 2 3" xfId="349"/>
    <cellStyle name="Percent 3 2 3 2" xfId="525"/>
    <cellStyle name="Percent 3 2 4" xfId="526"/>
    <cellStyle name="Percent 3 2 4 2" xfId="527"/>
    <cellStyle name="Percent 3 2 5" xfId="528"/>
    <cellStyle name="Percent 3 2 5 2" xfId="529"/>
    <cellStyle name="Percent 3 2 6" xfId="530"/>
    <cellStyle name="Percent 3 2 7" xfId="531"/>
    <cellStyle name="Percent 3 2 8" xfId="532"/>
    <cellStyle name="Percent 3 3" xfId="350"/>
    <cellStyle name="Percent 3 4" xfId="351"/>
    <cellStyle name="Percent 3 5" xfId="533"/>
    <cellStyle name="Percent 4" xfId="352"/>
    <cellStyle name="Percent 4 2" xfId="353"/>
    <cellStyle name="Percent 4 2 2" xfId="534"/>
    <cellStyle name="Percent 4 3" xfId="535"/>
    <cellStyle name="Percent 5" xfId="354"/>
    <cellStyle name="Percent 5 2" xfId="536"/>
    <cellStyle name="Percent 6" xfId="355"/>
    <cellStyle name="Percent 6 2" xfId="356"/>
    <cellStyle name="Percent 7" xfId="357"/>
    <cellStyle name="Percent 8" xfId="358"/>
    <cellStyle name="Percent 9" xfId="537"/>
    <cellStyle name="Sheet Title" xfId="359"/>
    <cellStyle name="Style 1" xfId="360"/>
    <cellStyle name="Style 1 2" xfId="361"/>
    <cellStyle name="Style 28" xfId="362"/>
    <cellStyle name="Title 2" xfId="99"/>
    <cellStyle name="Title 2 2" xfId="363"/>
    <cellStyle name="Title 3" xfId="364"/>
    <cellStyle name="Total 2" xfId="100"/>
    <cellStyle name="Total 2 2" xfId="365"/>
    <cellStyle name="Total 3" xfId="366"/>
    <cellStyle name="Warning Text 2" xfId="101"/>
    <cellStyle name="Warning Text 3" xfId="367"/>
    <cellStyle name="표준 2_WP-1 보고자료 (2009.06.03)" xfId="368"/>
    <cellStyle name="표준_ENERGY CONSUMP" xfId="102"/>
    <cellStyle name="常规_海外市场服务网站资料操作BOM" xfId="103"/>
  </cellStyles>
  <dxfs count="7">
    <dxf>
      <numFmt numFmtId="171" formatCode="_(* #,##0_);_(* \(#,##0\);_(* &quot;-&quot;??_);_(@_)"/>
    </dxf>
    <dxf>
      <numFmt numFmtId="171" formatCode="_(* #,##0_);_(* \(#,##0\);_(* &quot;-&quot;??_);_(@_)"/>
    </dxf>
    <dxf>
      <numFmt numFmtId="171" formatCode="_(* #,##0_);_(* \(#,##0\);_(* &quot;-&quot;??_);_(@_)"/>
    </dxf>
    <dxf>
      <numFmt numFmtId="171" formatCode="_(* #,##0_);_(* \(#,##0\);_(* &quot;-&quot;??_);_(@_)"/>
    </dxf>
    <dxf>
      <numFmt numFmtId="171" formatCode="_(* #,##0_);_(* \(#,##0\);_(* &quot;-&quot;??_);_(@_)"/>
    </dxf>
    <dxf>
      <numFmt numFmtId="34" formatCode="_(&quot;$&quot;* #,##0.00_);_(&quot;$&quot;* \(#,##0.00\);_(&quot;$&quot;* &quot;-&quot;??_);_(@_)"/>
    </dxf>
    <dxf>
      <numFmt numFmtId="171" formatCode="_(* #,##0_);_(* \(#,##0\);_(* &quot;-&quot;??_);_(@_)"/>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552450</xdr:colOff>
      <xdr:row>55</xdr:row>
      <xdr:rowOff>38100</xdr:rowOff>
    </xdr:from>
    <xdr:to>
      <xdr:col>21</xdr:col>
      <xdr:colOff>219075</xdr:colOff>
      <xdr:row>60</xdr:row>
      <xdr:rowOff>95250</xdr:rowOff>
    </xdr:to>
    <xdr:pic>
      <xdr:nvPicPr>
        <xdr:cNvPr id="23561"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3677900" y="11134725"/>
          <a:ext cx="5762625" cy="866775"/>
        </a:xfrm>
        <a:prstGeom prst="rect">
          <a:avLst/>
        </a:prstGeom>
        <a:noFill/>
        <a:ln w="1">
          <a:noFill/>
          <a:miter lim="800000"/>
          <a:headEnd/>
          <a:tailEnd type="none" w="med" len="med"/>
        </a:ln>
        <a:effectLst/>
      </xdr:spPr>
    </xdr:pic>
    <xdr:clientData/>
  </xdr:twoCellAnchor>
  <xdr:twoCellAnchor editAs="oneCell">
    <xdr:from>
      <xdr:col>11</xdr:col>
      <xdr:colOff>571500</xdr:colOff>
      <xdr:row>37</xdr:row>
      <xdr:rowOff>152400</xdr:rowOff>
    </xdr:from>
    <xdr:to>
      <xdr:col>21</xdr:col>
      <xdr:colOff>276225</xdr:colOff>
      <xdr:row>53</xdr:row>
      <xdr:rowOff>133350</xdr:rowOff>
    </xdr:to>
    <xdr:pic>
      <xdr:nvPicPr>
        <xdr:cNvPr id="23562"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3696950" y="8105775"/>
          <a:ext cx="5800725" cy="3028950"/>
        </a:xfrm>
        <a:prstGeom prst="rect">
          <a:avLst/>
        </a:prstGeom>
        <a:noFill/>
        <a:ln w="1">
          <a:noFill/>
          <a:miter lim="800000"/>
          <a:headEnd/>
          <a:tailEnd type="none" w="med" len="med"/>
        </a:ln>
        <a:effectLst/>
      </xdr:spPr>
    </xdr:pic>
    <xdr:clientData/>
  </xdr:twoCellAnchor>
  <xdr:twoCellAnchor editAs="oneCell">
    <xdr:from>
      <xdr:col>11</xdr:col>
      <xdr:colOff>485775</xdr:colOff>
      <xdr:row>16</xdr:row>
      <xdr:rowOff>123825</xdr:rowOff>
    </xdr:from>
    <xdr:to>
      <xdr:col>21</xdr:col>
      <xdr:colOff>304800</xdr:colOff>
      <xdr:row>38</xdr:row>
      <xdr:rowOff>180975</xdr:rowOff>
    </xdr:to>
    <xdr:pic>
      <xdr:nvPicPr>
        <xdr:cNvPr id="23563" name="Picture 11"/>
        <xdr:cNvPicPr>
          <a:picLocks noChangeAspect="1" noChangeArrowheads="1"/>
        </xdr:cNvPicPr>
      </xdr:nvPicPr>
      <xdr:blipFill>
        <a:blip xmlns:r="http://schemas.openxmlformats.org/officeDocument/2006/relationships" r:embed="rId3" cstate="print"/>
        <a:srcRect/>
        <a:stretch>
          <a:fillRect/>
        </a:stretch>
      </xdr:blipFill>
      <xdr:spPr bwMode="auto">
        <a:xfrm>
          <a:off x="13611225" y="4171950"/>
          <a:ext cx="5915025" cy="3895725"/>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venthPlan/Conservation%20Analysis/Global%20EE%20Inputs/Units%20Forecasts/7P%20Forecasts%20D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_Mast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BSA%20Saturation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eventhPlan/Conservation%20Analysis/RTFStandardInformationWorkbook_v2_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OG"/>
      <sheetName val="Forecast Switchboard"/>
      <sheetName val="Lists&amp;Tables"/>
      <sheetName val="Res Forecast (Low)"/>
      <sheetName val="Res Forecast (Base Case)"/>
      <sheetName val="Res Forecast (High)"/>
      <sheetName val="Com Forecast (Low)"/>
      <sheetName val="Com Forecast (Base Case)"/>
      <sheetName val="Com Forecast (High)"/>
      <sheetName val="Ind Forecast (Base Case)"/>
      <sheetName val="Ag Forecast (Low)"/>
      <sheetName val="Ag Forecast (Base Case)"/>
      <sheetName val="Ag Forecast (High)"/>
      <sheetName val="Pop Forecast (High Case)"/>
      <sheetName val="Pop Forecast (Base Case)"/>
      <sheetName val="Pop Forecast (Low Case)"/>
      <sheetName val="DEI (Base Case)"/>
    </sheetNames>
    <definedNames>
      <definedName name="rng_ForecastColumnLookup" refersTo="='Forecast Switchboard'!$H$20:$AE$20"/>
      <definedName name="rng_ForecastRowLookup" refersTo="='Forecast Switchboard'!$G$21:$G$501"/>
      <definedName name="switch_ForecastScenario" refersTo="='Forecast Switchboard'!$H$3"/>
      <definedName name="switch_ForecastState" refersTo="='Forecast Switchboard'!$H$4"/>
      <definedName name="tbl_Forecast" refersTo="='Forecast Switchboard'!$H$21:$AE$501"/>
    </definedNames>
    <sheetDataSet>
      <sheetData sheetId="0"/>
      <sheetData sheetId="1">
        <row r="3">
          <cell r="H3" t="str">
            <v>Base</v>
          </cell>
        </row>
        <row r="4">
          <cell r="H4" t="str">
            <v>Region</v>
          </cell>
        </row>
        <row r="20">
          <cell r="H20" t="str">
            <v>Sector</v>
          </cell>
          <cell r="I20" t="str">
            <v>Building/Industry Type</v>
          </cell>
          <cell r="J20" t="str">
            <v>Vintage / Subcategory</v>
          </cell>
          <cell r="K20" t="str">
            <v>Forecast Units</v>
          </cell>
          <cell r="L20">
            <v>2016</v>
          </cell>
          <cell r="M20">
            <v>2017</v>
          </cell>
          <cell r="N20">
            <v>2018</v>
          </cell>
          <cell r="O20">
            <v>2019</v>
          </cell>
          <cell r="P20">
            <v>2020</v>
          </cell>
          <cell r="Q20">
            <v>2021</v>
          </cell>
          <cell r="R20">
            <v>2022</v>
          </cell>
          <cell r="S20">
            <v>2023</v>
          </cell>
          <cell r="T20">
            <v>2024</v>
          </cell>
          <cell r="U20">
            <v>2025</v>
          </cell>
          <cell r="V20">
            <v>2026</v>
          </cell>
          <cell r="W20">
            <v>2027</v>
          </cell>
          <cell r="X20">
            <v>2028</v>
          </cell>
          <cell r="Y20">
            <v>2029</v>
          </cell>
          <cell r="Z20">
            <v>2030</v>
          </cell>
          <cell r="AA20">
            <v>2031</v>
          </cell>
          <cell r="AB20">
            <v>2032</v>
          </cell>
          <cell r="AC20">
            <v>2033</v>
          </cell>
          <cell r="AD20">
            <v>2034</v>
          </cell>
          <cell r="AE20">
            <v>2035</v>
          </cell>
        </row>
        <row r="21">
          <cell r="G21" t="str">
            <v>RegionSingle FamilyNew</v>
          </cell>
          <cell r="H21" t="str">
            <v>Res</v>
          </cell>
          <cell r="I21" t="str">
            <v>Single Family</v>
          </cell>
          <cell r="J21" t="str">
            <v>New</v>
          </cell>
          <cell r="K21" t="str">
            <v>Buildings</v>
          </cell>
          <cell r="L21">
            <v>62685.758999999998</v>
          </cell>
          <cell r="M21">
            <v>59961.781000000003</v>
          </cell>
          <cell r="N21">
            <v>56834.012000000002</v>
          </cell>
          <cell r="O21">
            <v>54985.192999999999</v>
          </cell>
          <cell r="P21">
            <v>53507.474000000002</v>
          </cell>
          <cell r="Q21">
            <v>50982.05</v>
          </cell>
          <cell r="R21">
            <v>49561.669000000002</v>
          </cell>
          <cell r="S21">
            <v>49324.517999999996</v>
          </cell>
          <cell r="T21">
            <v>48815.77</v>
          </cell>
          <cell r="U21">
            <v>49683.252</v>
          </cell>
          <cell r="V21">
            <v>50030.137000000002</v>
          </cell>
          <cell r="W21">
            <v>49387.762999999999</v>
          </cell>
          <cell r="X21">
            <v>48079.345999999998</v>
          </cell>
          <cell r="Y21">
            <v>48129.050999999999</v>
          </cell>
          <cell r="Z21">
            <v>48690.569000000003</v>
          </cell>
          <cell r="AA21">
            <v>48482.864000000001</v>
          </cell>
          <cell r="AB21">
            <v>46879.000999999997</v>
          </cell>
          <cell r="AC21">
            <v>46798.777999999998</v>
          </cell>
          <cell r="AD21">
            <v>46917.627</v>
          </cell>
          <cell r="AE21">
            <v>47236.144999999997</v>
          </cell>
        </row>
        <row r="22">
          <cell r="G22" t="str">
            <v>RegionMultifamily - Low RiseNew</v>
          </cell>
          <cell r="H22" t="str">
            <v>Res</v>
          </cell>
          <cell r="I22" t="str">
            <v>Multifamily - Low Rise</v>
          </cell>
          <cell r="J22" t="str">
            <v>New</v>
          </cell>
          <cell r="K22" t="str">
            <v>Buildings</v>
          </cell>
          <cell r="L22">
            <v>23280.347100904564</v>
          </cell>
          <cell r="M22">
            <v>23017.418106038647</v>
          </cell>
          <cell r="N22">
            <v>22811.60852767331</v>
          </cell>
          <cell r="O22">
            <v>22085.916378202593</v>
          </cell>
          <cell r="P22">
            <v>20817.853908138593</v>
          </cell>
          <cell r="Q22">
            <v>20070.279329962508</v>
          </cell>
          <cell r="R22">
            <v>19887.831284331631</v>
          </cell>
          <cell r="S22">
            <v>20257.583209811291</v>
          </cell>
          <cell r="T22">
            <v>20750.368029493613</v>
          </cell>
          <cell r="U22">
            <v>21314.334279744231</v>
          </cell>
          <cell r="V22">
            <v>21403.286239774712</v>
          </cell>
          <cell r="W22">
            <v>21409.137516518917</v>
          </cell>
          <cell r="X22">
            <v>21443.358292282628</v>
          </cell>
          <cell r="Y22">
            <v>21209.865626522758</v>
          </cell>
          <cell r="Z22">
            <v>20954.17798283829</v>
          </cell>
          <cell r="AA22">
            <v>20525.44023202754</v>
          </cell>
          <cell r="AB22">
            <v>20175.505597554071</v>
          </cell>
          <cell r="AC22">
            <v>19919.723927484571</v>
          </cell>
          <cell r="AD22">
            <v>19536.194066416414</v>
          </cell>
          <cell r="AE22">
            <v>19462.287131015248</v>
          </cell>
        </row>
        <row r="23">
          <cell r="G23" t="str">
            <v>RegionMultifamily - High RiseNew</v>
          </cell>
          <cell r="H23" t="str">
            <v>Res</v>
          </cell>
          <cell r="I23" t="str">
            <v>Multifamily - High Rise</v>
          </cell>
          <cell r="J23" t="str">
            <v>New</v>
          </cell>
          <cell r="K23" t="str">
            <v>Buildings</v>
          </cell>
          <cell r="L23">
            <v>5226.2387411561367</v>
          </cell>
          <cell r="M23">
            <v>5239.95312759432</v>
          </cell>
          <cell r="N23">
            <v>5271.2612760989568</v>
          </cell>
          <cell r="O23">
            <v>4985.883552972361</v>
          </cell>
          <cell r="P23">
            <v>4608.5912035798974</v>
          </cell>
          <cell r="Q23">
            <v>4509.6375960361838</v>
          </cell>
          <cell r="R23">
            <v>4481.760351096189</v>
          </cell>
          <cell r="S23">
            <v>4621.8312800578688</v>
          </cell>
          <cell r="T23">
            <v>4700.9782942419988</v>
          </cell>
          <cell r="U23">
            <v>4828.2391631488581</v>
          </cell>
          <cell r="V23">
            <v>4790.0249139778334</v>
          </cell>
          <cell r="W23">
            <v>4782.0649962402858</v>
          </cell>
          <cell r="X23">
            <v>4748.3908346265653</v>
          </cell>
          <cell r="Y23">
            <v>4733.4823682495089</v>
          </cell>
          <cell r="Z23">
            <v>4698.697177079107</v>
          </cell>
          <cell r="AA23">
            <v>4599.2987885998937</v>
          </cell>
          <cell r="AB23">
            <v>4526.3104216428001</v>
          </cell>
          <cell r="AC23">
            <v>4422.0600452822764</v>
          </cell>
          <cell r="AD23">
            <v>4405.182362066379</v>
          </cell>
          <cell r="AE23">
            <v>4385.1136986120664</v>
          </cell>
        </row>
        <row r="24">
          <cell r="G24" t="str">
            <v>RegionManufacturedNew</v>
          </cell>
          <cell r="H24" t="str">
            <v>Res</v>
          </cell>
          <cell r="I24" t="str">
            <v>Manufactured</v>
          </cell>
          <cell r="J24" t="str">
            <v>New</v>
          </cell>
          <cell r="K24" t="str">
            <v>Buildings</v>
          </cell>
          <cell r="L24">
            <v>1869.5754050925925</v>
          </cell>
          <cell r="M24">
            <v>1881.796305941358</v>
          </cell>
          <cell r="N24">
            <v>1949.1340235982509</v>
          </cell>
          <cell r="O24">
            <v>2021.1963608646258</v>
          </cell>
          <cell r="P24">
            <v>1959.5061710087307</v>
          </cell>
          <cell r="Q24">
            <v>1928.5764356212967</v>
          </cell>
          <cell r="R24">
            <v>1934.9641170211423</v>
          </cell>
          <cell r="S24">
            <v>1945.862235675901</v>
          </cell>
          <cell r="T24">
            <v>1956.539890631658</v>
          </cell>
          <cell r="U24">
            <v>1957.7742018038925</v>
          </cell>
          <cell r="V24">
            <v>1947.2038419604366</v>
          </cell>
          <cell r="W24">
            <v>1945.153453785721</v>
          </cell>
          <cell r="X24">
            <v>1947.9162901464586</v>
          </cell>
          <cell r="Y24">
            <v>1950.0749856673444</v>
          </cell>
          <cell r="Z24">
            <v>1950.7771106659191</v>
          </cell>
          <cell r="AA24">
            <v>1949.8166473382953</v>
          </cell>
          <cell r="AB24">
            <v>1948.4903882606959</v>
          </cell>
          <cell r="AC24">
            <v>1948.7048126440727</v>
          </cell>
          <cell r="AD24">
            <v>1949.296705787131</v>
          </cell>
          <cell r="AE24">
            <v>1949.5267750605763</v>
          </cell>
        </row>
        <row r="25">
          <cell r="G25" t="str">
            <v>RegionSingle FamilyExisting</v>
          </cell>
          <cell r="H25" t="str">
            <v>Res</v>
          </cell>
          <cell r="I25" t="str">
            <v>Single Family</v>
          </cell>
          <cell r="J25" t="str">
            <v>Existing</v>
          </cell>
          <cell r="K25" t="str">
            <v>Buildings</v>
          </cell>
          <cell r="L25">
            <v>4203528.2719999999</v>
          </cell>
          <cell r="M25">
            <v>4193982.9785983553</v>
          </cell>
          <cell r="N25">
            <v>4184459.3604704877</v>
          </cell>
          <cell r="O25">
            <v>4174957.36839659</v>
          </cell>
          <cell r="P25">
            <v>4165476.9532686244</v>
          </cell>
          <cell r="Q25">
            <v>4156018.0660900641</v>
          </cell>
          <cell r="R25">
            <v>4146580.6579756448</v>
          </cell>
          <cell r="S25">
            <v>4137164.6801511091</v>
          </cell>
          <cell r="T25">
            <v>4127770.0839529554</v>
          </cell>
          <cell r="U25">
            <v>4118396.8208281873</v>
          </cell>
          <cell r="V25">
            <v>4109044.8423340586</v>
          </cell>
          <cell r="W25">
            <v>4099714.1001378288</v>
          </cell>
          <cell r="X25">
            <v>4090404.5460165106</v>
          </cell>
          <cell r="Y25">
            <v>4081116.1318566194</v>
          </cell>
          <cell r="Z25">
            <v>4071848.8096539262</v>
          </cell>
          <cell r="AA25">
            <v>4062602.5315132081</v>
          </cell>
          <cell r="AB25">
            <v>4053377.2496480034</v>
          </cell>
          <cell r="AC25">
            <v>4044172.9163803621</v>
          </cell>
          <cell r="AD25">
            <v>4034989.4841406001</v>
          </cell>
          <cell r="AE25">
            <v>4025826.9054670548</v>
          </cell>
        </row>
        <row r="26">
          <cell r="G26" t="str">
            <v>RegionMultifamily - Low RiseExisting</v>
          </cell>
          <cell r="H26" t="str">
            <v>Res</v>
          </cell>
          <cell r="I26" t="str">
            <v>Multifamily - Low Rise</v>
          </cell>
          <cell r="J26" t="str">
            <v>Existing</v>
          </cell>
          <cell r="K26" t="str">
            <v>Buildings</v>
          </cell>
          <cell r="L26">
            <v>926243.25609262148</v>
          </cell>
          <cell r="M26">
            <v>924139.92640956037</v>
          </cell>
          <cell r="N26">
            <v>922041.3730050053</v>
          </cell>
          <cell r="O26">
            <v>919947.58503289847</v>
          </cell>
          <cell r="P26">
            <v>917858.55167181045</v>
          </cell>
          <cell r="Q26">
            <v>915774.26212488639</v>
          </cell>
          <cell r="R26">
            <v>913694.70561978838</v>
          </cell>
          <cell r="S26">
            <v>911619.87140864041</v>
          </cell>
          <cell r="T26">
            <v>909549.74876797362</v>
          </cell>
          <cell r="U26">
            <v>907484.32699866977</v>
          </cell>
          <cell r="V26">
            <v>905423.59542590659</v>
          </cell>
          <cell r="W26">
            <v>903367.54339910217</v>
          </cell>
          <cell r="X26">
            <v>901316.16029185988</v>
          </cell>
          <cell r="Y26">
            <v>899269.43550191447</v>
          </cell>
          <cell r="Z26">
            <v>897227.35845107585</v>
          </cell>
          <cell r="AA26">
            <v>895189.9185851753</v>
          </cell>
          <cell r="AB26">
            <v>893157.10537401051</v>
          </cell>
          <cell r="AC26">
            <v>891128.90831129183</v>
          </cell>
          <cell r="AD26">
            <v>889105.31691458682</v>
          </cell>
          <cell r="AE26">
            <v>887086.32072526717</v>
          </cell>
        </row>
        <row r="27">
          <cell r="G27" t="str">
            <v>RegionMultifamily - High RiseExisting</v>
          </cell>
          <cell r="H27" t="str">
            <v>Res</v>
          </cell>
          <cell r="I27" t="str">
            <v>Multifamily - High Rise</v>
          </cell>
          <cell r="J27" t="str">
            <v>Existing</v>
          </cell>
          <cell r="K27" t="str">
            <v>Buildings</v>
          </cell>
          <cell r="L27">
            <v>211180.07985625503</v>
          </cell>
          <cell r="M27">
            <v>210700.52836963299</v>
          </cell>
          <cell r="N27">
            <v>210222.06585706791</v>
          </cell>
          <cell r="O27">
            <v>209744.68984569819</v>
          </cell>
          <cell r="P27">
            <v>209268.39786827751</v>
          </cell>
          <cell r="Q27">
            <v>208793.18746316229</v>
          </cell>
          <cell r="R27">
            <v>208319.05617429892</v>
          </cell>
          <cell r="S27">
            <v>207846.00155121088</v>
          </cell>
          <cell r="T27">
            <v>207374.0211489865</v>
          </cell>
          <cell r="U27">
            <v>206903.11252826577</v>
          </cell>
          <cell r="V27">
            <v>206433.27325522827</v>
          </cell>
          <cell r="W27">
            <v>205964.50090158021</v>
          </cell>
          <cell r="X27">
            <v>205496.79304454199</v>
          </cell>
          <cell r="Y27">
            <v>205030.14726683579</v>
          </cell>
          <cell r="Z27">
            <v>204564.56115667295</v>
          </cell>
          <cell r="AA27">
            <v>204100.03230774152</v>
          </cell>
          <cell r="AB27">
            <v>203636.55831919383</v>
          </cell>
          <cell r="AC27">
            <v>203174.13679563423</v>
          </cell>
          <cell r="AD27">
            <v>202712.76534710638</v>
          </cell>
          <cell r="AE27">
            <v>202252.44158908122</v>
          </cell>
        </row>
        <row r="28">
          <cell r="G28" t="str">
            <v>RegionManufacturedExisting</v>
          </cell>
          <cell r="H28" t="str">
            <v>Res</v>
          </cell>
          <cell r="I28" t="str">
            <v>Manufactured</v>
          </cell>
          <cell r="J28" t="str">
            <v>Existing</v>
          </cell>
          <cell r="K28" t="str">
            <v>Buildings</v>
          </cell>
          <cell r="L28">
            <v>572006.3278356482</v>
          </cell>
          <cell r="M28">
            <v>565893.30394507048</v>
          </cell>
          <cell r="N28">
            <v>559845.60985814757</v>
          </cell>
          <cell r="O28">
            <v>553862.54739615123</v>
          </cell>
          <cell r="P28">
            <v>547943.42584177968</v>
          </cell>
          <cell r="Q28">
            <v>542087.56185941794</v>
          </cell>
          <cell r="R28">
            <v>536294.27941624937</v>
          </cell>
          <cell r="S28">
            <v>530562.90970421082</v>
          </cell>
          <cell r="T28">
            <v>524892.79106278194</v>
          </cell>
          <cell r="U28">
            <v>519283.26890259917</v>
          </cell>
          <cell r="V28">
            <v>513733.69562988722</v>
          </cell>
          <cell r="W28">
            <v>508243.4305716962</v>
          </cell>
          <cell r="X28">
            <v>502811.8399019395</v>
          </cell>
          <cell r="Y28">
            <v>497438.2965682213</v>
          </cell>
          <cell r="Z28">
            <v>492122.18021944637</v>
          </cell>
          <cell r="AA28">
            <v>486862.87713420321</v>
          </cell>
          <cell r="AB28">
            <v>481659.78014991269</v>
          </cell>
          <cell r="AC28">
            <v>476512.28859273402</v>
          </cell>
          <cell r="AD28">
            <v>471419.80820821953</v>
          </cell>
          <cell r="AE28">
            <v>466381.75109271082</v>
          </cell>
        </row>
        <row r="29">
          <cell r="G29" t="str">
            <v>RegionLarge OffNew</v>
          </cell>
          <cell r="H29" t="str">
            <v>Com</v>
          </cell>
          <cell r="I29" t="str">
            <v>Large Off</v>
          </cell>
          <cell r="J29" t="str">
            <v>New</v>
          </cell>
          <cell r="K29" t="str">
            <v>Millions SqFt</v>
          </cell>
          <cell r="L29">
            <v>7.8066550111953834</v>
          </cell>
          <cell r="M29">
            <v>5.9496992573140863</v>
          </cell>
          <cell r="N29">
            <v>5.890903545908837</v>
          </cell>
          <cell r="O29">
            <v>6.8915688291332424</v>
          </cell>
          <cell r="P29">
            <v>6.6410191533148355</v>
          </cell>
          <cell r="Q29">
            <v>5.4382226791221893</v>
          </cell>
          <cell r="R29">
            <v>6.9236851515846078</v>
          </cell>
          <cell r="S29">
            <v>6.040566884985755</v>
          </cell>
          <cell r="T29">
            <v>5.8620040343764588</v>
          </cell>
          <cell r="U29">
            <v>6.6048352977963205</v>
          </cell>
          <cell r="V29">
            <v>6.6081856774849808</v>
          </cell>
          <cell r="W29">
            <v>7.2276230030590352</v>
          </cell>
          <cell r="X29">
            <v>7.9321378463678132</v>
          </cell>
          <cell r="Y29">
            <v>7.2590370336019197</v>
          </cell>
          <cell r="Z29">
            <v>7.9122271387396417</v>
          </cell>
          <cell r="AA29">
            <v>7.7623340380974311</v>
          </cell>
          <cell r="AB29">
            <v>7.6402299023279152</v>
          </cell>
          <cell r="AC29">
            <v>7.1724831299946894</v>
          </cell>
          <cell r="AD29">
            <v>7.0810470955732994</v>
          </cell>
          <cell r="AE29">
            <v>7.4281005850341701</v>
          </cell>
        </row>
        <row r="30">
          <cell r="G30" t="str">
            <v>RegionMedium OffNew</v>
          </cell>
          <cell r="H30" t="str">
            <v>Com</v>
          </cell>
          <cell r="I30" t="str">
            <v>Medium Off</v>
          </cell>
          <cell r="J30" t="str">
            <v>New</v>
          </cell>
          <cell r="K30" t="str">
            <v>Millions SqFt</v>
          </cell>
          <cell r="L30">
            <v>6.3306892326899415</v>
          </cell>
          <cell r="M30">
            <v>4.6245517962703104</v>
          </cell>
          <cell r="N30">
            <v>4.6954401235311058</v>
          </cell>
          <cell r="O30">
            <v>5.5561738496820645</v>
          </cell>
          <cell r="P30">
            <v>5.2903315868283292</v>
          </cell>
          <cell r="Q30">
            <v>4.0954748538564614</v>
          </cell>
          <cell r="R30">
            <v>5.6166455086822502</v>
          </cell>
          <cell r="S30">
            <v>4.8928421056079552</v>
          </cell>
          <cell r="T30">
            <v>4.6489885594062974</v>
          </cell>
          <cell r="U30">
            <v>5.3600762751998365</v>
          </cell>
          <cell r="V30">
            <v>5.3451061612370649</v>
          </cell>
          <cell r="W30">
            <v>5.7169042762389006</v>
          </cell>
          <cell r="X30">
            <v>6.1644080859749115</v>
          </cell>
          <cell r="Y30">
            <v>5.8003829082546376</v>
          </cell>
          <cell r="Z30">
            <v>6.4331999103991837</v>
          </cell>
          <cell r="AA30">
            <v>6.1077443299386847</v>
          </cell>
          <cell r="AB30">
            <v>6.3133258324543373</v>
          </cell>
          <cell r="AC30">
            <v>5.5403053352108875</v>
          </cell>
          <cell r="AD30">
            <v>5.5266028757425794</v>
          </cell>
          <cell r="AE30">
            <v>5.9833355534459063</v>
          </cell>
        </row>
        <row r="31">
          <cell r="G31" t="str">
            <v>RegionSmall OffNew</v>
          </cell>
          <cell r="H31" t="str">
            <v>Com</v>
          </cell>
          <cell r="I31" t="str">
            <v>Small Off</v>
          </cell>
          <cell r="J31" t="str">
            <v>New</v>
          </cell>
          <cell r="K31" t="str">
            <v>Millions SqFt</v>
          </cell>
          <cell r="L31">
            <v>1.6621196768024407</v>
          </cell>
          <cell r="M31">
            <v>1.2170657423442173</v>
          </cell>
          <cell r="N31">
            <v>1.2444333527444498</v>
          </cell>
          <cell r="O31">
            <v>1.4586094503549032</v>
          </cell>
          <cell r="P31">
            <v>1.4004070058555529</v>
          </cell>
          <cell r="Q31">
            <v>1.0787722980410579</v>
          </cell>
          <cell r="R31">
            <v>1.4747976167420549</v>
          </cell>
          <cell r="S31">
            <v>1.2896357804774434</v>
          </cell>
          <cell r="T31">
            <v>1.2239291307589197</v>
          </cell>
          <cell r="U31">
            <v>1.4012443744673324</v>
          </cell>
          <cell r="V31">
            <v>1.3991315932028052</v>
          </cell>
          <cell r="W31">
            <v>1.4996248899933684</v>
          </cell>
          <cell r="X31">
            <v>1.6197763904689295</v>
          </cell>
          <cell r="Y31">
            <v>1.5187400891362097</v>
          </cell>
          <cell r="Z31">
            <v>1.6890757136254622</v>
          </cell>
          <cell r="AA31">
            <v>1.5972356158259797</v>
          </cell>
          <cell r="AB31">
            <v>1.640465747141107</v>
          </cell>
          <cell r="AC31">
            <v>1.4565955217811706</v>
          </cell>
          <cell r="AD31">
            <v>1.4531741906643101</v>
          </cell>
          <cell r="AE31">
            <v>1.5648660344158036</v>
          </cell>
        </row>
        <row r="32">
          <cell r="G32" t="str">
            <v>RegionBig Box-RetailNew</v>
          </cell>
          <cell r="H32" t="str">
            <v>Com</v>
          </cell>
          <cell r="I32" t="str">
            <v>Big Box-Retail</v>
          </cell>
          <cell r="J32" t="str">
            <v>New</v>
          </cell>
          <cell r="K32" t="str">
            <v>Millions SqFt</v>
          </cell>
          <cell r="L32">
            <v>1.799418169017593</v>
          </cell>
          <cell r="M32">
            <v>1.485755176968429</v>
          </cell>
          <cell r="N32">
            <v>0.89794362681754358</v>
          </cell>
          <cell r="O32">
            <v>0.91201694404352718</v>
          </cell>
          <cell r="P32">
            <v>0.85125423267540556</v>
          </cell>
          <cell r="Q32">
            <v>0.73204497427617965</v>
          </cell>
          <cell r="R32">
            <v>0.73428349109996394</v>
          </cell>
          <cell r="S32">
            <v>0.71341173425108251</v>
          </cell>
          <cell r="T32">
            <v>0.89455902577447755</v>
          </cell>
          <cell r="U32">
            <v>1.032083805968905</v>
          </cell>
          <cell r="V32">
            <v>1.0963398187475875</v>
          </cell>
          <cell r="W32">
            <v>1.617287860192538</v>
          </cell>
          <cell r="X32">
            <v>1.8239074921539626</v>
          </cell>
          <cell r="Y32">
            <v>1.6267354909009817</v>
          </cell>
          <cell r="Z32">
            <v>1.5970323938843554</v>
          </cell>
          <cell r="AA32">
            <v>1.5393396581386409</v>
          </cell>
          <cell r="AB32">
            <v>1.2960530677092543</v>
          </cell>
          <cell r="AC32">
            <v>1.3176455108269955</v>
          </cell>
          <cell r="AD32">
            <v>1.2469979474733393</v>
          </cell>
          <cell r="AE32">
            <v>1.3540449607593745</v>
          </cell>
        </row>
        <row r="33">
          <cell r="G33" t="str">
            <v>RegionSmall Box-RetailNew</v>
          </cell>
          <cell r="H33" t="str">
            <v>Com</v>
          </cell>
          <cell r="I33" t="str">
            <v>Small Box-Retail</v>
          </cell>
          <cell r="J33" t="str">
            <v>New</v>
          </cell>
          <cell r="K33" t="str">
            <v>Millions SqFt</v>
          </cell>
          <cell r="L33">
            <v>0.71960427219664069</v>
          </cell>
          <cell r="M33">
            <v>0.59647847099566831</v>
          </cell>
          <cell r="N33">
            <v>0.36611838042447359</v>
          </cell>
          <cell r="O33">
            <v>0.3731768350638246</v>
          </cell>
          <cell r="P33">
            <v>0.34504559304633386</v>
          </cell>
          <cell r="Q33">
            <v>0.2928623587115301</v>
          </cell>
          <cell r="R33">
            <v>0.29376294298921468</v>
          </cell>
          <cell r="S33">
            <v>0.28416308329236456</v>
          </cell>
          <cell r="T33">
            <v>0.36455471421578001</v>
          </cell>
          <cell r="U33">
            <v>0.42646627810709853</v>
          </cell>
          <cell r="V33">
            <v>0.44956380488737768</v>
          </cell>
          <cell r="W33">
            <v>0.65213839834683018</v>
          </cell>
          <cell r="X33">
            <v>0.73353807331773047</v>
          </cell>
          <cell r="Y33">
            <v>0.65560780242911365</v>
          </cell>
          <cell r="Z33">
            <v>0.64604928436358278</v>
          </cell>
          <cell r="AA33">
            <v>0.62178261445398098</v>
          </cell>
          <cell r="AB33">
            <v>0.52554853465709617</v>
          </cell>
          <cell r="AC33">
            <v>0.53266253778165396</v>
          </cell>
          <cell r="AD33">
            <v>0.50454130308386236</v>
          </cell>
          <cell r="AE33">
            <v>0.54553111610891503</v>
          </cell>
        </row>
        <row r="34">
          <cell r="G34" t="str">
            <v>RegionHigh End-RetailNew</v>
          </cell>
          <cell r="H34" t="str">
            <v>Com</v>
          </cell>
          <cell r="I34" t="str">
            <v>High End-Retail</v>
          </cell>
          <cell r="J34" t="str">
            <v>New</v>
          </cell>
          <cell r="K34" t="str">
            <v>Millions SqFt</v>
          </cell>
          <cell r="L34">
            <v>2.7275899469990224</v>
          </cell>
          <cell r="M34">
            <v>2.2451802625726844</v>
          </cell>
          <cell r="N34">
            <v>1.3846551620328988</v>
          </cell>
          <cell r="O34">
            <v>1.414332931216091</v>
          </cell>
          <cell r="P34">
            <v>1.3048976182463843</v>
          </cell>
          <cell r="Q34">
            <v>1.1035456427042536</v>
          </cell>
          <cell r="R34">
            <v>1.0932193385059683</v>
          </cell>
          <cell r="S34">
            <v>1.0602010304011045</v>
          </cell>
          <cell r="T34">
            <v>1.3687417218066935</v>
          </cell>
          <cell r="U34">
            <v>1.6102119957699914</v>
          </cell>
          <cell r="V34">
            <v>1.7014476793012303</v>
          </cell>
          <cell r="W34">
            <v>2.4475448442766612</v>
          </cell>
          <cell r="X34">
            <v>2.7642584104961641</v>
          </cell>
          <cell r="Y34">
            <v>2.4645092385842489</v>
          </cell>
          <cell r="Z34">
            <v>2.435211674558635</v>
          </cell>
          <cell r="AA34">
            <v>2.3436666024455817</v>
          </cell>
          <cell r="AB34">
            <v>1.9970991421399598</v>
          </cell>
          <cell r="AC34">
            <v>2.0220850932468024</v>
          </cell>
          <cell r="AD34">
            <v>1.9074632582746243</v>
          </cell>
          <cell r="AE34">
            <v>2.0633846520749657</v>
          </cell>
        </row>
        <row r="35">
          <cell r="G35" t="str">
            <v>RegionAnchor-RetailNew</v>
          </cell>
          <cell r="H35" t="str">
            <v>Com</v>
          </cell>
          <cell r="I35" t="str">
            <v>Anchor-Retail</v>
          </cell>
          <cell r="J35" t="str">
            <v>New</v>
          </cell>
          <cell r="K35" t="str">
            <v>Millions SqFt</v>
          </cell>
          <cell r="L35">
            <v>0.86249938561661099</v>
          </cell>
          <cell r="M35">
            <v>0.71243811393533818</v>
          </cell>
          <cell r="N35">
            <v>0.43988135050703958</v>
          </cell>
          <cell r="O35">
            <v>0.44879648252082133</v>
          </cell>
          <cell r="P35">
            <v>0.41374173801952452</v>
          </cell>
          <cell r="Q35">
            <v>0.34301620014224921</v>
          </cell>
          <cell r="R35">
            <v>0.33946657261656726</v>
          </cell>
          <cell r="S35">
            <v>0.32965754978673117</v>
          </cell>
          <cell r="T35">
            <v>0.43689232903555525</v>
          </cell>
          <cell r="U35">
            <v>0.51886957722704219</v>
          </cell>
          <cell r="V35">
            <v>0.54817313334918127</v>
          </cell>
          <cell r="W35">
            <v>0.77969532117377649</v>
          </cell>
          <cell r="X35">
            <v>0.87858644381951334</v>
          </cell>
          <cell r="Y35">
            <v>0.78420074698109388</v>
          </cell>
          <cell r="Z35">
            <v>0.77728841592354081</v>
          </cell>
          <cell r="AA35">
            <v>0.74886674252534069</v>
          </cell>
          <cell r="AB35">
            <v>0.63964179951326661</v>
          </cell>
          <cell r="AC35">
            <v>0.64714740319049269</v>
          </cell>
          <cell r="AD35">
            <v>0.61166389038687663</v>
          </cell>
          <cell r="AE35">
            <v>0.66242443593788758</v>
          </cell>
        </row>
        <row r="36">
          <cell r="G36" t="str">
            <v>RegionK-12New</v>
          </cell>
          <cell r="H36" t="str">
            <v>Com</v>
          </cell>
          <cell r="I36" t="str">
            <v>K-12</v>
          </cell>
          <cell r="J36" t="str">
            <v>New</v>
          </cell>
          <cell r="K36" t="str">
            <v>Millions SqFt</v>
          </cell>
          <cell r="L36">
            <v>0.49337113702797691</v>
          </cell>
          <cell r="M36">
            <v>1.1029723159217257</v>
          </cell>
          <cell r="N36">
            <v>0.94992456965043459</v>
          </cell>
          <cell r="O36">
            <v>0.71720701164062661</v>
          </cell>
          <cell r="P36">
            <v>0.7442281187428561</v>
          </cell>
          <cell r="Q36">
            <v>0.85140099810585501</v>
          </cell>
          <cell r="R36">
            <v>0.99139466996200198</v>
          </cell>
          <cell r="S36">
            <v>1.5014629353162949</v>
          </cell>
          <cell r="T36">
            <v>1.8697826256608596</v>
          </cell>
          <cell r="U36">
            <v>1.6452707482432332</v>
          </cell>
          <cell r="V36">
            <v>1.6753181172445872</v>
          </cell>
          <cell r="W36">
            <v>1.7943041099264481</v>
          </cell>
          <cell r="X36">
            <v>1.8624299937819393</v>
          </cell>
          <cell r="Y36">
            <v>1.7489264522150836</v>
          </cell>
          <cell r="Z36">
            <v>1.7975598556031414</v>
          </cell>
          <cell r="AA36">
            <v>1.6195220459723754</v>
          </cell>
          <cell r="AB36">
            <v>1.8221433074925411</v>
          </cell>
          <cell r="AC36">
            <v>1.6336676691608698</v>
          </cell>
          <cell r="AD36">
            <v>1.7826242149357872</v>
          </cell>
          <cell r="AE36">
            <v>1.6891002859244486</v>
          </cell>
        </row>
        <row r="37">
          <cell r="G37" t="str">
            <v>RegionUniversityNew</v>
          </cell>
          <cell r="H37" t="str">
            <v>Com</v>
          </cell>
          <cell r="I37" t="str">
            <v>University</v>
          </cell>
          <cell r="J37" t="str">
            <v>New</v>
          </cell>
          <cell r="K37" t="str">
            <v>Millions SqFt</v>
          </cell>
          <cell r="L37">
            <v>0.2800209986196866</v>
          </cell>
          <cell r="M37">
            <v>0.29719871383536939</v>
          </cell>
          <cell r="N37">
            <v>0.58203115602335975</v>
          </cell>
          <cell r="O37">
            <v>0.83189457735737737</v>
          </cell>
          <cell r="P37">
            <v>0.66610454718876777</v>
          </cell>
          <cell r="Q37">
            <v>0.73648247778559484</v>
          </cell>
          <cell r="R37">
            <v>0.64334185638367225</v>
          </cell>
          <cell r="S37">
            <v>0.97289424291238524</v>
          </cell>
          <cell r="T37">
            <v>1.1820978013224126</v>
          </cell>
          <cell r="U37">
            <v>1.1785313924254113</v>
          </cell>
          <cell r="V37">
            <v>1.2952038876416079</v>
          </cell>
          <cell r="W37">
            <v>1.3229243736280945</v>
          </cell>
          <cell r="X37">
            <v>1.422909455419719</v>
          </cell>
          <cell r="Y37">
            <v>1.4430187909981058</v>
          </cell>
          <cell r="Z37">
            <v>1.2923971403480323</v>
          </cell>
          <cell r="AA37">
            <v>1.1785050733908478</v>
          </cell>
          <cell r="AB37">
            <v>1.3433889489273994</v>
          </cell>
          <cell r="AC37">
            <v>1.2265545990556588</v>
          </cell>
          <cell r="AD37">
            <v>1.2571458643971927</v>
          </cell>
          <cell r="AE37">
            <v>1.2979913333963795</v>
          </cell>
        </row>
        <row r="38">
          <cell r="G38" t="str">
            <v>RegionWarehouseNew</v>
          </cell>
          <cell r="H38" t="str">
            <v>Com</v>
          </cell>
          <cell r="I38" t="str">
            <v>Warehouse</v>
          </cell>
          <cell r="J38" t="str">
            <v>New</v>
          </cell>
          <cell r="K38" t="str">
            <v>Millions SqFt</v>
          </cell>
          <cell r="L38">
            <v>7.6586609772993617</v>
          </cell>
          <cell r="M38">
            <v>7.5774552212762423</v>
          </cell>
          <cell r="N38">
            <v>5.6453939930651131</v>
          </cell>
          <cell r="O38">
            <v>4.800793231843981</v>
          </cell>
          <cell r="P38">
            <v>3.5881391412601156</v>
          </cell>
          <cell r="Q38">
            <v>3.1529819033971824</v>
          </cell>
          <cell r="R38">
            <v>4.0691744688008198</v>
          </cell>
          <cell r="S38">
            <v>4.5400289951106014</v>
          </cell>
          <cell r="T38">
            <v>4.8555474587969272</v>
          </cell>
          <cell r="U38">
            <v>4.6966359797376018</v>
          </cell>
          <cell r="V38">
            <v>4.8557170740974245</v>
          </cell>
          <cell r="W38">
            <v>4.451750056135543</v>
          </cell>
          <cell r="X38">
            <v>3.8657972013430704</v>
          </cell>
          <cell r="Y38">
            <v>3.9817445148405937</v>
          </cell>
          <cell r="Z38">
            <v>3.9951806948216846</v>
          </cell>
          <cell r="AA38">
            <v>4.4738164673360306</v>
          </cell>
          <cell r="AB38">
            <v>4.2737219736102183</v>
          </cell>
          <cell r="AC38">
            <v>4.0870251812551333</v>
          </cell>
          <cell r="AD38">
            <v>4.137725578117939</v>
          </cell>
          <cell r="AE38">
            <v>3.6922064696454697</v>
          </cell>
        </row>
        <row r="39">
          <cell r="G39" t="str">
            <v>RegionSupermarketNew</v>
          </cell>
          <cell r="H39" t="str">
            <v>Com</v>
          </cell>
          <cell r="I39" t="str">
            <v>Supermarket</v>
          </cell>
          <cell r="J39" t="str">
            <v>New</v>
          </cell>
          <cell r="K39" t="str">
            <v>Millions SqFt</v>
          </cell>
          <cell r="L39">
            <v>0.38924897939746522</v>
          </cell>
          <cell r="M39">
            <v>0.34341311895347121</v>
          </cell>
          <cell r="N39">
            <v>0.29927348040561341</v>
          </cell>
          <cell r="O39">
            <v>0.29688874456634085</v>
          </cell>
          <cell r="P39">
            <v>0.29379933994281465</v>
          </cell>
          <cell r="Q39">
            <v>0.29041766271303127</v>
          </cell>
          <cell r="R39">
            <v>0.28614144770449462</v>
          </cell>
          <cell r="S39">
            <v>0.28163861967746157</v>
          </cell>
          <cell r="T39">
            <v>0.27688800876616482</v>
          </cell>
          <cell r="U39">
            <v>0.27357754310134663</v>
          </cell>
          <cell r="V39">
            <v>0.27063184585003941</v>
          </cell>
          <cell r="W39">
            <v>0.26801411864303953</v>
          </cell>
          <cell r="X39">
            <v>0.26660240614409092</v>
          </cell>
          <cell r="Y39">
            <v>0.25138198684402913</v>
          </cell>
          <cell r="Z39">
            <v>0.26455339135243683</v>
          </cell>
          <cell r="AA39">
            <v>0.26299167309250365</v>
          </cell>
          <cell r="AB39">
            <v>0.26140909607327911</v>
          </cell>
          <cell r="AC39">
            <v>0.25947687815142023</v>
          </cell>
          <cell r="AD39">
            <v>0.25750619496776178</v>
          </cell>
          <cell r="AE39">
            <v>0.25562560804995926</v>
          </cell>
        </row>
        <row r="40">
          <cell r="G40" t="str">
            <v>RegionMiniMartNew</v>
          </cell>
          <cell r="H40" t="str">
            <v>Com</v>
          </cell>
          <cell r="I40" t="str">
            <v>MiniMart</v>
          </cell>
          <cell r="J40" t="str">
            <v>New</v>
          </cell>
          <cell r="K40" t="str">
            <v>Millions SqFt</v>
          </cell>
          <cell r="L40">
            <v>0.19765540078516197</v>
          </cell>
          <cell r="M40">
            <v>0.18600542935034625</v>
          </cell>
          <cell r="N40">
            <v>9.5760802585072302E-2</v>
          </cell>
          <cell r="O40">
            <v>0.10062051473914659</v>
          </cell>
          <cell r="P40">
            <v>8.5646792534183808E-2</v>
          </cell>
          <cell r="Q40">
            <v>6.5415041923045286E-2</v>
          </cell>
          <cell r="R40">
            <v>5.7242996146950373E-2</v>
          </cell>
          <cell r="S40">
            <v>5.5087150941189433E-2</v>
          </cell>
          <cell r="T40">
            <v>7.3916214299540497E-2</v>
          </cell>
          <cell r="U40">
            <v>9.2056169088318471E-2</v>
          </cell>
          <cell r="V40">
            <v>0.10393709432109566</v>
          </cell>
          <cell r="W40">
            <v>0.15172170448022598</v>
          </cell>
          <cell r="X40">
            <v>0.15706997726929292</v>
          </cell>
          <cell r="Y40">
            <v>0.14510580631504899</v>
          </cell>
          <cell r="Z40">
            <v>0.15272706829792246</v>
          </cell>
          <cell r="AA40">
            <v>0.14104647748606622</v>
          </cell>
          <cell r="AB40">
            <v>0.11700741064540764</v>
          </cell>
          <cell r="AC40">
            <v>0.1200067315077773</v>
          </cell>
          <cell r="AD40">
            <v>0.11457442878633581</v>
          </cell>
          <cell r="AE40">
            <v>0.1211768182439132</v>
          </cell>
        </row>
        <row r="41">
          <cell r="G41" t="str">
            <v>RegionRestaurantNew</v>
          </cell>
          <cell r="H41" t="str">
            <v>Com</v>
          </cell>
          <cell r="I41" t="str">
            <v>Restaurant</v>
          </cell>
          <cell r="J41" t="str">
            <v>New</v>
          </cell>
          <cell r="K41" t="str">
            <v>Millions SqFt</v>
          </cell>
          <cell r="L41">
            <v>0.46894871790011039</v>
          </cell>
          <cell r="M41">
            <v>0.47387410836125871</v>
          </cell>
          <cell r="N41">
            <v>0.45144590813821411</v>
          </cell>
          <cell r="O41">
            <v>0.4505136151455652</v>
          </cell>
          <cell r="P41">
            <v>0.44778046039172248</v>
          </cell>
          <cell r="Q41">
            <v>0.44523396067124349</v>
          </cell>
          <cell r="R41">
            <v>0.44273536313864043</v>
          </cell>
          <cell r="S41">
            <v>0.4399078135546039</v>
          </cell>
          <cell r="T41">
            <v>0.43708606600163591</v>
          </cell>
          <cell r="U41">
            <v>0.43513915585550955</v>
          </cell>
          <cell r="V41">
            <v>0.43580404899906589</v>
          </cell>
          <cell r="W41">
            <v>0.59161866303702282</v>
          </cell>
          <cell r="X41">
            <v>0.66467702134516005</v>
          </cell>
          <cell r="Y41">
            <v>0.65353995366480533</v>
          </cell>
          <cell r="Z41">
            <v>0.676060915960916</v>
          </cell>
          <cell r="AA41">
            <v>0.70559825286541389</v>
          </cell>
          <cell r="AB41">
            <v>0.63206878506691044</v>
          </cell>
          <cell r="AC41">
            <v>0.63726309269471215</v>
          </cell>
          <cell r="AD41">
            <v>0.5828366650853003</v>
          </cell>
          <cell r="AE41">
            <v>0.63928201324113043</v>
          </cell>
        </row>
        <row r="42">
          <cell r="G42" t="str">
            <v>RegionLodgingNew</v>
          </cell>
          <cell r="H42" t="str">
            <v>Com</v>
          </cell>
          <cell r="I42" t="str">
            <v>Lodging</v>
          </cell>
          <cell r="J42" t="str">
            <v>New</v>
          </cell>
          <cell r="K42" t="str">
            <v>Millions SqFt</v>
          </cell>
          <cell r="L42">
            <v>1.0326774321313152</v>
          </cell>
          <cell r="M42">
            <v>1.0158776160943388</v>
          </cell>
          <cell r="N42">
            <v>0.74304915446037911</v>
          </cell>
          <cell r="O42">
            <v>0.76054102414226543</v>
          </cell>
          <cell r="P42">
            <v>0.65616402459427536</v>
          </cell>
          <cell r="Q42">
            <v>0.62755023267601961</v>
          </cell>
          <cell r="R42">
            <v>0.61023293273354484</v>
          </cell>
          <cell r="S42">
            <v>0.60571699788717037</v>
          </cell>
          <cell r="T42">
            <v>0.65097903457434547</v>
          </cell>
          <cell r="U42">
            <v>0.69319811486407867</v>
          </cell>
          <cell r="V42">
            <v>0.78843795894088464</v>
          </cell>
          <cell r="W42">
            <v>1.3645659476947984</v>
          </cell>
          <cell r="X42">
            <v>1.6032227373726178</v>
          </cell>
          <cell r="Y42">
            <v>1.6412696995684901</v>
          </cell>
          <cell r="Z42">
            <v>1.670283030615213</v>
          </cell>
          <cell r="AA42">
            <v>1.755661848186447</v>
          </cell>
          <cell r="AB42">
            <v>1.4871375295645746</v>
          </cell>
          <cell r="AC42">
            <v>1.4400033906080374</v>
          </cell>
          <cell r="AD42">
            <v>1.3499648074414823</v>
          </cell>
          <cell r="AE42">
            <v>1.4487057151095009</v>
          </cell>
        </row>
        <row r="43">
          <cell r="G43" t="str">
            <v>RegionHospitalNew</v>
          </cell>
          <cell r="H43" t="str">
            <v>Com</v>
          </cell>
          <cell r="I43" t="str">
            <v>Hospital</v>
          </cell>
          <cell r="J43" t="str">
            <v>New</v>
          </cell>
          <cell r="K43" t="str">
            <v>Millions SqFt</v>
          </cell>
          <cell r="L43">
            <v>4.1336070304911159</v>
          </cell>
          <cell r="M43">
            <v>3.5601449453189118</v>
          </cell>
          <cell r="N43">
            <v>3.2007770264658664</v>
          </cell>
          <cell r="O43">
            <v>2.6531465767673241</v>
          </cell>
          <cell r="P43">
            <v>1.8730082465149496</v>
          </cell>
          <cell r="Q43">
            <v>1.6467285324389391</v>
          </cell>
          <cell r="R43">
            <v>1.5196240263467067</v>
          </cell>
          <cell r="S43">
            <v>1.3328145698119136</v>
          </cell>
          <cell r="T43">
            <v>1.3372342578617185</v>
          </cell>
          <cell r="U43">
            <v>1.4086686461757902</v>
          </cell>
          <cell r="V43">
            <v>1.6725933548501446</v>
          </cell>
          <cell r="W43">
            <v>2.0158466086985318</v>
          </cell>
          <cell r="X43">
            <v>2.3033709594417431</v>
          </cell>
          <cell r="Y43">
            <v>2.063930246052466</v>
          </cell>
          <cell r="Z43">
            <v>1.9880083370090949</v>
          </cell>
          <cell r="AA43">
            <v>1.9342270452860566</v>
          </cell>
          <cell r="AB43">
            <v>1.774507966199161</v>
          </cell>
          <cell r="AC43">
            <v>1.6723841845019074</v>
          </cell>
          <cell r="AD43">
            <v>1.5414284807799123</v>
          </cell>
          <cell r="AE43">
            <v>1.5563040522680198</v>
          </cell>
        </row>
        <row r="44">
          <cell r="G44" t="str">
            <v>RegionOtherHealthNew</v>
          </cell>
          <cell r="H44" t="str">
            <v>Com</v>
          </cell>
          <cell r="I44" t="str">
            <v>OtherHealth</v>
          </cell>
          <cell r="J44" t="str">
            <v>New</v>
          </cell>
          <cell r="K44" t="str">
            <v>Millions SqFt</v>
          </cell>
          <cell r="L44">
            <v>4.5029406937179912</v>
          </cell>
          <cell r="M44">
            <v>4.0786070344439063</v>
          </cell>
          <cell r="N44">
            <v>3.5919834720533679</v>
          </cell>
          <cell r="O44">
            <v>3.0400934926407626</v>
          </cell>
          <cell r="P44">
            <v>2.3018670718031324</v>
          </cell>
          <cell r="Q44">
            <v>2.1321468422073435</v>
          </cell>
          <cell r="R44">
            <v>1.9771504564110642</v>
          </cell>
          <cell r="S44">
            <v>1.8096072137015302</v>
          </cell>
          <cell r="T44">
            <v>1.9023478055732992</v>
          </cell>
          <cell r="U44">
            <v>2.0129777404511922</v>
          </cell>
          <cell r="V44">
            <v>2.304026079874093</v>
          </cell>
          <cell r="W44">
            <v>2.7992417645016405</v>
          </cell>
          <cell r="X44">
            <v>3.0682339807477179</v>
          </cell>
          <cell r="Y44">
            <v>2.7441690138981158</v>
          </cell>
          <cell r="Z44">
            <v>2.8046561391012603</v>
          </cell>
          <cell r="AA44">
            <v>2.7282838662201567</v>
          </cell>
          <cell r="AB44">
            <v>2.4959637785038216</v>
          </cell>
          <cell r="AC44">
            <v>2.4392052334479857</v>
          </cell>
          <cell r="AD44">
            <v>2.3386950979959957</v>
          </cell>
          <cell r="AE44">
            <v>2.3103955399373803</v>
          </cell>
        </row>
        <row r="45">
          <cell r="G45" t="str">
            <v>RegionAssemblyNew</v>
          </cell>
          <cell r="H45" t="str">
            <v>Com</v>
          </cell>
          <cell r="I45" t="str">
            <v>Assembly</v>
          </cell>
          <cell r="J45" t="str">
            <v>New</v>
          </cell>
          <cell r="K45" t="str">
            <v>Millions SqFt</v>
          </cell>
          <cell r="L45">
            <v>3.1854829351393543</v>
          </cell>
          <cell r="M45">
            <v>3.1699057451518957</v>
          </cell>
          <cell r="N45">
            <v>2.2628528186826316</v>
          </cell>
          <cell r="O45">
            <v>2.6023617076700645</v>
          </cell>
          <cell r="P45">
            <v>2.2919684786454506</v>
          </cell>
          <cell r="Q45">
            <v>2.1556450092355899</v>
          </cell>
          <cell r="R45">
            <v>1.4820394508668711</v>
          </cell>
          <cell r="S45">
            <v>1.5603361472368396</v>
          </cell>
          <cell r="T45">
            <v>2.3546097038898557</v>
          </cell>
          <cell r="U45">
            <v>3.2740386396924066</v>
          </cell>
          <cell r="V45">
            <v>3.6241751874536021</v>
          </cell>
          <cell r="W45">
            <v>4.4420137300219826</v>
          </cell>
          <cell r="X45">
            <v>5.8224273473135861</v>
          </cell>
          <cell r="Y45">
            <v>6.4604400946422142</v>
          </cell>
          <cell r="Z45">
            <v>6.9014803298142597</v>
          </cell>
          <cell r="AA45">
            <v>6.748515751490312</v>
          </cell>
          <cell r="AB45">
            <v>6.4364694734288266</v>
          </cell>
          <cell r="AC45">
            <v>6.3053235195290611</v>
          </cell>
          <cell r="AD45">
            <v>6.2236620394663484</v>
          </cell>
          <cell r="AE45">
            <v>6.0386522880717726</v>
          </cell>
        </row>
        <row r="46">
          <cell r="G46" t="str">
            <v>RegionOtherNew</v>
          </cell>
          <cell r="H46" t="str">
            <v>Com</v>
          </cell>
          <cell r="I46" t="str">
            <v>Other</v>
          </cell>
          <cell r="J46" t="str">
            <v>New</v>
          </cell>
          <cell r="K46" t="str">
            <v>Millions SqFt</v>
          </cell>
          <cell r="L46">
            <v>12.863107129152304</v>
          </cell>
          <cell r="M46">
            <v>10.7220378193485</v>
          </cell>
          <cell r="N46">
            <v>10.142128438066296</v>
          </cell>
          <cell r="O46">
            <v>9.4611923499879236</v>
          </cell>
          <cell r="P46">
            <v>7.3638556881373223</v>
          </cell>
          <cell r="Q46">
            <v>8.1591439254269407</v>
          </cell>
          <cell r="R46">
            <v>7.9603673258815011</v>
          </cell>
          <cell r="S46">
            <v>8.6026166911432824</v>
          </cell>
          <cell r="T46">
            <v>9.3207800366095146</v>
          </cell>
          <cell r="U46">
            <v>9.0572786632714859</v>
          </cell>
          <cell r="V46">
            <v>10.184423730877143</v>
          </cell>
          <cell r="W46">
            <v>10.787657533789663</v>
          </cell>
          <cell r="X46">
            <v>11.005378574708409</v>
          </cell>
          <cell r="Y46">
            <v>10.267063981307951</v>
          </cell>
          <cell r="Z46">
            <v>11.027475862918971</v>
          </cell>
          <cell r="AA46">
            <v>9.9609233822623686</v>
          </cell>
          <cell r="AB46">
            <v>10.340047869658916</v>
          </cell>
          <cell r="AC46">
            <v>9.8383849729989699</v>
          </cell>
          <cell r="AD46">
            <v>9.3282989614436094</v>
          </cell>
          <cell r="AE46">
            <v>9.0355729282982153</v>
          </cell>
        </row>
        <row r="47">
          <cell r="G47" t="str">
            <v>RegionLarge OffStock 2016</v>
          </cell>
          <cell r="H47" t="str">
            <v>Com</v>
          </cell>
          <cell r="I47" t="str">
            <v>Large Off</v>
          </cell>
          <cell r="J47" t="str">
            <v>Stock 2016</v>
          </cell>
          <cell r="K47" t="str">
            <v>Millions SqFt</v>
          </cell>
          <cell r="L47">
            <v>380.08828477966154</v>
          </cell>
          <cell r="M47">
            <v>378.94801992532251</v>
          </cell>
          <cell r="N47">
            <v>377.81117586554655</v>
          </cell>
          <cell r="O47">
            <v>376.67774233794995</v>
          </cell>
          <cell r="P47">
            <v>375.54770911093607</v>
          </cell>
          <cell r="Q47">
            <v>374.42106598360328</v>
          </cell>
          <cell r="R47">
            <v>373.29780278565244</v>
          </cell>
          <cell r="S47">
            <v>372.17790937729552</v>
          </cell>
          <cell r="T47">
            <v>371.06137564916361</v>
          </cell>
          <cell r="U47">
            <v>369.94819152221612</v>
          </cell>
          <cell r="V47">
            <v>368.83834694764948</v>
          </cell>
          <cell r="W47">
            <v>367.73183190680658</v>
          </cell>
          <cell r="X47">
            <v>366.62863641108612</v>
          </cell>
          <cell r="Y47">
            <v>365.52875050185287</v>
          </cell>
          <cell r="Z47">
            <v>364.43216425034728</v>
          </cell>
          <cell r="AA47">
            <v>363.33886775759629</v>
          </cell>
          <cell r="AB47">
            <v>362.24885115432346</v>
          </cell>
          <cell r="AC47">
            <v>361.16210460086046</v>
          </cell>
          <cell r="AD47">
            <v>360.07861828705791</v>
          </cell>
          <cell r="AE47">
            <v>358.99838243219671</v>
          </cell>
        </row>
        <row r="48">
          <cell r="G48" t="str">
            <v>RegionMedium OffStock 2016</v>
          </cell>
          <cell r="H48" t="str">
            <v>Com</v>
          </cell>
          <cell r="I48" t="str">
            <v>Medium Off</v>
          </cell>
          <cell r="J48" t="str">
            <v>Stock 2016</v>
          </cell>
          <cell r="K48" t="str">
            <v>Millions SqFt</v>
          </cell>
          <cell r="L48">
            <v>190.73687138333023</v>
          </cell>
          <cell r="M48">
            <v>190.16466076918024</v>
          </cell>
          <cell r="N48">
            <v>189.59416678687271</v>
          </cell>
          <cell r="O48">
            <v>189.02538428651209</v>
          </cell>
          <cell r="P48">
            <v>188.45830813365254</v>
          </cell>
          <cell r="Q48">
            <v>187.89293320925157</v>
          </cell>
          <cell r="R48">
            <v>187.32925440962381</v>
          </cell>
          <cell r="S48">
            <v>186.76726664639497</v>
          </cell>
          <cell r="T48">
            <v>186.20696484645578</v>
          </cell>
          <cell r="U48">
            <v>185.64834395191642</v>
          </cell>
          <cell r="V48">
            <v>185.09139892006067</v>
          </cell>
          <cell r="W48">
            <v>184.5361247233005</v>
          </cell>
          <cell r="X48">
            <v>183.98251634913058</v>
          </cell>
          <cell r="Y48">
            <v>183.43056880008319</v>
          </cell>
          <cell r="Z48">
            <v>182.88027709368296</v>
          </cell>
          <cell r="AA48">
            <v>182.33163626240187</v>
          </cell>
          <cell r="AB48">
            <v>181.78464135361469</v>
          </cell>
          <cell r="AC48">
            <v>181.23928742955383</v>
          </cell>
          <cell r="AD48">
            <v>180.69556956726515</v>
          </cell>
          <cell r="AE48">
            <v>180.15348285856339</v>
          </cell>
        </row>
        <row r="49">
          <cell r="G49" t="str">
            <v>RegionSmall OffStock 2016</v>
          </cell>
          <cell r="H49" t="str">
            <v>Com</v>
          </cell>
          <cell r="I49" t="str">
            <v>Small Off</v>
          </cell>
          <cell r="J49" t="str">
            <v>Stock 2016</v>
          </cell>
          <cell r="K49" t="str">
            <v>Millions SqFt</v>
          </cell>
          <cell r="L49">
            <v>184.0913556049378</v>
          </cell>
          <cell r="M49">
            <v>183.53908153812301</v>
          </cell>
          <cell r="N49">
            <v>182.98846429350866</v>
          </cell>
          <cell r="O49">
            <v>182.43949890062811</v>
          </cell>
          <cell r="P49">
            <v>181.89218040392623</v>
          </cell>
          <cell r="Q49">
            <v>181.34650386271446</v>
          </cell>
          <cell r="R49">
            <v>180.80246435112633</v>
          </cell>
          <cell r="S49">
            <v>180.26005695807294</v>
          </cell>
          <cell r="T49">
            <v>179.71927678719871</v>
          </cell>
          <cell r="U49">
            <v>179.18011895683713</v>
          </cell>
          <cell r="V49">
            <v>178.64257859996661</v>
          </cell>
          <cell r="W49">
            <v>178.10665086416668</v>
          </cell>
          <cell r="X49">
            <v>177.57233091157423</v>
          </cell>
          <cell r="Y49">
            <v>177.03961391883951</v>
          </cell>
          <cell r="Z49">
            <v>176.50849507708296</v>
          </cell>
          <cell r="AA49">
            <v>175.97896959185172</v>
          </cell>
          <cell r="AB49">
            <v>175.45103268307616</v>
          </cell>
          <cell r="AC49">
            <v>174.92467958502692</v>
          </cell>
          <cell r="AD49">
            <v>174.39990554627184</v>
          </cell>
          <cell r="AE49">
            <v>173.87670582963304</v>
          </cell>
        </row>
        <row r="50">
          <cell r="G50" t="str">
            <v>RegionBig Box-RetailStock 2016</v>
          </cell>
          <cell r="H50" t="str">
            <v>Com</v>
          </cell>
          <cell r="I50" t="str">
            <v>Big Box-Retail</v>
          </cell>
          <cell r="J50" t="str">
            <v>Stock 2016</v>
          </cell>
          <cell r="K50" t="str">
            <v>Millions SqFt</v>
          </cell>
          <cell r="L50">
            <v>138.35734062238015</v>
          </cell>
          <cell r="M50">
            <v>137.7208968555172</v>
          </cell>
          <cell r="N50">
            <v>137.08738072998179</v>
          </cell>
          <cell r="O50">
            <v>136.45677877862389</v>
          </cell>
          <cell r="P50">
            <v>135.8290775962422</v>
          </cell>
          <cell r="Q50">
            <v>135.20426383929947</v>
          </cell>
          <cell r="R50">
            <v>134.5823242256387</v>
          </cell>
          <cell r="S50">
            <v>133.96324553420075</v>
          </cell>
          <cell r="T50">
            <v>133.34701460474344</v>
          </cell>
          <cell r="U50">
            <v>132.73361833756161</v>
          </cell>
          <cell r="V50">
            <v>132.12304369320884</v>
          </cell>
          <cell r="W50">
            <v>131.51527769222005</v>
          </cell>
          <cell r="X50">
            <v>130.91030741483584</v>
          </cell>
          <cell r="Y50">
            <v>130.3081200007276</v>
          </cell>
          <cell r="Z50">
            <v>129.70870264872423</v>
          </cell>
          <cell r="AA50">
            <v>129.11204261654012</v>
          </cell>
          <cell r="AB50">
            <v>128.51812722050403</v>
          </cell>
          <cell r="AC50">
            <v>127.92694383528971</v>
          </cell>
          <cell r="AD50">
            <v>127.33847989364737</v>
          </cell>
          <cell r="AE50">
            <v>126.75272288613657</v>
          </cell>
        </row>
        <row r="51">
          <cell r="G51" t="str">
            <v>RegionSmall Box-RetailStock 2016</v>
          </cell>
          <cell r="H51" t="str">
            <v>Com</v>
          </cell>
          <cell r="I51" t="str">
            <v>Small Box-Retail</v>
          </cell>
          <cell r="J51" t="str">
            <v>Stock 2016</v>
          </cell>
          <cell r="K51" t="str">
            <v>Millions SqFt</v>
          </cell>
          <cell r="L51">
            <v>208.9574509880029</v>
          </cell>
          <cell r="M51">
            <v>207.99624671345808</v>
          </cell>
          <cell r="N51">
            <v>207.03946397857615</v>
          </cell>
          <cell r="O51">
            <v>206.0870824442747</v>
          </cell>
          <cell r="P51">
            <v>205.13908186503102</v>
          </cell>
          <cell r="Q51">
            <v>204.1954420884519</v>
          </cell>
          <cell r="R51">
            <v>203.25614305484498</v>
          </cell>
          <cell r="S51">
            <v>202.32116479679266</v>
          </cell>
          <cell r="T51">
            <v>201.3904874387274</v>
          </cell>
          <cell r="U51">
            <v>200.46409119650929</v>
          </cell>
          <cell r="V51">
            <v>199.54195637700533</v>
          </cell>
          <cell r="W51">
            <v>198.62406337767112</v>
          </cell>
          <cell r="X51">
            <v>197.71039268613379</v>
          </cell>
          <cell r="Y51">
            <v>196.8009248797776</v>
          </cell>
          <cell r="Z51">
            <v>195.8956406253306</v>
          </cell>
          <cell r="AA51">
            <v>194.99452067845405</v>
          </cell>
          <cell r="AB51">
            <v>194.09754588333314</v>
          </cell>
          <cell r="AC51">
            <v>193.20469717226982</v>
          </cell>
          <cell r="AD51">
            <v>192.31595556527733</v>
          </cell>
          <cell r="AE51">
            <v>191.43130216967708</v>
          </cell>
        </row>
        <row r="52">
          <cell r="G52" t="str">
            <v>RegionHigh End-RetailStock 2016</v>
          </cell>
          <cell r="H52" t="str">
            <v>Com</v>
          </cell>
          <cell r="I52" t="str">
            <v>High End-Retail</v>
          </cell>
          <cell r="J52" t="str">
            <v>Stock 2016</v>
          </cell>
          <cell r="K52" t="str">
            <v>Millions SqFt</v>
          </cell>
          <cell r="L52">
            <v>97.115689913224898</v>
          </cell>
          <cell r="M52">
            <v>96.668957739624062</v>
          </cell>
          <cell r="N52">
            <v>96.224280534021787</v>
          </cell>
          <cell r="O52">
            <v>95.781648843565293</v>
          </cell>
          <cell r="P52">
            <v>95.34105325888487</v>
          </cell>
          <cell r="Q52">
            <v>94.902484413894001</v>
          </cell>
          <cell r="R52">
            <v>94.465932985590086</v>
          </cell>
          <cell r="S52">
            <v>94.031389693856369</v>
          </cell>
          <cell r="T52">
            <v>93.598845301264618</v>
          </cell>
          <cell r="U52">
            <v>93.168290612878806</v>
          </cell>
          <cell r="V52">
            <v>92.739716476059556</v>
          </cell>
          <cell r="W52">
            <v>92.313113780269674</v>
          </cell>
          <cell r="X52">
            <v>91.888473456880433</v>
          </cell>
          <cell r="Y52">
            <v>91.465786478978771</v>
          </cell>
          <cell r="Z52">
            <v>91.045043861175472</v>
          </cell>
          <cell r="AA52">
            <v>90.626236659414062</v>
          </cell>
          <cell r="AB52">
            <v>90.209355970780734</v>
          </cell>
          <cell r="AC52">
            <v>89.794392933315152</v>
          </cell>
          <cell r="AD52">
            <v>89.381338725821905</v>
          </cell>
          <cell r="AE52">
            <v>88.97018456768312</v>
          </cell>
        </row>
        <row r="53">
          <cell r="G53" t="str">
            <v>RegionAnchor-RetailStock 2016</v>
          </cell>
          <cell r="H53" t="str">
            <v>Com</v>
          </cell>
          <cell r="I53" t="str">
            <v>Anchor-Retail</v>
          </cell>
          <cell r="J53" t="str">
            <v>Stock 2016</v>
          </cell>
          <cell r="K53" t="str">
            <v>Millions SqFt</v>
          </cell>
          <cell r="L53">
            <v>109.47966092768364</v>
          </cell>
          <cell r="M53">
            <v>108.97605448741629</v>
          </cell>
          <cell r="N53">
            <v>108.47476463677417</v>
          </cell>
          <cell r="O53">
            <v>107.975780719445</v>
          </cell>
          <cell r="P53">
            <v>107.47909212813555</v>
          </cell>
          <cell r="Q53">
            <v>106.98468830434612</v>
          </cell>
          <cell r="R53">
            <v>106.49255873814613</v>
          </cell>
          <cell r="S53">
            <v>106.00269296795065</v>
          </cell>
          <cell r="T53">
            <v>105.51508058029808</v>
          </cell>
          <cell r="U53">
            <v>105.0297112096287</v>
          </cell>
          <cell r="V53">
            <v>104.54657453806439</v>
          </cell>
          <cell r="W53">
            <v>104.0656602951893</v>
          </cell>
          <cell r="X53">
            <v>103.58695825783141</v>
          </cell>
          <cell r="Y53">
            <v>103.11045824984539</v>
          </cell>
          <cell r="Z53">
            <v>102.6361501418961</v>
          </cell>
          <cell r="AA53">
            <v>102.16402385124337</v>
          </cell>
          <cell r="AB53">
            <v>101.69406934152764</v>
          </cell>
          <cell r="AC53">
            <v>101.2262766225566</v>
          </cell>
          <cell r="AD53">
            <v>100.76063575009285</v>
          </cell>
          <cell r="AE53">
            <v>100.29713682564241</v>
          </cell>
        </row>
        <row r="54">
          <cell r="G54" t="str">
            <v>RegionK-12Stock 2016</v>
          </cell>
          <cell r="H54" t="str">
            <v>Com</v>
          </cell>
          <cell r="I54" t="str">
            <v>K-12</v>
          </cell>
          <cell r="J54" t="str">
            <v>Stock 2016</v>
          </cell>
          <cell r="K54" t="str">
            <v>Millions SqFt</v>
          </cell>
          <cell r="L54">
            <v>241.11763975818661</v>
          </cell>
          <cell r="M54">
            <v>240.12905743517803</v>
          </cell>
          <cell r="N54">
            <v>239.14452829969383</v>
          </cell>
          <cell r="O54">
            <v>238.16403573366509</v>
          </cell>
          <cell r="P54">
            <v>237.18756318715711</v>
          </cell>
          <cell r="Q54">
            <v>236.21509417808971</v>
          </cell>
          <cell r="R54">
            <v>235.24661229195956</v>
          </cell>
          <cell r="S54">
            <v>234.28210118156252</v>
          </cell>
          <cell r="T54">
            <v>233.32154456671807</v>
          </cell>
          <cell r="U54">
            <v>232.36492623399457</v>
          </cell>
          <cell r="V54">
            <v>231.41223003643518</v>
          </cell>
          <cell r="W54">
            <v>230.46343989328579</v>
          </cell>
          <cell r="X54">
            <v>229.51853978972335</v>
          </cell>
          <cell r="Y54">
            <v>228.57751377658545</v>
          </cell>
          <cell r="Z54">
            <v>227.64034597010144</v>
          </cell>
          <cell r="AA54">
            <v>226.70702055162403</v>
          </cell>
          <cell r="AB54">
            <v>225.77752176736234</v>
          </cell>
          <cell r="AC54">
            <v>224.85183392811618</v>
          </cell>
          <cell r="AD54">
            <v>223.92994140901092</v>
          </cell>
          <cell r="AE54">
            <v>223.01182864923393</v>
          </cell>
        </row>
        <row r="55">
          <cell r="G55" t="str">
            <v>RegionUniversityStock 2016</v>
          </cell>
          <cell r="H55" t="str">
            <v>Com</v>
          </cell>
          <cell r="I55" t="str">
            <v>University</v>
          </cell>
          <cell r="J55" t="str">
            <v>Stock 2016</v>
          </cell>
          <cell r="K55" t="str">
            <v>Millions SqFt</v>
          </cell>
          <cell r="L55">
            <v>122.15340627232256</v>
          </cell>
          <cell r="M55">
            <v>121.65257730660603</v>
          </cell>
          <cell r="N55">
            <v>121.15380173964894</v>
          </cell>
          <cell r="O55">
            <v>120.65707115251638</v>
          </cell>
          <cell r="P55">
            <v>120.16237716079107</v>
          </cell>
          <cell r="Q55">
            <v>119.66971141443182</v>
          </cell>
          <cell r="R55">
            <v>119.17906559763266</v>
          </cell>
          <cell r="S55">
            <v>118.69043142868237</v>
          </cell>
          <cell r="T55">
            <v>118.20380065982476</v>
          </cell>
          <cell r="U55">
            <v>117.71916507711948</v>
          </cell>
          <cell r="V55">
            <v>117.23651650030328</v>
          </cell>
          <cell r="W55">
            <v>116.75584678265207</v>
          </cell>
          <cell r="X55">
            <v>116.27714781084319</v>
          </cell>
          <cell r="Y55">
            <v>115.80041150481873</v>
          </cell>
          <cell r="Z55">
            <v>115.32562981764897</v>
          </cell>
          <cell r="AA55">
            <v>114.8527947353966</v>
          </cell>
          <cell r="AB55">
            <v>114.38189827698147</v>
          </cell>
          <cell r="AC55">
            <v>113.91293249404585</v>
          </cell>
          <cell r="AD55">
            <v>113.44588947082025</v>
          </cell>
          <cell r="AE55">
            <v>112.98076132398991</v>
          </cell>
        </row>
        <row r="56">
          <cell r="G56" t="str">
            <v>RegionWarehouseStock 2016</v>
          </cell>
          <cell r="H56" t="str">
            <v>Com</v>
          </cell>
          <cell r="I56" t="str">
            <v>Warehouse</v>
          </cell>
          <cell r="J56" t="str">
            <v>Stock 2016</v>
          </cell>
          <cell r="K56" t="str">
            <v>Millions SqFt</v>
          </cell>
          <cell r="L56">
            <v>448.69829599576161</v>
          </cell>
          <cell r="M56">
            <v>447.03811230057732</v>
          </cell>
          <cell r="N56">
            <v>445.3840712850652</v>
          </cell>
          <cell r="O56">
            <v>443.73615022131042</v>
          </cell>
          <cell r="P56">
            <v>442.09432646549152</v>
          </cell>
          <cell r="Q56">
            <v>440.45857745756916</v>
          </cell>
          <cell r="R56">
            <v>438.82888072097626</v>
          </cell>
          <cell r="S56">
            <v>437.2052138623086</v>
          </cell>
          <cell r="T56">
            <v>435.58755457101802</v>
          </cell>
          <cell r="U56">
            <v>433.97588061910528</v>
          </cell>
          <cell r="V56">
            <v>432.37016986081449</v>
          </cell>
          <cell r="W56">
            <v>430.77040023232951</v>
          </cell>
          <cell r="X56">
            <v>429.17654975146979</v>
          </cell>
          <cell r="Y56">
            <v>427.58859651738936</v>
          </cell>
          <cell r="Z56">
            <v>426.00651871027503</v>
          </cell>
          <cell r="AA56">
            <v>424.43029459104702</v>
          </cell>
          <cell r="AB56">
            <v>422.85990250106011</v>
          </cell>
          <cell r="AC56">
            <v>421.2953208618062</v>
          </cell>
          <cell r="AD56">
            <v>419.73652817461749</v>
          </cell>
          <cell r="AE56">
            <v>418.18350302037135</v>
          </cell>
        </row>
        <row r="57">
          <cell r="G57" t="str">
            <v>RegionSupermarketStock 2016</v>
          </cell>
          <cell r="H57" t="str">
            <v>Com</v>
          </cell>
          <cell r="I57" t="str">
            <v>Supermarket</v>
          </cell>
          <cell r="J57" t="str">
            <v>Stock 2016</v>
          </cell>
          <cell r="K57" t="str">
            <v>Millions SqFt</v>
          </cell>
          <cell r="L57">
            <v>53.720939527021244</v>
          </cell>
          <cell r="M57">
            <v>53.237451071278059</v>
          </cell>
          <cell r="N57">
            <v>52.758314011636557</v>
          </cell>
          <cell r="O57">
            <v>52.283489185531828</v>
          </cell>
          <cell r="P57">
            <v>51.812937782862043</v>
          </cell>
          <cell r="Q57">
            <v>51.346621342816277</v>
          </cell>
          <cell r="R57">
            <v>50.884501750730934</v>
          </cell>
          <cell r="S57">
            <v>50.426541234974358</v>
          </cell>
          <cell r="T57">
            <v>49.97270236385959</v>
          </cell>
          <cell r="U57">
            <v>49.522948042584851</v>
          </cell>
          <cell r="V57">
            <v>49.077241510201581</v>
          </cell>
          <cell r="W57">
            <v>48.635546336609778</v>
          </cell>
          <cell r="X57">
            <v>48.197826419580288</v>
          </cell>
          <cell r="Y57">
            <v>47.76404598180406</v>
          </cell>
          <cell r="Z57">
            <v>47.33416956796782</v>
          </cell>
          <cell r="AA57">
            <v>46.908162041856116</v>
          </cell>
          <cell r="AB57">
            <v>46.485988583479411</v>
          </cell>
          <cell r="AC57">
            <v>46.067614686228097</v>
          </cell>
          <cell r="AD57">
            <v>45.653006154052044</v>
          </cell>
          <cell r="AE57">
            <v>45.242129098665572</v>
          </cell>
        </row>
        <row r="58">
          <cell r="G58" t="str">
            <v>RegionMiniMartStock 2016</v>
          </cell>
          <cell r="H58" t="str">
            <v>Com</v>
          </cell>
          <cell r="I58" t="str">
            <v>MiniMart</v>
          </cell>
          <cell r="J58" t="str">
            <v>Stock 2016</v>
          </cell>
          <cell r="K58" t="str">
            <v>Millions SqFt</v>
          </cell>
          <cell r="L58">
            <v>22.491017060912501</v>
          </cell>
          <cell r="M58">
            <v>22.384859460384995</v>
          </cell>
          <cell r="N58">
            <v>22.279202923731983</v>
          </cell>
          <cell r="O58">
            <v>22.174045085931969</v>
          </cell>
          <cell r="P58">
            <v>22.069383593126368</v>
          </cell>
          <cell r="Q58">
            <v>21.965216102566814</v>
          </cell>
          <cell r="R58">
            <v>21.8615402825627</v>
          </cell>
          <cell r="S58">
            <v>21.758353812429004</v>
          </cell>
          <cell r="T58">
            <v>21.655654382434342</v>
          </cell>
          <cell r="U58">
            <v>21.553439693749251</v>
          </cell>
          <cell r="V58">
            <v>21.451707458394754</v>
          </cell>
          <cell r="W58">
            <v>21.350455399191134</v>
          </cell>
          <cell r="X58">
            <v>21.249681249706953</v>
          </cell>
          <cell r="Y58">
            <v>21.149382754208336</v>
          </cell>
          <cell r="Z58">
            <v>21.049557667608472</v>
          </cell>
          <cell r="AA58">
            <v>20.950203755417366</v>
          </cell>
          <cell r="AB58">
            <v>20.851318793691796</v>
          </cell>
          <cell r="AC58">
            <v>20.75290056898557</v>
          </cell>
          <cell r="AD58">
            <v>20.654946878299963</v>
          </cell>
          <cell r="AE58">
            <v>20.557455529034385</v>
          </cell>
        </row>
        <row r="59">
          <cell r="G59" t="str">
            <v>RegionRestaurantStock 2016</v>
          </cell>
          <cell r="H59" t="str">
            <v>Com</v>
          </cell>
          <cell r="I59" t="str">
            <v>Restaurant</v>
          </cell>
          <cell r="J59" t="str">
            <v>Stock 2016</v>
          </cell>
          <cell r="K59" t="str">
            <v>Millions SqFt</v>
          </cell>
          <cell r="L59">
            <v>51.550857208753726</v>
          </cell>
          <cell r="M59">
            <v>51.307537162728408</v>
          </cell>
          <cell r="N59">
            <v>51.065365587320336</v>
          </cell>
          <cell r="O59">
            <v>50.824337061748189</v>
          </cell>
          <cell r="P59">
            <v>50.584446190816735</v>
          </cell>
          <cell r="Q59">
            <v>50.345687604796083</v>
          </cell>
          <cell r="R59">
            <v>50.108055959301453</v>
          </cell>
          <cell r="S59">
            <v>49.871545935173543</v>
          </cell>
          <cell r="T59">
            <v>49.636152238359529</v>
          </cell>
          <cell r="U59">
            <v>49.40186959979448</v>
          </cell>
          <cell r="V59">
            <v>49.168692775283453</v>
          </cell>
          <cell r="W59">
            <v>48.936616545384119</v>
          </cell>
          <cell r="X59">
            <v>48.705635715289908</v>
          </cell>
          <cell r="Y59">
            <v>48.475745114713739</v>
          </cell>
          <cell r="Z59">
            <v>48.246939597772297</v>
          </cell>
          <cell r="AA59">
            <v>48.019214042870807</v>
          </cell>
          <cell r="AB59">
            <v>47.792563352588466</v>
          </cell>
          <cell r="AC59">
            <v>47.56698245356425</v>
          </cell>
          <cell r="AD59">
            <v>47.342466296383435</v>
          </cell>
          <cell r="AE59">
            <v>47.119009855464505</v>
          </cell>
        </row>
        <row r="60">
          <cell r="G60" t="str">
            <v>RegionLodgingStock 2016</v>
          </cell>
          <cell r="H60" t="str">
            <v>Com</v>
          </cell>
          <cell r="I60" t="str">
            <v>Lodging</v>
          </cell>
          <cell r="J60" t="str">
            <v>Stock 2016</v>
          </cell>
          <cell r="K60" t="str">
            <v>Millions SqFt</v>
          </cell>
          <cell r="L60">
            <v>170.15189589049527</v>
          </cell>
          <cell r="M60">
            <v>169.74353134035809</v>
          </cell>
          <cell r="N60">
            <v>169.33614686514122</v>
          </cell>
          <cell r="O60">
            <v>168.92974011266489</v>
          </cell>
          <cell r="P60">
            <v>168.52430873639449</v>
          </cell>
          <cell r="Q60">
            <v>168.11985039542716</v>
          </cell>
          <cell r="R60">
            <v>167.71636275447813</v>
          </cell>
          <cell r="S60">
            <v>167.31384348386743</v>
          </cell>
          <cell r="T60">
            <v>166.91229025950614</v>
          </cell>
          <cell r="U60">
            <v>166.51170076288332</v>
          </cell>
          <cell r="V60">
            <v>166.11207268105238</v>
          </cell>
          <cell r="W60">
            <v>165.7134037066179</v>
          </cell>
          <cell r="X60">
            <v>165.31569153772202</v>
          </cell>
          <cell r="Y60">
            <v>164.91893387803151</v>
          </cell>
          <cell r="Z60">
            <v>164.52312843672422</v>
          </cell>
          <cell r="AA60">
            <v>164.12827292847609</v>
          </cell>
          <cell r="AB60">
            <v>163.73436507344778</v>
          </cell>
          <cell r="AC60">
            <v>163.3414025972715</v>
          </cell>
          <cell r="AD60">
            <v>162.94938323103807</v>
          </cell>
          <cell r="AE60">
            <v>162.55830471128357</v>
          </cell>
        </row>
        <row r="61">
          <cell r="G61" t="str">
            <v>RegionHospitalStock 2016</v>
          </cell>
          <cell r="H61" t="str">
            <v>Com</v>
          </cell>
          <cell r="I61" t="str">
            <v>Hospital</v>
          </cell>
          <cell r="J61" t="str">
            <v>Stock 2016</v>
          </cell>
          <cell r="K61" t="str">
            <v>Millions SqFt</v>
          </cell>
          <cell r="L61">
            <v>105.02947953487826</v>
          </cell>
          <cell r="M61">
            <v>104.80891762785501</v>
          </cell>
          <cell r="N61">
            <v>104.58881890083651</v>
          </cell>
          <cell r="O61">
            <v>104.36918238114475</v>
          </cell>
          <cell r="P61">
            <v>104.15000709814436</v>
          </cell>
          <cell r="Q61">
            <v>103.93129208323826</v>
          </cell>
          <cell r="R61">
            <v>103.71303636986346</v>
          </cell>
          <cell r="S61">
            <v>103.49523899348674</v>
          </cell>
          <cell r="T61">
            <v>103.27789899160042</v>
          </cell>
          <cell r="U61">
            <v>103.06101540371807</v>
          </cell>
          <cell r="V61">
            <v>102.84458727137024</v>
          </cell>
          <cell r="W61">
            <v>102.62861363810038</v>
          </cell>
          <cell r="X61">
            <v>102.41309354946036</v>
          </cell>
          <cell r="Y61">
            <v>102.19802605300649</v>
          </cell>
          <cell r="Z61">
            <v>101.98341019829519</v>
          </cell>
          <cell r="AA61">
            <v>101.76924503687877</v>
          </cell>
          <cell r="AB61">
            <v>101.55552962230132</v>
          </cell>
          <cell r="AC61">
            <v>101.3422630100945</v>
          </cell>
          <cell r="AD61">
            <v>101.1294442577733</v>
          </cell>
          <cell r="AE61">
            <v>100.91707242483197</v>
          </cell>
        </row>
        <row r="62">
          <cell r="G62" t="str">
            <v>RegionOtherHealthStock 2016</v>
          </cell>
          <cell r="H62" t="str">
            <v>Com</v>
          </cell>
          <cell r="I62" t="str">
            <v>OtherHealth</v>
          </cell>
          <cell r="J62" t="str">
            <v>Stock 2016</v>
          </cell>
          <cell r="K62" t="str">
            <v>Millions SqFt</v>
          </cell>
          <cell r="L62">
            <v>128.74820917277606</v>
          </cell>
          <cell r="M62">
            <v>128.43921347076139</v>
          </cell>
          <cell r="N62">
            <v>128.1309593584316</v>
          </cell>
          <cell r="O62">
            <v>127.82344505597135</v>
          </cell>
          <cell r="P62">
            <v>127.51666878783702</v>
          </cell>
          <cell r="Q62">
            <v>127.21062878274621</v>
          </cell>
          <cell r="R62">
            <v>126.90532327366765</v>
          </cell>
          <cell r="S62">
            <v>126.60075049781085</v>
          </cell>
          <cell r="T62">
            <v>126.29690869661611</v>
          </cell>
          <cell r="U62">
            <v>125.99379611574425</v>
          </cell>
          <cell r="V62">
            <v>125.69141100506647</v>
          </cell>
          <cell r="W62">
            <v>125.3897516186543</v>
          </cell>
          <cell r="X62">
            <v>125.08881621476955</v>
          </cell>
          <cell r="Y62">
            <v>124.78860305585408</v>
          </cell>
          <cell r="Z62">
            <v>124.48911040852005</v>
          </cell>
          <cell r="AA62">
            <v>124.1903365435396</v>
          </cell>
          <cell r="AB62">
            <v>123.8922797358351</v>
          </cell>
          <cell r="AC62">
            <v>123.59493826446912</v>
          </cell>
          <cell r="AD62">
            <v>123.29831041263438</v>
          </cell>
          <cell r="AE62">
            <v>123.00239446764408</v>
          </cell>
        </row>
        <row r="63">
          <cell r="G63" t="str">
            <v>RegionAssemblyStock 2016</v>
          </cell>
          <cell r="H63" t="str">
            <v>Com</v>
          </cell>
          <cell r="I63" t="str">
            <v>Assembly</v>
          </cell>
          <cell r="J63" t="str">
            <v>Stock 2016</v>
          </cell>
          <cell r="K63" t="str">
            <v>Millions SqFt</v>
          </cell>
          <cell r="L63">
            <v>375.90224900649127</v>
          </cell>
          <cell r="M63">
            <v>374.21570091594884</v>
          </cell>
          <cell r="N63">
            <v>372.53671980450594</v>
          </cell>
          <cell r="O63">
            <v>370.86527172164978</v>
          </cell>
          <cell r="P63">
            <v>369.20132286919198</v>
          </cell>
          <cell r="Q63">
            <v>367.54483960058553</v>
          </cell>
          <cell r="R63">
            <v>365.89578842024423</v>
          </cell>
          <cell r="S63">
            <v>364.25413598286536</v>
          </cell>
          <cell r="T63">
            <v>362.6198490927556</v>
          </cell>
          <cell r="U63">
            <v>360.99289470315949</v>
          </cell>
          <cell r="V63">
            <v>359.37323991559134</v>
          </cell>
          <cell r="W63">
            <v>357.76085197917007</v>
          </cell>
          <cell r="X63">
            <v>356.15569828995689</v>
          </cell>
          <cell r="Y63">
            <v>354.55774639029596</v>
          </cell>
          <cell r="Z63">
            <v>352.96696396815821</v>
          </cell>
          <cell r="AA63">
            <v>351.38331885648773</v>
          </cell>
          <cell r="AB63">
            <v>349.80677903255156</v>
          </cell>
          <cell r="AC63">
            <v>348.23731261729228</v>
          </cell>
          <cell r="AD63">
            <v>346.67488787468267</v>
          </cell>
          <cell r="AE63">
            <v>345.11947321108494</v>
          </cell>
        </row>
        <row r="64">
          <cell r="G64" t="str">
            <v>RegionOtherStock 2016</v>
          </cell>
          <cell r="H64" t="str">
            <v>Com</v>
          </cell>
          <cell r="I64" t="str">
            <v>Other</v>
          </cell>
          <cell r="J64" t="str">
            <v>Stock 2016</v>
          </cell>
          <cell r="K64" t="str">
            <v>Millions SqFt</v>
          </cell>
          <cell r="L64">
            <v>342.64988330108076</v>
          </cell>
          <cell r="M64">
            <v>339.56603435137106</v>
          </cell>
          <cell r="N64">
            <v>336.50994004220871</v>
          </cell>
          <cell r="O64">
            <v>333.48135058182885</v>
          </cell>
          <cell r="P64">
            <v>330.48001842659238</v>
          </cell>
          <cell r="Q64">
            <v>327.50569826075304</v>
          </cell>
          <cell r="R64">
            <v>324.55814697640625</v>
          </cell>
          <cell r="S64">
            <v>321.63712365361863</v>
          </cell>
          <cell r="T64">
            <v>318.7423895407361</v>
          </cell>
          <cell r="U64">
            <v>315.87370803486942</v>
          </cell>
          <cell r="V64">
            <v>313.03084466255564</v>
          </cell>
          <cell r="W64">
            <v>310.21356706059254</v>
          </cell>
          <cell r="X64">
            <v>307.42164495704725</v>
          </cell>
          <cell r="Y64">
            <v>304.65485015243382</v>
          </cell>
          <cell r="Z64">
            <v>301.9129565010619</v>
          </cell>
          <cell r="AA64">
            <v>299.19573989255235</v>
          </cell>
          <cell r="AB64">
            <v>296.50297823351934</v>
          </cell>
          <cell r="AC64">
            <v>293.83445142941764</v>
          </cell>
          <cell r="AD64">
            <v>291.18994136655289</v>
          </cell>
          <cell r="AE64">
            <v>288.5692318942539</v>
          </cell>
        </row>
      </sheetData>
      <sheetData sheetId="2">
        <row r="3">
          <cell r="H3">
            <v>100</v>
          </cell>
        </row>
        <row r="4">
          <cell r="H4">
            <v>100</v>
          </cell>
        </row>
      </sheetData>
      <sheetData sheetId="3">
        <row r="24">
          <cell r="G24">
            <v>19224</v>
          </cell>
          <cell r="H24">
            <v>20881</v>
          </cell>
          <cell r="I24">
            <v>22030</v>
          </cell>
          <cell r="J24">
            <v>26693</v>
          </cell>
          <cell r="K24">
            <v>29534</v>
          </cell>
          <cell r="L24">
            <v>25256</v>
          </cell>
          <cell r="M24">
            <v>32825</v>
          </cell>
          <cell r="N24">
            <v>33591</v>
          </cell>
          <cell r="O24">
            <v>34363</v>
          </cell>
          <cell r="P24">
            <v>28330</v>
          </cell>
          <cell r="Q24">
            <v>28658</v>
          </cell>
          <cell r="R24">
            <v>28846</v>
          </cell>
          <cell r="S24">
            <v>29714</v>
          </cell>
          <cell r="T24">
            <v>28101</v>
          </cell>
          <cell r="U24">
            <v>25350</v>
          </cell>
          <cell r="V24">
            <v>26054</v>
          </cell>
          <cell r="W24">
            <v>30098</v>
          </cell>
          <cell r="X24">
            <v>34243</v>
          </cell>
          <cell r="Y24">
            <v>36326</v>
          </cell>
          <cell r="Z24">
            <v>40247</v>
          </cell>
          <cell r="AA24">
            <v>36985</v>
          </cell>
          <cell r="AB24">
            <v>30373</v>
          </cell>
          <cell r="AC24">
            <v>18826</v>
          </cell>
          <cell r="AD24">
            <v>13391</v>
          </cell>
          <cell r="AE24">
            <v>14886</v>
          </cell>
        </row>
        <row r="25">
          <cell r="G25">
            <v>14869.183557824352</v>
          </cell>
          <cell r="H25">
            <v>15220.21190520253</v>
          </cell>
          <cell r="I25">
            <v>18940.327900324999</v>
          </cell>
          <cell r="J25">
            <v>18837.087988326672</v>
          </cell>
          <cell r="K25">
            <v>17883.866659845167</v>
          </cell>
          <cell r="L25">
            <v>8123.2235993523336</v>
          </cell>
          <cell r="M25">
            <v>7903.1488702815295</v>
          </cell>
          <cell r="N25">
            <v>7592.1801314599406</v>
          </cell>
          <cell r="O25">
            <v>9401.6361134168346</v>
          </cell>
          <cell r="P25">
            <v>9701.2779324751245</v>
          </cell>
          <cell r="Q25">
            <v>11104.526723200062</v>
          </cell>
          <cell r="R25">
            <v>10897.632074550364</v>
          </cell>
          <cell r="S25">
            <v>12645.60766842474</v>
          </cell>
          <cell r="T25">
            <v>11965.262831791384</v>
          </cell>
          <cell r="U25">
            <v>10483.919915783859</v>
          </cell>
          <cell r="V25">
            <v>9971.9026959155963</v>
          </cell>
          <cell r="W25">
            <v>7253.9578552287549</v>
          </cell>
          <cell r="X25">
            <v>7119.6062546632547</v>
          </cell>
          <cell r="Y25">
            <v>7985.0504417912043</v>
          </cell>
          <cell r="Z25">
            <v>8677.2745487052198</v>
          </cell>
          <cell r="AA25">
            <v>9569.5883473366248</v>
          </cell>
          <cell r="AB25">
            <v>10771.842399662728</v>
          </cell>
          <cell r="AC25">
            <v>8763.9200796845034</v>
          </cell>
          <cell r="AD25">
            <v>2981.3702838569475</v>
          </cell>
          <cell r="AE25">
            <v>3522.5521445353306</v>
          </cell>
        </row>
        <row r="26">
          <cell r="G26">
            <v>968.81644217564758</v>
          </cell>
          <cell r="H26">
            <v>1167.7880947974693</v>
          </cell>
          <cell r="I26">
            <v>1180.6720996750003</v>
          </cell>
          <cell r="J26">
            <v>1129.91201167333</v>
          </cell>
          <cell r="K26">
            <v>657.13334015483224</v>
          </cell>
          <cell r="L26">
            <v>654.77640064766615</v>
          </cell>
          <cell r="M26">
            <v>652.8511297184707</v>
          </cell>
          <cell r="N26">
            <v>756.81986854005959</v>
          </cell>
          <cell r="O26">
            <v>787.36388658316514</v>
          </cell>
          <cell r="P26">
            <v>872.72206752487591</v>
          </cell>
          <cell r="Q26">
            <v>879.4732767999385</v>
          </cell>
          <cell r="R26">
            <v>984.36792544963578</v>
          </cell>
          <cell r="S26">
            <v>957.39233157526019</v>
          </cell>
          <cell r="T26">
            <v>887.73716820861637</v>
          </cell>
          <cell r="U26">
            <v>863.08008421613988</v>
          </cell>
          <cell r="V26">
            <v>722.09730408440362</v>
          </cell>
          <cell r="W26">
            <v>726.04214477124526</v>
          </cell>
          <cell r="X26">
            <v>786.3937453367455</v>
          </cell>
          <cell r="Y26">
            <v>838.94955820879602</v>
          </cell>
          <cell r="Z26">
            <v>904.72545129478021</v>
          </cell>
          <cell r="AA26">
            <v>978.41165266337521</v>
          </cell>
          <cell r="AB26">
            <v>852.15760033727156</v>
          </cell>
          <cell r="AC26">
            <v>520.07992031549577</v>
          </cell>
          <cell r="AD26">
            <v>564.62971614305252</v>
          </cell>
          <cell r="AE26">
            <v>705.44785546466926</v>
          </cell>
        </row>
        <row r="27">
          <cell r="G27">
            <v>4550</v>
          </cell>
          <cell r="H27">
            <v>3873</v>
          </cell>
          <cell r="I27">
            <v>4184</v>
          </cell>
          <cell r="J27">
            <v>4397</v>
          </cell>
          <cell r="K27">
            <v>5645</v>
          </cell>
          <cell r="L27">
            <v>5353</v>
          </cell>
          <cell r="M27">
            <v>5964</v>
          </cell>
          <cell r="N27">
            <v>6849</v>
          </cell>
          <cell r="O27">
            <v>7332</v>
          </cell>
          <cell r="P27">
            <v>7252</v>
          </cell>
          <cell r="Q27">
            <v>6257</v>
          </cell>
          <cell r="R27">
            <v>6419</v>
          </cell>
          <cell r="S27">
            <v>6874</v>
          </cell>
          <cell r="T27">
            <v>5339</v>
          </cell>
          <cell r="U27">
            <v>3853</v>
          </cell>
          <cell r="V27">
            <v>2971</v>
          </cell>
          <cell r="W27">
            <v>2933</v>
          </cell>
          <cell r="X27">
            <v>2868</v>
          </cell>
          <cell r="Y27">
            <v>2705</v>
          </cell>
          <cell r="Z27">
            <v>2723</v>
          </cell>
          <cell r="AA27">
            <v>2653</v>
          </cell>
          <cell r="AB27">
            <v>2063</v>
          </cell>
          <cell r="AC27">
            <v>1621</v>
          </cell>
          <cell r="AD27">
            <v>859</v>
          </cell>
          <cell r="AE27">
            <v>681</v>
          </cell>
        </row>
        <row r="34">
          <cell r="G34">
            <v>2868</v>
          </cell>
          <cell r="H34">
            <v>2692</v>
          </cell>
          <cell r="I34">
            <v>2813</v>
          </cell>
          <cell r="J34">
            <v>3536</v>
          </cell>
          <cell r="K34">
            <v>4754</v>
          </cell>
          <cell r="L34">
            <v>5803</v>
          </cell>
          <cell r="M34">
            <v>8453</v>
          </cell>
          <cell r="N34">
            <v>9522</v>
          </cell>
          <cell r="O34">
            <v>10120</v>
          </cell>
          <cell r="P34">
            <v>8784</v>
          </cell>
          <cell r="Q34">
            <v>9538</v>
          </cell>
          <cell r="R34">
            <v>9107</v>
          </cell>
          <cell r="S34">
            <v>10575</v>
          </cell>
          <cell r="T34">
            <v>10544</v>
          </cell>
          <cell r="U34">
            <v>9631</v>
          </cell>
          <cell r="V34">
            <v>9441</v>
          </cell>
          <cell r="W34">
            <v>10730</v>
          </cell>
          <cell r="X34">
            <v>12976</v>
          </cell>
          <cell r="Y34">
            <v>15094</v>
          </cell>
          <cell r="Z34">
            <v>18771</v>
          </cell>
          <cell r="AA34">
            <v>15444</v>
          </cell>
          <cell r="AB34">
            <v>9693</v>
          </cell>
          <cell r="AC34">
            <v>6027</v>
          </cell>
          <cell r="AD34">
            <v>4336</v>
          </cell>
          <cell r="AE34">
            <v>3706</v>
          </cell>
        </row>
        <row r="35">
          <cell r="G35">
            <v>848.82991832591654</v>
          </cell>
          <cell r="H35">
            <v>518.17882714524762</v>
          </cell>
          <cell r="I35">
            <v>288.37484437276629</v>
          </cell>
          <cell r="J35">
            <v>818.68632809921849</v>
          </cell>
          <cell r="K35">
            <v>922.54881309467987</v>
          </cell>
          <cell r="L35">
            <v>713.12107820425172</v>
          </cell>
          <cell r="M35">
            <v>1322.6430437243826</v>
          </cell>
          <cell r="N35">
            <v>1874.8440142054371</v>
          </cell>
          <cell r="O35">
            <v>2484.0690897878753</v>
          </cell>
          <cell r="P35">
            <v>1754.5624245646084</v>
          </cell>
          <cell r="Q35">
            <v>1502.6818009503679</v>
          </cell>
          <cell r="R35">
            <v>1099.0598706051132</v>
          </cell>
          <cell r="S35">
            <v>998.51700550573537</v>
          </cell>
          <cell r="T35">
            <v>1279.6542411025091</v>
          </cell>
          <cell r="U35">
            <v>931.97705912690287</v>
          </cell>
          <cell r="V35">
            <v>1416.4873706075907</v>
          </cell>
          <cell r="W35">
            <v>1622.1096316302473</v>
          </cell>
          <cell r="X35">
            <v>1725.2037386728252</v>
          </cell>
          <cell r="Y35">
            <v>1627.7922787378966</v>
          </cell>
          <cell r="Z35">
            <v>1461.0310065714518</v>
          </cell>
          <cell r="AA35">
            <v>1503.1641209172849</v>
          </cell>
          <cell r="AB35">
            <v>1434.6085653222435</v>
          </cell>
          <cell r="AC35">
            <v>616.53672479350837</v>
          </cell>
          <cell r="AD35">
            <v>410.6655928821981</v>
          </cell>
          <cell r="AE35">
            <v>283.5340494616637</v>
          </cell>
        </row>
        <row r="36">
          <cell r="G36">
            <v>45.170081674083427</v>
          </cell>
          <cell r="H36">
            <v>35.82117285475239</v>
          </cell>
          <cell r="I36">
            <v>62.625155627233696</v>
          </cell>
          <cell r="J36">
            <v>68.313671900781529</v>
          </cell>
          <cell r="K36">
            <v>60.451186905320142</v>
          </cell>
          <cell r="L36">
            <v>93.878921795748312</v>
          </cell>
          <cell r="M36">
            <v>125.35695627561738</v>
          </cell>
          <cell r="N36">
            <v>157.15598579456281</v>
          </cell>
          <cell r="O36">
            <v>120.93091021212476</v>
          </cell>
          <cell r="P36">
            <v>108.43757543539168</v>
          </cell>
          <cell r="Q36">
            <v>88.318199049632</v>
          </cell>
          <cell r="R36">
            <v>84.940129394886824</v>
          </cell>
          <cell r="S36">
            <v>100.48299449426467</v>
          </cell>
          <cell r="T36">
            <v>84.345758897490967</v>
          </cell>
          <cell r="U36">
            <v>113.02294087309717</v>
          </cell>
          <cell r="V36">
            <v>126.51262939240925</v>
          </cell>
          <cell r="W36">
            <v>133.89036836975254</v>
          </cell>
          <cell r="X36">
            <v>129.79626132717482</v>
          </cell>
          <cell r="Y36">
            <v>122.20772126210333</v>
          </cell>
          <cell r="Z36">
            <v>125.96899342854817</v>
          </cell>
          <cell r="AA36">
            <v>120.8358790827151</v>
          </cell>
          <cell r="AB36">
            <v>73.391434677756436</v>
          </cell>
          <cell r="AC36">
            <v>61.463275206491645</v>
          </cell>
          <cell r="AD36">
            <v>55.334407117801909</v>
          </cell>
          <cell r="AE36">
            <v>72.465950538336273</v>
          </cell>
        </row>
        <row r="37">
          <cell r="G37">
            <v>838</v>
          </cell>
          <cell r="H37">
            <v>605</v>
          </cell>
          <cell r="I37">
            <v>572</v>
          </cell>
          <cell r="J37">
            <v>703</v>
          </cell>
          <cell r="K37">
            <v>820</v>
          </cell>
          <cell r="L37">
            <v>1089</v>
          </cell>
          <cell r="M37">
            <v>1696</v>
          </cell>
          <cell r="N37">
            <v>2779</v>
          </cell>
          <cell r="O37">
            <v>3712</v>
          </cell>
          <cell r="P37">
            <v>3167</v>
          </cell>
          <cell r="Q37">
            <v>2635</v>
          </cell>
          <cell r="R37">
            <v>2634</v>
          </cell>
          <cell r="S37">
            <v>2980</v>
          </cell>
          <cell r="T37">
            <v>2343</v>
          </cell>
          <cell r="U37">
            <v>1317</v>
          </cell>
          <cell r="V37">
            <v>998</v>
          </cell>
          <cell r="W37">
            <v>1042</v>
          </cell>
          <cell r="X37">
            <v>785</v>
          </cell>
          <cell r="Y37">
            <v>765</v>
          </cell>
          <cell r="Z37">
            <v>798</v>
          </cell>
          <cell r="AA37">
            <v>849</v>
          </cell>
          <cell r="AB37">
            <v>721</v>
          </cell>
          <cell r="AC37">
            <v>526</v>
          </cell>
          <cell r="AD37">
            <v>273</v>
          </cell>
          <cell r="AE37">
            <v>283</v>
          </cell>
        </row>
        <row r="44">
          <cell r="G44">
            <v>972.4</v>
          </cell>
          <cell r="H44">
            <v>825.5</v>
          </cell>
          <cell r="I44">
            <v>730.6</v>
          </cell>
          <cell r="J44">
            <v>696.80000000000007</v>
          </cell>
          <cell r="K44">
            <v>925.6</v>
          </cell>
          <cell r="L44">
            <v>1349.4</v>
          </cell>
          <cell r="M44">
            <v>2454.4</v>
          </cell>
          <cell r="N44">
            <v>2601.3000000000002</v>
          </cell>
          <cell r="O44">
            <v>2906.8</v>
          </cell>
          <cell r="P44">
            <v>2382.9</v>
          </cell>
          <cell r="Q44">
            <v>2070.9</v>
          </cell>
          <cell r="R44">
            <v>1963</v>
          </cell>
          <cell r="S44">
            <v>1986.4</v>
          </cell>
          <cell r="T44">
            <v>2096.9</v>
          </cell>
          <cell r="U44">
            <v>2020.2</v>
          </cell>
          <cell r="V44">
            <v>2246.4</v>
          </cell>
          <cell r="W44">
            <v>2694.9</v>
          </cell>
          <cell r="X44">
            <v>3138.2000000000003</v>
          </cell>
          <cell r="Y44">
            <v>4468.1000000000004</v>
          </cell>
          <cell r="Z44">
            <v>4390.1000000000004</v>
          </cell>
          <cell r="AA44">
            <v>4347.2</v>
          </cell>
          <cell r="AB44">
            <v>3862.3</v>
          </cell>
          <cell r="AC44">
            <v>2616.9</v>
          </cell>
          <cell r="AD44">
            <v>1831.7</v>
          </cell>
          <cell r="AE44">
            <v>1666.6000000000001</v>
          </cell>
        </row>
        <row r="45">
          <cell r="G45">
            <v>474.93825094095956</v>
          </cell>
          <cell r="H45">
            <v>125.55342428746027</v>
          </cell>
          <cell r="I45">
            <v>239.38975865025668</v>
          </cell>
          <cell r="J45">
            <v>86.494038342320181</v>
          </cell>
          <cell r="K45">
            <v>253.07778115310504</v>
          </cell>
          <cell r="L45">
            <v>443.40968982992769</v>
          </cell>
          <cell r="M45">
            <v>238.40668933003624</v>
          </cell>
          <cell r="N45">
            <v>450.83862929341456</v>
          </cell>
          <cell r="O45">
            <v>732.37259269994001</v>
          </cell>
          <cell r="P45">
            <v>865.92745922778568</v>
          </cell>
          <cell r="Q45">
            <v>1098.5131099856153</v>
          </cell>
          <cell r="R45">
            <v>785.96545249482699</v>
          </cell>
          <cell r="S45">
            <v>745.40877474760293</v>
          </cell>
          <cell r="T45">
            <v>685.7461288484983</v>
          </cell>
          <cell r="U45">
            <v>667.72203160881213</v>
          </cell>
          <cell r="V45">
            <v>593.63332238391354</v>
          </cell>
          <cell r="W45">
            <v>1035.9518784735571</v>
          </cell>
          <cell r="X45">
            <v>903.3500469773611</v>
          </cell>
          <cell r="Y45">
            <v>893.8619142539435</v>
          </cell>
          <cell r="Z45">
            <v>928.12087639779793</v>
          </cell>
          <cell r="AA45">
            <v>772.11945727824411</v>
          </cell>
          <cell r="AB45">
            <v>709.88601514140555</v>
          </cell>
          <cell r="AC45">
            <v>356.68663359518177</v>
          </cell>
          <cell r="AD45">
            <v>136.66696241508441</v>
          </cell>
          <cell r="AE45">
            <v>367.84636582419688</v>
          </cell>
        </row>
        <row r="46">
          <cell r="G46">
            <v>26.061749059040462</v>
          </cell>
          <cell r="H46">
            <v>31.446575712539726</v>
          </cell>
          <cell r="I46">
            <v>24.610241349743323</v>
          </cell>
          <cell r="J46">
            <v>33.505961657679826</v>
          </cell>
          <cell r="K46">
            <v>42.922218846894957</v>
          </cell>
          <cell r="L46">
            <v>33.5903101700723</v>
          </cell>
          <cell r="M46">
            <v>45.593310669963749</v>
          </cell>
          <cell r="N46">
            <v>61.161370706585451</v>
          </cell>
          <cell r="O46">
            <v>69.627407300060014</v>
          </cell>
          <cell r="P46">
            <v>82.072540772214268</v>
          </cell>
          <cell r="Q46">
            <v>66.486890014384684</v>
          </cell>
          <cell r="R46">
            <v>65.034547505173009</v>
          </cell>
          <cell r="S46">
            <v>62.591225252397024</v>
          </cell>
          <cell r="T46">
            <v>62.253871151501713</v>
          </cell>
          <cell r="U46">
            <v>60.277968391187819</v>
          </cell>
          <cell r="V46">
            <v>85.366677616086406</v>
          </cell>
          <cell r="W46">
            <v>79.048121526442912</v>
          </cell>
          <cell r="X46">
            <v>79.649953022638883</v>
          </cell>
          <cell r="Y46">
            <v>82.138085746056518</v>
          </cell>
          <cell r="Z46">
            <v>73.879123602202057</v>
          </cell>
          <cell r="AA46">
            <v>69.880542721755916</v>
          </cell>
          <cell r="AB46">
            <v>49.113984858594421</v>
          </cell>
          <cell r="AC46">
            <v>37.313366404818197</v>
          </cell>
          <cell r="AD46">
            <v>52.333037584915587</v>
          </cell>
          <cell r="AE46">
            <v>68.15363417580312</v>
          </cell>
        </row>
        <row r="47">
          <cell r="G47">
            <v>667</v>
          </cell>
          <cell r="H47">
            <v>514</v>
          </cell>
          <cell r="I47">
            <v>441</v>
          </cell>
          <cell r="J47">
            <v>480</v>
          </cell>
          <cell r="K47">
            <v>505</v>
          </cell>
          <cell r="L47">
            <v>653</v>
          </cell>
          <cell r="M47">
            <v>1021</v>
          </cell>
          <cell r="N47">
            <v>1453</v>
          </cell>
          <cell r="O47">
            <v>1871</v>
          </cell>
          <cell r="P47">
            <v>1772</v>
          </cell>
          <cell r="Q47">
            <v>1749</v>
          </cell>
          <cell r="R47">
            <v>1681</v>
          </cell>
          <cell r="S47">
            <v>1919</v>
          </cell>
          <cell r="T47">
            <v>1736</v>
          </cell>
          <cell r="U47">
            <v>1195</v>
          </cell>
          <cell r="V47">
            <v>922</v>
          </cell>
          <cell r="W47">
            <v>972</v>
          </cell>
          <cell r="X47">
            <v>827</v>
          </cell>
          <cell r="Y47">
            <v>697</v>
          </cell>
          <cell r="Z47">
            <v>641</v>
          </cell>
          <cell r="AA47">
            <v>611</v>
          </cell>
          <cell r="AB47">
            <v>593</v>
          </cell>
          <cell r="AC47">
            <v>437</v>
          </cell>
          <cell r="AD47">
            <v>290</v>
          </cell>
          <cell r="AE47">
            <v>325</v>
          </cell>
        </row>
        <row r="54">
          <cell r="G54">
            <v>29614.268</v>
          </cell>
          <cell r="H54">
            <v>32248.535</v>
          </cell>
          <cell r="I54">
            <v>34559.441999999995</v>
          </cell>
          <cell r="J54">
            <v>42040.175999999999</v>
          </cell>
          <cell r="K54">
            <v>48415.591999999997</v>
          </cell>
          <cell r="L54">
            <v>44234.157999999996</v>
          </cell>
          <cell r="M54">
            <v>57584.008000000002</v>
          </cell>
          <cell r="N54">
            <v>61360.741000000002</v>
          </cell>
          <cell r="O54">
            <v>63637.876000000004</v>
          </cell>
          <cell r="P54">
            <v>54867.252999999997</v>
          </cell>
          <cell r="Q54">
            <v>57384.413</v>
          </cell>
          <cell r="R54">
            <v>56006.91</v>
          </cell>
          <cell r="S54">
            <v>58939.248</v>
          </cell>
          <cell r="T54">
            <v>56527.233</v>
          </cell>
          <cell r="U54">
            <v>51608.513999999996</v>
          </cell>
          <cell r="V54">
            <v>52738.448000000004</v>
          </cell>
          <cell r="W54">
            <v>59782.093000000001</v>
          </cell>
          <cell r="X54">
            <v>67688.774000000005</v>
          </cell>
          <cell r="Y54">
            <v>74522.816999999995</v>
          </cell>
          <cell r="Z54">
            <v>84872.357000000004</v>
          </cell>
          <cell r="AA54">
            <v>75289.903999999995</v>
          </cell>
          <cell r="AB54">
            <v>57664.510999999999</v>
          </cell>
          <cell r="AC54">
            <v>34509.633000000002</v>
          </cell>
          <cell r="AD54">
            <v>24099.069</v>
          </cell>
          <cell r="AE54">
            <v>24846.962</v>
          </cell>
        </row>
        <row r="55">
          <cell r="G55">
            <v>18929.763197074921</v>
          </cell>
          <cell r="H55">
            <v>19012.285997102455</v>
          </cell>
          <cell r="I55">
            <v>22080.05399967837</v>
          </cell>
          <cell r="J55">
            <v>28601.778161129085</v>
          </cell>
          <cell r="K55">
            <v>27202.893689869059</v>
          </cell>
          <cell r="L55">
            <v>12390.210937882894</v>
          </cell>
          <cell r="M55">
            <v>12173.152842775997</v>
          </cell>
          <cell r="N55">
            <v>12361.89700061282</v>
          </cell>
          <cell r="O55">
            <v>17122.743158401601</v>
          </cell>
          <cell r="P55">
            <v>18662.733640245107</v>
          </cell>
          <cell r="Q55">
            <v>21954.730458996564</v>
          </cell>
          <cell r="R55">
            <v>20000.57314201623</v>
          </cell>
          <cell r="S55">
            <v>20642.129902132976</v>
          </cell>
          <cell r="T55">
            <v>18328.494801049026</v>
          </cell>
          <cell r="U55">
            <v>14151.270582179823</v>
          </cell>
          <cell r="V55">
            <v>14626.267683576692</v>
          </cell>
          <cell r="W55">
            <v>12028.647109827845</v>
          </cell>
          <cell r="X55">
            <v>13046.576324182057</v>
          </cell>
          <cell r="Y55">
            <v>13957.232094298251</v>
          </cell>
          <cell r="Z55">
            <v>13931.004497270837</v>
          </cell>
          <cell r="AA55">
            <v>15900.995334173014</v>
          </cell>
          <cell r="AB55">
            <v>15570.247880584542</v>
          </cell>
          <cell r="AC55">
            <v>11944.723214001346</v>
          </cell>
          <cell r="AD55">
            <v>4141.9202192737603</v>
          </cell>
          <cell r="AE55">
            <v>4082.3550519108021</v>
          </cell>
        </row>
        <row r="56">
          <cell r="G56">
            <v>1541.8068029250769</v>
          </cell>
          <cell r="H56">
            <v>1789.2040028975434</v>
          </cell>
          <cell r="I56">
            <v>2697.4260003216259</v>
          </cell>
          <cell r="J56">
            <v>2452.6218388709185</v>
          </cell>
          <cell r="K56">
            <v>1250.8263101309403</v>
          </cell>
          <cell r="L56">
            <v>1272.6790621171076</v>
          </cell>
          <cell r="M56">
            <v>1783.7271572240043</v>
          </cell>
          <cell r="N56">
            <v>2321.94299938718</v>
          </cell>
          <cell r="O56">
            <v>2678.3968415983995</v>
          </cell>
          <cell r="P56">
            <v>3071.6263597548932</v>
          </cell>
          <cell r="Q56">
            <v>2881.3195410034377</v>
          </cell>
          <cell r="R56">
            <v>2811.4968579837696</v>
          </cell>
          <cell r="S56">
            <v>2476.4300978670262</v>
          </cell>
          <cell r="T56">
            <v>2052.8651989509744</v>
          </cell>
          <cell r="U56">
            <v>2155.6894178201746</v>
          </cell>
          <cell r="V56">
            <v>2035.7623164233073</v>
          </cell>
          <cell r="W56">
            <v>2249.9028901721549</v>
          </cell>
          <cell r="X56">
            <v>2341.7336758179449</v>
          </cell>
          <cell r="Y56">
            <v>2340.0879057017487</v>
          </cell>
          <cell r="Z56">
            <v>2581.1355027291629</v>
          </cell>
          <cell r="AA56">
            <v>2450.9446658269858</v>
          </cell>
          <cell r="AB56">
            <v>2125.3821194154557</v>
          </cell>
          <cell r="AC56">
            <v>1478.8567859986533</v>
          </cell>
          <cell r="AD56">
            <v>1471.80978072624</v>
          </cell>
          <cell r="AE56">
            <v>1909.1649480891979</v>
          </cell>
        </row>
        <row r="57">
          <cell r="G57">
            <v>8065.1900000000005</v>
          </cell>
          <cell r="H57">
            <v>7680.98</v>
          </cell>
          <cell r="I57">
            <v>8859.369999999999</v>
          </cell>
          <cell r="J57">
            <v>9760.6</v>
          </cell>
          <cell r="K57">
            <v>11657.85</v>
          </cell>
          <cell r="L57">
            <v>11534.21</v>
          </cell>
          <cell r="M57">
            <v>13344.97</v>
          </cell>
          <cell r="N57">
            <v>16910.21</v>
          </cell>
          <cell r="O57">
            <v>19707.47</v>
          </cell>
          <cell r="P57">
            <v>18879.04</v>
          </cell>
          <cell r="Q57">
            <v>16372.93</v>
          </cell>
          <cell r="R57">
            <v>16578.169999999998</v>
          </cell>
          <cell r="S57">
            <v>17170.830000000002</v>
          </cell>
          <cell r="T57">
            <v>13873.52</v>
          </cell>
          <cell r="U57">
            <v>9050.15</v>
          </cell>
          <cell r="V57">
            <v>6886.54</v>
          </cell>
          <cell r="W57">
            <v>7046.04</v>
          </cell>
          <cell r="X57">
            <v>6539.3899999999994</v>
          </cell>
          <cell r="Y57">
            <v>6359.29</v>
          </cell>
          <cell r="Z57">
            <v>6381.37</v>
          </cell>
          <cell r="AA57">
            <v>6080.27</v>
          </cell>
          <cell r="AB57">
            <v>4894.01</v>
          </cell>
          <cell r="AC57">
            <v>3674.09</v>
          </cell>
          <cell r="AD57">
            <v>2014.3</v>
          </cell>
          <cell r="AE57">
            <v>1796.25</v>
          </cell>
        </row>
      </sheetData>
      <sheetData sheetId="4">
        <row r="14">
          <cell r="C14" t="str">
            <v>OR_Single Family</v>
          </cell>
          <cell r="D14" t="str">
            <v>Single Family</v>
          </cell>
          <cell r="E14" t="str">
            <v>New</v>
          </cell>
          <cell r="F14">
            <v>6704</v>
          </cell>
          <cell r="G14">
            <v>6968</v>
          </cell>
          <cell r="H14">
            <v>8205</v>
          </cell>
          <cell r="I14">
            <v>9300</v>
          </cell>
          <cell r="J14">
            <v>11414</v>
          </cell>
          <cell r="K14">
            <v>13600</v>
          </cell>
          <cell r="L14">
            <v>12406</v>
          </cell>
          <cell r="M14">
            <v>14907</v>
          </cell>
          <cell r="N14">
            <v>16765</v>
          </cell>
          <cell r="O14">
            <v>17498</v>
          </cell>
          <cell r="P14">
            <v>16395</v>
          </cell>
          <cell r="Q14">
            <v>18008</v>
          </cell>
          <cell r="R14">
            <v>16935</v>
          </cell>
          <cell r="S14">
            <v>17518</v>
          </cell>
          <cell r="T14">
            <v>16687</v>
          </cell>
          <cell r="U14">
            <v>15476</v>
          </cell>
          <cell r="V14">
            <v>15963</v>
          </cell>
          <cell r="W14">
            <v>17418</v>
          </cell>
          <cell r="X14">
            <v>18681</v>
          </cell>
          <cell r="Y14">
            <v>20556</v>
          </cell>
          <cell r="Z14">
            <v>23352</v>
          </cell>
          <cell r="AA14">
            <v>20383</v>
          </cell>
          <cell r="AB14">
            <v>15397</v>
          </cell>
          <cell r="AC14">
            <v>8164.9999999999991</v>
          </cell>
          <cell r="AD14">
            <v>5328</v>
          </cell>
          <cell r="AE14">
            <v>5305</v>
          </cell>
          <cell r="AF14">
            <v>5050</v>
          </cell>
          <cell r="AG14">
            <v>6513</v>
          </cell>
          <cell r="AH14">
            <v>8720</v>
          </cell>
          <cell r="AI14">
            <v>11272</v>
          </cell>
          <cell r="AJ14">
            <v>15952</v>
          </cell>
          <cell r="AK14">
            <v>17272</v>
          </cell>
          <cell r="AL14">
            <v>16727</v>
          </cell>
          <cell r="AM14">
            <v>16202.000000000002</v>
          </cell>
          <cell r="AN14">
            <v>15889</v>
          </cell>
          <cell r="AO14">
            <v>15686</v>
          </cell>
          <cell r="AP14">
            <v>15088</v>
          </cell>
          <cell r="AQ14">
            <v>14772</v>
          </cell>
          <cell r="AR14">
            <v>14734</v>
          </cell>
          <cell r="AS14">
            <v>14757</v>
          </cell>
          <cell r="AT14">
            <v>15342</v>
          </cell>
          <cell r="AU14">
            <v>15526</v>
          </cell>
          <cell r="AV14">
            <v>15254</v>
          </cell>
          <cell r="AW14">
            <v>14608</v>
          </cell>
          <cell r="AX14">
            <v>14523</v>
          </cell>
          <cell r="AY14">
            <v>14775</v>
          </cell>
          <cell r="AZ14">
            <v>14714</v>
          </cell>
          <cell r="BA14">
            <v>14158</v>
          </cell>
          <cell r="BB14">
            <v>14093</v>
          </cell>
          <cell r="BC14">
            <v>14173</v>
          </cell>
          <cell r="BD14">
            <v>14330</v>
          </cell>
        </row>
        <row r="15">
          <cell r="C15" t="str">
            <v>OR_Multi Family</v>
          </cell>
          <cell r="D15" t="str">
            <v>Multifamily - Low Rise</v>
          </cell>
          <cell r="E15" t="str">
            <v>New</v>
          </cell>
          <cell r="F15">
            <v>3772.8448706752683</v>
          </cell>
          <cell r="G15">
            <v>2941.0349178883071</v>
          </cell>
          <cell r="H15">
            <v>3202.3298129108261</v>
          </cell>
          <cell r="I15">
            <v>2714.899092549962</v>
          </cell>
          <cell r="J15">
            <v>8896.7022428480705</v>
          </cell>
          <cell r="K15">
            <v>8252.2238816719419</v>
          </cell>
          <cell r="L15">
            <v>3301.122737123248</v>
          </cell>
          <cell r="M15">
            <v>2811.4691158519631</v>
          </cell>
          <cell r="N15">
            <v>2637.894836250196</v>
          </cell>
          <cell r="O15">
            <v>4819.5855773579242</v>
          </cell>
          <cell r="P15">
            <v>6713.3146314455371</v>
          </cell>
          <cell r="Q15">
            <v>8721.3694621543327</v>
          </cell>
          <cell r="R15">
            <v>7555.8808889387019</v>
          </cell>
          <cell r="S15">
            <v>6573.1222265963652</v>
          </cell>
          <cell r="T15">
            <v>4692.7024347114893</v>
          </cell>
          <cell r="U15">
            <v>2354.7720492520393</v>
          </cell>
          <cell r="V15">
            <v>2899.5066232946756</v>
          </cell>
          <cell r="W15">
            <v>2562.0870522389155</v>
          </cell>
          <cell r="X15">
            <v>3686.8568040688797</v>
          </cell>
          <cell r="Y15">
            <v>3834.8880826444029</v>
          </cell>
          <cell r="Z15">
            <v>3263.6700424474207</v>
          </cell>
          <cell r="AA15">
            <v>4388.1347752705051</v>
          </cell>
          <cell r="AB15">
            <v>2959.161886968971</v>
          </cell>
          <cell r="AC15">
            <v>2360.9550283740805</v>
          </cell>
          <cell r="AD15">
            <v>671.9841739580163</v>
          </cell>
          <cell r="AE15">
            <v>66.596429394015331</v>
          </cell>
          <cell r="AF15">
            <v>949.87426015052506</v>
          </cell>
          <cell r="AG15">
            <v>2297.5049440684579</v>
          </cell>
          <cell r="AH15">
            <v>4512.1309043270476</v>
          </cell>
          <cell r="AI15">
            <v>4834.4211617459714</v>
          </cell>
          <cell r="AJ15">
            <v>6816.6588407441923</v>
          </cell>
          <cell r="AK15">
            <v>7232.862016530873</v>
          </cell>
          <cell r="AL15">
            <v>7009.2519401018944</v>
          </cell>
          <cell r="AM15">
            <v>7026.167603814305</v>
          </cell>
          <cell r="AN15">
            <v>7441.1769135052737</v>
          </cell>
          <cell r="AO15">
            <v>7431.377897912399</v>
          </cell>
          <cell r="AP15">
            <v>6971.963329889757</v>
          </cell>
          <cell r="AQ15">
            <v>6761.3209416287918</v>
          </cell>
          <cell r="AR15">
            <v>6554.7240085809162</v>
          </cell>
          <cell r="AS15">
            <v>6621.6730773670097</v>
          </cell>
          <cell r="AT15">
            <v>6557.8368230103088</v>
          </cell>
          <cell r="AU15">
            <v>6522.0493084879608</v>
          </cell>
          <cell r="AV15">
            <v>6282.365298704045</v>
          </cell>
          <cell r="AW15">
            <v>6009.1462390877323</v>
          </cell>
          <cell r="AX15">
            <v>5504.874605946914</v>
          </cell>
          <cell r="AY15">
            <v>5132.8554374960586</v>
          </cell>
          <cell r="AZ15">
            <v>4866.3598178070824</v>
          </cell>
          <cell r="BA15">
            <v>4605.8340776656614</v>
          </cell>
          <cell r="BB15">
            <v>4391.1894980251245</v>
          </cell>
          <cell r="BC15">
            <v>3931.255214930798</v>
          </cell>
          <cell r="BD15">
            <v>3779.4583907174715</v>
          </cell>
        </row>
        <row r="16">
          <cell r="C16" t="str">
            <v>OR</v>
          </cell>
          <cell r="D16" t="str">
            <v>Multifamily - High Rise</v>
          </cell>
          <cell r="E16" t="str">
            <v>New</v>
          </cell>
          <cell r="F16">
            <v>468.15512932473166</v>
          </cell>
          <cell r="G16">
            <v>512.96508211169294</v>
          </cell>
          <cell r="H16">
            <v>567.67018708917408</v>
          </cell>
          <cell r="I16">
            <v>1440.100907450038</v>
          </cell>
          <cell r="J16">
            <v>1235.2977571519298</v>
          </cell>
          <cell r="K16">
            <v>508.77611832805769</v>
          </cell>
          <cell r="L16">
            <v>504.87726287675196</v>
          </cell>
          <cell r="M16">
            <v>979.53088414803699</v>
          </cell>
          <cell r="N16">
            <v>1373.1051637498038</v>
          </cell>
          <cell r="O16">
            <v>1730.4144226420756</v>
          </cell>
          <cell r="P16">
            <v>2043.6853685544634</v>
          </cell>
          <cell r="Q16">
            <v>1875.6305378456677</v>
          </cell>
          <cell r="R16">
            <v>1705.1191110612986</v>
          </cell>
          <cell r="S16">
            <v>1382.877773403635</v>
          </cell>
          <cell r="T16">
            <v>1045.2975652885109</v>
          </cell>
          <cell r="U16">
            <v>1145.2279507479607</v>
          </cell>
          <cell r="V16">
            <v>1138.4933767053251</v>
          </cell>
          <cell r="W16">
            <v>1344.9129477610845</v>
          </cell>
          <cell r="X16">
            <v>1380.1431959311205</v>
          </cell>
          <cell r="Y16">
            <v>1332.1119173555971</v>
          </cell>
          <cell r="Z16">
            <v>1508.3299575525793</v>
          </cell>
          <cell r="AA16">
            <v>1311.8652247294947</v>
          </cell>
          <cell r="AB16">
            <v>1171.838113031029</v>
          </cell>
          <cell r="AC16">
            <v>876.04497162591952</v>
          </cell>
          <cell r="AD16">
            <v>822.0158260419837</v>
          </cell>
          <cell r="AE16">
            <v>1092.4035706059847</v>
          </cell>
          <cell r="AF16">
            <v>1676.1257398494749</v>
          </cell>
          <cell r="AG16">
            <v>1050.4950559315419</v>
          </cell>
          <cell r="AH16">
            <v>1179.8690956729522</v>
          </cell>
          <cell r="AI16">
            <v>1558.5788382540286</v>
          </cell>
          <cell r="AJ16">
            <v>1628.3411592558075</v>
          </cell>
          <cell r="AK16">
            <v>1590.137983469127</v>
          </cell>
          <cell r="AL16">
            <v>1606.7480598981056</v>
          </cell>
          <cell r="AM16">
            <v>1679.8323961856952</v>
          </cell>
          <cell r="AN16">
            <v>1660.8230864947266</v>
          </cell>
          <cell r="AO16">
            <v>1567.6221020876008</v>
          </cell>
          <cell r="AP16">
            <v>1522.0366701102428</v>
          </cell>
          <cell r="AQ16">
            <v>1485.6790583712077</v>
          </cell>
          <cell r="AR16">
            <v>1495.2759914190849</v>
          </cell>
          <cell r="AS16">
            <v>1480.3269226329903</v>
          </cell>
          <cell r="AT16">
            <v>1463.1631769896919</v>
          </cell>
          <cell r="AU16">
            <v>1405.9506915120394</v>
          </cell>
          <cell r="AV16">
            <v>1335.6347012959552</v>
          </cell>
          <cell r="AW16">
            <v>1227.8537609122679</v>
          </cell>
          <cell r="AX16">
            <v>1148.1253940530855</v>
          </cell>
          <cell r="AY16">
            <v>1088.1445625039419</v>
          </cell>
          <cell r="AZ16">
            <v>1029.6401821929173</v>
          </cell>
          <cell r="BA16">
            <v>973.16592233433857</v>
          </cell>
          <cell r="BB16">
            <v>881.81050197487571</v>
          </cell>
          <cell r="BC16">
            <v>846.74478506920184</v>
          </cell>
          <cell r="BD16">
            <v>808.54160928252838</v>
          </cell>
        </row>
        <row r="17">
          <cell r="C17" t="str">
            <v>OR_Other Family</v>
          </cell>
          <cell r="D17" t="str">
            <v>Manufactured</v>
          </cell>
          <cell r="E17" t="str">
            <v>New</v>
          </cell>
          <cell r="F17">
            <v>2370</v>
          </cell>
          <cell r="G17">
            <v>2297</v>
          </cell>
          <cell r="H17">
            <v>2910</v>
          </cell>
          <cell r="I17">
            <v>3852</v>
          </cell>
          <cell r="J17">
            <v>4387</v>
          </cell>
          <cell r="K17">
            <v>4905</v>
          </cell>
          <cell r="L17">
            <v>4720</v>
          </cell>
          <cell r="M17">
            <v>5103</v>
          </cell>
          <cell r="N17">
            <v>6454</v>
          </cell>
          <cell r="O17">
            <v>7597</v>
          </cell>
          <cell r="P17">
            <v>7450</v>
          </cell>
          <cell r="Q17">
            <v>6484</v>
          </cell>
          <cell r="R17">
            <v>6567</v>
          </cell>
          <cell r="S17">
            <v>6223</v>
          </cell>
          <cell r="T17">
            <v>5202</v>
          </cell>
          <cell r="U17">
            <v>3199</v>
          </cell>
          <cell r="V17">
            <v>2392</v>
          </cell>
          <cell r="W17">
            <v>2517</v>
          </cell>
          <cell r="X17">
            <v>2415</v>
          </cell>
          <cell r="Y17">
            <v>2492</v>
          </cell>
          <cell r="Z17">
            <v>2495</v>
          </cell>
          <cell r="AA17">
            <v>2230</v>
          </cell>
          <cell r="AB17">
            <v>1772</v>
          </cell>
          <cell r="AC17">
            <v>1278</v>
          </cell>
          <cell r="AD17">
            <v>717</v>
          </cell>
          <cell r="AE17">
            <v>647</v>
          </cell>
          <cell r="AF17">
            <v>445</v>
          </cell>
          <cell r="AG17">
            <v>473</v>
          </cell>
          <cell r="AH17">
            <v>888.66666666666663</v>
          </cell>
          <cell r="AI17">
            <v>741.44444444444446</v>
          </cell>
          <cell r="AJ17">
            <v>652.01851851851848</v>
          </cell>
          <cell r="AK17">
            <v>641.18827160493822</v>
          </cell>
          <cell r="AL17">
            <v>640.21965020576124</v>
          </cell>
          <cell r="AM17">
            <v>672.75625857338821</v>
          </cell>
          <cell r="AN17">
            <v>706.04896833561952</v>
          </cell>
          <cell r="AO17">
            <v>675.61268528044502</v>
          </cell>
          <cell r="AP17">
            <v>664.64072541977851</v>
          </cell>
          <cell r="AQ17">
            <v>666.74442656998838</v>
          </cell>
          <cell r="AR17">
            <v>671.00378573083015</v>
          </cell>
          <cell r="AS17">
            <v>676.1344749850083</v>
          </cell>
          <cell r="AT17">
            <v>676.69751105361161</v>
          </cell>
          <cell r="AU17">
            <v>671.80560150661029</v>
          </cell>
          <cell r="AV17">
            <v>671.17108754430456</v>
          </cell>
          <cell r="AW17">
            <v>672.25948123172554</v>
          </cell>
          <cell r="AX17">
            <v>673.17865700868174</v>
          </cell>
          <cell r="AY17">
            <v>673.54113555499043</v>
          </cell>
          <cell r="AZ17">
            <v>673.10891231665403</v>
          </cell>
          <cell r="BA17">
            <v>672.51081252716119</v>
          </cell>
          <cell r="BB17">
            <v>672.62834769725293</v>
          </cell>
          <cell r="BC17">
            <v>672.87122438941094</v>
          </cell>
          <cell r="BD17">
            <v>672.97318158235862</v>
          </cell>
        </row>
        <row r="18">
          <cell r="C18" t="str">
            <v>OR_Single Family</v>
          </cell>
          <cell r="D18" t="str">
            <v>Single Family</v>
          </cell>
          <cell r="E18" t="str">
            <v>Existing</v>
          </cell>
          <cell r="AK18">
            <v>1281442</v>
          </cell>
          <cell r="AL18">
            <v>1278532.125467059</v>
          </cell>
          <cell r="AM18">
            <v>1275628.858622798</v>
          </cell>
          <cell r="AN18">
            <v>1272732.1844626011</v>
          </cell>
          <cell r="AO18">
            <v>1269842.0880159247</v>
          </cell>
          <cell r="AP18">
            <v>1266958.5543462196</v>
          </cell>
          <cell r="AQ18">
            <v>1264081.5685508549</v>
          </cell>
          <cell r="AR18">
            <v>1261211.1157610398</v>
          </cell>
          <cell r="AS18">
            <v>1258347.1811417476</v>
          </cell>
          <cell r="AT18">
            <v>1255489.7498916385</v>
          </cell>
          <cell r="AU18">
            <v>1252638.8072429833</v>
          </cell>
          <cell r="AV18">
            <v>1249794.338461587</v>
          </cell>
          <cell r="AW18">
            <v>1246956.3288467131</v>
          </cell>
          <cell r="AX18">
            <v>1244124.763731007</v>
          </cell>
          <cell r="AY18">
            <v>1241299.6284804204</v>
          </cell>
          <cell r="AZ18">
            <v>1238480.9084941361</v>
          </cell>
          <cell r="BA18">
            <v>1235668.5892044916</v>
          </cell>
          <cell r="BB18">
            <v>1232862.6560769046</v>
          </cell>
          <cell r="BC18">
            <v>1230063.0946097979</v>
          </cell>
          <cell r="BD18">
            <v>1227269.890334524</v>
          </cell>
        </row>
        <row r="19">
          <cell r="C19" t="str">
            <v>OR_Multi Family</v>
          </cell>
          <cell r="D19" t="str">
            <v>Multifamily - Low Rise</v>
          </cell>
          <cell r="E19" t="str">
            <v>Existing</v>
          </cell>
          <cell r="AK19">
            <v>277837.92835758231</v>
          </cell>
          <cell r="AL19">
            <v>277207.00904135435</v>
          </cell>
          <cell r="AM19">
            <v>276577.52242794685</v>
          </cell>
          <cell r="AN19">
            <v>275949.46526395273</v>
          </cell>
          <cell r="AO19">
            <v>275322.83430335281</v>
          </cell>
          <cell r="AP19">
            <v>274697.62630749901</v>
          </cell>
          <cell r="AQ19">
            <v>274073.83804509765</v>
          </cell>
          <cell r="AR19">
            <v>273451.46629219269</v>
          </cell>
          <cell r="AS19">
            <v>272830.50783214916</v>
          </cell>
          <cell r="AT19">
            <v>272210.95945563645</v>
          </cell>
          <cell r="AU19">
            <v>271592.81796061178</v>
          </cell>
          <cell r="AV19">
            <v>270976.08015230362</v>
          </cell>
          <cell r="AW19">
            <v>270360.74284319516</v>
          </cell>
          <cell r="AX19">
            <v>269746.80285300786</v>
          </cell>
          <cell r="AY19">
            <v>269134.25700868503</v>
          </cell>
          <cell r="AZ19">
            <v>268523.10214437544</v>
          </cell>
          <cell r="BA19">
            <v>267913.33510141686</v>
          </cell>
          <cell r="BB19">
            <v>267304.95272831985</v>
          </cell>
          <cell r="BC19">
            <v>266697.95188075147</v>
          </cell>
          <cell r="BD19">
            <v>266092.32942151889</v>
          </cell>
        </row>
        <row r="20">
          <cell r="D20" t="str">
            <v>Multifamily - High Rise</v>
          </cell>
          <cell r="E20" t="str">
            <v>Existing</v>
          </cell>
          <cell r="AK20">
            <v>63346.033033662934</v>
          </cell>
          <cell r="AL20">
            <v>63202.185733607068</v>
          </cell>
          <cell r="AM20">
            <v>63058.665084562206</v>
          </cell>
          <cell r="AN20">
            <v>62915.470344763409</v>
          </cell>
          <cell r="AO20">
            <v>62772.600774130158</v>
          </cell>
          <cell r="AP20">
            <v>62630.05563426252</v>
          </cell>
          <cell r="AQ20">
            <v>62487.834188437337</v>
          </cell>
          <cell r="AR20">
            <v>62345.935701604409</v>
          </cell>
          <cell r="AS20">
            <v>62204.359440382708</v>
          </cell>
          <cell r="AT20">
            <v>62063.104673056572</v>
          </cell>
          <cell r="AU20">
            <v>61922.17066957194</v>
          </cell>
          <cell r="AV20">
            <v>61781.556701532572</v>
          </cell>
          <cell r="AW20">
            <v>61641.262042196271</v>
          </cell>
          <cell r="AX20">
            <v>61501.28596647115</v>
          </cell>
          <cell r="AY20">
            <v>61361.627750911874</v>
          </cell>
          <cell r="AZ20">
            <v>61222.286673715913</v>
          </cell>
          <cell r="BA20">
            <v>61083.262014719818</v>
          </cell>
          <cell r="BB20">
            <v>60944.55305539551</v>
          </cell>
          <cell r="BC20">
            <v>60806.159078846555</v>
          </cell>
          <cell r="BD20">
            <v>60668.079369804451</v>
          </cell>
        </row>
        <row r="21">
          <cell r="C21" t="str">
            <v>OR_Other Family</v>
          </cell>
          <cell r="D21" t="str">
            <v>Manufactured</v>
          </cell>
          <cell r="E21" t="str">
            <v>Existing</v>
          </cell>
          <cell r="AK21">
            <v>202413.31790123455</v>
          </cell>
          <cell r="AL21">
            <v>200250.12950997456</v>
          </cell>
          <cell r="AM21">
            <v>198110.05908380006</v>
          </cell>
          <cell r="AN21">
            <v>195992.85956133081</v>
          </cell>
          <cell r="AO21">
            <v>193898.28652152821</v>
          </cell>
          <cell r="AP21">
            <v>191826.09815547793</v>
          </cell>
          <cell r="AQ21">
            <v>189776.05523847431</v>
          </cell>
          <cell r="AR21">
            <v>187747.92110240282</v>
          </cell>
          <cell r="AS21">
            <v>185741.46160841791</v>
          </cell>
          <cell r="AT21">
            <v>183756.44511991271</v>
          </cell>
          <cell r="AU21">
            <v>181792.64247577763</v>
          </cell>
          <cell r="AV21">
            <v>179849.82696394474</v>
          </cell>
          <cell r="AW21">
            <v>177927.77429521491</v>
          </cell>
          <cell r="AX21">
            <v>176026.26257736469</v>
          </cell>
          <cell r="AY21">
            <v>174145.07228952978</v>
          </cell>
          <cell r="AZ21">
            <v>172283.98625686244</v>
          </cell>
          <cell r="BA21">
            <v>170442.78962545953</v>
          </cell>
          <cell r="BB21">
            <v>168621.26983755868</v>
          </cell>
          <cell r="BC21">
            <v>166819.21660699949</v>
          </cell>
          <cell r="BD21">
            <v>165036.42189494686</v>
          </cell>
        </row>
        <row r="23">
          <cell r="D23" t="str">
            <v>WASHINGTON</v>
          </cell>
        </row>
        <row r="24">
          <cell r="C24" t="str">
            <v>WA_Single Family</v>
          </cell>
          <cell r="D24" t="str">
            <v>Single Family</v>
          </cell>
          <cell r="E24" t="str">
            <v>New</v>
          </cell>
          <cell r="F24">
            <v>17836</v>
          </cell>
          <cell r="G24">
            <v>19224</v>
          </cell>
          <cell r="H24">
            <v>20881</v>
          </cell>
          <cell r="I24">
            <v>22030</v>
          </cell>
          <cell r="J24">
            <v>26693</v>
          </cell>
          <cell r="K24">
            <v>29534</v>
          </cell>
          <cell r="L24">
            <v>25256</v>
          </cell>
          <cell r="M24">
            <v>32825</v>
          </cell>
          <cell r="N24">
            <v>33591</v>
          </cell>
          <cell r="O24">
            <v>34363</v>
          </cell>
          <cell r="P24">
            <v>28330</v>
          </cell>
          <cell r="Q24">
            <v>28658</v>
          </cell>
          <cell r="R24">
            <v>28846</v>
          </cell>
          <cell r="S24">
            <v>29714</v>
          </cell>
          <cell r="T24">
            <v>28101</v>
          </cell>
          <cell r="U24">
            <v>25350</v>
          </cell>
          <cell r="V24">
            <v>26054</v>
          </cell>
          <cell r="W24">
            <v>30098</v>
          </cell>
          <cell r="X24">
            <v>34243</v>
          </cell>
          <cell r="Y24">
            <v>36326</v>
          </cell>
          <cell r="Z24">
            <v>40247</v>
          </cell>
          <cell r="AA24">
            <v>36985</v>
          </cell>
          <cell r="AB24">
            <v>30373</v>
          </cell>
          <cell r="AC24">
            <v>18826</v>
          </cell>
          <cell r="AD24">
            <v>13391</v>
          </cell>
          <cell r="AE24">
            <v>14886</v>
          </cell>
          <cell r="AF24">
            <v>13829</v>
          </cell>
          <cell r="AG24">
            <v>16887</v>
          </cell>
          <cell r="AH24">
            <v>18274</v>
          </cell>
          <cell r="AI24">
            <v>24247</v>
          </cell>
          <cell r="AJ24">
            <v>30852</v>
          </cell>
          <cell r="AK24">
            <v>33055</v>
          </cell>
          <cell r="AL24">
            <v>31044</v>
          </cell>
          <cell r="AM24">
            <v>28849</v>
          </cell>
          <cell r="AN24">
            <v>27415</v>
          </cell>
          <cell r="AO24">
            <v>26216</v>
          </cell>
          <cell r="AP24">
            <v>24554</v>
          </cell>
          <cell r="AQ24">
            <v>23488</v>
          </cell>
          <cell r="AR24">
            <v>23152</v>
          </cell>
          <cell r="AS24">
            <v>22514</v>
          </cell>
          <cell r="AT24">
            <v>22375</v>
          </cell>
          <cell r="AU24">
            <v>22305</v>
          </cell>
          <cell r="AV24">
            <v>21816</v>
          </cell>
          <cell r="AW24">
            <v>21213</v>
          </cell>
          <cell r="AX24">
            <v>21215</v>
          </cell>
          <cell r="AY24">
            <v>21402</v>
          </cell>
          <cell r="AZ24">
            <v>21237</v>
          </cell>
          <cell r="BA24">
            <v>20416</v>
          </cell>
          <cell r="BB24">
            <v>20299</v>
          </cell>
          <cell r="BC24">
            <v>20303</v>
          </cell>
          <cell r="BD24">
            <v>20372</v>
          </cell>
        </row>
        <row r="25">
          <cell r="C25" t="str">
            <v>WA_Multi Family</v>
          </cell>
          <cell r="D25" t="str">
            <v>Multifamily - Low Rise</v>
          </cell>
          <cell r="E25" t="str">
            <v>New</v>
          </cell>
          <cell r="F25">
            <v>15061.883667534441</v>
          </cell>
          <cell r="G25">
            <v>14869.183557824352</v>
          </cell>
          <cell r="H25">
            <v>15220.21190520253</v>
          </cell>
          <cell r="I25">
            <v>18940.327900324999</v>
          </cell>
          <cell r="J25">
            <v>18837.087988326672</v>
          </cell>
          <cell r="K25">
            <v>17883.866659845167</v>
          </cell>
          <cell r="L25">
            <v>8123.2235993523336</v>
          </cell>
          <cell r="M25">
            <v>7903.1488702815295</v>
          </cell>
          <cell r="N25">
            <v>7592.1801314599406</v>
          </cell>
          <cell r="O25">
            <v>9401.6361134168346</v>
          </cell>
          <cell r="P25">
            <v>9701.2779324751245</v>
          </cell>
          <cell r="Q25">
            <v>11104.526723200062</v>
          </cell>
          <cell r="R25">
            <v>10897.632074550364</v>
          </cell>
          <cell r="S25">
            <v>12645.60766842474</v>
          </cell>
          <cell r="T25">
            <v>11965.262831791384</v>
          </cell>
          <cell r="U25">
            <v>10483.919915783859</v>
          </cell>
          <cell r="V25">
            <v>9971.9026959155963</v>
          </cell>
          <cell r="W25">
            <v>7253.9578552287549</v>
          </cell>
          <cell r="X25">
            <v>7119.6062546632547</v>
          </cell>
          <cell r="Y25">
            <v>7985.0504417912043</v>
          </cell>
          <cell r="Z25">
            <v>8677.2745487052198</v>
          </cell>
          <cell r="AA25">
            <v>9569.5883473366248</v>
          </cell>
          <cell r="AB25">
            <v>10771.842399662728</v>
          </cell>
          <cell r="AC25">
            <v>8763.9200796845034</v>
          </cell>
          <cell r="AD25">
            <v>2981.3702838569475</v>
          </cell>
          <cell r="AE25">
            <v>3522.5521445353306</v>
          </cell>
          <cell r="AF25">
            <v>5265.721927064159</v>
          </cell>
          <cell r="AG25">
            <v>8692.3033155335615</v>
          </cell>
          <cell r="AH25">
            <v>12312.39973222512</v>
          </cell>
          <cell r="AI25">
            <v>11883.279860328872</v>
          </cell>
          <cell r="AJ25">
            <v>13265.608797275603</v>
          </cell>
          <cell r="AK25">
            <v>13028.433829152391</v>
          </cell>
          <cell r="AL25">
            <v>13080.239965534132</v>
          </cell>
          <cell r="AM25">
            <v>12923.202614626804</v>
          </cell>
          <cell r="AN25">
            <v>11912.982955180836</v>
          </cell>
          <cell r="AO25">
            <v>10886.573878115541</v>
          </cell>
          <cell r="AP25">
            <v>10714.966051350757</v>
          </cell>
          <cell r="AQ25">
            <v>10719.822876636612</v>
          </cell>
          <cell r="AR25">
            <v>11250.835774550411</v>
          </cell>
          <cell r="AS25">
            <v>11653.142802390561</v>
          </cell>
          <cell r="AT25">
            <v>12252.151254305772</v>
          </cell>
          <cell r="AU25">
            <v>12363.048764997984</v>
          </cell>
          <cell r="AV25">
            <v>12613.98473809777</v>
          </cell>
          <cell r="AW25">
            <v>12900.537429959741</v>
          </cell>
          <cell r="AX25">
            <v>13132.046101915988</v>
          </cell>
          <cell r="AY25">
            <v>13215.421602655624</v>
          </cell>
          <cell r="AZ25">
            <v>13014.672824175932</v>
          </cell>
          <cell r="BA25">
            <v>12900.537429959741</v>
          </cell>
          <cell r="BB25">
            <v>12809.067220410498</v>
          </cell>
          <cell r="BC25">
            <v>12840.636584768163</v>
          </cell>
          <cell r="BD25">
            <v>12863.301769435224</v>
          </cell>
        </row>
        <row r="26">
          <cell r="C26" t="str">
            <v>WA</v>
          </cell>
          <cell r="D26" t="str">
            <v>Multifamily - High Rise</v>
          </cell>
          <cell r="E26" t="str">
            <v>New</v>
          </cell>
          <cell r="F26">
            <v>926.11633246555948</v>
          </cell>
          <cell r="G26">
            <v>968.81644217564758</v>
          </cell>
          <cell r="H26">
            <v>1167.7880947974693</v>
          </cell>
          <cell r="I26">
            <v>1180.6720996750003</v>
          </cell>
          <cell r="J26">
            <v>1129.91201167333</v>
          </cell>
          <cell r="K26">
            <v>657.13334015483224</v>
          </cell>
          <cell r="L26">
            <v>654.77640064766615</v>
          </cell>
          <cell r="M26">
            <v>652.8511297184707</v>
          </cell>
          <cell r="N26">
            <v>756.81986854005959</v>
          </cell>
          <cell r="O26">
            <v>787.36388658316514</v>
          </cell>
          <cell r="P26">
            <v>872.72206752487591</v>
          </cell>
          <cell r="Q26">
            <v>879.4732767999385</v>
          </cell>
          <cell r="R26">
            <v>984.36792544963578</v>
          </cell>
          <cell r="S26">
            <v>957.39233157526019</v>
          </cell>
          <cell r="T26">
            <v>887.73716820861637</v>
          </cell>
          <cell r="U26">
            <v>863.08008421613988</v>
          </cell>
          <cell r="V26">
            <v>722.09730408440362</v>
          </cell>
          <cell r="W26">
            <v>726.04214477124526</v>
          </cell>
          <cell r="X26">
            <v>786.3937453367455</v>
          </cell>
          <cell r="Y26">
            <v>838.94955820879602</v>
          </cell>
          <cell r="Z26">
            <v>904.72545129478021</v>
          </cell>
          <cell r="AA26">
            <v>978.41165266337521</v>
          </cell>
          <cell r="AB26">
            <v>852.15760033727156</v>
          </cell>
          <cell r="AC26">
            <v>520.07992031549577</v>
          </cell>
          <cell r="AD26">
            <v>564.62971614305252</v>
          </cell>
          <cell r="AE26">
            <v>705.44785546466926</v>
          </cell>
          <cell r="AF26">
            <v>1217.2780729358408</v>
          </cell>
          <cell r="AG26">
            <v>806.69668446643777</v>
          </cell>
          <cell r="AH26">
            <v>792.60026777487974</v>
          </cell>
          <cell r="AI26">
            <v>992.72013967112821</v>
          </cell>
          <cell r="AJ26">
            <v>3024.5103613152296</v>
          </cell>
          <cell r="AK26">
            <v>2970.4353347186084</v>
          </cell>
          <cell r="AL26">
            <v>2982.246944623661</v>
          </cell>
          <cell r="AM26">
            <v>2946.4430020989594</v>
          </cell>
          <cell r="AN26">
            <v>2716.1166089502017</v>
          </cell>
          <cell r="AO26">
            <v>2482.099087706139</v>
          </cell>
          <cell r="AP26">
            <v>2442.9731298956272</v>
          </cell>
          <cell r="AQ26">
            <v>2444.0804683242377</v>
          </cell>
          <cell r="AR26">
            <v>2565.1494698511356</v>
          </cell>
          <cell r="AS26">
            <v>2656.874003020107</v>
          </cell>
          <cell r="AT26">
            <v>2793.4457425474475</v>
          </cell>
          <cell r="AU26">
            <v>2818.729970000426</v>
          </cell>
          <cell r="AV26">
            <v>2875.9424554781176</v>
          </cell>
          <cell r="AW26">
            <v>2941.2754227654787</v>
          </cell>
          <cell r="AX26">
            <v>2994.0585545287277</v>
          </cell>
          <cell r="AY26">
            <v>3013.0678642196926</v>
          </cell>
          <cell r="AZ26">
            <v>2967.2978758375662</v>
          </cell>
          <cell r="BA26">
            <v>2941.2754227654787</v>
          </cell>
          <cell r="BB26">
            <v>2920.4205490268364</v>
          </cell>
          <cell r="BC26">
            <v>2927.6182488127561</v>
          </cell>
          <cell r="BD26">
            <v>2932.7858281462154</v>
          </cell>
        </row>
        <row r="27">
          <cell r="C27" t="str">
            <v>WA_Other Family</v>
          </cell>
          <cell r="D27" t="str">
            <v>Manufactured</v>
          </cell>
          <cell r="E27" t="str">
            <v>New</v>
          </cell>
          <cell r="F27">
            <v>5597</v>
          </cell>
          <cell r="G27">
            <v>4550</v>
          </cell>
          <cell r="H27">
            <v>3873</v>
          </cell>
          <cell r="I27">
            <v>4184</v>
          </cell>
          <cell r="J27">
            <v>4397</v>
          </cell>
          <cell r="K27">
            <v>5645</v>
          </cell>
          <cell r="L27">
            <v>5353</v>
          </cell>
          <cell r="M27">
            <v>5964</v>
          </cell>
          <cell r="N27">
            <v>6849</v>
          </cell>
          <cell r="O27">
            <v>7332</v>
          </cell>
          <cell r="P27">
            <v>7252</v>
          </cell>
          <cell r="Q27">
            <v>6257</v>
          </cell>
          <cell r="R27">
            <v>6419</v>
          </cell>
          <cell r="S27">
            <v>6874</v>
          </cell>
          <cell r="T27">
            <v>5339</v>
          </cell>
          <cell r="U27">
            <v>3853</v>
          </cell>
          <cell r="V27">
            <v>2971</v>
          </cell>
          <cell r="W27">
            <v>2933</v>
          </cell>
          <cell r="X27">
            <v>2868</v>
          </cell>
          <cell r="Y27">
            <v>2705</v>
          </cell>
          <cell r="Z27">
            <v>2723</v>
          </cell>
          <cell r="AA27">
            <v>2653</v>
          </cell>
          <cell r="AB27">
            <v>2063</v>
          </cell>
          <cell r="AC27">
            <v>1621</v>
          </cell>
          <cell r="AD27">
            <v>859</v>
          </cell>
          <cell r="AE27">
            <v>681</v>
          </cell>
          <cell r="AF27">
            <v>563</v>
          </cell>
          <cell r="AG27">
            <v>560</v>
          </cell>
          <cell r="AH27">
            <v>1057.8333333333333</v>
          </cell>
          <cell r="AI27">
            <v>890.30555555555554</v>
          </cell>
          <cell r="AJ27">
            <v>768.52314814814815</v>
          </cell>
          <cell r="AK27">
            <v>753.44367283950612</v>
          </cell>
          <cell r="AL27">
            <v>765.51761831275724</v>
          </cell>
          <cell r="AM27">
            <v>799.27055469821664</v>
          </cell>
          <cell r="AN27">
            <v>839.14898048125281</v>
          </cell>
          <cell r="AO27">
            <v>802.70158833923949</v>
          </cell>
          <cell r="AP27">
            <v>788.10092713652</v>
          </cell>
          <cell r="AQ27">
            <v>791.36389030124872</v>
          </cell>
          <cell r="AR27">
            <v>797.68392654487252</v>
          </cell>
          <cell r="AS27">
            <v>803.04497791689175</v>
          </cell>
          <cell r="AT27">
            <v>803.6740484533376</v>
          </cell>
          <cell r="AU27">
            <v>797.76155978201825</v>
          </cell>
          <cell r="AV27">
            <v>796.93822168914812</v>
          </cell>
          <cell r="AW27">
            <v>798.41110411458612</v>
          </cell>
          <cell r="AX27">
            <v>799.58563975014238</v>
          </cell>
          <cell r="AY27">
            <v>799.90259195102078</v>
          </cell>
          <cell r="AZ27">
            <v>799.37886095670899</v>
          </cell>
          <cell r="BA27">
            <v>798.6629963739374</v>
          </cell>
          <cell r="BB27">
            <v>798.81323580592414</v>
          </cell>
          <cell r="BC27">
            <v>799.12573815872008</v>
          </cell>
          <cell r="BD27">
            <v>799.24484383274228</v>
          </cell>
        </row>
        <row r="28">
          <cell r="C28" t="str">
            <v>WA_Single Family</v>
          </cell>
          <cell r="D28" t="str">
            <v>Single Family</v>
          </cell>
          <cell r="E28" t="str">
            <v>Existing</v>
          </cell>
          <cell r="AK28">
            <v>2177155</v>
          </cell>
          <cell r="AL28">
            <v>2172211.1571348798</v>
          </cell>
          <cell r="AM28">
            <v>2167278.5406556972</v>
          </cell>
          <cell r="AN28">
            <v>2162357.1250697845</v>
          </cell>
          <cell r="AO28">
            <v>2157446.8849423626</v>
          </cell>
          <cell r="AP28">
            <v>2152547.7948964094</v>
          </cell>
          <cell r="AQ28">
            <v>2147659.8296125284</v>
          </cell>
          <cell r="AR28">
            <v>2142782.9638288179</v>
          </cell>
          <cell r="AS28">
            <v>2137917.1723407404</v>
          </cell>
          <cell r="AT28">
            <v>2133062.4300009925</v>
          </cell>
          <cell r="AU28">
            <v>2128218.7117193746</v>
          </cell>
          <cell r="AV28">
            <v>2123385.9924626616</v>
          </cell>
          <cell r="AW28">
            <v>2118564.2472544736</v>
          </cell>
          <cell r="AX28">
            <v>2113753.4511751467</v>
          </cell>
          <cell r="AY28">
            <v>2108953.5793616036</v>
          </cell>
          <cell r="AZ28">
            <v>2104164.6070072255</v>
          </cell>
          <cell r="BA28">
            <v>2099386.5093617244</v>
          </cell>
          <cell r="BB28">
            <v>2094619.2617310151</v>
          </cell>
          <cell r="BC28">
            <v>2089862.8394770864</v>
          </cell>
          <cell r="BD28">
            <v>2085117.2180178757</v>
          </cell>
        </row>
        <row r="29">
          <cell r="C29" t="str">
            <v>WA_Multi Family</v>
          </cell>
          <cell r="D29" t="str">
            <v>Multifamily - Low Rise</v>
          </cell>
          <cell r="E29" t="str">
            <v>Existing</v>
          </cell>
          <cell r="AK29">
            <v>558037.0832749434</v>
          </cell>
          <cell r="AL29">
            <v>556769.88272716023</v>
          </cell>
          <cell r="AM29">
            <v>555505.55976095074</v>
          </cell>
          <cell r="AN29">
            <v>554244.10784185154</v>
          </cell>
          <cell r="AO29">
            <v>552985.52045023767</v>
          </cell>
          <cell r="AP29">
            <v>551729.79108128918</v>
          </cell>
          <cell r="AQ29">
            <v>550476.91324495722</v>
          </cell>
          <cell r="AR29">
            <v>549226.88046593068</v>
          </cell>
          <cell r="AS29">
            <v>547979.68628360284</v>
          </cell>
          <cell r="AT29">
            <v>546735.3242520378</v>
          </cell>
          <cell r="AU29">
            <v>545493.78793993709</v>
          </cell>
          <cell r="AV29">
            <v>544255.07093060669</v>
          </cell>
          <cell r="AW29">
            <v>543019.16682192357</v>
          </cell>
          <cell r="AX29">
            <v>541786.06922630291</v>
          </cell>
          <cell r="AY29">
            <v>540555.77177066484</v>
          </cell>
          <cell r="AZ29">
            <v>539328.26809640159</v>
          </cell>
          <cell r="BA29">
            <v>538103.55185934459</v>
          </cell>
          <cell r="BB29">
            <v>536881.6167297319</v>
          </cell>
          <cell r="BC29">
            <v>535662.45639217517</v>
          </cell>
          <cell r="BD29">
            <v>534446.06454562722</v>
          </cell>
        </row>
        <row r="30">
          <cell r="D30" t="str">
            <v>Multifamily - High Rise</v>
          </cell>
          <cell r="E30" t="str">
            <v>Existing</v>
          </cell>
          <cell r="AK30">
            <v>127230.41710003006</v>
          </cell>
          <cell r="AL30">
            <v>126941.50000280481</v>
          </cell>
          <cell r="AM30">
            <v>126653.23898366978</v>
          </cell>
          <cell r="AN30">
            <v>126365.63255279115</v>
          </cell>
          <cell r="AO30">
            <v>126078.67922371827</v>
          </cell>
          <cell r="AP30">
            <v>125792.3775133759</v>
          </cell>
          <cell r="AQ30">
            <v>125506.72594205666</v>
          </cell>
          <cell r="AR30">
            <v>125221.72303341323</v>
          </cell>
          <cell r="AS30">
            <v>124937.36731445088</v>
          </cell>
          <cell r="AT30">
            <v>124653.65731551975</v>
          </cell>
          <cell r="AU30">
            <v>124370.5915703073</v>
          </cell>
          <cell r="AV30">
            <v>124088.1686158307</v>
          </cell>
          <cell r="AW30">
            <v>123806.3869924293</v>
          </cell>
          <cell r="AX30">
            <v>123525.24524375708</v>
          </cell>
          <cell r="AY30">
            <v>123244.74191677509</v>
          </cell>
          <cell r="AZ30">
            <v>122964.875561744</v>
          </cell>
          <cell r="BA30">
            <v>122685.64473221656</v>
          </cell>
          <cell r="BB30">
            <v>122407.04798503013</v>
          </cell>
          <cell r="BC30">
            <v>122129.08388029925</v>
          </cell>
          <cell r="BD30">
            <v>121851.75098140814</v>
          </cell>
        </row>
        <row r="31">
          <cell r="C31" t="str">
            <v>WA_Other Family</v>
          </cell>
          <cell r="D31" t="str">
            <v>Manufactured</v>
          </cell>
          <cell r="E31" t="str">
            <v>Existing</v>
          </cell>
          <cell r="AK31">
            <v>244055.10570987655</v>
          </cell>
          <cell r="AL31">
            <v>241446.89209541003</v>
          </cell>
          <cell r="AM31">
            <v>238866.55242457156</v>
          </cell>
          <cell r="AN31">
            <v>236313.78880890249</v>
          </cell>
          <cell r="AO31">
            <v>233788.30654347411</v>
          </cell>
          <cell r="AP31">
            <v>231289.81407286532</v>
          </cell>
          <cell r="AQ31">
            <v>228818.02295750388</v>
          </cell>
          <cell r="AR31">
            <v>226372.64784036731</v>
          </cell>
          <cell r="AS31">
            <v>223953.40641403978</v>
          </cell>
          <cell r="AT31">
            <v>221560.01938812103</v>
          </cell>
          <cell r="AU31">
            <v>219192.21045698351</v>
          </cell>
          <cell r="AV31">
            <v>216849.70626787416</v>
          </cell>
          <cell r="AW31">
            <v>214532.23638935713</v>
          </cell>
          <cell r="AX31">
            <v>212239.53328009363</v>
          </cell>
          <cell r="AY31">
            <v>209971.33225795557</v>
          </cell>
          <cell r="AZ31">
            <v>207727.37146946916</v>
          </cell>
          <cell r="BA31">
            <v>205507.39185958516</v>
          </cell>
          <cell r="BB31">
            <v>203311.13714177214</v>
          </cell>
          <cell r="BC31">
            <v>201138.35376842934</v>
          </cell>
          <cell r="BD31">
            <v>198988.79090161584</v>
          </cell>
        </row>
        <row r="33">
          <cell r="D33" t="str">
            <v>IDAHO</v>
          </cell>
        </row>
        <row r="34">
          <cell r="C34" t="str">
            <v>ID_Single Family</v>
          </cell>
          <cell r="D34" t="str">
            <v>Single Family</v>
          </cell>
          <cell r="E34" t="str">
            <v>New</v>
          </cell>
          <cell r="F34">
            <v>3059</v>
          </cell>
          <cell r="G34">
            <v>2868</v>
          </cell>
          <cell r="H34">
            <v>2692</v>
          </cell>
          <cell r="I34">
            <v>2813</v>
          </cell>
          <cell r="J34">
            <v>3536</v>
          </cell>
          <cell r="K34">
            <v>4754</v>
          </cell>
          <cell r="L34">
            <v>5803</v>
          </cell>
          <cell r="M34">
            <v>8453</v>
          </cell>
          <cell r="N34">
            <v>9522</v>
          </cell>
          <cell r="O34">
            <v>10120</v>
          </cell>
          <cell r="P34">
            <v>8784</v>
          </cell>
          <cell r="Q34">
            <v>9538</v>
          </cell>
          <cell r="R34">
            <v>9107</v>
          </cell>
          <cell r="S34">
            <v>10575</v>
          </cell>
          <cell r="T34">
            <v>10544</v>
          </cell>
          <cell r="U34">
            <v>9631</v>
          </cell>
          <cell r="V34">
            <v>9441</v>
          </cell>
          <cell r="W34">
            <v>10730</v>
          </cell>
          <cell r="X34">
            <v>12976</v>
          </cell>
          <cell r="Y34">
            <v>15094</v>
          </cell>
          <cell r="Z34">
            <v>18771</v>
          </cell>
          <cell r="AA34">
            <v>15444</v>
          </cell>
          <cell r="AB34">
            <v>9693</v>
          </cell>
          <cell r="AC34">
            <v>6027</v>
          </cell>
          <cell r="AD34">
            <v>4336</v>
          </cell>
          <cell r="AE34">
            <v>3706</v>
          </cell>
          <cell r="AF34">
            <v>3258</v>
          </cell>
          <cell r="AG34">
            <v>5091</v>
          </cell>
          <cell r="AH34">
            <v>7002</v>
          </cell>
          <cell r="AI34">
            <v>7509</v>
          </cell>
          <cell r="AJ34">
            <v>9778</v>
          </cell>
          <cell r="AK34">
            <v>10507</v>
          </cell>
          <cell r="AL34">
            <v>10382</v>
          </cell>
          <cell r="AM34">
            <v>10055</v>
          </cell>
          <cell r="AN34">
            <v>10071</v>
          </cell>
          <cell r="AO34">
            <v>10039</v>
          </cell>
          <cell r="AP34">
            <v>9821</v>
          </cell>
          <cell r="AQ34">
            <v>9813</v>
          </cell>
          <cell r="AR34">
            <v>9958</v>
          </cell>
          <cell r="AS34">
            <v>10085</v>
          </cell>
          <cell r="AT34">
            <v>10505</v>
          </cell>
          <cell r="AU34">
            <v>10749</v>
          </cell>
          <cell r="AV34">
            <v>10878</v>
          </cell>
          <cell r="AW34">
            <v>10846</v>
          </cell>
          <cell r="AX34">
            <v>10975</v>
          </cell>
          <cell r="AY34">
            <v>11099</v>
          </cell>
          <cell r="AZ34">
            <v>11121</v>
          </cell>
          <cell r="BA34">
            <v>10926</v>
          </cell>
          <cell r="BB34">
            <v>11030</v>
          </cell>
          <cell r="BC34">
            <v>11073</v>
          </cell>
          <cell r="BD34">
            <v>11167</v>
          </cell>
        </row>
        <row r="35">
          <cell r="C35" t="str">
            <v>ID_Multi Family</v>
          </cell>
          <cell r="D35" t="str">
            <v>Multifamily - Low Rise</v>
          </cell>
          <cell r="E35" t="str">
            <v>New</v>
          </cell>
          <cell r="F35">
            <v>945.31021109984124</v>
          </cell>
          <cell r="G35">
            <v>848.82991832591654</v>
          </cell>
          <cell r="H35">
            <v>518.17882714524762</v>
          </cell>
          <cell r="I35">
            <v>288.37484437276629</v>
          </cell>
          <cell r="J35">
            <v>818.68632809921849</v>
          </cell>
          <cell r="K35">
            <v>922.54881309467987</v>
          </cell>
          <cell r="L35">
            <v>713.12107820425172</v>
          </cell>
          <cell r="M35">
            <v>1322.6430437243826</v>
          </cell>
          <cell r="N35">
            <v>1874.8440142054371</v>
          </cell>
          <cell r="O35">
            <v>2484.0690897878753</v>
          </cell>
          <cell r="P35">
            <v>1754.5624245646084</v>
          </cell>
          <cell r="Q35">
            <v>1502.6818009503679</v>
          </cell>
          <cell r="R35">
            <v>1099.0598706051132</v>
          </cell>
          <cell r="S35">
            <v>998.51700550573537</v>
          </cell>
          <cell r="T35">
            <v>1279.6542411025091</v>
          </cell>
          <cell r="U35">
            <v>931.97705912690287</v>
          </cell>
          <cell r="V35">
            <v>1416.4873706075907</v>
          </cell>
          <cell r="W35">
            <v>1622.1096316302473</v>
          </cell>
          <cell r="X35">
            <v>1725.2037386728252</v>
          </cell>
          <cell r="Y35">
            <v>1627.7922787378966</v>
          </cell>
          <cell r="Z35">
            <v>1461.0310065714518</v>
          </cell>
          <cell r="AA35">
            <v>1503.1641209172849</v>
          </cell>
          <cell r="AB35">
            <v>1434.6085653222435</v>
          </cell>
          <cell r="AC35">
            <v>616.53672479350837</v>
          </cell>
          <cell r="AD35">
            <v>410.6655928821981</v>
          </cell>
          <cell r="AE35">
            <v>283.5340494616637</v>
          </cell>
          <cell r="AF35">
            <v>511.5577769900774</v>
          </cell>
          <cell r="AG35">
            <v>753.64796270668967</v>
          </cell>
          <cell r="AH35">
            <v>1498.8895230864375</v>
          </cell>
          <cell r="AI35">
            <v>1723.6804258697659</v>
          </cell>
          <cell r="AJ35">
            <v>2047.1518579637404</v>
          </cell>
          <cell r="AK35">
            <v>2037.4382073921424</v>
          </cell>
          <cell r="AL35">
            <v>2026.9150859395779</v>
          </cell>
          <cell r="AM35">
            <v>2022.8677315347454</v>
          </cell>
          <cell r="AN35">
            <v>1909.5418081994781</v>
          </cell>
          <cell r="AO35">
            <v>1724.9824473391584</v>
          </cell>
          <cell r="AP35">
            <v>1653.7490098141207</v>
          </cell>
          <cell r="AQ35">
            <v>1669.9384274334507</v>
          </cell>
          <cell r="AR35">
            <v>1698.2699082672639</v>
          </cell>
          <cell r="AS35">
            <v>1706.3646170769289</v>
          </cell>
          <cell r="AT35">
            <v>1733.8866270297899</v>
          </cell>
          <cell r="AU35">
            <v>1733.0771561488234</v>
          </cell>
          <cell r="AV35">
            <v>1759.7896952207038</v>
          </cell>
          <cell r="AW35">
            <v>1788.1211760545311</v>
          </cell>
          <cell r="AX35">
            <v>1819.6905404122106</v>
          </cell>
          <cell r="AY35">
            <v>1830.2136618647751</v>
          </cell>
          <cell r="AZ35">
            <v>1848.8314921269903</v>
          </cell>
          <cell r="BA35">
            <v>1873.925089436952</v>
          </cell>
          <cell r="BB35">
            <v>1904.6849829136791</v>
          </cell>
          <cell r="BC35">
            <v>1945.9679978429422</v>
          </cell>
          <cell r="BD35">
            <v>1994.5362507009463</v>
          </cell>
        </row>
        <row r="36">
          <cell r="C36" t="str">
            <v>ID</v>
          </cell>
          <cell r="D36" t="str">
            <v>Multifamily - High Rise</v>
          </cell>
          <cell r="E36" t="str">
            <v>New</v>
          </cell>
          <cell r="F36">
            <v>60.689788900158746</v>
          </cell>
          <cell r="G36">
            <v>45.170081674083427</v>
          </cell>
          <cell r="H36">
            <v>35.82117285475239</v>
          </cell>
          <cell r="I36">
            <v>62.625155627233696</v>
          </cell>
          <cell r="J36">
            <v>68.313671900781529</v>
          </cell>
          <cell r="K36">
            <v>60.451186905320142</v>
          </cell>
          <cell r="L36">
            <v>93.878921795748312</v>
          </cell>
          <cell r="M36">
            <v>125.35695627561738</v>
          </cell>
          <cell r="N36">
            <v>157.15598579456281</v>
          </cell>
          <cell r="O36">
            <v>120.93091021212476</v>
          </cell>
          <cell r="P36">
            <v>108.43757543539168</v>
          </cell>
          <cell r="Q36">
            <v>88.318199049632</v>
          </cell>
          <cell r="R36">
            <v>84.940129394886824</v>
          </cell>
          <cell r="S36">
            <v>100.48299449426467</v>
          </cell>
          <cell r="T36">
            <v>84.345758897490967</v>
          </cell>
          <cell r="U36">
            <v>113.02294087309717</v>
          </cell>
          <cell r="V36">
            <v>126.51262939240925</v>
          </cell>
          <cell r="W36">
            <v>133.89036836975254</v>
          </cell>
          <cell r="X36">
            <v>129.79626132717482</v>
          </cell>
          <cell r="Y36">
            <v>122.20772126210333</v>
          </cell>
          <cell r="Z36">
            <v>125.96899342854817</v>
          </cell>
          <cell r="AA36">
            <v>120.8358790827151</v>
          </cell>
          <cell r="AB36">
            <v>73.391434677756436</v>
          </cell>
          <cell r="AC36">
            <v>61.463275206491645</v>
          </cell>
          <cell r="AD36">
            <v>55.334407117801909</v>
          </cell>
          <cell r="AE36">
            <v>72.465950538336273</v>
          </cell>
          <cell r="AF36">
            <v>121.44222300992257</v>
          </cell>
          <cell r="AG36">
            <v>99.352037293310332</v>
          </cell>
          <cell r="AH36">
            <v>115.11047691356247</v>
          </cell>
          <cell r="AI36">
            <v>146.31957413023412</v>
          </cell>
          <cell r="AJ36">
            <v>466.74314765475788</v>
          </cell>
          <cell r="AK36">
            <v>464.52847079755878</v>
          </cell>
          <cell r="AL36">
            <v>462.12923753559477</v>
          </cell>
          <cell r="AM36">
            <v>461.20645551175875</v>
          </cell>
          <cell r="AN36">
            <v>435.3685588444369</v>
          </cell>
          <cell r="AO36">
            <v>393.28969855764842</v>
          </cell>
          <cell r="AP36">
            <v>377.04873493818434</v>
          </cell>
          <cell r="AQ36">
            <v>380.7398630335195</v>
          </cell>
          <cell r="AR36">
            <v>387.1993372003484</v>
          </cell>
          <cell r="AS36">
            <v>389.04490124801771</v>
          </cell>
          <cell r="AT36">
            <v>395.31981901007907</v>
          </cell>
          <cell r="AU36">
            <v>395.13526260531506</v>
          </cell>
          <cell r="AV36">
            <v>401.22562396261065</v>
          </cell>
          <cell r="AW36">
            <v>407.6850981294449</v>
          </cell>
          <cell r="AX36">
            <v>414.88279791534046</v>
          </cell>
          <cell r="AY36">
            <v>417.28203117730709</v>
          </cell>
          <cell r="AZ36">
            <v>421.52682848694133</v>
          </cell>
          <cell r="BA36">
            <v>427.24807703470356</v>
          </cell>
          <cell r="BB36">
            <v>434.26122041583335</v>
          </cell>
          <cell r="BC36">
            <v>443.67359705893341</v>
          </cell>
          <cell r="BD36">
            <v>454.74698134493076</v>
          </cell>
        </row>
        <row r="37">
          <cell r="C37" t="str">
            <v>ID_Other Family</v>
          </cell>
          <cell r="D37" t="str">
            <v>Manufactured</v>
          </cell>
          <cell r="E37" t="str">
            <v>New</v>
          </cell>
          <cell r="F37">
            <v>1200</v>
          </cell>
          <cell r="G37">
            <v>838</v>
          </cell>
          <cell r="H37">
            <v>605</v>
          </cell>
          <cell r="I37">
            <v>572</v>
          </cell>
          <cell r="J37">
            <v>703</v>
          </cell>
          <cell r="K37">
            <v>820</v>
          </cell>
          <cell r="L37">
            <v>1089</v>
          </cell>
          <cell r="M37">
            <v>1696</v>
          </cell>
          <cell r="N37">
            <v>2779</v>
          </cell>
          <cell r="O37">
            <v>3712</v>
          </cell>
          <cell r="P37">
            <v>3167</v>
          </cell>
          <cell r="Q37">
            <v>2635</v>
          </cell>
          <cell r="R37">
            <v>2634</v>
          </cell>
          <cell r="S37">
            <v>2980</v>
          </cell>
          <cell r="T37">
            <v>2343</v>
          </cell>
          <cell r="U37">
            <v>1317</v>
          </cell>
          <cell r="V37">
            <v>998</v>
          </cell>
          <cell r="W37">
            <v>1042</v>
          </cell>
          <cell r="X37">
            <v>785</v>
          </cell>
          <cell r="Y37">
            <v>765</v>
          </cell>
          <cell r="Z37">
            <v>798</v>
          </cell>
          <cell r="AA37">
            <v>849</v>
          </cell>
          <cell r="AB37">
            <v>721</v>
          </cell>
          <cell r="AC37">
            <v>526</v>
          </cell>
          <cell r="AD37">
            <v>273</v>
          </cell>
          <cell r="AE37">
            <v>283</v>
          </cell>
          <cell r="AF37">
            <v>264</v>
          </cell>
          <cell r="AG37">
            <v>217</v>
          </cell>
          <cell r="AH37">
            <v>268.84999999999997</v>
          </cell>
          <cell r="AI37">
            <v>305.30833333333334</v>
          </cell>
          <cell r="AJ37">
            <v>268.5263888888889</v>
          </cell>
          <cell r="AK37">
            <v>267.78078703703704</v>
          </cell>
          <cell r="AL37">
            <v>265.24425154320988</v>
          </cell>
          <cell r="AM37">
            <v>265.45162680041153</v>
          </cell>
          <cell r="AN37">
            <v>273.52689793381347</v>
          </cell>
          <cell r="AO37">
            <v>274.30638092278235</v>
          </cell>
          <cell r="AP37">
            <v>269.13938885435721</v>
          </cell>
          <cell r="AQ37">
            <v>269.2415555152686</v>
          </cell>
          <cell r="AR37">
            <v>269.48501692830718</v>
          </cell>
          <cell r="AS37">
            <v>270.19181115915677</v>
          </cell>
          <cell r="AT37">
            <v>270.9818418856143</v>
          </cell>
          <cell r="AU37">
            <v>270.55766587758109</v>
          </cell>
          <cell r="AV37">
            <v>269.93288003671415</v>
          </cell>
          <cell r="AW37">
            <v>270.06512856710702</v>
          </cell>
          <cell r="AX37">
            <v>270.2023907424134</v>
          </cell>
          <cell r="AY37">
            <v>270.32195304476443</v>
          </cell>
          <cell r="AZ37">
            <v>270.34364335903234</v>
          </cell>
          <cell r="BA37">
            <v>270.23727693793541</v>
          </cell>
          <cell r="BB37">
            <v>270.18387878132779</v>
          </cell>
          <cell r="BC37">
            <v>270.22571190543005</v>
          </cell>
          <cell r="BD37">
            <v>270.25247579515059</v>
          </cell>
        </row>
        <row r="38">
          <cell r="C38" t="str">
            <v>ID_Single Family</v>
          </cell>
          <cell r="D38" t="str">
            <v>Single Family</v>
          </cell>
          <cell r="E38" t="str">
            <v>Existing</v>
          </cell>
          <cell r="AK38">
            <v>560451</v>
          </cell>
          <cell r="AL38">
            <v>559178.33834862499</v>
          </cell>
          <cell r="AM38">
            <v>557908.56663353147</v>
          </cell>
          <cell r="AN38">
            <v>556641.67829230614</v>
          </cell>
          <cell r="AO38">
            <v>555377.66677743755</v>
          </cell>
          <cell r="AP38">
            <v>554116.52555628214</v>
          </cell>
          <cell r="AQ38">
            <v>552858.24811103067</v>
          </cell>
          <cell r="AR38">
            <v>551602.82793867437</v>
          </cell>
          <cell r="AS38">
            <v>550350.25855097128</v>
          </cell>
          <cell r="AT38">
            <v>549100.5334744131</v>
          </cell>
          <cell r="AU38">
            <v>547853.64625019114</v>
          </cell>
          <cell r="AV38">
            <v>546609.59043416334</v>
          </cell>
          <cell r="AW38">
            <v>545368.35959682101</v>
          </cell>
          <cell r="AX38">
            <v>544129.94732325536</v>
          </cell>
          <cell r="AY38">
            <v>542894.34721312439</v>
          </cell>
          <cell r="AZ38">
            <v>541661.55288062</v>
          </cell>
          <cell r="BA38">
            <v>540431.55795443489</v>
          </cell>
          <cell r="BB38">
            <v>539204.35607772938</v>
          </cell>
          <cell r="BC38">
            <v>537979.94090809906</v>
          </cell>
          <cell r="BD38">
            <v>536758.30611754162</v>
          </cell>
        </row>
        <row r="39">
          <cell r="C39" t="str">
            <v>ID_Multi Family</v>
          </cell>
          <cell r="D39" t="str">
            <v>Multifamily - Low Rise</v>
          </cell>
          <cell r="E39" t="str">
            <v>Existing</v>
          </cell>
          <cell r="AK39">
            <v>62297.688470046371</v>
          </cell>
          <cell r="AL39">
            <v>62156.22176949741</v>
          </cell>
          <cell r="AM39">
            <v>62015.076314051694</v>
          </cell>
          <cell r="AN39">
            <v>61874.251374220112</v>
          </cell>
          <cell r="AO39">
            <v>61733.746222170106</v>
          </cell>
          <cell r="AP39">
            <v>61593.560131721882</v>
          </cell>
          <cell r="AQ39">
            <v>61453.692378344676</v>
          </cell>
          <cell r="AR39">
            <v>61314.142239152992</v>
          </cell>
          <cell r="AS39">
            <v>61174.908992902885</v>
          </cell>
          <cell r="AT39">
            <v>61035.991919988213</v>
          </cell>
          <cell r="AU39">
            <v>60897.390302436943</v>
          </cell>
          <cell r="AV39">
            <v>60759.103423907414</v>
          </cell>
          <cell r="AW39">
            <v>60621.130569684647</v>
          </cell>
          <cell r="AX39">
            <v>60483.471026676656</v>
          </cell>
          <cell r="AY39">
            <v>60346.124083410752</v>
          </cell>
          <cell r="AZ39">
            <v>60209.089030029871</v>
          </cell>
          <cell r="BA39">
            <v>60072.365158288914</v>
          </cell>
          <cell r="BB39">
            <v>59935.951761551063</v>
          </cell>
          <cell r="BC39">
            <v>59799.848134784159</v>
          </cell>
          <cell r="BD39">
            <v>59664.053574557031</v>
          </cell>
        </row>
        <row r="40">
          <cell r="D40" t="str">
            <v>Multifamily - High Rise</v>
          </cell>
          <cell r="E40" t="str">
            <v>Existing</v>
          </cell>
          <cell r="AK40">
            <v>14203.645467243141</v>
          </cell>
          <cell r="AL40">
            <v>14171.391576137949</v>
          </cell>
          <cell r="AM40">
            <v>14139.210927743146</v>
          </cell>
          <cell r="AN40">
            <v>14107.103355737881</v>
          </cell>
          <cell r="AO40">
            <v>14075.068694178986</v>
          </cell>
          <cell r="AP40">
            <v>14043.106777500123</v>
          </cell>
          <cell r="AQ40">
            <v>14011.21744051092</v>
          </cell>
          <cell r="AR40">
            <v>13979.400518396127</v>
          </cell>
          <cell r="AS40">
            <v>13947.655846714757</v>
          </cell>
          <cell r="AT40">
            <v>13915.983261399238</v>
          </cell>
          <cell r="AU40">
            <v>13884.382598754568</v>
          </cell>
          <cell r="AV40">
            <v>13852.853695457465</v>
          </cell>
          <cell r="AW40">
            <v>13821.396388555522</v>
          </cell>
          <cell r="AX40">
            <v>13790.010515466372</v>
          </cell>
          <cell r="AY40">
            <v>13758.695913976841</v>
          </cell>
          <cell r="AZ40">
            <v>13727.45242224211</v>
          </cell>
          <cell r="BA40">
            <v>13696.279878784881</v>
          </cell>
          <cell r="BB40">
            <v>13665.178122494543</v>
          </cell>
          <cell r="BC40">
            <v>13634.146992626336</v>
          </cell>
          <cell r="BD40">
            <v>13603.186328800522</v>
          </cell>
        </row>
        <row r="41">
          <cell r="C41" t="str">
            <v>ID_Other Family</v>
          </cell>
          <cell r="D41" t="str">
            <v>Manufactured</v>
          </cell>
          <cell r="E41" t="str">
            <v>Existing</v>
          </cell>
          <cell r="AK41">
            <v>84820.465509259258</v>
          </cell>
          <cell r="AL41">
            <v>83913.990341353419</v>
          </cell>
          <cell r="AM41">
            <v>83017.202661309115</v>
          </cell>
          <cell r="AN41">
            <v>82129.998939074561</v>
          </cell>
          <cell r="AO41">
            <v>81252.276751022233</v>
          </cell>
          <cell r="AP41">
            <v>80383.934768124556</v>
          </cell>
          <cell r="AQ41">
            <v>79524.872744255888</v>
          </cell>
          <cell r="AR41">
            <v>78674.991504619567</v>
          </cell>
          <cell r="AS41">
            <v>77834.19293429864</v>
          </cell>
          <cell r="AT41">
            <v>77002.379966928973</v>
          </cell>
          <cell r="AU41">
            <v>76179.456573493328</v>
          </cell>
          <cell r="AV41">
            <v>75365.32775123528</v>
          </cell>
          <cell r="AW41">
            <v>74559.899512691583</v>
          </cell>
          <cell r="AX41">
            <v>73763.07887484174</v>
          </cell>
          <cell r="AY41">
            <v>72974.773848373516</v>
          </cell>
          <cell r="AZ41">
            <v>72194.893427063245</v>
          </cell>
          <cell r="BA41">
            <v>71423.347577269524</v>
          </cell>
          <cell r="BB41">
            <v>70660.047227539253</v>
          </cell>
          <cell r="BC41">
            <v>69904.90425832475</v>
          </cell>
          <cell r="BD41">
            <v>69157.831491810764</v>
          </cell>
        </row>
        <row r="43">
          <cell r="D43" t="str">
            <v>MONTANA</v>
          </cell>
          <cell r="E43">
            <v>0.56999999999999995</v>
          </cell>
          <cell r="F43" t="str">
            <v>Western MT portion of state</v>
          </cell>
        </row>
        <row r="44">
          <cell r="C44" t="str">
            <v>MT_Single Family</v>
          </cell>
          <cell r="D44" t="str">
            <v>Single Family</v>
          </cell>
          <cell r="E44" t="str">
            <v>New</v>
          </cell>
          <cell r="F44">
            <v>1313</v>
          </cell>
          <cell r="G44">
            <v>972.4</v>
          </cell>
          <cell r="H44">
            <v>825.5</v>
          </cell>
          <cell r="I44">
            <v>730.6</v>
          </cell>
          <cell r="J44">
            <v>696.80000000000007</v>
          </cell>
          <cell r="K44">
            <v>925.6</v>
          </cell>
          <cell r="L44">
            <v>1349.4</v>
          </cell>
          <cell r="M44">
            <v>2454.4</v>
          </cell>
          <cell r="N44">
            <v>2601.3000000000002</v>
          </cell>
          <cell r="O44">
            <v>2906.8</v>
          </cell>
          <cell r="P44">
            <v>2382.9</v>
          </cell>
          <cell r="Q44">
            <v>2070.9</v>
          </cell>
          <cell r="R44">
            <v>1963</v>
          </cell>
          <cell r="S44">
            <v>1986.4</v>
          </cell>
          <cell r="T44">
            <v>2096.9</v>
          </cell>
          <cell r="U44">
            <v>2020.2</v>
          </cell>
          <cell r="V44">
            <v>2246.4</v>
          </cell>
          <cell r="W44">
            <v>2694.9</v>
          </cell>
          <cell r="X44">
            <v>3138.2000000000003</v>
          </cell>
          <cell r="Y44">
            <v>4468.1000000000004</v>
          </cell>
          <cell r="Z44">
            <v>4390.1000000000004</v>
          </cell>
          <cell r="AA44">
            <v>4347.2</v>
          </cell>
          <cell r="AB44">
            <v>3862.3</v>
          </cell>
          <cell r="AC44">
            <v>2616.9</v>
          </cell>
          <cell r="AD44">
            <v>1831.7</v>
          </cell>
          <cell r="AE44">
            <v>1666.6000000000001</v>
          </cell>
          <cell r="AF44">
            <v>1527.5</v>
          </cell>
          <cell r="AG44">
            <v>2199.6</v>
          </cell>
          <cell r="AH44">
            <v>2615.6</v>
          </cell>
          <cell r="AI44">
            <v>2434.9</v>
          </cell>
          <cell r="AJ44">
            <v>3003</v>
          </cell>
          <cell r="AK44">
            <v>3248.7000000000003</v>
          </cell>
          <cell r="AL44">
            <v>3173.3</v>
          </cell>
          <cell r="AM44">
            <v>3031.6</v>
          </cell>
          <cell r="AN44">
            <v>2824.9</v>
          </cell>
          <cell r="AO44">
            <v>2748.2000000000003</v>
          </cell>
          <cell r="AP44">
            <v>2665</v>
          </cell>
          <cell r="AQ44">
            <v>2611.7000000000003</v>
          </cell>
          <cell r="AR44">
            <v>2597.4</v>
          </cell>
          <cell r="AS44">
            <v>2561</v>
          </cell>
          <cell r="AT44">
            <v>2563.6</v>
          </cell>
          <cell r="AU44">
            <v>2544.1</v>
          </cell>
          <cell r="AV44">
            <v>2525.9</v>
          </cell>
          <cell r="AW44">
            <v>2477.8000000000002</v>
          </cell>
          <cell r="AX44">
            <v>2484.3000000000002</v>
          </cell>
          <cell r="AY44">
            <v>2481.7000000000003</v>
          </cell>
          <cell r="AZ44">
            <v>2475.2000000000003</v>
          </cell>
          <cell r="BA44">
            <v>2419.3000000000002</v>
          </cell>
          <cell r="BB44">
            <v>2415.4</v>
          </cell>
          <cell r="BC44">
            <v>2401.1</v>
          </cell>
          <cell r="BD44">
            <v>2398.5</v>
          </cell>
        </row>
        <row r="45">
          <cell r="C45" t="str">
            <v>MT_Multi Family</v>
          </cell>
          <cell r="D45" t="str">
            <v>Multifamily - Low Rise</v>
          </cell>
          <cell r="E45" t="str">
            <v>New</v>
          </cell>
          <cell r="F45">
            <v>860.82519174945844</v>
          </cell>
          <cell r="G45">
            <v>474.93825094095956</v>
          </cell>
          <cell r="H45">
            <v>125.55342428746027</v>
          </cell>
          <cell r="I45">
            <v>239.38975865025668</v>
          </cell>
          <cell r="J45">
            <v>86.494038342320181</v>
          </cell>
          <cell r="K45">
            <v>253.07778115310504</v>
          </cell>
          <cell r="L45">
            <v>443.40968982992769</v>
          </cell>
          <cell r="M45">
            <v>238.40668933003624</v>
          </cell>
          <cell r="N45">
            <v>450.83862929341456</v>
          </cell>
          <cell r="O45">
            <v>732.37259269994001</v>
          </cell>
          <cell r="P45">
            <v>865.92745922778568</v>
          </cell>
          <cell r="Q45">
            <v>1098.5131099856153</v>
          </cell>
          <cell r="R45">
            <v>785.96545249482699</v>
          </cell>
          <cell r="S45">
            <v>745.40877474760293</v>
          </cell>
          <cell r="T45">
            <v>685.7461288484983</v>
          </cell>
          <cell r="U45">
            <v>667.72203160881213</v>
          </cell>
          <cell r="V45">
            <v>593.63332238391354</v>
          </cell>
          <cell r="W45">
            <v>1035.9518784735571</v>
          </cell>
          <cell r="X45">
            <v>903.3500469773611</v>
          </cell>
          <cell r="Y45">
            <v>893.8619142539435</v>
          </cell>
          <cell r="Z45">
            <v>928.12087639779793</v>
          </cell>
          <cell r="AA45">
            <v>772.11945727824411</v>
          </cell>
          <cell r="AB45">
            <v>709.88601514140555</v>
          </cell>
          <cell r="AC45">
            <v>356.68663359518177</v>
          </cell>
          <cell r="AD45">
            <v>136.66696241508441</v>
          </cell>
          <cell r="AE45">
            <v>367.84636582419688</v>
          </cell>
          <cell r="AF45">
            <v>584.82600096441138</v>
          </cell>
          <cell r="AG45">
            <v>746.00336992138523</v>
          </cell>
          <cell r="AH45">
            <v>1413.6131024199028</v>
          </cell>
          <cell r="AI45">
            <v>1716.9789419190136</v>
          </cell>
          <cell r="AJ45">
            <v>1648.045460109282</v>
          </cell>
          <cell r="AK45">
            <v>1722.1281540862396</v>
          </cell>
          <cell r="AL45">
            <v>1580.7212534439332</v>
          </cell>
          <cell r="AM45">
            <v>1472.5799608727305</v>
          </cell>
          <cell r="AN45">
            <v>1442.4819321350953</v>
          </cell>
          <cell r="AO45">
            <v>1359.5082188973515</v>
          </cell>
          <cell r="AP45">
            <v>1280.00164720679</v>
          </cell>
          <cell r="AQ45">
            <v>1292.5421730399576</v>
          </cell>
          <cell r="AR45">
            <v>1322.3745937064909</v>
          </cell>
          <cell r="AS45">
            <v>1349.4518116826594</v>
          </cell>
          <cell r="AT45">
            <v>1351.6834656111594</v>
          </cell>
          <cell r="AU45">
            <v>1377.387737087626</v>
          </cell>
          <cell r="AV45">
            <v>1321.0487447305225</v>
          </cell>
          <cell r="AW45">
            <v>1307.9885038256584</v>
          </cell>
          <cell r="AX45">
            <v>1321.4989092063927</v>
          </cell>
          <cell r="AY45">
            <v>1360.8548786347953</v>
          </cell>
          <cell r="AZ45">
            <v>1395.7475402061953</v>
          </cell>
          <cell r="BA45">
            <v>1395.1035096345979</v>
          </cell>
          <cell r="BB45">
            <v>1429.4425019916998</v>
          </cell>
          <cell r="BC45">
            <v>1435.6741559201971</v>
          </cell>
          <cell r="BD45">
            <v>1447.3521406344007</v>
          </cell>
        </row>
        <row r="46">
          <cell r="C46" t="str">
            <v>MT</v>
          </cell>
          <cell r="D46" t="str">
            <v>Multifamily - High Rise</v>
          </cell>
          <cell r="E46" t="str">
            <v>New</v>
          </cell>
          <cell r="F46">
            <v>42.174808250541538</v>
          </cell>
          <cell r="G46">
            <v>26.061749059040462</v>
          </cell>
          <cell r="H46">
            <v>31.446575712539726</v>
          </cell>
          <cell r="I46">
            <v>24.610241349743323</v>
          </cell>
          <cell r="J46">
            <v>33.505961657679826</v>
          </cell>
          <cell r="K46">
            <v>42.922218846894957</v>
          </cell>
          <cell r="L46">
            <v>33.5903101700723</v>
          </cell>
          <cell r="M46">
            <v>45.593310669963749</v>
          </cell>
          <cell r="N46">
            <v>61.161370706585451</v>
          </cell>
          <cell r="O46">
            <v>69.627407300060014</v>
          </cell>
          <cell r="P46">
            <v>82.072540772214268</v>
          </cell>
          <cell r="Q46">
            <v>66.486890014384684</v>
          </cell>
          <cell r="R46">
            <v>65.034547505173009</v>
          </cell>
          <cell r="S46">
            <v>62.591225252397024</v>
          </cell>
          <cell r="T46">
            <v>62.253871151501713</v>
          </cell>
          <cell r="U46">
            <v>60.277968391187819</v>
          </cell>
          <cell r="V46">
            <v>85.366677616086406</v>
          </cell>
          <cell r="W46">
            <v>79.048121526442912</v>
          </cell>
          <cell r="X46">
            <v>79.649953022638883</v>
          </cell>
          <cell r="Y46">
            <v>82.138085746056518</v>
          </cell>
          <cell r="Z46">
            <v>73.879123602202057</v>
          </cell>
          <cell r="AA46">
            <v>69.880542721755916</v>
          </cell>
          <cell r="AB46">
            <v>49.113984858594421</v>
          </cell>
          <cell r="AC46">
            <v>37.313366404818197</v>
          </cell>
          <cell r="AD46">
            <v>52.333037584915587</v>
          </cell>
          <cell r="AE46">
            <v>68.15363417580312</v>
          </cell>
          <cell r="AF46">
            <v>105.17399903558866</v>
          </cell>
          <cell r="AG46">
            <v>93.9966300786148</v>
          </cell>
          <cell r="AH46">
            <v>113.38689758009713</v>
          </cell>
          <cell r="AI46">
            <v>125.02105808098651</v>
          </cell>
          <cell r="AJ46">
            <v>382.95453989071814</v>
          </cell>
          <cell r="AK46">
            <v>352.8718459137603</v>
          </cell>
          <cell r="AL46">
            <v>331.27874655606695</v>
          </cell>
          <cell r="AM46">
            <v>322.42003912726955</v>
          </cell>
          <cell r="AN46">
            <v>304.51806786490465</v>
          </cell>
          <cell r="AO46">
            <v>290.49178110264859</v>
          </cell>
          <cell r="AP46">
            <v>293.99835279320996</v>
          </cell>
          <cell r="AQ46">
            <v>300.45782696004244</v>
          </cell>
          <cell r="AR46">
            <v>305.62540629350912</v>
          </cell>
          <cell r="AS46">
            <v>306.54818831734065</v>
          </cell>
          <cell r="AT46">
            <v>309.31653438884064</v>
          </cell>
          <cell r="AU46">
            <v>298.61226291237398</v>
          </cell>
          <cell r="AV46">
            <v>296.95125526947754</v>
          </cell>
          <cell r="AW46">
            <v>301.01149617434152</v>
          </cell>
          <cell r="AX46">
            <v>309.50109079360732</v>
          </cell>
          <cell r="AY46">
            <v>316.14512136520466</v>
          </cell>
          <cell r="AZ46">
            <v>317.25245979380469</v>
          </cell>
          <cell r="BA46">
            <v>323.89649036540203</v>
          </cell>
          <cell r="BB46">
            <v>325.55749800830023</v>
          </cell>
          <cell r="BC46">
            <v>328.32584407980289</v>
          </cell>
          <cell r="BD46">
            <v>331.6478593655994</v>
          </cell>
        </row>
        <row r="47">
          <cell r="C47" t="str">
            <v>MT_Other Family</v>
          </cell>
          <cell r="D47" t="str">
            <v>Manufactured</v>
          </cell>
          <cell r="E47" t="str">
            <v>New</v>
          </cell>
          <cell r="F47">
            <v>923</v>
          </cell>
          <cell r="G47">
            <v>667</v>
          </cell>
          <cell r="H47">
            <v>514</v>
          </cell>
          <cell r="I47">
            <v>441</v>
          </cell>
          <cell r="J47">
            <v>480</v>
          </cell>
          <cell r="K47">
            <v>505</v>
          </cell>
          <cell r="L47">
            <v>653</v>
          </cell>
          <cell r="M47">
            <v>1021</v>
          </cell>
          <cell r="N47">
            <v>1453</v>
          </cell>
          <cell r="O47">
            <v>1871</v>
          </cell>
          <cell r="P47">
            <v>1772</v>
          </cell>
          <cell r="Q47">
            <v>1749</v>
          </cell>
          <cell r="R47">
            <v>1681</v>
          </cell>
          <cell r="S47">
            <v>1919</v>
          </cell>
          <cell r="T47">
            <v>1736</v>
          </cell>
          <cell r="U47">
            <v>1195</v>
          </cell>
          <cell r="V47">
            <v>922</v>
          </cell>
          <cell r="W47">
            <v>972</v>
          </cell>
          <cell r="X47">
            <v>827</v>
          </cell>
          <cell r="Y47">
            <v>697</v>
          </cell>
          <cell r="Z47">
            <v>641</v>
          </cell>
          <cell r="AA47">
            <v>611</v>
          </cell>
          <cell r="AB47">
            <v>593</v>
          </cell>
          <cell r="AC47">
            <v>437</v>
          </cell>
          <cell r="AD47">
            <v>290</v>
          </cell>
          <cell r="AE47">
            <v>325</v>
          </cell>
          <cell r="AF47">
            <v>361</v>
          </cell>
          <cell r="AG47">
            <v>468</v>
          </cell>
          <cell r="AH47">
            <v>308.75</v>
          </cell>
          <cell r="AI47">
            <v>364.95833333333331</v>
          </cell>
          <cell r="AJ47">
            <v>352.95138888888891</v>
          </cell>
          <cell r="AK47">
            <v>363.44328703703701</v>
          </cell>
          <cell r="AL47">
            <v>369.85050154320987</v>
          </cell>
          <cell r="AM47">
            <v>371.32558513374482</v>
          </cell>
          <cell r="AN47">
            <v>355.2131826560356</v>
          </cell>
          <cell r="AO47">
            <v>362.95704643204158</v>
          </cell>
          <cell r="AP47">
            <v>362.62349861515963</v>
          </cell>
          <cell r="AQ47">
            <v>364.23551690287144</v>
          </cell>
          <cell r="AR47">
            <v>364.36755521384384</v>
          </cell>
          <cell r="AS47">
            <v>363.45373082561611</v>
          </cell>
          <cell r="AT47">
            <v>362.14175510759469</v>
          </cell>
          <cell r="AU47">
            <v>363.29651718285459</v>
          </cell>
          <cell r="AV47">
            <v>363.35309564132336</v>
          </cell>
          <cell r="AW47">
            <v>363.47469514568405</v>
          </cell>
          <cell r="AX47">
            <v>363.34789151948604</v>
          </cell>
          <cell r="AY47">
            <v>363.17794757042651</v>
          </cell>
          <cell r="AZ47">
            <v>363.13198369456154</v>
          </cell>
          <cell r="BA47">
            <v>363.29702179238939</v>
          </cell>
          <cell r="BB47">
            <v>363.29710589397854</v>
          </cell>
          <cell r="BC47">
            <v>363.28777426942105</v>
          </cell>
          <cell r="BD47">
            <v>363.25662079004383</v>
          </cell>
        </row>
        <row r="48">
          <cell r="C48" t="str">
            <v>MT_Single Family</v>
          </cell>
          <cell r="D48" t="str">
            <v>Single Family</v>
          </cell>
          <cell r="E48" t="str">
            <v>Existing</v>
          </cell>
          <cell r="AK48">
            <v>323649.60000000009</v>
          </cell>
          <cell r="AL48">
            <v>322914.66253998509</v>
          </cell>
          <cell r="AM48">
            <v>322181.39396221231</v>
          </cell>
          <cell r="AN48">
            <v>321449.79047701514</v>
          </cell>
          <cell r="AO48">
            <v>320719.84830333246</v>
          </cell>
          <cell r="AP48">
            <v>319991.56366868917</v>
          </cell>
          <cell r="AQ48">
            <v>319264.93280917662</v>
          </cell>
          <cell r="AR48">
            <v>318539.95196943317</v>
          </cell>
          <cell r="AS48">
            <v>317816.61740262475</v>
          </cell>
          <cell r="AT48">
            <v>317094.92537042563</v>
          </cell>
          <cell r="AU48">
            <v>316374.87214299885</v>
          </cell>
          <cell r="AV48">
            <v>315656.4539989772</v>
          </cell>
          <cell r="AW48">
            <v>314939.66722544387</v>
          </cell>
          <cell r="AX48">
            <v>314224.50811791327</v>
          </cell>
          <cell r="AY48">
            <v>313510.9729803119</v>
          </cell>
          <cell r="AZ48">
            <v>312799.05812495912</v>
          </cell>
          <cell r="BA48">
            <v>312088.7598725484</v>
          </cell>
          <cell r="BB48">
            <v>311380.07455212792</v>
          </cell>
          <cell r="BC48">
            <v>310672.99850108189</v>
          </cell>
          <cell r="BD48">
            <v>309967.52806511155</v>
          </cell>
        </row>
        <row r="49">
          <cell r="C49" t="str">
            <v>MT_Multi Family</v>
          </cell>
          <cell r="D49" t="str">
            <v>Multifamily - Low Rise</v>
          </cell>
          <cell r="E49" t="str">
            <v>Existing</v>
          </cell>
          <cell r="AK49">
            <v>49246.589456226939</v>
          </cell>
          <cell r="AL49">
            <v>49134.75942376897</v>
          </cell>
          <cell r="AM49">
            <v>49023.183336940492</v>
          </cell>
          <cell r="AN49">
            <v>48911.860619077241</v>
          </cell>
          <cell r="AO49">
            <v>48800.790694824464</v>
          </cell>
          <cell r="AP49">
            <v>48689.972990133923</v>
          </cell>
          <cell r="AQ49">
            <v>48579.406932260943</v>
          </cell>
          <cell r="AR49">
            <v>48469.091949761445</v>
          </cell>
          <cell r="AS49">
            <v>48359.027472489004</v>
          </cell>
          <cell r="AT49">
            <v>48249.212931591894</v>
          </cell>
          <cell r="AU49">
            <v>48139.647759510139</v>
          </cell>
          <cell r="AV49">
            <v>48030.331389972584</v>
          </cell>
          <cell r="AW49">
            <v>47921.263257993989</v>
          </cell>
          <cell r="AX49">
            <v>47812.442799872078</v>
          </cell>
          <cell r="AY49">
            <v>47703.869453184649</v>
          </cell>
          <cell r="AZ49">
            <v>47595.54265678666</v>
          </cell>
          <cell r="BA49">
            <v>47487.461850807311</v>
          </cell>
          <cell r="BB49">
            <v>47379.626476647187</v>
          </cell>
          <cell r="BC49">
            <v>47272.035976975341</v>
          </cell>
          <cell r="BD49">
            <v>47164.689795726423</v>
          </cell>
        </row>
        <row r="50">
          <cell r="C50" t="str">
            <v>MT</v>
          </cell>
          <cell r="D50" t="str">
            <v>Multifamily - High Rise</v>
          </cell>
          <cell r="E50" t="str">
            <v>Existing</v>
          </cell>
          <cell r="AK50">
            <v>11228.042553191075</v>
          </cell>
          <cell r="AL50">
            <v>11202.545714180957</v>
          </cell>
          <cell r="AM50">
            <v>11177.106773846983</v>
          </cell>
          <cell r="AN50">
            <v>11151.725600711807</v>
          </cell>
          <cell r="AO50">
            <v>11126.402063596644</v>
          </cell>
          <cell r="AP50">
            <v>11101.136031620596</v>
          </cell>
          <cell r="AQ50">
            <v>11075.927374199966</v>
          </cell>
          <cell r="AR50">
            <v>11050.775961047593</v>
          </cell>
          <cell r="AS50">
            <v>11025.681662172174</v>
          </cell>
          <cell r="AT50">
            <v>11000.644347877589</v>
          </cell>
          <cell r="AU50">
            <v>10975.663888762239</v>
          </cell>
          <cell r="AV50">
            <v>10950.740155718371</v>
          </cell>
          <cell r="AW50">
            <v>10925.87301993141</v>
          </cell>
          <cell r="AX50">
            <v>10901.062352879297</v>
          </cell>
          <cell r="AY50">
            <v>10876.308026331822</v>
          </cell>
          <cell r="AZ50">
            <v>10851.609912349968</v>
          </cell>
          <cell r="BA50">
            <v>10826.967883285235</v>
          </cell>
          <cell r="BB50">
            <v>10802.381811778998</v>
          </cell>
          <cell r="BC50">
            <v>10777.851570761834</v>
          </cell>
          <cell r="BD50">
            <v>10753.377033452874</v>
          </cell>
        </row>
        <row r="51">
          <cell r="C51" t="str">
            <v>MT_Other Family</v>
          </cell>
          <cell r="D51" t="str">
            <v>Manufactured</v>
          </cell>
          <cell r="E51" t="str">
            <v>Existing</v>
          </cell>
          <cell r="AK51">
            <v>71434.103009259255</v>
          </cell>
          <cell r="AL51">
            <v>70670.687716372748</v>
          </cell>
          <cell r="AM51">
            <v>69915.431032397973</v>
          </cell>
          <cell r="AN51">
            <v>69168.245766391818</v>
          </cell>
          <cell r="AO51">
            <v>68429.045659219599</v>
          </cell>
          <cell r="AP51">
            <v>67697.74537359683</v>
          </cell>
          <cell r="AQ51">
            <v>66974.260484237457</v>
          </cell>
          <cell r="AR51">
            <v>66258.507468107273</v>
          </cell>
          <cell r="AS51">
            <v>65550.403694781649</v>
          </cell>
          <cell r="AT51">
            <v>64849.867416906163</v>
          </cell>
          <cell r="AU51">
            <v>64156.817760759273</v>
          </cell>
          <cell r="AV51">
            <v>63471.174716915804</v>
          </cell>
          <cell r="AW51">
            <v>62792.859131010227</v>
          </cell>
          <cell r="AX51">
            <v>62121.792694598647</v>
          </cell>
          <cell r="AY51">
            <v>61457.897936118447</v>
          </cell>
          <cell r="AZ51">
            <v>60801.098211944554</v>
          </cell>
          <cell r="BA51">
            <v>60151.317697541279</v>
          </cell>
          <cell r="BB51">
            <v>59508.481378708726</v>
          </cell>
          <cell r="BC51">
            <v>58872.515042922729</v>
          </cell>
          <cell r="BD51">
            <v>58243.345270767371</v>
          </cell>
        </row>
        <row r="53">
          <cell r="D53" t="str">
            <v>REGION</v>
          </cell>
        </row>
        <row r="54">
          <cell r="D54" t="str">
            <v>Single Family</v>
          </cell>
          <cell r="E54" t="str">
            <v>New</v>
          </cell>
          <cell r="F54">
            <v>28347.41</v>
          </cell>
          <cell r="G54">
            <v>29614.268</v>
          </cell>
          <cell r="H54">
            <v>32248.535</v>
          </cell>
          <cell r="I54">
            <v>34559.442000000003</v>
          </cell>
          <cell r="J54">
            <v>42040.175999999999</v>
          </cell>
          <cell r="K54">
            <v>48415.591999999997</v>
          </cell>
          <cell r="L54">
            <v>44234.158000000003</v>
          </cell>
          <cell r="M54">
            <v>57584.008000000002</v>
          </cell>
          <cell r="N54">
            <v>61360.741000000002</v>
          </cell>
          <cell r="O54">
            <v>63637.875999999997</v>
          </cell>
          <cell r="P54">
            <v>54867.252999999997</v>
          </cell>
          <cell r="Q54">
            <v>57384.413</v>
          </cell>
          <cell r="R54">
            <v>56006.91</v>
          </cell>
          <cell r="S54">
            <v>58939.248</v>
          </cell>
          <cell r="T54">
            <v>56527.233</v>
          </cell>
          <cell r="U54">
            <v>51608.514000000003</v>
          </cell>
          <cell r="V54">
            <v>52738.447999999997</v>
          </cell>
          <cell r="W54">
            <v>59782.093000000001</v>
          </cell>
          <cell r="X54">
            <v>67688.774000000005</v>
          </cell>
          <cell r="Y54">
            <v>74522.816999999995</v>
          </cell>
          <cell r="Z54">
            <v>84872.357000000004</v>
          </cell>
          <cell r="AA54">
            <v>75289.903999999995</v>
          </cell>
          <cell r="AB54">
            <v>57664.510999999999</v>
          </cell>
          <cell r="AC54">
            <v>34509.633000000002</v>
          </cell>
          <cell r="AD54">
            <v>24099.069</v>
          </cell>
          <cell r="AE54">
            <v>24846.962</v>
          </cell>
          <cell r="AF54">
            <v>23007.674999999999</v>
          </cell>
          <cell r="AG54">
            <v>29744.772000000001</v>
          </cell>
          <cell r="AH54">
            <v>35486.892</v>
          </cell>
          <cell r="AI54">
            <v>44415.892999999996</v>
          </cell>
          <cell r="AJ54">
            <v>58293.71</v>
          </cell>
          <cell r="AK54">
            <v>62685.758999999998</v>
          </cell>
          <cell r="AL54">
            <v>59961.781000000003</v>
          </cell>
          <cell r="AM54">
            <v>56834.012000000002</v>
          </cell>
          <cell r="AN54">
            <v>54985.192999999999</v>
          </cell>
          <cell r="AO54">
            <v>53507.474000000002</v>
          </cell>
          <cell r="AP54">
            <v>50982.05</v>
          </cell>
          <cell r="AQ54">
            <v>49561.669000000002</v>
          </cell>
          <cell r="AR54">
            <v>49324.517999999996</v>
          </cell>
          <cell r="AS54">
            <v>48815.77</v>
          </cell>
          <cell r="AT54">
            <v>49683.252</v>
          </cell>
          <cell r="AU54">
            <v>50030.137000000002</v>
          </cell>
          <cell r="AV54">
            <v>49387.762999999999</v>
          </cell>
          <cell r="AW54">
            <v>48079.345999999998</v>
          </cell>
          <cell r="AX54">
            <v>48129.050999999999</v>
          </cell>
          <cell r="AY54">
            <v>48690.569000000003</v>
          </cell>
          <cell r="AZ54">
            <v>48482.864000000001</v>
          </cell>
          <cell r="BA54">
            <v>46879.000999999997</v>
          </cell>
          <cell r="BB54">
            <v>46798.777999999998</v>
          </cell>
          <cell r="BC54">
            <v>46917.627</v>
          </cell>
          <cell r="BD54">
            <v>47236.144999999997</v>
          </cell>
        </row>
        <row r="55">
          <cell r="D55" t="str">
            <v>Multifamily - Low Rise</v>
          </cell>
          <cell r="E55" t="str">
            <v>New</v>
          </cell>
          <cell r="F55">
            <v>20270.709108606741</v>
          </cell>
          <cell r="G55">
            <v>18929.763197074921</v>
          </cell>
          <cell r="H55">
            <v>19012.285997102455</v>
          </cell>
          <cell r="I55">
            <v>22080.053999678374</v>
          </cell>
          <cell r="J55">
            <v>28601.778161129085</v>
          </cell>
          <cell r="K55">
            <v>27202.893689869055</v>
          </cell>
          <cell r="L55">
            <v>12390.21093788289</v>
          </cell>
          <cell r="M55">
            <v>12173.152842775997</v>
          </cell>
          <cell r="N55">
            <v>12361.89700061282</v>
          </cell>
          <cell r="O55">
            <v>17122.743158401601</v>
          </cell>
          <cell r="P55">
            <v>18662.733640245107</v>
          </cell>
          <cell r="Q55">
            <v>21954.730458996564</v>
          </cell>
          <cell r="R55">
            <v>20000.57314201623</v>
          </cell>
          <cell r="S55">
            <v>20642.129902132972</v>
          </cell>
          <cell r="T55">
            <v>18328.494801049026</v>
          </cell>
          <cell r="U55">
            <v>14151.270582179823</v>
          </cell>
          <cell r="V55">
            <v>14626.267683576692</v>
          </cell>
          <cell r="W55">
            <v>12028.647109827847</v>
          </cell>
          <cell r="X55">
            <v>13046.576324182055</v>
          </cell>
          <cell r="Y55">
            <v>13957.232094298253</v>
          </cell>
          <cell r="Z55">
            <v>13931.004497270837</v>
          </cell>
          <cell r="AA55">
            <v>15900.995334173014</v>
          </cell>
          <cell r="AB55">
            <v>15570.247880584542</v>
          </cell>
          <cell r="AC55">
            <v>11944.723214001346</v>
          </cell>
          <cell r="AD55">
            <v>4141.9202192737603</v>
          </cell>
          <cell r="AE55">
            <v>4082.3550519108016</v>
          </cell>
          <cell r="AF55">
            <v>7060.5047847544756</v>
          </cell>
          <cell r="AG55">
            <v>12168.678143163897</v>
          </cell>
          <cell r="AH55">
            <v>19129.179628017948</v>
          </cell>
          <cell r="AI55">
            <v>19420.059444838447</v>
          </cell>
          <cell r="AJ55">
            <v>23068.805408245826</v>
          </cell>
          <cell r="AK55">
            <v>23280.347100904564</v>
          </cell>
          <cell r="AL55">
            <v>23017.418106038647</v>
          </cell>
          <cell r="AM55">
            <v>22811.60852767331</v>
          </cell>
          <cell r="AN55">
            <v>22085.916378202593</v>
          </cell>
          <cell r="AO55">
            <v>20817.853908138593</v>
          </cell>
          <cell r="AP55">
            <v>20070.279329962508</v>
          </cell>
          <cell r="AQ55">
            <v>19887.831284331631</v>
          </cell>
          <cell r="AR55">
            <v>20257.583209811291</v>
          </cell>
          <cell r="AS55">
            <v>20750.368029493613</v>
          </cell>
          <cell r="AT55">
            <v>21314.334279744231</v>
          </cell>
          <cell r="AU55">
            <v>21403.286239774712</v>
          </cell>
          <cell r="AV55">
            <v>21409.137516518917</v>
          </cell>
          <cell r="AW55">
            <v>21443.358292282628</v>
          </cell>
          <cell r="AX55">
            <v>21209.865626522758</v>
          </cell>
          <cell r="AY55">
            <v>20954.17798283829</v>
          </cell>
          <cell r="AZ55">
            <v>20525.44023202754</v>
          </cell>
          <cell r="BA55">
            <v>20175.505597554071</v>
          </cell>
          <cell r="BB55">
            <v>19919.723927484571</v>
          </cell>
          <cell r="BC55">
            <v>19536.194066416414</v>
          </cell>
          <cell r="BD55">
            <v>19462.287131015248</v>
          </cell>
        </row>
        <row r="56">
          <cell r="D56" t="str">
            <v>Multifamily - High Rise</v>
          </cell>
          <cell r="E56" t="str">
            <v>New</v>
          </cell>
          <cell r="F56">
            <v>1479.0008913932584</v>
          </cell>
          <cell r="G56">
            <v>1541.8068029250769</v>
          </cell>
          <cell r="H56">
            <v>1789.2040028975434</v>
          </cell>
          <cell r="I56">
            <v>2697.4260003216255</v>
          </cell>
          <cell r="J56">
            <v>2452.621838870919</v>
          </cell>
          <cell r="K56">
            <v>1250.8263101309401</v>
          </cell>
          <cell r="L56">
            <v>1272.6790621171076</v>
          </cell>
          <cell r="M56">
            <v>1783.7271572240045</v>
          </cell>
          <cell r="N56">
            <v>2321.9429993871795</v>
          </cell>
          <cell r="O56">
            <v>2678.3968415983995</v>
          </cell>
          <cell r="P56">
            <v>3071.6263597548932</v>
          </cell>
          <cell r="Q56">
            <v>2881.3195410034373</v>
          </cell>
          <cell r="R56">
            <v>2811.49685798377</v>
          </cell>
          <cell r="S56">
            <v>2476.4300978670262</v>
          </cell>
          <cell r="T56">
            <v>2052.865198950974</v>
          </cell>
          <cell r="U56">
            <v>2155.6894178201746</v>
          </cell>
          <cell r="V56">
            <v>2035.7623164233071</v>
          </cell>
          <cell r="W56">
            <v>2249.9028901721549</v>
          </cell>
          <cell r="X56">
            <v>2341.7336758179449</v>
          </cell>
          <cell r="Y56">
            <v>2340.0879057017487</v>
          </cell>
          <cell r="Z56">
            <v>2581.1355027291629</v>
          </cell>
          <cell r="AA56">
            <v>2450.9446658269862</v>
          </cell>
          <cell r="AB56">
            <v>2125.3821194154557</v>
          </cell>
          <cell r="AC56">
            <v>1478.8567859986533</v>
          </cell>
          <cell r="AD56">
            <v>1471.80978072624</v>
          </cell>
          <cell r="AE56">
            <v>1909.1649480891979</v>
          </cell>
          <cell r="AF56">
            <v>3074.7952152455237</v>
          </cell>
          <cell r="AG56">
            <v>2010.1218568361005</v>
          </cell>
          <cell r="AH56">
            <v>2152.2103719820498</v>
          </cell>
          <cell r="AI56">
            <v>2768.8805551615533</v>
          </cell>
          <cell r="AJ56">
            <v>5337.8787559635048</v>
          </cell>
          <cell r="AK56">
            <v>5226.2387411561367</v>
          </cell>
          <cell r="AL56">
            <v>5239.95312759432</v>
          </cell>
          <cell r="AM56">
            <v>5271.2612760989568</v>
          </cell>
          <cell r="AN56">
            <v>4985.883552972361</v>
          </cell>
          <cell r="AO56">
            <v>4608.5912035798974</v>
          </cell>
          <cell r="AP56">
            <v>4509.6375960361838</v>
          </cell>
          <cell r="AQ56">
            <v>4481.760351096189</v>
          </cell>
          <cell r="AR56">
            <v>4621.8312800578688</v>
          </cell>
          <cell r="AS56">
            <v>4700.9782942419988</v>
          </cell>
          <cell r="AT56">
            <v>4828.2391631488581</v>
          </cell>
          <cell r="AU56">
            <v>4790.0249139778334</v>
          </cell>
          <cell r="AV56">
            <v>4782.0649962402858</v>
          </cell>
          <cell r="AW56">
            <v>4748.3908346265653</v>
          </cell>
          <cell r="AX56">
            <v>4733.4823682495089</v>
          </cell>
          <cell r="AY56">
            <v>4698.697177079107</v>
          </cell>
          <cell r="AZ56">
            <v>4599.2987885998937</v>
          </cell>
          <cell r="BA56">
            <v>4526.3104216428001</v>
          </cell>
          <cell r="BB56">
            <v>4422.0600452822764</v>
          </cell>
          <cell r="BC56">
            <v>4405.182362066379</v>
          </cell>
          <cell r="BD56">
            <v>4385.1136986120664</v>
          </cell>
        </row>
        <row r="57">
          <cell r="D57" t="str">
            <v>Manufactured</v>
          </cell>
          <cell r="E57" t="str">
            <v>New</v>
          </cell>
          <cell r="F57">
            <v>9693.11</v>
          </cell>
          <cell r="G57">
            <v>8065.19</v>
          </cell>
          <cell r="H57">
            <v>7680.98</v>
          </cell>
          <cell r="I57">
            <v>8859.3700000000008</v>
          </cell>
          <cell r="J57">
            <v>9760.6</v>
          </cell>
          <cell r="K57">
            <v>11657.85</v>
          </cell>
          <cell r="L57">
            <v>11534.21</v>
          </cell>
          <cell r="M57">
            <v>13344.97</v>
          </cell>
          <cell r="N57">
            <v>16910.21</v>
          </cell>
          <cell r="O57">
            <v>19707.47</v>
          </cell>
          <cell r="P57">
            <v>18879.04</v>
          </cell>
          <cell r="Q57">
            <v>16372.93</v>
          </cell>
          <cell r="R57">
            <v>16578.169999999998</v>
          </cell>
          <cell r="S57">
            <v>17170.830000000002</v>
          </cell>
          <cell r="T57">
            <v>13873.52</v>
          </cell>
          <cell r="U57">
            <v>9050.15</v>
          </cell>
          <cell r="V57">
            <v>6886.54</v>
          </cell>
          <cell r="W57">
            <v>7046.04</v>
          </cell>
          <cell r="X57">
            <v>6539.39</v>
          </cell>
          <cell r="Y57">
            <v>6359.29</v>
          </cell>
          <cell r="Z57">
            <v>6381.37</v>
          </cell>
          <cell r="AA57">
            <v>6080.27</v>
          </cell>
          <cell r="AB57">
            <v>4894.01</v>
          </cell>
          <cell r="AC57">
            <v>3674.09</v>
          </cell>
          <cell r="AD57">
            <v>2014.3</v>
          </cell>
          <cell r="AE57">
            <v>1796.25</v>
          </cell>
          <cell r="AF57">
            <v>1477.77</v>
          </cell>
          <cell r="AG57">
            <v>1516.76</v>
          </cell>
          <cell r="AH57">
            <v>2391.3375000000001</v>
          </cell>
          <cell r="AI57">
            <v>2145.0845833333333</v>
          </cell>
          <cell r="AJ57">
            <v>1890.2503472222222</v>
          </cell>
          <cell r="AK57">
            <v>1869.5754050925925</v>
          </cell>
          <cell r="AL57">
            <v>1881.796305941358</v>
          </cell>
          <cell r="AM57">
            <v>1949.1340235982509</v>
          </cell>
          <cell r="AN57">
            <v>2021.1963608646258</v>
          </cell>
          <cell r="AO57">
            <v>1959.5061710087307</v>
          </cell>
          <cell r="AP57">
            <v>1928.5764356212967</v>
          </cell>
          <cell r="AQ57">
            <v>1934.9641170211423</v>
          </cell>
          <cell r="AR57">
            <v>1945.862235675901</v>
          </cell>
          <cell r="AS57">
            <v>1956.539890631658</v>
          </cell>
          <cell r="AT57">
            <v>1957.7742018038925</v>
          </cell>
          <cell r="AU57">
            <v>1947.2038419604366</v>
          </cell>
          <cell r="AV57">
            <v>1945.153453785721</v>
          </cell>
          <cell r="AW57">
            <v>1947.9162901464586</v>
          </cell>
          <cell r="AX57">
            <v>1950.0749856673444</v>
          </cell>
          <cell r="AY57">
            <v>1950.7771106659191</v>
          </cell>
          <cell r="AZ57">
            <v>1949.8166473382953</v>
          </cell>
          <cell r="BA57">
            <v>1948.4903882606959</v>
          </cell>
          <cell r="BB57">
            <v>1948.7048126440727</v>
          </cell>
          <cell r="BC57">
            <v>1949.296705787131</v>
          </cell>
          <cell r="BD57">
            <v>1949.5267750605763</v>
          </cell>
        </row>
        <row r="58">
          <cell r="D58" t="str">
            <v>Single Family</v>
          </cell>
          <cell r="E58" t="str">
            <v>Existing</v>
          </cell>
          <cell r="AK58">
            <v>4203528.2719999999</v>
          </cell>
          <cell r="AL58">
            <v>4193982.9785983553</v>
          </cell>
          <cell r="AM58">
            <v>4184459.3604704877</v>
          </cell>
          <cell r="AN58">
            <v>4174957.36839659</v>
          </cell>
          <cell r="AO58">
            <v>4165476.9532686244</v>
          </cell>
          <cell r="AP58">
            <v>4156018.0660900641</v>
          </cell>
          <cell r="AQ58">
            <v>4146580.6579756448</v>
          </cell>
          <cell r="AR58">
            <v>4137164.6801511091</v>
          </cell>
          <cell r="AS58">
            <v>4127770.0839529554</v>
          </cell>
          <cell r="AT58">
            <v>4118396.8208281873</v>
          </cell>
          <cell r="AU58">
            <v>4109044.8423340586</v>
          </cell>
          <cell r="AV58">
            <v>4099714.1001378288</v>
          </cell>
          <cell r="AW58">
            <v>4090404.5460165106</v>
          </cell>
          <cell r="AX58">
            <v>4081116.1318566194</v>
          </cell>
          <cell r="AY58">
            <v>4071848.8096539262</v>
          </cell>
          <cell r="AZ58">
            <v>4062602.5315132081</v>
          </cell>
          <cell r="BA58">
            <v>4053377.2496480034</v>
          </cell>
          <cell r="BB58">
            <v>4044172.9163803621</v>
          </cell>
          <cell r="BC58">
            <v>4034989.4841406001</v>
          </cell>
          <cell r="BD58">
            <v>4025826.9054670548</v>
          </cell>
        </row>
        <row r="59">
          <cell r="D59" t="str">
            <v>Multifamily - Low Rise</v>
          </cell>
          <cell r="E59" t="str">
            <v>Existing</v>
          </cell>
          <cell r="AK59">
            <v>926243.25609262148</v>
          </cell>
          <cell r="AL59">
            <v>924139.92640956037</v>
          </cell>
          <cell r="AM59">
            <v>922041.3730050053</v>
          </cell>
          <cell r="AN59">
            <v>919947.58503289847</v>
          </cell>
          <cell r="AO59">
            <v>917858.55167181045</v>
          </cell>
          <cell r="AP59">
            <v>915774.26212488639</v>
          </cell>
          <cell r="AQ59">
            <v>913694.70561978838</v>
          </cell>
          <cell r="AR59">
            <v>911619.87140864041</v>
          </cell>
          <cell r="AS59">
            <v>909549.74876797362</v>
          </cell>
          <cell r="AT59">
            <v>907484.32699866977</v>
          </cell>
          <cell r="AU59">
            <v>905423.59542590659</v>
          </cell>
          <cell r="AV59">
            <v>903367.54339910217</v>
          </cell>
          <cell r="AW59">
            <v>901316.16029185988</v>
          </cell>
          <cell r="AX59">
            <v>899269.43550191447</v>
          </cell>
          <cell r="AY59">
            <v>897227.35845107585</v>
          </cell>
          <cell r="AZ59">
            <v>895189.9185851753</v>
          </cell>
          <cell r="BA59">
            <v>893157.10537401051</v>
          </cell>
          <cell r="BB59">
            <v>891128.90831129183</v>
          </cell>
          <cell r="BC59">
            <v>889105.31691458682</v>
          </cell>
          <cell r="BD59">
            <v>887086.32072526717</v>
          </cell>
        </row>
        <row r="60">
          <cell r="D60" t="str">
            <v>Multifamily - High Rise</v>
          </cell>
          <cell r="E60" t="str">
            <v>Existing</v>
          </cell>
          <cell r="AK60">
            <v>211180.07985625503</v>
          </cell>
          <cell r="AL60">
            <v>210700.52836963299</v>
          </cell>
          <cell r="AM60">
            <v>210222.06585706791</v>
          </cell>
          <cell r="AN60">
            <v>209744.68984569819</v>
          </cell>
          <cell r="AO60">
            <v>209268.39786827751</v>
          </cell>
          <cell r="AP60">
            <v>208793.18746316229</v>
          </cell>
          <cell r="AQ60">
            <v>208319.05617429892</v>
          </cell>
          <cell r="AR60">
            <v>207846.00155121088</v>
          </cell>
          <cell r="AS60">
            <v>207374.0211489865</v>
          </cell>
          <cell r="AT60">
            <v>206903.11252826577</v>
          </cell>
          <cell r="AU60">
            <v>206433.27325522827</v>
          </cell>
          <cell r="AV60">
            <v>205964.50090158021</v>
          </cell>
          <cell r="AW60">
            <v>205496.79304454199</v>
          </cell>
          <cell r="AX60">
            <v>205030.14726683579</v>
          </cell>
          <cell r="AY60">
            <v>204564.56115667295</v>
          </cell>
          <cell r="AZ60">
            <v>204100.03230774152</v>
          </cell>
          <cell r="BA60">
            <v>203636.55831919383</v>
          </cell>
          <cell r="BB60">
            <v>203174.13679563423</v>
          </cell>
          <cell r="BC60">
            <v>202712.76534710638</v>
          </cell>
          <cell r="BD60">
            <v>202252.44158908122</v>
          </cell>
        </row>
        <row r="61">
          <cell r="D61" t="str">
            <v>Manufactured</v>
          </cell>
          <cell r="E61" t="str">
            <v>Existing</v>
          </cell>
          <cell r="AK61">
            <v>572006.3278356482</v>
          </cell>
          <cell r="AL61">
            <v>565893.30394507048</v>
          </cell>
          <cell r="AM61">
            <v>559845.60985814757</v>
          </cell>
          <cell r="AN61">
            <v>553862.54739615123</v>
          </cell>
          <cell r="AO61">
            <v>547943.42584177968</v>
          </cell>
          <cell r="AP61">
            <v>542087.56185941794</v>
          </cell>
          <cell r="AQ61">
            <v>536294.27941624937</v>
          </cell>
          <cell r="AR61">
            <v>530562.90970421082</v>
          </cell>
          <cell r="AS61">
            <v>524892.79106278194</v>
          </cell>
          <cell r="AT61">
            <v>519283.26890259917</v>
          </cell>
          <cell r="AU61">
            <v>513733.69562988722</v>
          </cell>
          <cell r="AV61">
            <v>508243.4305716962</v>
          </cell>
          <cell r="AW61">
            <v>502811.8399019395</v>
          </cell>
          <cell r="AX61">
            <v>497438.2965682213</v>
          </cell>
          <cell r="AY61">
            <v>492122.18021944637</v>
          </cell>
          <cell r="AZ61">
            <v>486862.87713420321</v>
          </cell>
          <cell r="BA61">
            <v>481659.78014991269</v>
          </cell>
          <cell r="BB61">
            <v>476512.28859273402</v>
          </cell>
          <cell r="BC61">
            <v>471419.80820821953</v>
          </cell>
          <cell r="BD61">
            <v>466381.75109271082</v>
          </cell>
        </row>
        <row r="63">
          <cell r="G63">
            <v>1986</v>
          </cell>
          <cell r="H63">
            <v>1987</v>
          </cell>
          <cell r="I63">
            <v>1988</v>
          </cell>
          <cell r="J63">
            <v>1989</v>
          </cell>
          <cell r="K63">
            <v>1990</v>
          </cell>
          <cell r="L63">
            <v>1991</v>
          </cell>
          <cell r="M63">
            <v>1992</v>
          </cell>
          <cell r="N63">
            <v>1993</v>
          </cell>
          <cell r="O63">
            <v>1994</v>
          </cell>
          <cell r="P63">
            <v>1995</v>
          </cell>
          <cell r="Q63">
            <v>1996</v>
          </cell>
          <cell r="R63">
            <v>1997</v>
          </cell>
          <cell r="S63">
            <v>1998</v>
          </cell>
          <cell r="T63">
            <v>1999</v>
          </cell>
          <cell r="U63">
            <v>2000</v>
          </cell>
          <cell r="V63">
            <v>2001</v>
          </cell>
          <cell r="W63">
            <v>2002</v>
          </cell>
          <cell r="X63">
            <v>2003</v>
          </cell>
          <cell r="Y63">
            <v>2004</v>
          </cell>
          <cell r="Z63">
            <v>2005</v>
          </cell>
          <cell r="AA63">
            <v>2006</v>
          </cell>
          <cell r="AB63">
            <v>2007</v>
          </cell>
          <cell r="AC63">
            <v>2008</v>
          </cell>
          <cell r="AD63">
            <v>2009</v>
          </cell>
          <cell r="AE63">
            <v>2010</v>
          </cell>
        </row>
        <row r="65">
          <cell r="G65">
            <v>1913.6278001779131</v>
          </cell>
          <cell r="H65">
            <v>1919.2670567662774</v>
          </cell>
          <cell r="I65">
            <v>1924.9063133546417</v>
          </cell>
          <cell r="J65">
            <v>1930.5455699430061</v>
          </cell>
          <cell r="K65">
            <v>1936.1848265313704</v>
          </cell>
          <cell r="L65">
            <v>1941.8240831197347</v>
          </cell>
          <cell r="M65">
            <v>1947.4633397080986</v>
          </cell>
          <cell r="N65">
            <v>1979.8855944438292</v>
          </cell>
          <cell r="O65">
            <v>2012.3078491795598</v>
          </cell>
          <cell r="P65">
            <v>2044.7301039152903</v>
          </cell>
          <cell r="Q65">
            <v>2077.1523586510211</v>
          </cell>
          <cell r="R65">
            <v>2109.5746133867519</v>
          </cell>
          <cell r="S65">
            <v>2141.9968681224827</v>
          </cell>
          <cell r="T65">
            <v>2174.4191228582135</v>
          </cell>
          <cell r="U65">
            <v>2206.8413775939443</v>
          </cell>
          <cell r="V65">
            <v>2239.2636323296751</v>
          </cell>
          <cell r="W65">
            <v>2271.685887065406</v>
          </cell>
          <cell r="X65">
            <v>2304.1081418011368</v>
          </cell>
          <cell r="Y65">
            <v>2336.5303965368676</v>
          </cell>
          <cell r="Z65">
            <v>2368.9526512725984</v>
          </cell>
          <cell r="AA65">
            <v>2206.8413775939434</v>
          </cell>
          <cell r="AB65">
            <v>2185.6308440789344</v>
          </cell>
          <cell r="AC65">
            <v>2164.4203105639253</v>
          </cell>
          <cell r="AD65">
            <v>2143.2097770489163</v>
          </cell>
          <cell r="AE65">
            <v>2121.9992435339072</v>
          </cell>
        </row>
        <row r="66">
          <cell r="G66">
            <v>698.06928427699506</v>
          </cell>
          <cell r="H66">
            <v>708.32070921300988</v>
          </cell>
          <cell r="I66">
            <v>718.57213414902469</v>
          </cell>
          <cell r="J66">
            <v>728.82355908503951</v>
          </cell>
          <cell r="K66">
            <v>739.07498402105432</v>
          </cell>
          <cell r="L66">
            <v>749.32640895706913</v>
          </cell>
          <cell r="M66">
            <v>759.57783389308383</v>
          </cell>
          <cell r="N66">
            <v>768.47360788626315</v>
          </cell>
          <cell r="O66">
            <v>777.36938187944247</v>
          </cell>
          <cell r="P66">
            <v>786.26515587262179</v>
          </cell>
          <cell r="Q66">
            <v>795.16092986580111</v>
          </cell>
          <cell r="R66">
            <v>804.05670385898043</v>
          </cell>
          <cell r="S66">
            <v>812.95247785215975</v>
          </cell>
          <cell r="T66">
            <v>821.84825184533906</v>
          </cell>
          <cell r="U66">
            <v>830.74402583851838</v>
          </cell>
          <cell r="V66">
            <v>839.6397998316977</v>
          </cell>
          <cell r="W66">
            <v>848.53557382487702</v>
          </cell>
          <cell r="X66">
            <v>857.43134781805634</v>
          </cell>
          <cell r="Y66">
            <v>866.32712181123566</v>
          </cell>
          <cell r="Z66">
            <v>875.22289580441497</v>
          </cell>
          <cell r="AA66">
            <v>830.74402583851884</v>
          </cell>
          <cell r="AB66">
            <v>841.39264921368215</v>
          </cell>
          <cell r="AC66">
            <v>852.04127258884546</v>
          </cell>
          <cell r="AD66">
            <v>862.68989596400877</v>
          </cell>
          <cell r="AE66">
            <v>873.33851933917208</v>
          </cell>
        </row>
        <row r="67">
          <cell r="G67">
            <v>1167</v>
          </cell>
          <cell r="H67">
            <v>1167</v>
          </cell>
          <cell r="I67">
            <v>1167</v>
          </cell>
          <cell r="J67">
            <v>1167</v>
          </cell>
          <cell r="K67">
            <v>1167</v>
          </cell>
          <cell r="L67">
            <v>1167</v>
          </cell>
          <cell r="M67">
            <v>1167</v>
          </cell>
          <cell r="N67">
            <v>1167</v>
          </cell>
          <cell r="O67">
            <v>1167</v>
          </cell>
          <cell r="P67">
            <v>1167</v>
          </cell>
          <cell r="Q67">
            <v>1167</v>
          </cell>
          <cell r="R67">
            <v>1167</v>
          </cell>
          <cell r="S67">
            <v>1167</v>
          </cell>
          <cell r="T67">
            <v>1167</v>
          </cell>
          <cell r="U67">
            <v>1167</v>
          </cell>
          <cell r="V67">
            <v>1167</v>
          </cell>
          <cell r="W67">
            <v>1167</v>
          </cell>
          <cell r="X67">
            <v>1167</v>
          </cell>
          <cell r="Y67">
            <v>1167</v>
          </cell>
          <cell r="Z67">
            <v>1167</v>
          </cell>
          <cell r="AA67">
            <v>1167</v>
          </cell>
          <cell r="AB67">
            <v>1167</v>
          </cell>
          <cell r="AC67">
            <v>1167</v>
          </cell>
          <cell r="AD67">
            <v>1167</v>
          </cell>
          <cell r="AE67">
            <v>1167</v>
          </cell>
        </row>
        <row r="68">
          <cell r="G68">
            <v>1029.0487523611168</v>
          </cell>
          <cell r="H68">
            <v>1097.2261598014015</v>
          </cell>
          <cell r="I68">
            <v>1165.4035672416862</v>
          </cell>
          <cell r="J68">
            <v>1233.5809746819709</v>
          </cell>
          <cell r="K68">
            <v>1301.7583821222556</v>
          </cell>
          <cell r="L68">
            <v>1369.9357895625403</v>
          </cell>
          <cell r="M68">
            <v>1438.1131970028248</v>
          </cell>
          <cell r="N68">
            <v>1454.5206034528924</v>
          </cell>
          <cell r="O68">
            <v>1470.9280099029602</v>
          </cell>
          <cell r="P68">
            <v>1487.335416353028</v>
          </cell>
          <cell r="Q68">
            <v>1503.7428228030958</v>
          </cell>
          <cell r="R68">
            <v>1520.1502292531636</v>
          </cell>
          <cell r="S68">
            <v>1536.5576357032314</v>
          </cell>
          <cell r="T68">
            <v>1552.9650421532992</v>
          </cell>
          <cell r="U68">
            <v>1569.372448603367</v>
          </cell>
          <cell r="V68">
            <v>1585.7798550534349</v>
          </cell>
          <cell r="W68">
            <v>1602.1872615035027</v>
          </cell>
          <cell r="X68">
            <v>1618.5946679535705</v>
          </cell>
          <cell r="Y68">
            <v>1635.0020744036383</v>
          </cell>
          <cell r="Z68">
            <v>1651.4094808537061</v>
          </cell>
          <cell r="AA68">
            <v>1569.3724486033664</v>
          </cell>
          <cell r="AB68">
            <v>1563.8258925279456</v>
          </cell>
          <cell r="AC68">
            <v>1558.2793364525248</v>
          </cell>
          <cell r="AD68">
            <v>1552.7327803771041</v>
          </cell>
          <cell r="AE68">
            <v>1547.1862243016833</v>
          </cell>
        </row>
        <row r="75">
          <cell r="G75">
            <v>2064.1078222566443</v>
          </cell>
          <cell r="H75">
            <v>2077.3226475548058</v>
          </cell>
          <cell r="I75">
            <v>2090.5374728529673</v>
          </cell>
          <cell r="J75">
            <v>2103.7522981511288</v>
          </cell>
          <cell r="K75">
            <v>2116.9671234492903</v>
          </cell>
          <cell r="L75">
            <v>2130.1819487474518</v>
          </cell>
          <cell r="M75">
            <v>2143.3967740456146</v>
          </cell>
          <cell r="N75">
            <v>2172.9935438846765</v>
          </cell>
          <cell r="O75">
            <v>2202.5903137237383</v>
          </cell>
          <cell r="P75">
            <v>2232.1870835628001</v>
          </cell>
          <cell r="Q75">
            <v>2261.783853401862</v>
          </cell>
          <cell r="R75">
            <v>2291.3806232409238</v>
          </cell>
          <cell r="S75">
            <v>2320.9773930799856</v>
          </cell>
          <cell r="T75">
            <v>2350.5741629190475</v>
          </cell>
          <cell r="U75">
            <v>2380.1709327581093</v>
          </cell>
          <cell r="V75">
            <v>2409.7677025971711</v>
          </cell>
          <cell r="W75">
            <v>2439.364472436233</v>
          </cell>
          <cell r="X75">
            <v>2468.9612422752948</v>
          </cell>
          <cell r="Y75">
            <v>2498.5580121143566</v>
          </cell>
          <cell r="Z75">
            <v>2528.1547819534185</v>
          </cell>
          <cell r="AA75">
            <v>2380.1709327581084</v>
          </cell>
          <cell r="AB75">
            <v>2386.7545055478154</v>
          </cell>
          <cell r="AC75">
            <v>2393.3380783375223</v>
          </cell>
          <cell r="AD75">
            <v>2399.9216511272293</v>
          </cell>
          <cell r="AE75">
            <v>2406.5052239169363</v>
          </cell>
        </row>
        <row r="76">
          <cell r="G76">
            <v>698.06928427699506</v>
          </cell>
          <cell r="H76">
            <v>708.32070921300988</v>
          </cell>
          <cell r="I76">
            <v>718.57213414902469</v>
          </cell>
          <cell r="J76">
            <v>728.82355908503951</v>
          </cell>
          <cell r="K76">
            <v>739.07498402105432</v>
          </cell>
          <cell r="L76">
            <v>749.32640895706913</v>
          </cell>
          <cell r="M76">
            <v>759.57783389308383</v>
          </cell>
          <cell r="N76">
            <v>768.01287342852402</v>
          </cell>
          <cell r="O76">
            <v>776.4479129639642</v>
          </cell>
          <cell r="P76">
            <v>784.88295249940438</v>
          </cell>
          <cell r="Q76">
            <v>793.31799203484456</v>
          </cell>
          <cell r="R76">
            <v>801.75303157028475</v>
          </cell>
          <cell r="S76">
            <v>810.18807110572493</v>
          </cell>
          <cell r="T76">
            <v>818.62311064116511</v>
          </cell>
          <cell r="U76">
            <v>827.0581501766053</v>
          </cell>
          <cell r="V76">
            <v>835.49318971204548</v>
          </cell>
          <cell r="W76">
            <v>843.92822924748566</v>
          </cell>
          <cell r="X76">
            <v>852.36326878292584</v>
          </cell>
          <cell r="Y76">
            <v>860.79830831836603</v>
          </cell>
          <cell r="Z76">
            <v>869.23334785380621</v>
          </cell>
          <cell r="AA76">
            <v>827.05815017660575</v>
          </cell>
          <cell r="AB76">
            <v>838.1675080095082</v>
          </cell>
          <cell r="AC76">
            <v>849.27686584241064</v>
          </cell>
          <cell r="AD76">
            <v>860.38622367531309</v>
          </cell>
          <cell r="AE76">
            <v>871.49558150821554</v>
          </cell>
        </row>
        <row r="77">
          <cell r="G77">
            <v>1167</v>
          </cell>
          <cell r="H77">
            <v>1167</v>
          </cell>
          <cell r="I77">
            <v>1167</v>
          </cell>
          <cell r="J77">
            <v>1167</v>
          </cell>
          <cell r="K77">
            <v>1167</v>
          </cell>
          <cell r="L77">
            <v>1167</v>
          </cell>
          <cell r="M77">
            <v>1167</v>
          </cell>
          <cell r="N77">
            <v>1167</v>
          </cell>
          <cell r="O77">
            <v>1167</v>
          </cell>
          <cell r="P77">
            <v>1167</v>
          </cell>
          <cell r="Q77">
            <v>1167</v>
          </cell>
          <cell r="R77">
            <v>1167</v>
          </cell>
          <cell r="S77">
            <v>1167</v>
          </cell>
          <cell r="T77">
            <v>1167</v>
          </cell>
          <cell r="U77">
            <v>1167</v>
          </cell>
          <cell r="V77">
            <v>1167</v>
          </cell>
          <cell r="W77">
            <v>1167</v>
          </cell>
          <cell r="X77">
            <v>1167</v>
          </cell>
          <cell r="Y77">
            <v>1167</v>
          </cell>
          <cell r="Z77">
            <v>1167</v>
          </cell>
          <cell r="AA77">
            <v>1167</v>
          </cell>
          <cell r="AB77">
            <v>1167</v>
          </cell>
          <cell r="AC77">
            <v>1167</v>
          </cell>
          <cell r="AD77">
            <v>1167</v>
          </cell>
          <cell r="AE77">
            <v>1167</v>
          </cell>
        </row>
        <row r="78">
          <cell r="G78">
            <v>1168.8738334833329</v>
          </cell>
          <cell r="H78">
            <v>1178.0613546668903</v>
          </cell>
          <cell r="I78">
            <v>1187.2488758504478</v>
          </cell>
          <cell r="J78">
            <v>1196.4363970340053</v>
          </cell>
          <cell r="K78">
            <v>1205.6239182175627</v>
          </cell>
          <cell r="L78">
            <v>1214.8114394011202</v>
          </cell>
          <cell r="M78">
            <v>1223.9989605846772</v>
          </cell>
          <cell r="N78">
            <v>1276.2228998482572</v>
          </cell>
          <cell r="O78">
            <v>1328.4468391118371</v>
          </cell>
          <cell r="P78">
            <v>1380.6707783754171</v>
          </cell>
          <cell r="Q78">
            <v>1432.894717638997</v>
          </cell>
          <cell r="R78">
            <v>1485.118656902577</v>
          </cell>
          <cell r="S78">
            <v>1537.3425961661569</v>
          </cell>
          <cell r="T78">
            <v>1589.5665354297369</v>
          </cell>
          <cell r="U78">
            <v>1641.7904746933168</v>
          </cell>
          <cell r="V78">
            <v>1694.0144139568968</v>
          </cell>
          <cell r="W78">
            <v>1746.2383532204767</v>
          </cell>
          <cell r="X78">
            <v>1798.4622924840567</v>
          </cell>
          <cell r="Y78">
            <v>1850.6862317476366</v>
          </cell>
          <cell r="Z78">
            <v>1902.9101710112166</v>
          </cell>
          <cell r="AA78">
            <v>1641.7904746933164</v>
          </cell>
          <cell r="AB78">
            <v>1579.0383181111101</v>
          </cell>
          <cell r="AC78">
            <v>1516.2861615289039</v>
          </cell>
          <cell r="AD78">
            <v>1453.5340049466977</v>
          </cell>
          <cell r="AE78">
            <v>1390.7818483644915</v>
          </cell>
        </row>
        <row r="85">
          <cell r="G85">
            <v>2155.8815029472858</v>
          </cell>
          <cell r="H85">
            <v>2184.9101777532496</v>
          </cell>
          <cell r="I85">
            <v>2213.9388525592135</v>
          </cell>
          <cell r="J85">
            <v>2242.9675273651774</v>
          </cell>
          <cell r="K85">
            <v>2271.9962021711412</v>
          </cell>
          <cell r="L85">
            <v>2301.0248769771051</v>
          </cell>
          <cell r="M85">
            <v>2330.0535517830704</v>
          </cell>
          <cell r="N85">
            <v>2314.0416857828459</v>
          </cell>
          <cell r="O85">
            <v>2298.0298197826214</v>
          </cell>
          <cell r="P85">
            <v>2282.0179537823969</v>
          </cell>
          <cell r="Q85">
            <v>2266.0060877821725</v>
          </cell>
          <cell r="R85">
            <v>2249.994221781948</v>
          </cell>
          <cell r="S85">
            <v>2233.9823557817235</v>
          </cell>
          <cell r="T85">
            <v>2217.9704897814991</v>
          </cell>
          <cell r="U85">
            <v>2201.9586237812746</v>
          </cell>
          <cell r="V85">
            <v>2185.9467577810501</v>
          </cell>
          <cell r="W85">
            <v>2169.9348917808256</v>
          </cell>
          <cell r="X85">
            <v>2153.9230257806012</v>
          </cell>
          <cell r="Y85">
            <v>2137.9111597803767</v>
          </cell>
          <cell r="Z85">
            <v>2121.8992937801522</v>
          </cell>
          <cell r="AA85">
            <v>2201.9586237812732</v>
          </cell>
          <cell r="AB85">
            <v>2240.9786175580202</v>
          </cell>
          <cell r="AC85">
            <v>2279.9986113347672</v>
          </cell>
          <cell r="AD85">
            <v>2319.0186051115143</v>
          </cell>
          <cell r="AE85">
            <v>2358.0385988882613</v>
          </cell>
        </row>
        <row r="86">
          <cell r="G86">
            <v>698.06928427699506</v>
          </cell>
          <cell r="H86">
            <v>708.32070921300988</v>
          </cell>
          <cell r="I86">
            <v>718.57213414902469</v>
          </cell>
          <cell r="J86">
            <v>728.82355908503951</v>
          </cell>
          <cell r="K86">
            <v>739.07498402105432</v>
          </cell>
          <cell r="L86">
            <v>749.32640895706913</v>
          </cell>
          <cell r="M86">
            <v>759.57783389308383</v>
          </cell>
          <cell r="N86">
            <v>768.01287342852402</v>
          </cell>
          <cell r="O86">
            <v>776.4479129639642</v>
          </cell>
          <cell r="P86">
            <v>784.88295249940438</v>
          </cell>
          <cell r="Q86">
            <v>793.31799203484456</v>
          </cell>
          <cell r="R86">
            <v>801.75303157028475</v>
          </cell>
          <cell r="S86">
            <v>810.18807110572493</v>
          </cell>
          <cell r="T86">
            <v>818.62311064116511</v>
          </cell>
          <cell r="U86">
            <v>827.0581501766053</v>
          </cell>
          <cell r="V86">
            <v>835.49318971204548</v>
          </cell>
          <cell r="W86">
            <v>843.92822924748566</v>
          </cell>
          <cell r="X86">
            <v>852.36326878292584</v>
          </cell>
          <cell r="Y86">
            <v>860.79830831836603</v>
          </cell>
          <cell r="Z86">
            <v>869.23334785380621</v>
          </cell>
          <cell r="AA86">
            <v>827.05815017660575</v>
          </cell>
          <cell r="AB86">
            <v>838.1675080095082</v>
          </cell>
          <cell r="AC86">
            <v>849.27686584241064</v>
          </cell>
          <cell r="AD86">
            <v>860.38622367531309</v>
          </cell>
          <cell r="AE86">
            <v>871.49558150821554</v>
          </cell>
        </row>
        <row r="87">
          <cell r="G87">
            <v>1167</v>
          </cell>
          <cell r="H87">
            <v>1167</v>
          </cell>
          <cell r="I87">
            <v>1167</v>
          </cell>
          <cell r="J87">
            <v>1167</v>
          </cell>
          <cell r="K87">
            <v>1167</v>
          </cell>
          <cell r="L87">
            <v>1167</v>
          </cell>
          <cell r="M87">
            <v>1167</v>
          </cell>
          <cell r="N87">
            <v>1167</v>
          </cell>
          <cell r="O87">
            <v>1167</v>
          </cell>
          <cell r="P87">
            <v>1167</v>
          </cell>
          <cell r="Q87">
            <v>1167</v>
          </cell>
          <cell r="R87">
            <v>1167</v>
          </cell>
          <cell r="S87">
            <v>1167</v>
          </cell>
          <cell r="T87">
            <v>1167</v>
          </cell>
          <cell r="U87">
            <v>1167</v>
          </cell>
          <cell r="V87">
            <v>1167</v>
          </cell>
          <cell r="W87">
            <v>1167</v>
          </cell>
          <cell r="X87">
            <v>1167</v>
          </cell>
          <cell r="Y87">
            <v>1167</v>
          </cell>
          <cell r="Z87">
            <v>1167</v>
          </cell>
          <cell r="AA87">
            <v>1167</v>
          </cell>
          <cell r="AB87">
            <v>1167</v>
          </cell>
          <cell r="AC87">
            <v>1167</v>
          </cell>
          <cell r="AD87">
            <v>1167</v>
          </cell>
          <cell r="AE87">
            <v>1167</v>
          </cell>
        </row>
        <row r="88">
          <cell r="G88">
            <v>1185.5891467799934</v>
          </cell>
          <cell r="H88">
            <v>1211.1874468780647</v>
          </cell>
          <cell r="I88">
            <v>1236.7857469761361</v>
          </cell>
          <cell r="J88">
            <v>1262.3840470742075</v>
          </cell>
          <cell r="K88">
            <v>1287.9823471722789</v>
          </cell>
          <cell r="L88">
            <v>1313.5806472703503</v>
          </cell>
          <cell r="M88">
            <v>1339.1789473684209</v>
          </cell>
          <cell r="N88">
            <v>1363.3137548732943</v>
          </cell>
          <cell r="O88">
            <v>1387.4485623781677</v>
          </cell>
          <cell r="P88">
            <v>1411.5833698830411</v>
          </cell>
          <cell r="Q88">
            <v>1435.7181773879145</v>
          </cell>
          <cell r="R88">
            <v>1459.8529848927878</v>
          </cell>
          <cell r="S88">
            <v>1483.9877923976612</v>
          </cell>
          <cell r="T88">
            <v>1508.1225999025346</v>
          </cell>
          <cell r="U88">
            <v>1532.257407407408</v>
          </cell>
          <cell r="V88">
            <v>1556.3922149122814</v>
          </cell>
          <cell r="W88">
            <v>1580.5270224171547</v>
          </cell>
          <cell r="X88">
            <v>1604.6618299220281</v>
          </cell>
          <cell r="Y88">
            <v>1628.7966374269015</v>
          </cell>
          <cell r="Z88">
            <v>1652.9314449317749</v>
          </cell>
          <cell r="AA88">
            <v>1532.2574074074075</v>
          </cell>
          <cell r="AB88">
            <v>1537.9043981481482</v>
          </cell>
          <cell r="AC88">
            <v>1543.5513888888888</v>
          </cell>
          <cell r="AD88">
            <v>1549.1983796296295</v>
          </cell>
          <cell r="AE88">
            <v>1554.8453703703701</v>
          </cell>
        </row>
        <row r="95">
          <cell r="G95">
            <v>2189.132116156165</v>
          </cell>
          <cell r="H95">
            <v>2153.2906631184565</v>
          </cell>
          <cell r="I95">
            <v>2117.4492100807479</v>
          </cell>
          <cell r="J95">
            <v>2081.6077570430393</v>
          </cell>
          <cell r="K95">
            <v>2045.7663040053308</v>
          </cell>
          <cell r="L95">
            <v>2009.9248509676222</v>
          </cell>
          <cell r="M95">
            <v>1974.083397929913</v>
          </cell>
          <cell r="N95">
            <v>2052.2554545152962</v>
          </cell>
          <cell r="O95">
            <v>2130.4275111006791</v>
          </cell>
          <cell r="P95">
            <v>2208.5995676860621</v>
          </cell>
          <cell r="Q95">
            <v>2286.771624271445</v>
          </cell>
          <cell r="R95">
            <v>2364.943680856828</v>
          </cell>
          <cell r="S95">
            <v>2443.115737442211</v>
          </cell>
          <cell r="T95">
            <v>2521.2877940275939</v>
          </cell>
          <cell r="U95">
            <v>2599.4598506129769</v>
          </cell>
          <cell r="V95">
            <v>2677.6319071983598</v>
          </cell>
          <cell r="W95">
            <v>2755.8039637837428</v>
          </cell>
          <cell r="X95">
            <v>2833.9760203691258</v>
          </cell>
          <cell r="Y95">
            <v>2912.1480769545087</v>
          </cell>
          <cell r="Z95">
            <v>2990.3201335398917</v>
          </cell>
          <cell r="AA95">
            <v>2599.4598506129778</v>
          </cell>
          <cell r="AB95">
            <v>2551.8698894298795</v>
          </cell>
          <cell r="AC95">
            <v>2504.2799282467813</v>
          </cell>
          <cell r="AD95">
            <v>2456.6899670636831</v>
          </cell>
          <cell r="AE95">
            <v>2409.1000058805848</v>
          </cell>
        </row>
        <row r="96">
          <cell r="G96">
            <v>698.06928427699506</v>
          </cell>
          <cell r="H96">
            <v>708.32070921300988</v>
          </cell>
          <cell r="I96">
            <v>718.57213414902469</v>
          </cell>
          <cell r="J96">
            <v>728.82355908503951</v>
          </cell>
          <cell r="K96">
            <v>739.07498402105432</v>
          </cell>
          <cell r="L96">
            <v>749.32640895706913</v>
          </cell>
          <cell r="M96">
            <v>759.57783389308383</v>
          </cell>
          <cell r="N96">
            <v>768.01287342852402</v>
          </cell>
          <cell r="O96">
            <v>776.4479129639642</v>
          </cell>
          <cell r="P96">
            <v>784.88295249940438</v>
          </cell>
          <cell r="Q96">
            <v>793.31799203484456</v>
          </cell>
          <cell r="R96">
            <v>801.75303157028475</v>
          </cell>
          <cell r="S96">
            <v>810.18807110572493</v>
          </cell>
          <cell r="T96">
            <v>818.62311064116511</v>
          </cell>
          <cell r="U96">
            <v>827.0581501766053</v>
          </cell>
          <cell r="V96">
            <v>835.49318971204548</v>
          </cell>
          <cell r="W96">
            <v>843.92822924748566</v>
          </cell>
          <cell r="X96">
            <v>852.36326878292584</v>
          </cell>
          <cell r="Y96">
            <v>860.79830831836603</v>
          </cell>
          <cell r="Z96">
            <v>869.23334785380621</v>
          </cell>
          <cell r="AA96">
            <v>827.05815017660575</v>
          </cell>
          <cell r="AB96">
            <v>838.1675080095082</v>
          </cell>
          <cell r="AC96">
            <v>849.27686584241064</v>
          </cell>
          <cell r="AD96">
            <v>860.38622367531309</v>
          </cell>
          <cell r="AE96">
            <v>871.49558150821554</v>
          </cell>
        </row>
        <row r="97">
          <cell r="G97">
            <v>1167</v>
          </cell>
          <cell r="H97">
            <v>1167</v>
          </cell>
          <cell r="I97">
            <v>1167</v>
          </cell>
          <cell r="J97">
            <v>1167</v>
          </cell>
          <cell r="K97">
            <v>1167</v>
          </cell>
          <cell r="L97">
            <v>1167</v>
          </cell>
          <cell r="M97">
            <v>1167</v>
          </cell>
          <cell r="N97">
            <v>1167</v>
          </cell>
          <cell r="O97">
            <v>1167</v>
          </cell>
          <cell r="P97">
            <v>1167</v>
          </cell>
          <cell r="Q97">
            <v>1167</v>
          </cell>
          <cell r="R97">
            <v>1167</v>
          </cell>
          <cell r="S97">
            <v>1167</v>
          </cell>
          <cell r="T97">
            <v>1167</v>
          </cell>
          <cell r="U97">
            <v>1167</v>
          </cell>
          <cell r="V97">
            <v>1167</v>
          </cell>
          <cell r="W97">
            <v>1167</v>
          </cell>
          <cell r="X97">
            <v>1167</v>
          </cell>
          <cell r="Y97">
            <v>1167</v>
          </cell>
          <cell r="Z97">
            <v>1167</v>
          </cell>
          <cell r="AA97">
            <v>1167</v>
          </cell>
          <cell r="AB97">
            <v>1167</v>
          </cell>
          <cell r="AC97">
            <v>1167</v>
          </cell>
          <cell r="AD97">
            <v>1167</v>
          </cell>
          <cell r="AE97">
            <v>1167</v>
          </cell>
        </row>
        <row r="98">
          <cell r="G98">
            <v>1352.0807344379759</v>
          </cell>
          <cell r="H98">
            <v>1364.8439453649801</v>
          </cell>
          <cell r="I98">
            <v>1377.6071562919842</v>
          </cell>
          <cell r="J98">
            <v>1390.3703672189883</v>
          </cell>
          <cell r="K98">
            <v>1403.1335781459925</v>
          </cell>
          <cell r="L98">
            <v>1415.8967890729966</v>
          </cell>
          <cell r="M98">
            <v>1428.66</v>
          </cell>
          <cell r="N98">
            <v>1488.9047619047619</v>
          </cell>
          <cell r="O98">
            <v>1549.1495238095238</v>
          </cell>
          <cell r="P98">
            <v>1609.3942857142856</v>
          </cell>
          <cell r="Q98">
            <v>1669.6390476190475</v>
          </cell>
          <cell r="R98">
            <v>1729.8838095238093</v>
          </cell>
          <cell r="S98">
            <v>1790.1285714285711</v>
          </cell>
          <cell r="T98">
            <v>1850.373333333333</v>
          </cell>
          <cell r="U98">
            <v>1910.6180952380948</v>
          </cell>
          <cell r="V98">
            <v>1970.8628571428567</v>
          </cell>
          <cell r="W98">
            <v>2031.1076190476185</v>
          </cell>
          <cell r="X98">
            <v>2091.3523809523804</v>
          </cell>
          <cell r="Y98">
            <v>2151.5971428571424</v>
          </cell>
          <cell r="Z98">
            <v>2211.8419047619045</v>
          </cell>
          <cell r="AA98">
            <v>1910.6180952380955</v>
          </cell>
          <cell r="AB98">
            <v>1897.2483333333337</v>
          </cell>
          <cell r="AC98">
            <v>1883.8785714285718</v>
          </cell>
          <cell r="AD98">
            <v>1870.50880952381</v>
          </cell>
          <cell r="AE98">
            <v>1857.1390476190481</v>
          </cell>
        </row>
      </sheetData>
      <sheetData sheetId="5">
        <row r="24">
          <cell r="G24">
            <v>19224</v>
          </cell>
          <cell r="H24">
            <v>20881</v>
          </cell>
          <cell r="I24">
            <v>22030</v>
          </cell>
          <cell r="J24">
            <v>26693</v>
          </cell>
          <cell r="K24">
            <v>29534</v>
          </cell>
          <cell r="L24">
            <v>25256</v>
          </cell>
          <cell r="M24">
            <v>32825</v>
          </cell>
          <cell r="N24">
            <v>33591</v>
          </cell>
          <cell r="O24">
            <v>34363</v>
          </cell>
          <cell r="P24">
            <v>28330</v>
          </cell>
          <cell r="Q24">
            <v>28658</v>
          </cell>
          <cell r="R24">
            <v>28846</v>
          </cell>
          <cell r="S24">
            <v>29714</v>
          </cell>
          <cell r="T24">
            <v>28101</v>
          </cell>
          <cell r="U24">
            <v>25350</v>
          </cell>
          <cell r="V24">
            <v>26054</v>
          </cell>
          <cell r="W24">
            <v>30098</v>
          </cell>
          <cell r="X24">
            <v>34243</v>
          </cell>
          <cell r="Y24">
            <v>36326</v>
          </cell>
          <cell r="Z24">
            <v>40247</v>
          </cell>
          <cell r="AA24">
            <v>36985</v>
          </cell>
          <cell r="AB24">
            <v>30373</v>
          </cell>
          <cell r="AC24">
            <v>18826</v>
          </cell>
          <cell r="AD24">
            <v>13391</v>
          </cell>
          <cell r="AE24">
            <v>14886</v>
          </cell>
        </row>
        <row r="25">
          <cell r="G25">
            <v>14869.183557824352</v>
          </cell>
          <cell r="H25">
            <v>15220.21190520253</v>
          </cell>
          <cell r="I25">
            <v>18940.327900324999</v>
          </cell>
          <cell r="J25">
            <v>18837.087988326672</v>
          </cell>
          <cell r="K25">
            <v>17883.866659845167</v>
          </cell>
          <cell r="L25">
            <v>8123.2235993523336</v>
          </cell>
          <cell r="M25">
            <v>7903.1488702815295</v>
          </cell>
          <cell r="N25">
            <v>7592.1801314599406</v>
          </cell>
          <cell r="O25">
            <v>9401.6361134168346</v>
          </cell>
          <cell r="P25">
            <v>9701.2779324751245</v>
          </cell>
          <cell r="Q25">
            <v>11104.526723200062</v>
          </cell>
          <cell r="R25">
            <v>10897.632074550364</v>
          </cell>
          <cell r="S25">
            <v>12645.60766842474</v>
          </cell>
          <cell r="T25">
            <v>11965.262831791384</v>
          </cell>
          <cell r="U25">
            <v>10483.919915783859</v>
          </cell>
          <cell r="V25">
            <v>9971.9026959155963</v>
          </cell>
          <cell r="W25">
            <v>7253.9578552287549</v>
          </cell>
          <cell r="X25">
            <v>7119.6062546632547</v>
          </cell>
          <cell r="Y25">
            <v>7985.0504417912043</v>
          </cell>
          <cell r="Z25">
            <v>8677.2745487052198</v>
          </cell>
          <cell r="AA25">
            <v>9569.5883473366248</v>
          </cell>
          <cell r="AB25">
            <v>10771.842399662728</v>
          </cell>
          <cell r="AC25">
            <v>8763.9200796845034</v>
          </cell>
          <cell r="AD25">
            <v>2981.3702838569475</v>
          </cell>
          <cell r="AE25">
            <v>3522.5521445353306</v>
          </cell>
        </row>
        <row r="26">
          <cell r="G26">
            <v>968.81644217564758</v>
          </cell>
          <cell r="H26">
            <v>1167.7880947974693</v>
          </cell>
          <cell r="I26">
            <v>1180.6720996750003</v>
          </cell>
          <cell r="J26">
            <v>1129.91201167333</v>
          </cell>
          <cell r="K26">
            <v>657.13334015483224</v>
          </cell>
          <cell r="L26">
            <v>654.77640064766615</v>
          </cell>
          <cell r="M26">
            <v>652.8511297184707</v>
          </cell>
          <cell r="N26">
            <v>756.81986854005959</v>
          </cell>
          <cell r="O26">
            <v>787.36388658316514</v>
          </cell>
          <cell r="P26">
            <v>872.72206752487591</v>
          </cell>
          <cell r="Q26">
            <v>879.4732767999385</v>
          </cell>
          <cell r="R26">
            <v>984.36792544963578</v>
          </cell>
          <cell r="S26">
            <v>957.39233157526019</v>
          </cell>
          <cell r="T26">
            <v>887.73716820861637</v>
          </cell>
          <cell r="U26">
            <v>863.08008421613988</v>
          </cell>
          <cell r="V26">
            <v>722.09730408440362</v>
          </cell>
          <cell r="W26">
            <v>726.04214477124526</v>
          </cell>
          <cell r="X26">
            <v>786.3937453367455</v>
          </cell>
          <cell r="Y26">
            <v>838.94955820879602</v>
          </cell>
          <cell r="Z26">
            <v>904.72545129478021</v>
          </cell>
          <cell r="AA26">
            <v>978.41165266337521</v>
          </cell>
          <cell r="AB26">
            <v>852.15760033727156</v>
          </cell>
          <cell r="AC26">
            <v>520.07992031549577</v>
          </cell>
          <cell r="AD26">
            <v>564.62971614305252</v>
          </cell>
          <cell r="AE26">
            <v>705.44785546466926</v>
          </cell>
        </row>
        <row r="27">
          <cell r="G27">
            <v>4550</v>
          </cell>
          <cell r="H27">
            <v>3873</v>
          </cell>
          <cell r="I27">
            <v>4184</v>
          </cell>
          <cell r="J27">
            <v>4397</v>
          </cell>
          <cell r="K27">
            <v>5645</v>
          </cell>
          <cell r="L27">
            <v>5353</v>
          </cell>
          <cell r="M27">
            <v>5964</v>
          </cell>
          <cell r="N27">
            <v>6849</v>
          </cell>
          <cell r="O27">
            <v>7332</v>
          </cell>
          <cell r="P27">
            <v>7252</v>
          </cell>
          <cell r="Q27">
            <v>6257</v>
          </cell>
          <cell r="R27">
            <v>6419</v>
          </cell>
          <cell r="S27">
            <v>6874</v>
          </cell>
          <cell r="T27">
            <v>5339</v>
          </cell>
          <cell r="U27">
            <v>3853</v>
          </cell>
          <cell r="V27">
            <v>2971</v>
          </cell>
          <cell r="W27">
            <v>2933</v>
          </cell>
          <cell r="X27">
            <v>2868</v>
          </cell>
          <cell r="Y27">
            <v>2705</v>
          </cell>
          <cell r="Z27">
            <v>2723</v>
          </cell>
          <cell r="AA27">
            <v>2653</v>
          </cell>
          <cell r="AB27">
            <v>2063</v>
          </cell>
          <cell r="AC27">
            <v>1621</v>
          </cell>
          <cell r="AD27">
            <v>859</v>
          </cell>
          <cell r="AE27">
            <v>681</v>
          </cell>
        </row>
        <row r="34">
          <cell r="G34">
            <v>2868</v>
          </cell>
          <cell r="H34">
            <v>2692</v>
          </cell>
          <cell r="I34">
            <v>2813</v>
          </cell>
          <cell r="J34">
            <v>3536</v>
          </cell>
          <cell r="K34">
            <v>4754</v>
          </cell>
          <cell r="L34">
            <v>5803</v>
          </cell>
          <cell r="M34">
            <v>8453</v>
          </cell>
          <cell r="N34">
            <v>9522</v>
          </cell>
          <cell r="O34">
            <v>10120</v>
          </cell>
          <cell r="P34">
            <v>8784</v>
          </cell>
          <cell r="Q34">
            <v>9538</v>
          </cell>
          <cell r="R34">
            <v>9107</v>
          </cell>
          <cell r="S34">
            <v>10575</v>
          </cell>
          <cell r="T34">
            <v>10544</v>
          </cell>
          <cell r="U34">
            <v>9631</v>
          </cell>
          <cell r="V34">
            <v>9441</v>
          </cell>
          <cell r="W34">
            <v>10730</v>
          </cell>
          <cell r="X34">
            <v>12976</v>
          </cell>
          <cell r="Y34">
            <v>15094</v>
          </cell>
          <cell r="Z34">
            <v>18771</v>
          </cell>
          <cell r="AA34">
            <v>15444</v>
          </cell>
          <cell r="AB34">
            <v>9693</v>
          </cell>
          <cell r="AC34">
            <v>6027</v>
          </cell>
          <cell r="AD34">
            <v>4336</v>
          </cell>
          <cell r="AE34">
            <v>3706</v>
          </cell>
        </row>
        <row r="35">
          <cell r="G35">
            <v>848.82991832591654</v>
          </cell>
          <cell r="H35">
            <v>518.17882714524762</v>
          </cell>
          <cell r="I35">
            <v>288.37484437276629</v>
          </cell>
          <cell r="J35">
            <v>818.68632809921849</v>
          </cell>
          <cell r="K35">
            <v>922.54881309467987</v>
          </cell>
          <cell r="L35">
            <v>713.12107820425172</v>
          </cell>
          <cell r="M35">
            <v>1322.6430437243826</v>
          </cell>
          <cell r="N35">
            <v>1874.8440142054371</v>
          </cell>
          <cell r="O35">
            <v>2484.0690897878753</v>
          </cell>
          <cell r="P35">
            <v>1754.5624245646084</v>
          </cell>
          <cell r="Q35">
            <v>1502.6818009503679</v>
          </cell>
          <cell r="R35">
            <v>1099.0598706051132</v>
          </cell>
          <cell r="S35">
            <v>998.51700550573537</v>
          </cell>
          <cell r="T35">
            <v>1279.6542411025091</v>
          </cell>
          <cell r="U35">
            <v>931.97705912690287</v>
          </cell>
          <cell r="V35">
            <v>1416.4873706075907</v>
          </cell>
          <cell r="W35">
            <v>1622.1096316302473</v>
          </cell>
          <cell r="X35">
            <v>1725.2037386728252</v>
          </cell>
          <cell r="Y35">
            <v>1627.7922787378966</v>
          </cell>
          <cell r="Z35">
            <v>1461.0310065714518</v>
          </cell>
          <cell r="AA35">
            <v>1503.1641209172849</v>
          </cell>
          <cell r="AB35">
            <v>1434.6085653222435</v>
          </cell>
          <cell r="AC35">
            <v>616.53672479350837</v>
          </cell>
          <cell r="AD35">
            <v>410.6655928821981</v>
          </cell>
          <cell r="AE35">
            <v>283.5340494616637</v>
          </cell>
        </row>
        <row r="36">
          <cell r="G36">
            <v>45.170081674083427</v>
          </cell>
          <cell r="H36">
            <v>35.82117285475239</v>
          </cell>
          <cell r="I36">
            <v>62.625155627233696</v>
          </cell>
          <cell r="J36">
            <v>68.313671900781529</v>
          </cell>
          <cell r="K36">
            <v>60.451186905320142</v>
          </cell>
          <cell r="L36">
            <v>93.878921795748312</v>
          </cell>
          <cell r="M36">
            <v>125.35695627561738</v>
          </cell>
          <cell r="N36">
            <v>157.15598579456281</v>
          </cell>
          <cell r="O36">
            <v>120.93091021212476</v>
          </cell>
          <cell r="P36">
            <v>108.43757543539168</v>
          </cell>
          <cell r="Q36">
            <v>88.318199049632</v>
          </cell>
          <cell r="R36">
            <v>84.940129394886824</v>
          </cell>
          <cell r="S36">
            <v>100.48299449426467</v>
          </cell>
          <cell r="T36">
            <v>84.345758897490967</v>
          </cell>
          <cell r="U36">
            <v>113.02294087309717</v>
          </cell>
          <cell r="V36">
            <v>126.51262939240925</v>
          </cell>
          <cell r="W36">
            <v>133.89036836975254</v>
          </cell>
          <cell r="X36">
            <v>129.79626132717482</v>
          </cell>
          <cell r="Y36">
            <v>122.20772126210333</v>
          </cell>
          <cell r="Z36">
            <v>125.96899342854817</v>
          </cell>
          <cell r="AA36">
            <v>120.8358790827151</v>
          </cell>
          <cell r="AB36">
            <v>73.391434677756436</v>
          </cell>
          <cell r="AC36">
            <v>61.463275206491645</v>
          </cell>
          <cell r="AD36">
            <v>55.334407117801909</v>
          </cell>
          <cell r="AE36">
            <v>72.465950538336273</v>
          </cell>
        </row>
        <row r="37">
          <cell r="G37">
            <v>838</v>
          </cell>
          <cell r="H37">
            <v>605</v>
          </cell>
          <cell r="I37">
            <v>572</v>
          </cell>
          <cell r="J37">
            <v>703</v>
          </cell>
          <cell r="K37">
            <v>820</v>
          </cell>
          <cell r="L37">
            <v>1089</v>
          </cell>
          <cell r="M37">
            <v>1696</v>
          </cell>
          <cell r="N37">
            <v>2779</v>
          </cell>
          <cell r="O37">
            <v>3712</v>
          </cell>
          <cell r="P37">
            <v>3167</v>
          </cell>
          <cell r="Q37">
            <v>2635</v>
          </cell>
          <cell r="R37">
            <v>2634</v>
          </cell>
          <cell r="S37">
            <v>2980</v>
          </cell>
          <cell r="T37">
            <v>2343</v>
          </cell>
          <cell r="U37">
            <v>1317</v>
          </cell>
          <cell r="V37">
            <v>998</v>
          </cell>
          <cell r="W37">
            <v>1042</v>
          </cell>
          <cell r="X37">
            <v>785</v>
          </cell>
          <cell r="Y37">
            <v>765</v>
          </cell>
          <cell r="Z37">
            <v>798</v>
          </cell>
          <cell r="AA37">
            <v>849</v>
          </cell>
          <cell r="AB37">
            <v>721</v>
          </cell>
          <cell r="AC37">
            <v>526</v>
          </cell>
          <cell r="AD37">
            <v>273</v>
          </cell>
          <cell r="AE37">
            <v>283</v>
          </cell>
        </row>
        <row r="44">
          <cell r="G44">
            <v>972.4</v>
          </cell>
          <cell r="H44">
            <v>825.5</v>
          </cell>
          <cell r="I44">
            <v>730.6</v>
          </cell>
          <cell r="J44">
            <v>696.80000000000007</v>
          </cell>
          <cell r="K44">
            <v>925.6</v>
          </cell>
          <cell r="L44">
            <v>1349.4</v>
          </cell>
          <cell r="M44">
            <v>2454.4</v>
          </cell>
          <cell r="N44">
            <v>2601.3000000000002</v>
          </cell>
          <cell r="O44">
            <v>2906.8</v>
          </cell>
          <cell r="P44">
            <v>2382.9</v>
          </cell>
          <cell r="Q44">
            <v>2070.9</v>
          </cell>
          <cell r="R44">
            <v>1963</v>
          </cell>
          <cell r="S44">
            <v>1986.4</v>
          </cell>
          <cell r="T44">
            <v>2096.9</v>
          </cell>
          <cell r="U44">
            <v>2020.2</v>
          </cell>
          <cell r="V44">
            <v>2246.4</v>
          </cell>
          <cell r="W44">
            <v>2694.9</v>
          </cell>
          <cell r="X44">
            <v>3138.2000000000003</v>
          </cell>
          <cell r="Y44">
            <v>4468.1000000000004</v>
          </cell>
          <cell r="Z44">
            <v>4390.1000000000004</v>
          </cell>
          <cell r="AA44">
            <v>4347.2</v>
          </cell>
          <cell r="AB44">
            <v>3862.3</v>
          </cell>
          <cell r="AC44">
            <v>2616.9</v>
          </cell>
          <cell r="AD44">
            <v>1831.7</v>
          </cell>
          <cell r="AE44">
            <v>1666.6000000000001</v>
          </cell>
        </row>
        <row r="45">
          <cell r="G45">
            <v>474.93825094095956</v>
          </cell>
          <cell r="H45">
            <v>125.55342428746027</v>
          </cell>
          <cell r="I45">
            <v>239.38975865025668</v>
          </cell>
          <cell r="J45">
            <v>86.494038342320181</v>
          </cell>
          <cell r="K45">
            <v>253.07778115310504</v>
          </cell>
          <cell r="L45">
            <v>443.40968982992769</v>
          </cell>
          <cell r="M45">
            <v>238.40668933003624</v>
          </cell>
          <cell r="N45">
            <v>450.83862929341456</v>
          </cell>
          <cell r="O45">
            <v>732.37259269994001</v>
          </cell>
          <cell r="P45">
            <v>865.92745922778568</v>
          </cell>
          <cell r="Q45">
            <v>1098.5131099856153</v>
          </cell>
          <cell r="R45">
            <v>785.96545249482699</v>
          </cell>
          <cell r="S45">
            <v>745.40877474760293</v>
          </cell>
          <cell r="T45">
            <v>685.7461288484983</v>
          </cell>
          <cell r="U45">
            <v>667.72203160881213</v>
          </cell>
          <cell r="V45">
            <v>593.63332238391354</v>
          </cell>
          <cell r="W45">
            <v>1035.9518784735571</v>
          </cell>
          <cell r="X45">
            <v>903.3500469773611</v>
          </cell>
          <cell r="Y45">
            <v>893.8619142539435</v>
          </cell>
          <cell r="Z45">
            <v>928.12087639779793</v>
          </cell>
          <cell r="AA45">
            <v>772.11945727824411</v>
          </cell>
          <cell r="AB45">
            <v>709.88601514140555</v>
          </cell>
          <cell r="AC45">
            <v>356.68663359518177</v>
          </cell>
          <cell r="AD45">
            <v>136.66696241508441</v>
          </cell>
          <cell r="AE45">
            <v>367.84636582419688</v>
          </cell>
        </row>
        <row r="46">
          <cell r="G46">
            <v>26.061749059040462</v>
          </cell>
          <cell r="H46">
            <v>31.446575712539726</v>
          </cell>
          <cell r="I46">
            <v>24.610241349743323</v>
          </cell>
          <cell r="J46">
            <v>33.505961657679826</v>
          </cell>
          <cell r="K46">
            <v>42.922218846894957</v>
          </cell>
          <cell r="L46">
            <v>33.5903101700723</v>
          </cell>
          <cell r="M46">
            <v>45.593310669963749</v>
          </cell>
          <cell r="N46">
            <v>61.161370706585451</v>
          </cell>
          <cell r="O46">
            <v>69.627407300060014</v>
          </cell>
          <cell r="P46">
            <v>82.072540772214268</v>
          </cell>
          <cell r="Q46">
            <v>66.486890014384684</v>
          </cell>
          <cell r="R46">
            <v>65.034547505173009</v>
          </cell>
          <cell r="S46">
            <v>62.591225252397024</v>
          </cell>
          <cell r="T46">
            <v>62.253871151501713</v>
          </cell>
          <cell r="U46">
            <v>60.277968391187819</v>
          </cell>
          <cell r="V46">
            <v>85.366677616086406</v>
          </cell>
          <cell r="W46">
            <v>79.048121526442912</v>
          </cell>
          <cell r="X46">
            <v>79.649953022638883</v>
          </cell>
          <cell r="Y46">
            <v>82.138085746056518</v>
          </cell>
          <cell r="Z46">
            <v>73.879123602202057</v>
          </cell>
          <cell r="AA46">
            <v>69.880542721755916</v>
          </cell>
          <cell r="AB46">
            <v>49.113984858594421</v>
          </cell>
          <cell r="AC46">
            <v>37.313366404818197</v>
          </cell>
          <cell r="AD46">
            <v>52.333037584915587</v>
          </cell>
          <cell r="AE46">
            <v>68.15363417580312</v>
          </cell>
        </row>
        <row r="47">
          <cell r="G47">
            <v>667</v>
          </cell>
          <cell r="H47">
            <v>514</v>
          </cell>
          <cell r="I47">
            <v>441</v>
          </cell>
          <cell r="J47">
            <v>480</v>
          </cell>
          <cell r="K47">
            <v>505</v>
          </cell>
          <cell r="L47">
            <v>653</v>
          </cell>
          <cell r="M47">
            <v>1021</v>
          </cell>
          <cell r="N47">
            <v>1453</v>
          </cell>
          <cell r="O47">
            <v>1871</v>
          </cell>
          <cell r="P47">
            <v>1772</v>
          </cell>
          <cell r="Q47">
            <v>1749</v>
          </cell>
          <cell r="R47">
            <v>1681</v>
          </cell>
          <cell r="S47">
            <v>1919</v>
          </cell>
          <cell r="T47">
            <v>1736</v>
          </cell>
          <cell r="U47">
            <v>1195</v>
          </cell>
          <cell r="V47">
            <v>922</v>
          </cell>
          <cell r="W47">
            <v>972</v>
          </cell>
          <cell r="X47">
            <v>827</v>
          </cell>
          <cell r="Y47">
            <v>697</v>
          </cell>
          <cell r="Z47">
            <v>641</v>
          </cell>
          <cell r="AA47">
            <v>611</v>
          </cell>
          <cell r="AB47">
            <v>593</v>
          </cell>
          <cell r="AC47">
            <v>437</v>
          </cell>
          <cell r="AD47">
            <v>290</v>
          </cell>
          <cell r="AE47">
            <v>325</v>
          </cell>
        </row>
        <row r="54">
          <cell r="G54">
            <v>29614.268</v>
          </cell>
          <cell r="H54">
            <v>32248.535</v>
          </cell>
          <cell r="I54">
            <v>34559.441999999995</v>
          </cell>
          <cell r="J54">
            <v>42040.175999999999</v>
          </cell>
          <cell r="K54">
            <v>48415.591999999997</v>
          </cell>
          <cell r="L54">
            <v>44234.157999999996</v>
          </cell>
          <cell r="M54">
            <v>57584.008000000002</v>
          </cell>
          <cell r="N54">
            <v>61360.741000000002</v>
          </cell>
          <cell r="O54">
            <v>63637.876000000004</v>
          </cell>
          <cell r="P54">
            <v>54867.252999999997</v>
          </cell>
          <cell r="Q54">
            <v>57384.413</v>
          </cell>
          <cell r="R54">
            <v>56006.91</v>
          </cell>
          <cell r="S54">
            <v>58939.248</v>
          </cell>
          <cell r="T54">
            <v>56527.233</v>
          </cell>
          <cell r="U54">
            <v>51608.513999999996</v>
          </cell>
          <cell r="V54">
            <v>52738.448000000004</v>
          </cell>
          <cell r="W54">
            <v>59782.093000000001</v>
          </cell>
          <cell r="X54">
            <v>67688.774000000005</v>
          </cell>
          <cell r="Y54">
            <v>74522.816999999995</v>
          </cell>
          <cell r="Z54">
            <v>84872.357000000004</v>
          </cell>
          <cell r="AA54">
            <v>75289.903999999995</v>
          </cell>
          <cell r="AB54">
            <v>57664.510999999999</v>
          </cell>
          <cell r="AC54">
            <v>34509.633000000002</v>
          </cell>
          <cell r="AD54">
            <v>24099.069</v>
          </cell>
          <cell r="AE54">
            <v>24846.962</v>
          </cell>
        </row>
        <row r="55">
          <cell r="G55">
            <v>18929.763197074921</v>
          </cell>
          <cell r="H55">
            <v>19012.285997102455</v>
          </cell>
          <cell r="I55">
            <v>22080.05399967837</v>
          </cell>
          <cell r="J55">
            <v>28601.778161129085</v>
          </cell>
          <cell r="K55">
            <v>27202.893689869059</v>
          </cell>
          <cell r="L55">
            <v>12390.210937882894</v>
          </cell>
          <cell r="M55">
            <v>12173.152842775997</v>
          </cell>
          <cell r="N55">
            <v>12361.89700061282</v>
          </cell>
          <cell r="O55">
            <v>17122.743158401601</v>
          </cell>
          <cell r="P55">
            <v>18662.733640245107</v>
          </cell>
          <cell r="Q55">
            <v>21954.730458996564</v>
          </cell>
          <cell r="R55">
            <v>20000.57314201623</v>
          </cell>
          <cell r="S55">
            <v>20642.129902132976</v>
          </cell>
          <cell r="T55">
            <v>18328.494801049026</v>
          </cell>
          <cell r="U55">
            <v>14151.270582179823</v>
          </cell>
          <cell r="V55">
            <v>14626.267683576692</v>
          </cell>
          <cell r="W55">
            <v>12028.647109827845</v>
          </cell>
          <cell r="X55">
            <v>13046.576324182057</v>
          </cell>
          <cell r="Y55">
            <v>13957.232094298251</v>
          </cell>
          <cell r="Z55">
            <v>13931.004497270837</v>
          </cell>
          <cell r="AA55">
            <v>15900.995334173014</v>
          </cell>
          <cell r="AB55">
            <v>15570.247880584542</v>
          </cell>
          <cell r="AC55">
            <v>11944.723214001346</v>
          </cell>
          <cell r="AD55">
            <v>4141.9202192737603</v>
          </cell>
          <cell r="AE55">
            <v>4082.3550519108021</v>
          </cell>
        </row>
        <row r="56">
          <cell r="G56">
            <v>1541.8068029250769</v>
          </cell>
          <cell r="H56">
            <v>1789.2040028975434</v>
          </cell>
          <cell r="I56">
            <v>2697.4260003216259</v>
          </cell>
          <cell r="J56">
            <v>2452.6218388709185</v>
          </cell>
          <cell r="K56">
            <v>1250.8263101309403</v>
          </cell>
          <cell r="L56">
            <v>1272.6790621171076</v>
          </cell>
          <cell r="M56">
            <v>1783.7271572240043</v>
          </cell>
          <cell r="N56">
            <v>2321.94299938718</v>
          </cell>
          <cell r="O56">
            <v>2678.3968415983995</v>
          </cell>
          <cell r="P56">
            <v>3071.6263597548932</v>
          </cell>
          <cell r="Q56">
            <v>2881.3195410034377</v>
          </cell>
          <cell r="R56">
            <v>2811.4968579837696</v>
          </cell>
          <cell r="S56">
            <v>2476.4300978670262</v>
          </cell>
          <cell r="T56">
            <v>2052.8651989509744</v>
          </cell>
          <cell r="U56">
            <v>2155.6894178201746</v>
          </cell>
          <cell r="V56">
            <v>2035.7623164233073</v>
          </cell>
          <cell r="W56">
            <v>2249.9028901721549</v>
          </cell>
          <cell r="X56">
            <v>2341.7336758179449</v>
          </cell>
          <cell r="Y56">
            <v>2340.0879057017487</v>
          </cell>
          <cell r="Z56">
            <v>2581.1355027291629</v>
          </cell>
          <cell r="AA56">
            <v>2450.9446658269858</v>
          </cell>
          <cell r="AB56">
            <v>2125.3821194154557</v>
          </cell>
          <cell r="AC56">
            <v>1478.8567859986533</v>
          </cell>
          <cell r="AD56">
            <v>1471.80978072624</v>
          </cell>
          <cell r="AE56">
            <v>1909.1649480891979</v>
          </cell>
        </row>
        <row r="57">
          <cell r="G57">
            <v>8065.1900000000005</v>
          </cell>
          <cell r="H57">
            <v>7680.98</v>
          </cell>
          <cell r="I57">
            <v>8859.369999999999</v>
          </cell>
          <cell r="J57">
            <v>9760.6</v>
          </cell>
          <cell r="K57">
            <v>11657.85</v>
          </cell>
          <cell r="L57">
            <v>11534.21</v>
          </cell>
          <cell r="M57">
            <v>13344.97</v>
          </cell>
          <cell r="N57">
            <v>16910.21</v>
          </cell>
          <cell r="O57">
            <v>19707.47</v>
          </cell>
          <cell r="P57">
            <v>18879.04</v>
          </cell>
          <cell r="Q57">
            <v>16372.93</v>
          </cell>
          <cell r="R57">
            <v>16578.169999999998</v>
          </cell>
          <cell r="S57">
            <v>17170.830000000002</v>
          </cell>
          <cell r="T57">
            <v>13873.52</v>
          </cell>
          <cell r="U57">
            <v>9050.15</v>
          </cell>
          <cell r="V57">
            <v>6886.54</v>
          </cell>
          <cell r="W57">
            <v>7046.04</v>
          </cell>
          <cell r="X57">
            <v>6539.3899999999994</v>
          </cell>
          <cell r="Y57">
            <v>6359.29</v>
          </cell>
          <cell r="Z57">
            <v>6381.37</v>
          </cell>
          <cell r="AA57">
            <v>6080.27</v>
          </cell>
          <cell r="AB57">
            <v>4894.01</v>
          </cell>
          <cell r="AC57">
            <v>3674.09</v>
          </cell>
          <cell r="AD57">
            <v>2014.3</v>
          </cell>
          <cell r="AE57">
            <v>1796.25</v>
          </cell>
        </row>
      </sheetData>
      <sheetData sheetId="6">
        <row r="20">
          <cell r="H20">
            <v>0.54056403834827815</v>
          </cell>
          <cell r="I20">
            <v>0.48200277076100684</v>
          </cell>
          <cell r="J20">
            <v>0.56609879065860214</v>
          </cell>
          <cell r="K20">
            <v>0.38751242004584513</v>
          </cell>
          <cell r="L20">
            <v>0.37711808922827855</v>
          </cell>
          <cell r="M20">
            <v>0.25636734424005708</v>
          </cell>
          <cell r="N20">
            <v>0.44466162759752242</v>
          </cell>
          <cell r="O20">
            <v>0.45536974953410997</v>
          </cell>
          <cell r="P20">
            <v>0.70573583862289258</v>
          </cell>
          <cell r="Q20">
            <v>0.32030228474056088</v>
          </cell>
          <cell r="R20">
            <v>0.45656607817537698</v>
          </cell>
          <cell r="S20">
            <v>0.54274096423648555</v>
          </cell>
          <cell r="T20">
            <v>0.5468986965635122</v>
          </cell>
          <cell r="U20">
            <v>0.68988938711233838</v>
          </cell>
          <cell r="V20">
            <v>0.53901469469811258</v>
          </cell>
          <cell r="W20">
            <v>0.3806850435515966</v>
          </cell>
          <cell r="X20">
            <v>0.49257182617893736</v>
          </cell>
          <cell r="Y20">
            <v>0.47062937090000179</v>
          </cell>
          <cell r="Z20">
            <v>0.56590400000000007</v>
          </cell>
          <cell r="AA20">
            <v>0.63572800000000007</v>
          </cell>
          <cell r="AB20">
            <v>0.55195677698180112</v>
          </cell>
          <cell r="AC20">
            <v>0.49509450059010646</v>
          </cell>
          <cell r="AD20">
            <v>0.48926806425812347</v>
          </cell>
          <cell r="AE20">
            <v>0.50707539425908554</v>
          </cell>
        </row>
        <row r="21">
          <cell r="H21">
            <v>0.40814400000000001</v>
          </cell>
          <cell r="I21">
            <v>0.39798</v>
          </cell>
          <cell r="J21">
            <v>0.425238</v>
          </cell>
          <cell r="K21">
            <v>0.88486200000000004</v>
          </cell>
          <cell r="L21">
            <v>0.683562</v>
          </cell>
          <cell r="M21">
            <v>0.85707600000000006</v>
          </cell>
          <cell r="N21">
            <v>0.88373999999999997</v>
          </cell>
          <cell r="O21">
            <v>1.075866</v>
          </cell>
          <cell r="P21">
            <v>1.041018</v>
          </cell>
          <cell r="Q21">
            <v>0.91416599999999992</v>
          </cell>
          <cell r="R21">
            <v>1.1944680000000001</v>
          </cell>
          <cell r="S21">
            <v>0.82579200000000008</v>
          </cell>
          <cell r="T21">
            <v>1.2765060000000001</v>
          </cell>
          <cell r="U21">
            <v>1.201794</v>
          </cell>
          <cell r="V21">
            <v>1.6133040000000001</v>
          </cell>
          <cell r="W21">
            <v>2.0698000000000003</v>
          </cell>
          <cell r="X21">
            <v>1.415</v>
          </cell>
          <cell r="Y21">
            <v>1.1031</v>
          </cell>
          <cell r="Z21">
            <v>1.0355000000000001</v>
          </cell>
          <cell r="AA21">
            <v>0.28970000000000001</v>
          </cell>
          <cell r="AB21">
            <v>0.96416996977002289</v>
          </cell>
          <cell r="AC21">
            <v>1.0474829794917409</v>
          </cell>
          <cell r="AD21">
            <v>1.0602062008599469</v>
          </cell>
          <cell r="AE21">
            <v>1.0741061198150028</v>
          </cell>
        </row>
        <row r="22">
          <cell r="H22">
            <v>0.210256</v>
          </cell>
          <cell r="I22">
            <v>0.20502000000000001</v>
          </cell>
          <cell r="J22">
            <v>0.21906200000000001</v>
          </cell>
          <cell r="K22">
            <v>0.45583800000000002</v>
          </cell>
          <cell r="L22">
            <v>0.35213800000000001</v>
          </cell>
          <cell r="M22">
            <v>0.44152400000000003</v>
          </cell>
          <cell r="N22">
            <v>0.45526000000000005</v>
          </cell>
          <cell r="O22">
            <v>0.554234</v>
          </cell>
          <cell r="P22">
            <v>0.53628200000000004</v>
          </cell>
          <cell r="Q22">
            <v>0.47093400000000002</v>
          </cell>
          <cell r="R22">
            <v>0.61533199999999999</v>
          </cell>
          <cell r="S22">
            <v>0.42540800000000006</v>
          </cell>
          <cell r="T22">
            <v>0.65759400000000001</v>
          </cell>
          <cell r="U22">
            <v>0.61910600000000016</v>
          </cell>
          <cell r="V22">
            <v>0.83109600000000017</v>
          </cell>
          <cell r="W22">
            <v>0.93820000000000003</v>
          </cell>
          <cell r="X22">
            <v>0.94359999999999999</v>
          </cell>
          <cell r="Y22">
            <v>0.53320000000000001</v>
          </cell>
          <cell r="Z22">
            <v>0.64049999999999996</v>
          </cell>
          <cell r="AA22">
            <v>0.29170000000000001</v>
          </cell>
          <cell r="AB22">
            <v>0.43694662123493522</v>
          </cell>
          <cell r="AC22">
            <v>0.58273476357135601</v>
          </cell>
          <cell r="AD22">
            <v>0.6086834810811409</v>
          </cell>
          <cell r="AE22">
            <v>0.64149366754371639</v>
          </cell>
        </row>
        <row r="23">
          <cell r="H23">
            <v>1.9095</v>
          </cell>
          <cell r="I23">
            <v>2.8365629999999999</v>
          </cell>
          <cell r="J23">
            <v>2.2281</v>
          </cell>
          <cell r="K23">
            <v>1.61</v>
          </cell>
          <cell r="L23">
            <v>1.4142000000000001</v>
          </cell>
          <cell r="M23">
            <v>1.5080250000000002</v>
          </cell>
          <cell r="N23">
            <v>0.83910000000000007</v>
          </cell>
          <cell r="O23">
            <v>1.2907</v>
          </cell>
          <cell r="P23">
            <v>3.8820000000000001</v>
          </cell>
          <cell r="Q23">
            <v>3.8363</v>
          </cell>
          <cell r="R23">
            <v>5.9918000000000005</v>
          </cell>
          <cell r="S23">
            <v>4.3921000000000001</v>
          </cell>
          <cell r="T23">
            <v>3.3323</v>
          </cell>
          <cell r="U23">
            <v>3.0750000000000002</v>
          </cell>
          <cell r="V23">
            <v>3.1429999999999998</v>
          </cell>
          <cell r="W23">
            <v>2.3030999999999997</v>
          </cell>
          <cell r="X23">
            <v>1.4487000000000001</v>
          </cell>
          <cell r="Y23">
            <v>2.0606</v>
          </cell>
          <cell r="Z23">
            <v>3.4781999999999997</v>
          </cell>
          <cell r="AA23">
            <v>2.6520000000000001</v>
          </cell>
          <cell r="AB23">
            <v>2.9438208100000005</v>
          </cell>
          <cell r="AC23">
            <v>2.7560084900000006</v>
          </cell>
          <cell r="AD23">
            <v>2.603018580000001</v>
          </cell>
          <cell r="AE23">
            <v>2.6672277900000001</v>
          </cell>
        </row>
        <row r="24">
          <cell r="H24">
            <v>0.14913168675370994</v>
          </cell>
          <cell r="I24">
            <v>0.1329757089339306</v>
          </cell>
          <cell r="J24">
            <v>0.15617625578296401</v>
          </cell>
          <cell r="K24">
            <v>0.1069075571805157</v>
          </cell>
          <cell r="L24">
            <v>0.10403995227613426</v>
          </cell>
          <cell r="M24">
            <v>7.0727040207687705E-2</v>
          </cell>
          <cell r="N24">
            <v>0.12267397357932248</v>
          </cell>
          <cell r="O24">
            <v>0.12562814768836453</v>
          </cell>
          <cell r="P24">
            <v>0.19469955185691878</v>
          </cell>
          <cell r="Q24">
            <v>8.8365515657279348E-2</v>
          </cell>
          <cell r="R24">
            <v>0.12595819278113293</v>
          </cell>
          <cell r="S24">
            <v>0.14973226061104264</v>
          </cell>
          <cell r="T24">
            <v>0.15087930257279522</v>
          </cell>
          <cell r="U24">
            <v>0.19032780702155982</v>
          </cell>
          <cell r="V24">
            <v>0.14870425130569837</v>
          </cell>
          <cell r="W24">
            <v>0.16880282991010148</v>
          </cell>
          <cell r="X24">
            <v>0.21751936506571806</v>
          </cell>
          <cell r="Y24">
            <v>0.19732937621560423</v>
          </cell>
          <cell r="Z24">
            <v>0.10970000000000001</v>
          </cell>
          <cell r="AA24">
            <v>9.4200000000000006E-2</v>
          </cell>
          <cell r="AB24">
            <v>9.8923323863743931E-2</v>
          </cell>
          <cell r="AC24">
            <v>0.10283212131183471</v>
          </cell>
          <cell r="AD24">
            <v>0.11325872838672849</v>
          </cell>
          <cell r="AE24">
            <v>0.12860505588071519</v>
          </cell>
        </row>
        <row r="25">
          <cell r="H25">
            <v>6.0347113246290073E-2</v>
          </cell>
          <cell r="I25">
            <v>5.3809491066069394E-2</v>
          </cell>
          <cell r="J25">
            <v>6.3197744217035973E-2</v>
          </cell>
          <cell r="K25">
            <v>4.326084281948428E-2</v>
          </cell>
          <cell r="L25">
            <v>4.2100447723865751E-2</v>
          </cell>
          <cell r="M25">
            <v>2.8620159792312291E-2</v>
          </cell>
          <cell r="N25">
            <v>4.9640826420677527E-2</v>
          </cell>
          <cell r="O25">
            <v>5.0836252311635494E-2</v>
          </cell>
          <cell r="P25">
            <v>7.8786448143081236E-2</v>
          </cell>
          <cell r="Q25">
            <v>3.5757684342720655E-2</v>
          </cell>
          <cell r="R25">
            <v>5.0969807218867055E-2</v>
          </cell>
          <cell r="S25">
            <v>6.059013938895734E-2</v>
          </cell>
          <cell r="T25">
            <v>6.1054297427204751E-2</v>
          </cell>
          <cell r="U25">
            <v>7.7017392978440125E-2</v>
          </cell>
          <cell r="V25">
            <v>6.0174148694301641E-2</v>
          </cell>
          <cell r="W25">
            <v>6.8307170089898533E-2</v>
          </cell>
          <cell r="X25">
            <v>8.8020634934281985E-2</v>
          </cell>
          <cell r="Y25">
            <v>7.9850623784395738E-2</v>
          </cell>
          <cell r="Z25">
            <v>0.10970000000000001</v>
          </cell>
          <cell r="AA25">
            <v>9.4200000000000006E-2</v>
          </cell>
          <cell r="AB25">
            <v>9.8923323863743931E-2</v>
          </cell>
          <cell r="AC25">
            <v>0.10283212131183471</v>
          </cell>
          <cell r="AD25">
            <v>0.11325872838672849</v>
          </cell>
          <cell r="AE25">
            <v>0.12860505588071519</v>
          </cell>
        </row>
        <row r="26">
          <cell r="H26">
            <v>6.7900000000000002E-2</v>
          </cell>
          <cell r="I26">
            <v>9.3099999999999988E-2</v>
          </cell>
          <cell r="J26">
            <v>0.17349999999999999</v>
          </cell>
          <cell r="K26">
            <v>0.1865</v>
          </cell>
          <cell r="L26">
            <v>9.8900000000000002E-2</v>
          </cell>
          <cell r="M26">
            <v>0.1036</v>
          </cell>
          <cell r="N26">
            <v>0.1033</v>
          </cell>
          <cell r="O26">
            <v>0.10299999999999999</v>
          </cell>
          <cell r="P26">
            <v>0.16839999999999999</v>
          </cell>
          <cell r="Q26">
            <v>9.3099999999999988E-2</v>
          </cell>
          <cell r="R26">
            <v>0.1729</v>
          </cell>
          <cell r="S26">
            <v>0.18819999999999998</v>
          </cell>
          <cell r="T26">
            <v>0.14849999999999999</v>
          </cell>
          <cell r="U26">
            <v>0.13639999999999999</v>
          </cell>
          <cell r="V26">
            <v>0.11509999999999999</v>
          </cell>
          <cell r="W26">
            <v>0.34855169999999996</v>
          </cell>
          <cell r="X26">
            <v>0.44914379999999998</v>
          </cell>
          <cell r="Y26">
            <v>0.4074546</v>
          </cell>
          <cell r="Z26">
            <v>3.5369000000000002</v>
          </cell>
          <cell r="AA26">
            <v>3.9733000000000001</v>
          </cell>
          <cell r="AB26">
            <v>3.449729856136257</v>
          </cell>
          <cell r="AC26">
            <v>3.0943406286881654</v>
          </cell>
          <cell r="AD26">
            <v>3.0579254016132715</v>
          </cell>
          <cell r="AE26">
            <v>3.1692212141192844</v>
          </cell>
        </row>
        <row r="27">
          <cell r="H27">
            <v>0.34329999999999999</v>
          </cell>
          <cell r="I27">
            <v>0.83960000000000001</v>
          </cell>
          <cell r="J27">
            <v>0.4824</v>
          </cell>
          <cell r="K27">
            <v>0.71140000000000003</v>
          </cell>
          <cell r="L27">
            <v>0.39800000000000002</v>
          </cell>
          <cell r="M27">
            <v>0.2858</v>
          </cell>
          <cell r="N27">
            <v>0.30269999999999997</v>
          </cell>
          <cell r="O27">
            <v>0.52510000000000001</v>
          </cell>
          <cell r="P27">
            <v>0.63970000000000005</v>
          </cell>
          <cell r="Q27">
            <v>0.7984</v>
          </cell>
          <cell r="R27">
            <v>2.4916999999999998</v>
          </cell>
          <cell r="S27">
            <v>1.8120000000000001</v>
          </cell>
          <cell r="T27">
            <v>1.2810999999999999</v>
          </cell>
          <cell r="U27">
            <v>1.1297999999999999</v>
          </cell>
          <cell r="V27">
            <v>0.46079999999999999</v>
          </cell>
          <cell r="W27">
            <v>0.1757</v>
          </cell>
          <cell r="X27">
            <v>0.44230000000000003</v>
          </cell>
          <cell r="Y27">
            <v>0.30010000000000003</v>
          </cell>
          <cell r="Z27">
            <v>0.32750000000000001</v>
          </cell>
          <cell r="AA27">
            <v>0.47720000000000001</v>
          </cell>
          <cell r="AB27">
            <v>0.55912742999999965</v>
          </cell>
          <cell r="AC27">
            <v>0.54529235000000031</v>
          </cell>
          <cell r="AD27">
            <v>0.40671768999999997</v>
          </cell>
          <cell r="AE27">
            <v>0.44228138999999994</v>
          </cell>
        </row>
        <row r="28">
          <cell r="H28">
            <v>0.20303249999999998</v>
          </cell>
          <cell r="I28">
            <v>0.28772999999999999</v>
          </cell>
          <cell r="J28">
            <v>0.3148125</v>
          </cell>
          <cell r="K28">
            <v>0.34934699999999996</v>
          </cell>
          <cell r="L28">
            <v>0.195408</v>
          </cell>
          <cell r="M28">
            <v>0.33637499999999998</v>
          </cell>
          <cell r="N28">
            <v>0.13727549999999999</v>
          </cell>
          <cell r="O28">
            <v>0.35469449999999997</v>
          </cell>
          <cell r="P28">
            <v>0.25029750000000001</v>
          </cell>
          <cell r="Q28">
            <v>0.1968915</v>
          </cell>
          <cell r="R28">
            <v>0.43252649999999998</v>
          </cell>
          <cell r="S28">
            <v>0.54820499999999994</v>
          </cell>
          <cell r="T28">
            <v>0.97724699999999987</v>
          </cell>
          <cell r="U28">
            <v>0.84756149999999986</v>
          </cell>
          <cell r="V28">
            <v>0.64639199999999997</v>
          </cell>
          <cell r="W28">
            <v>0.33719399999999999</v>
          </cell>
          <cell r="X28">
            <v>0.39087360000000004</v>
          </cell>
          <cell r="Y28">
            <v>0.30558060000000004</v>
          </cell>
          <cell r="Z28">
            <v>3.7835000000000001</v>
          </cell>
          <cell r="AA28">
            <v>1.3673</v>
          </cell>
          <cell r="AB28">
            <v>1.8872418900000005</v>
          </cell>
          <cell r="AC28">
            <v>1.84246679</v>
          </cell>
          <cell r="AD28">
            <v>1.9964261199999997</v>
          </cell>
          <cell r="AE28">
            <v>2.11022474</v>
          </cell>
        </row>
        <row r="29">
          <cell r="H29">
            <v>0.38546750000000002</v>
          </cell>
          <cell r="I29">
            <v>0.54627000000000003</v>
          </cell>
          <cell r="J29">
            <v>0.59768750000000004</v>
          </cell>
          <cell r="K29">
            <v>0.66325300000000009</v>
          </cell>
          <cell r="L29">
            <v>0.37099200000000004</v>
          </cell>
          <cell r="M29">
            <v>0.638625</v>
          </cell>
          <cell r="N29">
            <v>0.26062450000000004</v>
          </cell>
          <cell r="O29">
            <v>0.67340549999999999</v>
          </cell>
          <cell r="P29">
            <v>0.47520250000000003</v>
          </cell>
          <cell r="Q29">
            <v>0.37380850000000004</v>
          </cell>
          <cell r="R29">
            <v>0.82117350000000011</v>
          </cell>
          <cell r="S29">
            <v>1.0407950000000001</v>
          </cell>
          <cell r="T29">
            <v>1.855353</v>
          </cell>
          <cell r="U29">
            <v>1.6091385</v>
          </cell>
          <cell r="V29">
            <v>1.2272080000000001</v>
          </cell>
          <cell r="W29">
            <v>1.1038060000000001</v>
          </cell>
          <cell r="X29">
            <v>1.2795264000000002</v>
          </cell>
          <cell r="Y29">
            <v>1.0003194000000002</v>
          </cell>
          <cell r="Z29">
            <v>3.7835000000000001</v>
          </cell>
          <cell r="AA29">
            <v>1.3673</v>
          </cell>
          <cell r="AB29">
            <v>1.8872418900000005</v>
          </cell>
          <cell r="AC29">
            <v>1.84246679</v>
          </cell>
          <cell r="AD29">
            <v>1.9964261199999997</v>
          </cell>
          <cell r="AE29">
            <v>2.11022474</v>
          </cell>
        </row>
        <row r="30">
          <cell r="H30">
            <v>0.66609400000000007</v>
          </cell>
          <cell r="I30">
            <v>1.1484180000000002</v>
          </cell>
          <cell r="J30">
            <v>0.55253399999999997</v>
          </cell>
          <cell r="K30">
            <v>0.6476320000000001</v>
          </cell>
          <cell r="L30">
            <v>0.68836400000000009</v>
          </cell>
          <cell r="M30">
            <v>0.40613802400000004</v>
          </cell>
          <cell r="N30">
            <v>0.97611110000000012</v>
          </cell>
          <cell r="O30">
            <v>0.44944599999999996</v>
          </cell>
          <cell r="P30">
            <v>1.0394595600000001</v>
          </cell>
          <cell r="Q30">
            <v>1.9108285600000001</v>
          </cell>
          <cell r="R30">
            <v>2.0233162</v>
          </cell>
          <cell r="S30">
            <v>1.5876980000000001</v>
          </cell>
          <cell r="T30">
            <v>1.3800260000000002</v>
          </cell>
          <cell r="U30">
            <v>1.4298360000000001</v>
          </cell>
          <cell r="V30">
            <v>1.3088299999999999</v>
          </cell>
          <cell r="W30">
            <v>1.4430000000000001</v>
          </cell>
          <cell r="X30">
            <v>1.3551</v>
          </cell>
          <cell r="Y30">
            <v>1.248</v>
          </cell>
          <cell r="Z30">
            <v>1.1154000000000002</v>
          </cell>
          <cell r="AA30">
            <v>1.0509999999999999</v>
          </cell>
          <cell r="AB30">
            <v>1.2799544001277074</v>
          </cell>
          <cell r="AC30">
            <v>1.4046792195590034</v>
          </cell>
          <cell r="AD30">
            <v>1.4878548079657998</v>
          </cell>
          <cell r="AE30">
            <v>1.4917427808967407</v>
          </cell>
        </row>
        <row r="31">
          <cell r="H31">
            <v>1.2930060000000001</v>
          </cell>
          <cell r="I31">
            <v>2.229282</v>
          </cell>
          <cell r="J31">
            <v>1.0725660000000001</v>
          </cell>
          <cell r="K31">
            <v>1.2571680000000001</v>
          </cell>
          <cell r="L31">
            <v>1.3362360000000002</v>
          </cell>
          <cell r="M31">
            <v>0.78838557600000003</v>
          </cell>
          <cell r="N31">
            <v>1.8948039000000001</v>
          </cell>
          <cell r="O31">
            <v>0.87245399999999995</v>
          </cell>
          <cell r="P31">
            <v>2.0177744400000002</v>
          </cell>
          <cell r="Q31">
            <v>3.7092554399999997</v>
          </cell>
          <cell r="R31">
            <v>3.9276137999999996</v>
          </cell>
          <cell r="S31">
            <v>3.0820020000000001</v>
          </cell>
          <cell r="T31">
            <v>2.6788740000000009</v>
          </cell>
          <cell r="U31">
            <v>2.7755639999999997</v>
          </cell>
          <cell r="V31">
            <v>2.5406699999999995</v>
          </cell>
          <cell r="W31">
            <v>1.5496500000000002</v>
          </cell>
          <cell r="X31">
            <v>3.1783999999999999</v>
          </cell>
          <cell r="Y31">
            <v>3.2438500000000001</v>
          </cell>
          <cell r="Z31">
            <v>1.3588</v>
          </cell>
          <cell r="AA31">
            <v>0.66200000000000003</v>
          </cell>
          <cell r="AB31">
            <v>1.2854712808283151</v>
          </cell>
          <cell r="AC31">
            <v>1.5350817518422488</v>
          </cell>
          <cell r="AD31">
            <v>1.3825302212329729</v>
          </cell>
          <cell r="AE31">
            <v>1.2973344781524432</v>
          </cell>
        </row>
        <row r="53">
          <cell r="H53">
            <v>4.6720565328458212</v>
          </cell>
          <cell r="I53">
            <v>1.5093528080297529</v>
          </cell>
          <cell r="J53">
            <v>1.6326353993862486</v>
          </cell>
          <cell r="K53">
            <v>2.6697249363466713</v>
          </cell>
          <cell r="L53">
            <v>1.9057770751539596</v>
          </cell>
          <cell r="M53">
            <v>1.3124038157725313</v>
          </cell>
          <cell r="N53">
            <v>1.0072288765130091</v>
          </cell>
          <cell r="O53">
            <v>1.7837576251023464</v>
          </cell>
          <cell r="P53">
            <v>1.8651544507889506</v>
          </cell>
          <cell r="Q53">
            <v>2.2166108874593542</v>
          </cell>
          <cell r="R53">
            <v>2.5878733797903091</v>
          </cell>
          <cell r="S53">
            <v>4.1569475087148886</v>
          </cell>
          <cell r="T53">
            <v>5.6567509684797317</v>
          </cell>
          <cell r="U53">
            <v>5.4289813283833865</v>
          </cell>
          <cell r="V53">
            <v>3.5235074071425996</v>
          </cell>
          <cell r="W53">
            <v>2.4352050691170355</v>
          </cell>
          <cell r="X53">
            <v>2.1414388221232086</v>
          </cell>
          <cell r="Y53">
            <v>2.302555021843534</v>
          </cell>
          <cell r="Z53">
            <v>1.4488319999999999</v>
          </cell>
          <cell r="AA53">
            <v>4.2056000000000004</v>
          </cell>
          <cell r="AB53">
            <v>2.5994797107084047</v>
          </cell>
          <cell r="AC53">
            <v>2.6698126381317313</v>
          </cell>
          <cell r="AD53">
            <v>2.4533274635786939</v>
          </cell>
          <cell r="AE53">
            <v>2.3671787571438605</v>
          </cell>
        </row>
        <row r="54">
          <cell r="H54">
            <v>2.1049529227503614</v>
          </cell>
          <cell r="I54">
            <v>0.68002529130110145</v>
          </cell>
          <cell r="J54">
            <v>0.7355691506648977</v>
          </cell>
          <cell r="K54">
            <v>1.2028204856244402</v>
          </cell>
          <cell r="L54">
            <v>0.85863066858321024</v>
          </cell>
          <cell r="M54">
            <v>0.59129169957975791</v>
          </cell>
          <cell r="N54">
            <v>0.45379788377757357</v>
          </cell>
          <cell r="O54">
            <v>0.80365590613912508</v>
          </cell>
          <cell r="P54">
            <v>0.84032851164530364</v>
          </cell>
          <cell r="Q54">
            <v>0.99867403858570003</v>
          </cell>
          <cell r="R54">
            <v>1.1659430052271653</v>
          </cell>
          <cell r="S54">
            <v>1.8728751988922039</v>
          </cell>
          <cell r="T54">
            <v>2.5485981174802896</v>
          </cell>
          <cell r="U54">
            <v>2.4459785609179971</v>
          </cell>
          <cell r="V54">
            <v>1.587484475595518</v>
          </cell>
          <cell r="W54">
            <v>1.0971596751232116</v>
          </cell>
          <cell r="X54">
            <v>0.96480594269985731</v>
          </cell>
          <cell r="Y54">
            <v>1.0373953930028383</v>
          </cell>
          <cell r="Z54">
            <v>0.90551999999999988</v>
          </cell>
          <cell r="AA54">
            <v>2.6284999999999998</v>
          </cell>
          <cell r="AB54">
            <v>1.6246748191927527</v>
          </cell>
          <cell r="AC54">
            <v>1.668632898832332</v>
          </cell>
          <cell r="AD54">
            <v>1.5333296647366834</v>
          </cell>
          <cell r="AE54">
            <v>1.4794867232149127</v>
          </cell>
        </row>
        <row r="55">
          <cell r="H55">
            <v>2.4698905444038184</v>
          </cell>
          <cell r="I55">
            <v>0.79792190066914614</v>
          </cell>
          <cell r="J55">
            <v>0.86309544994885412</v>
          </cell>
          <cell r="K55">
            <v>1.4113545780288896</v>
          </cell>
          <cell r="L55">
            <v>1.0074922562628299</v>
          </cell>
          <cell r="M55">
            <v>0.69380448464771105</v>
          </cell>
          <cell r="N55">
            <v>0.53247323970941751</v>
          </cell>
          <cell r="O55">
            <v>0.94298646875852898</v>
          </cell>
          <cell r="P55">
            <v>0.98601703756574599</v>
          </cell>
          <cell r="Q55">
            <v>1.1718150739549462</v>
          </cell>
          <cell r="R55">
            <v>1.368083614982526</v>
          </cell>
          <cell r="S55">
            <v>2.1975772923929076</v>
          </cell>
          <cell r="T55">
            <v>2.9904509140399775</v>
          </cell>
          <cell r="U55">
            <v>2.8700401106986155</v>
          </cell>
          <cell r="V55">
            <v>1.8627081172618836</v>
          </cell>
          <cell r="W55">
            <v>1.2873752557597529</v>
          </cell>
          <cell r="X55">
            <v>1.1320752351769341</v>
          </cell>
          <cell r="Y55">
            <v>1.2172495851536278</v>
          </cell>
          <cell r="Z55">
            <v>0.23284799999999997</v>
          </cell>
          <cell r="AA55">
            <v>0.67589999999999995</v>
          </cell>
          <cell r="AB55">
            <v>0.41777352493527931</v>
          </cell>
          <cell r="AC55">
            <v>0.42907703112831391</v>
          </cell>
          <cell r="AD55">
            <v>0.39428477093229003</v>
          </cell>
          <cell r="AE55">
            <v>0.38043944311240613</v>
          </cell>
        </row>
        <row r="56">
          <cell r="H56">
            <v>1.1645465043915073</v>
          </cell>
          <cell r="I56">
            <v>1.1001820295846425</v>
          </cell>
          <cell r="J56">
            <v>0.77513011814390298</v>
          </cell>
          <cell r="K56">
            <v>0.68998963836582305</v>
          </cell>
          <cell r="L56">
            <v>0.47628477138962716</v>
          </cell>
          <cell r="M56">
            <v>0.72979317264235954</v>
          </cell>
          <cell r="N56">
            <v>1.1207523315363412</v>
          </cell>
          <cell r="O56">
            <v>1.7296949802124721</v>
          </cell>
          <cell r="P56">
            <v>1.2091017784188862</v>
          </cell>
          <cell r="Q56">
            <v>0.64730626181604856</v>
          </cell>
          <cell r="R56">
            <v>0.79226517966966792</v>
          </cell>
          <cell r="S56">
            <v>1.1545493376429821</v>
          </cell>
          <cell r="T56">
            <v>1.6151595389454148</v>
          </cell>
          <cell r="U56">
            <v>1.1894365697530624</v>
          </cell>
          <cell r="V56">
            <v>1.2257225823958589</v>
          </cell>
          <cell r="W56">
            <v>1.0573849449768578</v>
          </cell>
          <cell r="X56">
            <v>0.72875294390060763</v>
          </cell>
          <cell r="Y56">
            <v>0.92132453975849626</v>
          </cell>
          <cell r="Z56">
            <v>1.6346550000000002</v>
          </cell>
          <cell r="AA56">
            <v>2.0905169999999997</v>
          </cell>
          <cell r="AB56">
            <v>1.7691131441651935</v>
          </cell>
          <cell r="AC56">
            <v>1.7050112905317358</v>
          </cell>
          <cell r="AD56">
            <v>1.6258923167686812</v>
          </cell>
          <cell r="AE56">
            <v>1.7031142550524103</v>
          </cell>
        </row>
        <row r="57">
          <cell r="H57">
            <v>2.1508979819924536</v>
          </cell>
          <cell r="I57">
            <v>2.0320178699041631</v>
          </cell>
          <cell r="J57">
            <v>1.4316524077056443</v>
          </cell>
          <cell r="K57">
            <v>1.2743993607470525</v>
          </cell>
          <cell r="L57">
            <v>0.87969003365045617</v>
          </cell>
          <cell r="M57">
            <v>1.3479158250777785</v>
          </cell>
          <cell r="N57">
            <v>2.0700108747262438</v>
          </cell>
          <cell r="O57">
            <v>3.1947177964742988</v>
          </cell>
          <cell r="P57">
            <v>2.2331908304370804</v>
          </cell>
          <cell r="Q57">
            <v>1.195563875741235</v>
          </cell>
          <cell r="R57">
            <v>1.4633005807224375</v>
          </cell>
          <cell r="S57">
            <v>2.1324333816489229</v>
          </cell>
          <cell r="T57">
            <v>2.983172745624953</v>
          </cell>
          <cell r="U57">
            <v>2.1968695178271713</v>
          </cell>
          <cell r="V57">
            <v>2.2638891783333217</v>
          </cell>
          <cell r="W57">
            <v>1.9529723680105797</v>
          </cell>
          <cell r="X57">
            <v>1.3459945399311508</v>
          </cell>
          <cell r="Y57">
            <v>1.701671067538973</v>
          </cell>
          <cell r="Z57">
            <v>0.59441999999999995</v>
          </cell>
          <cell r="AA57">
            <v>0.76018799999999986</v>
          </cell>
          <cell r="AB57">
            <v>0.64331387060552492</v>
          </cell>
          <cell r="AC57">
            <v>0.62000410564790387</v>
          </cell>
          <cell r="AD57">
            <v>0.59123356973406582</v>
          </cell>
          <cell r="AE57">
            <v>0.61931427456451282</v>
          </cell>
        </row>
        <row r="58">
          <cell r="H58">
            <v>0.53772449549811341</v>
          </cell>
          <cell r="I58">
            <v>0.50800446747604078</v>
          </cell>
          <cell r="J58">
            <v>0.35791310192641107</v>
          </cell>
          <cell r="K58">
            <v>0.31859984018676313</v>
          </cell>
          <cell r="L58">
            <v>0.21992250841261404</v>
          </cell>
          <cell r="M58">
            <v>0.33697895626944463</v>
          </cell>
          <cell r="N58">
            <v>0.51750271868156095</v>
          </cell>
          <cell r="O58">
            <v>0.79867944911857469</v>
          </cell>
          <cell r="P58">
            <v>0.55829770760927011</v>
          </cell>
          <cell r="Q58">
            <v>0.29889096893530875</v>
          </cell>
          <cell r="R58">
            <v>0.36582514518060938</v>
          </cell>
          <cell r="S58">
            <v>0.53310834541223073</v>
          </cell>
          <cell r="T58">
            <v>0.74579318640623826</v>
          </cell>
          <cell r="U58">
            <v>0.54921737945679283</v>
          </cell>
          <cell r="V58">
            <v>0.56597229458333043</v>
          </cell>
          <cell r="W58">
            <v>0.48824309200264493</v>
          </cell>
          <cell r="X58">
            <v>0.3364986349827877</v>
          </cell>
          <cell r="Y58">
            <v>0.42541776688474325</v>
          </cell>
          <cell r="Z58">
            <v>2.1300050000000001</v>
          </cell>
          <cell r="AA58">
            <v>2.7240069999999998</v>
          </cell>
          <cell r="AB58">
            <v>2.305208036336464</v>
          </cell>
          <cell r="AC58">
            <v>2.2216813785716556</v>
          </cell>
          <cell r="AD58">
            <v>2.118586958213736</v>
          </cell>
          <cell r="AE58">
            <v>2.2192094838561709</v>
          </cell>
        </row>
        <row r="59">
          <cell r="H59">
            <v>1.0381942181179253</v>
          </cell>
          <cell r="I59">
            <v>0.980813233035153</v>
          </cell>
          <cell r="J59">
            <v>0.69102917222404159</v>
          </cell>
          <cell r="K59">
            <v>0.61512636070036175</v>
          </cell>
          <cell r="L59">
            <v>0.42460828654730265</v>
          </cell>
          <cell r="M59">
            <v>0.65061124601041742</v>
          </cell>
          <cell r="N59">
            <v>0.99915167505585367</v>
          </cell>
          <cell r="O59">
            <v>1.542024574194655</v>
          </cell>
          <cell r="P59">
            <v>1.077915283534763</v>
          </cell>
          <cell r="Q59">
            <v>0.57707409350740779</v>
          </cell>
          <cell r="R59">
            <v>0.70630509442728517</v>
          </cell>
          <cell r="S59">
            <v>1.029281735295865</v>
          </cell>
          <cell r="T59">
            <v>1.4399161290233935</v>
          </cell>
          <cell r="U59">
            <v>1.0603837329629731</v>
          </cell>
          <cell r="V59">
            <v>1.092732744687489</v>
          </cell>
          <cell r="W59">
            <v>0.94265959500991836</v>
          </cell>
          <cell r="X59">
            <v>0.64968388118545384</v>
          </cell>
          <cell r="Y59">
            <v>0.82136162581778727</v>
          </cell>
          <cell r="Z59">
            <v>0.59441999999999995</v>
          </cell>
          <cell r="AA59">
            <v>0.76018799999999986</v>
          </cell>
          <cell r="AB59">
            <v>0.64331387060552492</v>
          </cell>
          <cell r="AC59">
            <v>0.62000410564790387</v>
          </cell>
          <cell r="AD59">
            <v>0.59123356973406582</v>
          </cell>
          <cell r="AE59">
            <v>0.61931427456451282</v>
          </cell>
        </row>
        <row r="60">
          <cell r="H60">
            <v>1.6924380000000001</v>
          </cell>
          <cell r="I60">
            <v>1.484802</v>
          </cell>
          <cell r="J60">
            <v>2.0873819999999998</v>
          </cell>
          <cell r="K60">
            <v>2.0856660000000002</v>
          </cell>
          <cell r="L60">
            <v>2.3110560000000002</v>
          </cell>
          <cell r="M60">
            <v>3.1661519999999999</v>
          </cell>
          <cell r="N60">
            <v>2.39778</v>
          </cell>
          <cell r="O60">
            <v>1.4201721599999999</v>
          </cell>
          <cell r="P60">
            <v>2.9824739999999998</v>
          </cell>
          <cell r="Q60">
            <v>1.9324140000000003</v>
          </cell>
          <cell r="R60">
            <v>1.907796</v>
          </cell>
          <cell r="S60">
            <v>2.3078220000000003</v>
          </cell>
          <cell r="T60">
            <v>2.4817980000000004</v>
          </cell>
          <cell r="U60">
            <v>2.3626019999999999</v>
          </cell>
          <cell r="V60">
            <v>2.16249</v>
          </cell>
          <cell r="W60">
            <v>2.6243000000000003</v>
          </cell>
          <cell r="X60">
            <v>3.7761</v>
          </cell>
          <cell r="Y60">
            <v>2.5621999999999998</v>
          </cell>
          <cell r="Z60">
            <v>3.0191999999999997</v>
          </cell>
          <cell r="AA60">
            <v>2.9931000000000001</v>
          </cell>
          <cell r="AB60">
            <v>2.8918301090794269</v>
          </cell>
          <cell r="AC60">
            <v>3.782360064278282</v>
          </cell>
          <cell r="AD60">
            <v>3.4705377413257055</v>
          </cell>
          <cell r="AE60">
            <v>3.2160116321090824</v>
          </cell>
        </row>
        <row r="61">
          <cell r="H61">
            <v>0.87186200000000003</v>
          </cell>
          <cell r="I61">
            <v>0.76489800000000008</v>
          </cell>
          <cell r="J61">
            <v>1.075318</v>
          </cell>
          <cell r="K61">
            <v>1.0744339999999999</v>
          </cell>
          <cell r="L61">
            <v>1.190544</v>
          </cell>
          <cell r="M61">
            <v>1.6310480000000001</v>
          </cell>
          <cell r="N61">
            <v>1.23522</v>
          </cell>
          <cell r="O61">
            <v>0.73160384000000001</v>
          </cell>
          <cell r="P61">
            <v>1.5364259999999998</v>
          </cell>
          <cell r="Q61">
            <v>0.99548600000000009</v>
          </cell>
          <cell r="R61">
            <v>0.98280400000000012</v>
          </cell>
          <cell r="S61">
            <v>1.1888779999999999</v>
          </cell>
          <cell r="T61">
            <v>1.2785020000000002</v>
          </cell>
          <cell r="U61">
            <v>1.217098</v>
          </cell>
          <cell r="V61">
            <v>1.1140099999999999</v>
          </cell>
          <cell r="W61">
            <v>1.2012</v>
          </cell>
          <cell r="X61">
            <v>1.5534000000000001</v>
          </cell>
          <cell r="Y61">
            <v>0.81710000000000005</v>
          </cell>
          <cell r="Z61">
            <v>1.2970999999999999</v>
          </cell>
          <cell r="AA61">
            <v>1.4250999999999998</v>
          </cell>
          <cell r="AB61">
            <v>1.3376018689940781</v>
          </cell>
          <cell r="AC61">
            <v>1.4693053926132156</v>
          </cell>
          <cell r="AD61">
            <v>1.3354667382339562</v>
          </cell>
          <cell r="AE61">
            <v>1.249250206816515</v>
          </cell>
        </row>
        <row r="62">
          <cell r="H62">
            <v>5.2438000000000002</v>
          </cell>
          <cell r="I62">
            <v>3.0779999999999998</v>
          </cell>
          <cell r="J62">
            <v>3.5724999999999998</v>
          </cell>
          <cell r="K62">
            <v>4.5848000000000004</v>
          </cell>
          <cell r="L62">
            <v>3.4581999999999997</v>
          </cell>
          <cell r="M62">
            <v>3.2988000000000004</v>
          </cell>
          <cell r="N62">
            <v>3.1168</v>
          </cell>
          <cell r="O62">
            <v>3.8371</v>
          </cell>
          <cell r="P62">
            <v>5.0454999999999997</v>
          </cell>
          <cell r="Q62">
            <v>6.3580129999999997</v>
          </cell>
          <cell r="R62">
            <v>4.7816999999999998</v>
          </cell>
          <cell r="S62">
            <v>6.0843999999999996</v>
          </cell>
          <cell r="T62">
            <v>5.7608000000000006</v>
          </cell>
          <cell r="U62">
            <v>5.1916000000000002</v>
          </cell>
          <cell r="V62">
            <v>6.0718000000000005</v>
          </cell>
          <cell r="W62">
            <v>2.7429000000000001</v>
          </cell>
          <cell r="X62">
            <v>4.8205</v>
          </cell>
          <cell r="Y62">
            <v>3.1579999999999999</v>
          </cell>
          <cell r="Z62">
            <v>4.7521000000000004</v>
          </cell>
          <cell r="AA62">
            <v>4.5863000000000005</v>
          </cell>
          <cell r="AB62">
            <v>4.2521218800000069</v>
          </cell>
          <cell r="AC62">
            <v>4.1643903399999962</v>
          </cell>
          <cell r="AD62">
            <v>4.2213762000000035</v>
          </cell>
          <cell r="AE62">
            <v>4.5285378099999987</v>
          </cell>
        </row>
        <row r="63">
          <cell r="H63">
            <v>0.5481317139383739</v>
          </cell>
          <cell r="I63">
            <v>0.5178364790468617</v>
          </cell>
          <cell r="J63">
            <v>0.36484021769957081</v>
          </cell>
          <cell r="K63">
            <v>0.32476607988686124</v>
          </cell>
          <cell r="L63">
            <v>0.22417892894792907</v>
          </cell>
          <cell r="M63">
            <v>0.34350090875073974</v>
          </cell>
          <cell r="N63">
            <v>0.52751856114705731</v>
          </cell>
          <cell r="O63">
            <v>0.81413723755914813</v>
          </cell>
          <cell r="P63">
            <v>0.56910310376739748</v>
          </cell>
          <cell r="Q63">
            <v>0.30467575952895537</v>
          </cell>
          <cell r="R63">
            <v>0.37290539208903378</v>
          </cell>
          <cell r="S63">
            <v>0.54342622203767876</v>
          </cell>
          <cell r="T63">
            <v>0.76022740442525871</v>
          </cell>
          <cell r="U63">
            <v>0.55984703327961061</v>
          </cell>
          <cell r="V63">
            <v>0.57692622610435551</v>
          </cell>
          <cell r="W63">
            <v>0.37201976634398637</v>
          </cell>
          <cell r="X63">
            <v>0.26963174813441793</v>
          </cell>
          <cell r="Y63">
            <v>0.34990048025184839</v>
          </cell>
          <cell r="Z63">
            <v>0.25180000000000002</v>
          </cell>
          <cell r="AA63">
            <v>0.24840000000000001</v>
          </cell>
          <cell r="AB63">
            <v>0.2696633082872934</v>
          </cell>
          <cell r="AC63">
            <v>0.33187896960079466</v>
          </cell>
          <cell r="AD63">
            <v>0.24932755554944439</v>
          </cell>
          <cell r="AE63">
            <v>0.2462404319623952</v>
          </cell>
        </row>
        <row r="64">
          <cell r="H64">
            <v>0.22180508606162622</v>
          </cell>
          <cell r="I64">
            <v>0.20954592095313826</v>
          </cell>
          <cell r="J64">
            <v>0.14763498230042921</v>
          </cell>
          <cell r="K64">
            <v>0.13141872011313882</v>
          </cell>
          <cell r="L64">
            <v>9.0715471052070965E-2</v>
          </cell>
          <cell r="M64">
            <v>0.13899989124926035</v>
          </cell>
          <cell r="N64">
            <v>0.21346383885294262</v>
          </cell>
          <cell r="O64">
            <v>0.32944596244085222</v>
          </cell>
          <cell r="P64">
            <v>0.23029129623260253</v>
          </cell>
          <cell r="Q64">
            <v>0.12328904047104472</v>
          </cell>
          <cell r="R64">
            <v>0.15089860791096629</v>
          </cell>
          <cell r="S64">
            <v>0.2199009779623213</v>
          </cell>
          <cell r="T64">
            <v>0.30763099557474127</v>
          </cell>
          <cell r="U64">
            <v>0.22654576672038956</v>
          </cell>
          <cell r="V64">
            <v>0.23345697389564446</v>
          </cell>
          <cell r="W64">
            <v>0.15054023365601354</v>
          </cell>
          <cell r="X64">
            <v>0.1091082518655821</v>
          </cell>
          <cell r="Y64">
            <v>0.14158951974815162</v>
          </cell>
          <cell r="Z64">
            <v>0.25180000000000002</v>
          </cell>
          <cell r="AA64">
            <v>0.24840000000000001</v>
          </cell>
          <cell r="AB64">
            <v>0.2696633082872934</v>
          </cell>
          <cell r="AC64">
            <v>0.33187896960079466</v>
          </cell>
          <cell r="AD64">
            <v>0.24932755554944439</v>
          </cell>
          <cell r="AE64">
            <v>0.2462404319623952</v>
          </cell>
        </row>
        <row r="65">
          <cell r="H65">
            <v>0.23799999999999999</v>
          </cell>
          <cell r="I65">
            <v>0.17499999999999999</v>
          </cell>
          <cell r="J65">
            <v>0.22190000000000001</v>
          </cell>
          <cell r="K65">
            <v>0.18659999999999999</v>
          </cell>
          <cell r="L65">
            <v>0.33439999999999998</v>
          </cell>
          <cell r="M65">
            <v>0.22409999999999999</v>
          </cell>
          <cell r="N65">
            <v>0.1966</v>
          </cell>
          <cell r="O65">
            <v>0.28989999999999999</v>
          </cell>
          <cell r="P65">
            <v>0.19939999999999999</v>
          </cell>
          <cell r="Q65">
            <v>0.25030000000000002</v>
          </cell>
          <cell r="R65">
            <v>0.33189999999999997</v>
          </cell>
          <cell r="S65">
            <v>0.25900000000000001</v>
          </cell>
          <cell r="T65">
            <v>0.33539999999999998</v>
          </cell>
          <cell r="U65">
            <v>0.30019999999999997</v>
          </cell>
          <cell r="V65">
            <v>0.20430000000000001</v>
          </cell>
          <cell r="W65">
            <v>0.76816319999999993</v>
          </cell>
          <cell r="X65">
            <v>0.55674780000000001</v>
          </cell>
          <cell r="Y65">
            <v>0.72249029999999992</v>
          </cell>
          <cell r="Z65">
            <v>4.9535</v>
          </cell>
          <cell r="AA65">
            <v>6.3348999999999993</v>
          </cell>
          <cell r="AB65">
            <v>5.3609489217127075</v>
          </cell>
          <cell r="AC65">
            <v>5.1667008803991994</v>
          </cell>
          <cell r="AD65">
            <v>4.9269464144505486</v>
          </cell>
          <cell r="AE65">
            <v>5.1609522880376071</v>
          </cell>
        </row>
        <row r="66">
          <cell r="H66">
            <v>0.61850000000000005</v>
          </cell>
          <cell r="I66">
            <v>2.2084999999999999</v>
          </cell>
          <cell r="J66">
            <v>1.4847000000000001</v>
          </cell>
          <cell r="K66">
            <v>0.95320000000000005</v>
          </cell>
          <cell r="L66">
            <v>0.90810000000000002</v>
          </cell>
          <cell r="M66">
            <v>0.42230000000000001</v>
          </cell>
          <cell r="N66">
            <v>0.60639999999999994</v>
          </cell>
          <cell r="O66">
            <v>0.6167999999999999</v>
          </cell>
          <cell r="P66">
            <v>1.0635999999999999</v>
          </cell>
          <cell r="Q66">
            <v>1.0459000000000001</v>
          </cell>
          <cell r="R66">
            <v>2.0405000000000002</v>
          </cell>
          <cell r="S66">
            <v>2.3144</v>
          </cell>
          <cell r="T66">
            <v>1.7478</v>
          </cell>
          <cell r="U66">
            <v>1.9861</v>
          </cell>
          <cell r="V66">
            <v>1.1522000000000001</v>
          </cell>
          <cell r="W66">
            <v>0.38150000000000001</v>
          </cell>
          <cell r="X66">
            <v>0.92549999999999999</v>
          </cell>
          <cell r="Y66">
            <v>1.1422999999999999</v>
          </cell>
          <cell r="Z66">
            <v>1.5630999999999999</v>
          </cell>
          <cell r="AA66">
            <v>1.7925</v>
          </cell>
          <cell r="AB66">
            <v>1.7621433593581584</v>
          </cell>
          <cell r="AC66">
            <v>1.4336343163011998</v>
          </cell>
          <cell r="AD66">
            <v>1.3691762784064214</v>
          </cell>
          <cell r="AE66">
            <v>1.5800612145564872</v>
          </cell>
        </row>
        <row r="67">
          <cell r="H67">
            <v>0.43003140000000001</v>
          </cell>
          <cell r="I67">
            <v>0.38538420000000001</v>
          </cell>
          <cell r="J67">
            <v>0.66239400000000004</v>
          </cell>
          <cell r="K67">
            <v>0.43521479999999996</v>
          </cell>
          <cell r="L67">
            <v>0.36477779999999993</v>
          </cell>
          <cell r="M67">
            <v>0.67629059999999996</v>
          </cell>
          <cell r="N67">
            <v>0.52988339999999989</v>
          </cell>
          <cell r="O67">
            <v>0.50167679999999992</v>
          </cell>
          <cell r="P67">
            <v>0.38506620000000003</v>
          </cell>
          <cell r="Q67">
            <v>0.32744460000000003</v>
          </cell>
          <cell r="R67">
            <v>0.54336660000000003</v>
          </cell>
          <cell r="S67">
            <v>0.64827480000000004</v>
          </cell>
          <cell r="T67">
            <v>0.97781820000000008</v>
          </cell>
          <cell r="U67">
            <v>0.78724080000000007</v>
          </cell>
          <cell r="V67">
            <v>0.68166479999999996</v>
          </cell>
          <cell r="W67">
            <v>0.47345219999999999</v>
          </cell>
          <cell r="X67">
            <v>0.48302279999999997</v>
          </cell>
          <cell r="Y67">
            <v>0.4790682</v>
          </cell>
          <cell r="Z67">
            <v>3.056</v>
          </cell>
          <cell r="AA67">
            <v>2.3259000000000003</v>
          </cell>
          <cell r="AB67">
            <v>2.0441822700000003</v>
          </cell>
          <cell r="AC67">
            <v>2.0585218499999991</v>
          </cell>
          <cell r="AD67">
            <v>2.2333007499999997</v>
          </cell>
          <cell r="AE67">
            <v>2.33822785</v>
          </cell>
        </row>
        <row r="68">
          <cell r="H68">
            <v>0.92226859999999999</v>
          </cell>
          <cell r="I68">
            <v>0.82651580000000013</v>
          </cell>
          <cell r="J68">
            <v>1.420606</v>
          </cell>
          <cell r="K68">
            <v>0.93338520000000003</v>
          </cell>
          <cell r="L68">
            <v>0.78232219999999997</v>
          </cell>
          <cell r="M68">
            <v>1.4504094000000001</v>
          </cell>
          <cell r="N68">
            <v>1.1364166</v>
          </cell>
          <cell r="O68">
            <v>1.0759231999999999</v>
          </cell>
          <cell r="P68">
            <v>0.82583380000000006</v>
          </cell>
          <cell r="Q68">
            <v>0.70225540000000009</v>
          </cell>
          <cell r="R68">
            <v>1.1653334000000002</v>
          </cell>
          <cell r="S68">
            <v>1.3903251999999999</v>
          </cell>
          <cell r="T68">
            <v>2.0970818000000002</v>
          </cell>
          <cell r="U68">
            <v>1.6883592000000001</v>
          </cell>
          <cell r="V68">
            <v>1.4619352000000001</v>
          </cell>
          <cell r="W68">
            <v>1.5498478</v>
          </cell>
          <cell r="X68">
            <v>1.5811771999999999</v>
          </cell>
          <cell r="Y68">
            <v>1.5682318</v>
          </cell>
          <cell r="Z68">
            <v>3.056</v>
          </cell>
          <cell r="AA68">
            <v>2.3259000000000003</v>
          </cell>
          <cell r="AB68">
            <v>2.0441822700000003</v>
          </cell>
          <cell r="AC68">
            <v>2.0585218499999991</v>
          </cell>
          <cell r="AD68">
            <v>2.2333007499999997</v>
          </cell>
          <cell r="AE68">
            <v>2.33822785</v>
          </cell>
        </row>
        <row r="69">
          <cell r="H69">
            <v>1.112582</v>
          </cell>
          <cell r="I69">
            <v>0.80331799999999998</v>
          </cell>
          <cell r="J69">
            <v>0.79209799999999997</v>
          </cell>
          <cell r="K69">
            <v>1.4170180000000003</v>
          </cell>
          <cell r="L69">
            <v>2.0118140000000002</v>
          </cell>
          <cell r="M69">
            <v>1.9682630600000002</v>
          </cell>
          <cell r="N69">
            <v>1.356931568</v>
          </cell>
          <cell r="O69">
            <v>1.6115660000000003</v>
          </cell>
          <cell r="P69">
            <v>2.0560044800000004</v>
          </cell>
          <cell r="Q69">
            <v>2.2904100000000001</v>
          </cell>
          <cell r="R69">
            <v>2.4596072599999999</v>
          </cell>
          <cell r="S69">
            <v>3.8090502600000002</v>
          </cell>
          <cell r="T69">
            <v>4.7729200000000009</v>
          </cell>
          <cell r="U69">
            <v>4.5525319999999994</v>
          </cell>
          <cell r="V69">
            <v>3.3850400000000009</v>
          </cell>
          <cell r="W69">
            <v>2.8653000000000004</v>
          </cell>
          <cell r="X69">
            <v>1.9470999999999998</v>
          </cell>
          <cell r="Y69">
            <v>3.2425000000000002</v>
          </cell>
          <cell r="Z69">
            <v>1.5354000000000001</v>
          </cell>
          <cell r="AA69">
            <v>1.9370000000000001</v>
          </cell>
          <cell r="AB69">
            <v>2.3703669220352253</v>
          </cell>
          <cell r="AC69">
            <v>1.9890497993605087</v>
          </cell>
          <cell r="AD69">
            <v>2.1600621794832904</v>
          </cell>
          <cell r="AE69">
            <v>2.2621435716444833</v>
          </cell>
        </row>
        <row r="70">
          <cell r="H70">
            <v>2.1597179999999998</v>
          </cell>
          <cell r="I70">
            <v>1.559382</v>
          </cell>
          <cell r="J70">
            <v>1.5376019999999999</v>
          </cell>
          <cell r="K70">
            <v>2.7506820000000007</v>
          </cell>
          <cell r="L70">
            <v>3.9052860000000007</v>
          </cell>
          <cell r="M70">
            <v>3.8207459400000001</v>
          </cell>
          <cell r="N70">
            <v>2.634043632</v>
          </cell>
          <cell r="O70">
            <v>3.1283340000000002</v>
          </cell>
          <cell r="P70">
            <v>3.991067520000001</v>
          </cell>
          <cell r="Q70">
            <v>4.446089999999999</v>
          </cell>
          <cell r="R70">
            <v>4.7745317399999996</v>
          </cell>
          <cell r="S70">
            <v>7.3940387400000001</v>
          </cell>
          <cell r="T70">
            <v>9.2650800000000011</v>
          </cell>
          <cell r="U70">
            <v>8.8372679999999981</v>
          </cell>
          <cell r="V70">
            <v>6.5709600000000021</v>
          </cell>
          <cell r="W70">
            <v>4.5552000000000001</v>
          </cell>
          <cell r="X70">
            <v>5.4093999999999998</v>
          </cell>
          <cell r="Y70">
            <v>5.1186000000000007</v>
          </cell>
          <cell r="Z70">
            <v>1.7812999999999999</v>
          </cell>
          <cell r="AA70">
            <v>2.95</v>
          </cell>
          <cell r="AB70">
            <v>2.2861592609503698</v>
          </cell>
          <cell r="AC70">
            <v>2.5053125556405771</v>
          </cell>
          <cell r="AD70">
            <v>2.4712945670254456</v>
          </cell>
          <cell r="AE70">
            <v>2.4438312461536253</v>
          </cell>
        </row>
        <row r="92">
          <cell r="H92">
            <v>0.41436087365353341</v>
          </cell>
          <cell r="I92">
            <v>0.17461665398690543</v>
          </cell>
          <cell r="J92">
            <v>0.26404705837256015</v>
          </cell>
          <cell r="K92">
            <v>0.26172287837157698</v>
          </cell>
          <cell r="L92">
            <v>0.20771095617481719</v>
          </cell>
          <cell r="M92">
            <v>0.24565572097347629</v>
          </cell>
          <cell r="N92">
            <v>0.38202445624855086</v>
          </cell>
          <cell r="O92">
            <v>0.43265115974822654</v>
          </cell>
          <cell r="P92">
            <v>0.44386785453557986</v>
          </cell>
          <cell r="Q92">
            <v>0.36903936363436263</v>
          </cell>
          <cell r="R92">
            <v>0.5218289358729048</v>
          </cell>
          <cell r="S92">
            <v>0.56649361241353691</v>
          </cell>
          <cell r="T92">
            <v>0.68866463942173628</v>
          </cell>
          <cell r="U92">
            <v>1.031127510001379</v>
          </cell>
          <cell r="V92">
            <v>0.57467876806917317</v>
          </cell>
          <cell r="W92">
            <v>0.49454508368745087</v>
          </cell>
          <cell r="X92">
            <v>0.57525981306941887</v>
          </cell>
          <cell r="Y92">
            <v>0.81019904321227521</v>
          </cell>
          <cell r="Z92">
            <v>0.6358950000000001</v>
          </cell>
          <cell r="AA92">
            <v>0.73733399999999993</v>
          </cell>
          <cell r="AB92">
            <v>0.6518964294875611</v>
          </cell>
          <cell r="AC92">
            <v>0.67716166468748484</v>
          </cell>
          <cell r="AD92">
            <v>0.61357820737900048</v>
          </cell>
          <cell r="AE92">
            <v>0.62155831420158214</v>
          </cell>
        </row>
        <row r="93">
          <cell r="H93">
            <v>0.18668655354200558</v>
          </cell>
          <cell r="I93">
            <v>7.8671958180852486E-2</v>
          </cell>
          <cell r="J93">
            <v>0.11896402009639327</v>
          </cell>
          <cell r="K93">
            <v>0.11791688176412496</v>
          </cell>
          <cell r="L93">
            <v>9.3582297477281418E-2</v>
          </cell>
          <cell r="M93">
            <v>0.11067796894540068</v>
          </cell>
          <cell r="N93">
            <v>0.17211767239740325</v>
          </cell>
          <cell r="O93">
            <v>0.19492707693942124</v>
          </cell>
          <cell r="P93">
            <v>0.19998065758645517</v>
          </cell>
          <cell r="Q93">
            <v>0.1662673560627739</v>
          </cell>
          <cell r="R93">
            <v>0.23510531947101979</v>
          </cell>
          <cell r="S93">
            <v>0.25522858655200176</v>
          </cell>
          <cell r="T93">
            <v>0.31027164062645235</v>
          </cell>
          <cell r="U93">
            <v>0.46456519749850622</v>
          </cell>
          <cell r="V93">
            <v>0.25891633459172925</v>
          </cell>
          <cell r="W93">
            <v>0.22281282600526162</v>
          </cell>
          <cell r="X93">
            <v>0.25917811917479627</v>
          </cell>
          <cell r="Y93">
            <v>0.3650278698533686</v>
          </cell>
          <cell r="Z93">
            <v>0.79894500000000002</v>
          </cell>
          <cell r="AA93">
            <v>0.92639399999999994</v>
          </cell>
          <cell r="AB93">
            <v>0.81904936012539731</v>
          </cell>
          <cell r="AC93">
            <v>0.85079286076119875</v>
          </cell>
          <cell r="AD93">
            <v>0.77090595286079544</v>
          </cell>
          <cell r="AE93">
            <v>0.78093224091993652</v>
          </cell>
        </row>
        <row r="94">
          <cell r="H94">
            <v>0.21905257280446114</v>
          </cell>
          <cell r="I94">
            <v>9.2311387832242131E-2</v>
          </cell>
          <cell r="J94">
            <v>0.13958892153104671</v>
          </cell>
          <cell r="K94">
            <v>0.1383602398642981</v>
          </cell>
          <cell r="L94">
            <v>0.10980674634790144</v>
          </cell>
          <cell r="M94">
            <v>0.12986631008112301</v>
          </cell>
          <cell r="N94">
            <v>0.20195787135404591</v>
          </cell>
          <cell r="O94">
            <v>0.22872176331235222</v>
          </cell>
          <cell r="P94">
            <v>0.234651487877965</v>
          </cell>
          <cell r="Q94">
            <v>0.19509328030286358</v>
          </cell>
          <cell r="R94">
            <v>0.27586574465607538</v>
          </cell>
          <cell r="S94">
            <v>0.29947780103446142</v>
          </cell>
          <cell r="T94">
            <v>0.36406371995181136</v>
          </cell>
          <cell r="U94">
            <v>0.54510729250011491</v>
          </cell>
          <cell r="V94">
            <v>0.30380489733909782</v>
          </cell>
          <cell r="W94">
            <v>0.2614420903072876</v>
          </cell>
          <cell r="X94">
            <v>0.30411206775578492</v>
          </cell>
          <cell r="Y94">
            <v>0.42831308693435627</v>
          </cell>
          <cell r="Z94">
            <v>0.19566</v>
          </cell>
          <cell r="AA94">
            <v>0.22687199999999996</v>
          </cell>
          <cell r="AB94">
            <v>0.20058351676540342</v>
          </cell>
          <cell r="AC94">
            <v>0.20835743528845685</v>
          </cell>
          <cell r="AD94">
            <v>0.188793294578154</v>
          </cell>
          <cell r="AE94">
            <v>0.19124871206202526</v>
          </cell>
        </row>
        <row r="95">
          <cell r="H95">
            <v>0.16229015911096059</v>
          </cell>
          <cell r="I95">
            <v>0.13689095496788101</v>
          </cell>
          <cell r="J95">
            <v>0.1464880483900218</v>
          </cell>
          <cell r="K95">
            <v>0.12630105877793252</v>
          </cell>
          <cell r="L95">
            <v>5.3578256036020636E-2</v>
          </cell>
          <cell r="M95">
            <v>0.14473409683356164</v>
          </cell>
          <cell r="N95">
            <v>0.20832311411164292</v>
          </cell>
          <cell r="O95">
            <v>0.18181528021117813</v>
          </cell>
          <cell r="P95">
            <v>0.25346254662129836</v>
          </cell>
          <cell r="Q95">
            <v>0.21457777154883126</v>
          </cell>
          <cell r="R95">
            <v>0.21891301030159141</v>
          </cell>
          <cell r="S95">
            <v>0.34506514866435284</v>
          </cell>
          <cell r="T95">
            <v>0.4237613147259075</v>
          </cell>
          <cell r="U95">
            <v>0.29486242203887825</v>
          </cell>
          <cell r="V95">
            <v>0.25132802067051191</v>
          </cell>
          <cell r="W95">
            <v>0.19929265632196788</v>
          </cell>
          <cell r="X95">
            <v>0.28278808334118855</v>
          </cell>
          <cell r="Y95">
            <v>0.28374874501219671</v>
          </cell>
          <cell r="Z95">
            <v>0.38990000000000008</v>
          </cell>
          <cell r="AA95">
            <v>0.61124000000000001</v>
          </cell>
          <cell r="AB95">
            <v>0.48311013099802608</v>
          </cell>
          <cell r="AC95">
            <v>0.44265568341819511</v>
          </cell>
          <cell r="AD95">
            <v>0.44279982054836869</v>
          </cell>
          <cell r="AE95">
            <v>0.46242683685728003</v>
          </cell>
        </row>
        <row r="96">
          <cell r="H96">
            <v>0.29974721869213228</v>
          </cell>
          <cell r="I96">
            <v>0.25283531201468296</v>
          </cell>
          <cell r="J96">
            <v>0.27056098359313285</v>
          </cell>
          <cell r="K96">
            <v>0.23327595027294512</v>
          </cell>
          <cell r="L96">
            <v>9.8958145812104853E-2</v>
          </cell>
          <cell r="M96">
            <v>0.26732146430465759</v>
          </cell>
          <cell r="N96">
            <v>0.38476931926324892</v>
          </cell>
          <cell r="O96">
            <v>0.33580979190346144</v>
          </cell>
          <cell r="P96">
            <v>0.46814109868740644</v>
          </cell>
          <cell r="Q96">
            <v>0.39632156729196283</v>
          </cell>
          <cell r="R96">
            <v>0.40432868100498676</v>
          </cell>
          <cell r="S96">
            <v>0.63732957775343879</v>
          </cell>
          <cell r="T96">
            <v>0.78268008469672801</v>
          </cell>
          <cell r="U96">
            <v>0.54460597849651282</v>
          </cell>
          <cell r="V96">
            <v>0.46419866483633754</v>
          </cell>
          <cell r="W96">
            <v>0.36809021425281468</v>
          </cell>
          <cell r="X96">
            <v>0.52230487618688526</v>
          </cell>
          <cell r="Y96">
            <v>0.52407920228013871</v>
          </cell>
          <cell r="Z96">
            <v>0.18102500000000002</v>
          </cell>
          <cell r="AA96">
            <v>0.28378999999999999</v>
          </cell>
          <cell r="AB96">
            <v>0.22430113224908352</v>
          </cell>
          <cell r="AC96">
            <v>0.20551871015844772</v>
          </cell>
          <cell r="AD96">
            <v>0.20558563096888544</v>
          </cell>
          <cell r="AE96">
            <v>0.21469817425516571</v>
          </cell>
        </row>
        <row r="97">
          <cell r="H97">
            <v>7.4936804673033069E-2</v>
          </cell>
          <cell r="I97">
            <v>6.3208828003670739E-2</v>
          </cell>
          <cell r="J97">
            <v>6.7640245898283213E-2</v>
          </cell>
          <cell r="K97">
            <v>5.831898756823628E-2</v>
          </cell>
          <cell r="L97">
            <v>2.4739536453026213E-2</v>
          </cell>
          <cell r="M97">
            <v>6.6830366076164396E-2</v>
          </cell>
          <cell r="N97">
            <v>9.619232981581223E-2</v>
          </cell>
          <cell r="O97">
            <v>8.395244797586536E-2</v>
          </cell>
          <cell r="P97">
            <v>0.11703527467185161</v>
          </cell>
          <cell r="Q97">
            <v>9.9080391822990707E-2</v>
          </cell>
          <cell r="R97">
            <v>0.10108217025124669</v>
          </cell>
          <cell r="S97">
            <v>0.1593323944383597</v>
          </cell>
          <cell r="T97">
            <v>0.195670021174182</v>
          </cell>
          <cell r="U97">
            <v>0.13615149462412821</v>
          </cell>
          <cell r="V97">
            <v>0.11604966620908438</v>
          </cell>
          <cell r="W97">
            <v>9.2022553563203671E-2</v>
          </cell>
          <cell r="X97">
            <v>0.13057621904672131</v>
          </cell>
          <cell r="Y97">
            <v>0.13101980057003468</v>
          </cell>
          <cell r="Z97">
            <v>0.6266250000000001</v>
          </cell>
          <cell r="AA97">
            <v>0.98234999999999995</v>
          </cell>
          <cell r="AB97">
            <v>0.77642699624682754</v>
          </cell>
          <cell r="AC97">
            <v>0.71141091977924209</v>
          </cell>
          <cell r="AD97">
            <v>0.71164256873844955</v>
          </cell>
          <cell r="AE97">
            <v>0.74318598780634293</v>
          </cell>
        </row>
        <row r="98">
          <cell r="H98">
            <v>0.14468181752387402</v>
          </cell>
          <cell r="I98">
            <v>0.12203840501376527</v>
          </cell>
          <cell r="J98">
            <v>0.13059422211856206</v>
          </cell>
          <cell r="K98">
            <v>0.11259750338088605</v>
          </cell>
          <cell r="L98">
            <v>4.7765061698848296E-2</v>
          </cell>
          <cell r="M98">
            <v>0.12903057278561647</v>
          </cell>
          <cell r="N98">
            <v>0.18572023680929586</v>
          </cell>
          <cell r="O98">
            <v>0.1620884799094951</v>
          </cell>
          <cell r="P98">
            <v>0.22596208001944354</v>
          </cell>
          <cell r="Q98">
            <v>0.19129626933621519</v>
          </cell>
          <cell r="R98">
            <v>0.19516113844217509</v>
          </cell>
          <cell r="S98">
            <v>0.30762587914384881</v>
          </cell>
          <cell r="T98">
            <v>0.37778357940318252</v>
          </cell>
          <cell r="U98">
            <v>0.26287010484048079</v>
          </cell>
          <cell r="V98">
            <v>0.2240591482840664</v>
          </cell>
          <cell r="W98">
            <v>0.17766957586201376</v>
          </cell>
          <cell r="X98">
            <v>0.25210582142520493</v>
          </cell>
          <cell r="Y98">
            <v>0.25296225213763002</v>
          </cell>
          <cell r="Z98">
            <v>0.19495000000000004</v>
          </cell>
          <cell r="AA98">
            <v>0.30562</v>
          </cell>
          <cell r="AB98">
            <v>0.24155506549901304</v>
          </cell>
          <cell r="AC98">
            <v>0.22132784170909756</v>
          </cell>
          <cell r="AD98">
            <v>0.22139991027418435</v>
          </cell>
          <cell r="AE98">
            <v>0.23121341842864002</v>
          </cell>
        </row>
        <row r="99">
          <cell r="H99">
            <v>0.18433800000000003</v>
          </cell>
          <cell r="I99">
            <v>0.206844</v>
          </cell>
          <cell r="J99">
            <v>0.137214</v>
          </cell>
          <cell r="K99">
            <v>0.61676999999999993</v>
          </cell>
          <cell r="L99">
            <v>0.68554199999999998</v>
          </cell>
          <cell r="M99">
            <v>0.40642800000000001</v>
          </cell>
          <cell r="N99">
            <v>0.53598599999999996</v>
          </cell>
          <cell r="O99">
            <v>1.033296</v>
          </cell>
          <cell r="P99">
            <v>0.77985599999999999</v>
          </cell>
          <cell r="Q99">
            <v>0.64818600000000004</v>
          </cell>
          <cell r="R99">
            <v>0.78117599999999998</v>
          </cell>
          <cell r="S99">
            <v>0.39857400000000004</v>
          </cell>
          <cell r="T99">
            <v>0.61709999999999998</v>
          </cell>
          <cell r="U99">
            <v>0.37732200000000005</v>
          </cell>
          <cell r="V99">
            <v>0.84011400000000014</v>
          </cell>
          <cell r="W99">
            <v>0.93320000000000003</v>
          </cell>
          <cell r="X99">
            <v>1.1757</v>
          </cell>
          <cell r="Y99">
            <v>0.60420000000000007</v>
          </cell>
          <cell r="Z99">
            <v>0.75339999999999996</v>
          </cell>
          <cell r="AA99">
            <v>1.5335999999999999</v>
          </cell>
          <cell r="AB99">
            <v>1.2076663465344608</v>
          </cell>
          <cell r="AC99">
            <v>0.88413198109065294</v>
          </cell>
          <cell r="AD99">
            <v>0.97240838928959727</v>
          </cell>
          <cell r="AE99">
            <v>1.0165069098294888</v>
          </cell>
        </row>
        <row r="100">
          <cell r="H100">
            <v>9.4962000000000019E-2</v>
          </cell>
          <cell r="I100">
            <v>0.106556</v>
          </cell>
          <cell r="J100">
            <v>7.0686000000000013E-2</v>
          </cell>
          <cell r="K100">
            <v>0.31773000000000001</v>
          </cell>
          <cell r="L100">
            <v>0.35315800000000003</v>
          </cell>
          <cell r="M100">
            <v>0.20937199999999997</v>
          </cell>
          <cell r="N100">
            <v>0.27611400000000003</v>
          </cell>
          <cell r="O100">
            <v>0.532304</v>
          </cell>
          <cell r="P100">
            <v>0.40174399999999999</v>
          </cell>
          <cell r="Q100">
            <v>0.33391400000000004</v>
          </cell>
          <cell r="R100">
            <v>0.402424</v>
          </cell>
          <cell r="S100">
            <v>0.20532599999999998</v>
          </cell>
          <cell r="T100">
            <v>0.31790000000000002</v>
          </cell>
          <cell r="U100">
            <v>0.19437800000000005</v>
          </cell>
          <cell r="V100">
            <v>0.43278600000000006</v>
          </cell>
          <cell r="W100">
            <v>0.53679999999999994</v>
          </cell>
          <cell r="X100">
            <v>0.58729999999999993</v>
          </cell>
          <cell r="Y100">
            <v>0.3029</v>
          </cell>
          <cell r="Z100">
            <v>0.19550000000000001</v>
          </cell>
          <cell r="AA100">
            <v>0.11359999999999999</v>
          </cell>
          <cell r="AB100">
            <v>0.23634605624237559</v>
          </cell>
          <cell r="AC100">
            <v>0.27313452288332429</v>
          </cell>
          <cell r="AD100">
            <v>0.28219361090513184</v>
          </cell>
          <cell r="AE100">
            <v>0.26393138211722167</v>
          </cell>
        </row>
        <row r="101">
          <cell r="H101">
            <v>0.51962010000000003</v>
          </cell>
          <cell r="I101">
            <v>0.2356029</v>
          </cell>
          <cell r="J101">
            <v>0.29530000000000001</v>
          </cell>
          <cell r="K101">
            <v>0.39574090000000001</v>
          </cell>
          <cell r="L101">
            <v>0.68245239999999996</v>
          </cell>
          <cell r="M101">
            <v>0.37956290000000004</v>
          </cell>
          <cell r="N101">
            <v>0.31980000000000003</v>
          </cell>
          <cell r="O101">
            <v>0.7399</v>
          </cell>
          <cell r="P101">
            <v>0.63590000000000002</v>
          </cell>
          <cell r="Q101">
            <v>0.7046</v>
          </cell>
          <cell r="R101">
            <v>0.49339999999999995</v>
          </cell>
          <cell r="S101">
            <v>1.1999000000000002</v>
          </cell>
          <cell r="T101">
            <v>1.5182</v>
          </cell>
          <cell r="U101">
            <v>1.0499000000000001</v>
          </cell>
          <cell r="V101">
            <v>1.0911</v>
          </cell>
          <cell r="W101">
            <v>0.79139999999999999</v>
          </cell>
          <cell r="X101">
            <v>0.41299999999999998</v>
          </cell>
          <cell r="Y101">
            <v>0.74629999999999996</v>
          </cell>
          <cell r="Z101">
            <v>0.95779999999999998</v>
          </cell>
          <cell r="AA101">
            <v>1.0682</v>
          </cell>
          <cell r="AB101">
            <v>0.76954163000000042</v>
          </cell>
          <cell r="AC101">
            <v>0.65636095000000005</v>
          </cell>
          <cell r="AD101">
            <v>0.53005643999999963</v>
          </cell>
          <cell r="AE101">
            <v>0.52549197000000003</v>
          </cell>
        </row>
        <row r="102">
          <cell r="H102">
            <v>0.21296593880742018</v>
          </cell>
          <cell r="I102">
            <v>0.17963572713639753</v>
          </cell>
          <cell r="J102">
            <v>0.19222955304466666</v>
          </cell>
          <cell r="K102">
            <v>0.16573909165141087</v>
          </cell>
          <cell r="L102">
            <v>7.0308290156854247E-2</v>
          </cell>
          <cell r="M102">
            <v>0.18992792279246576</v>
          </cell>
          <cell r="N102">
            <v>0.27337287618122147</v>
          </cell>
          <cell r="O102">
            <v>0.23858786048286421</v>
          </cell>
          <cell r="P102">
            <v>0.33260728493597691</v>
          </cell>
          <cell r="Q102">
            <v>0.28158057651454166</v>
          </cell>
          <cell r="R102">
            <v>0.28726951166620807</v>
          </cell>
          <cell r="S102">
            <v>0.45281318188111136</v>
          </cell>
          <cell r="T102">
            <v>0.55608255432891829</v>
          </cell>
          <cell r="U102">
            <v>0.38693444428509655</v>
          </cell>
          <cell r="V102">
            <v>0.32980624434603434</v>
          </cell>
          <cell r="W102">
            <v>7.7976356796648869E-2</v>
          </cell>
          <cell r="X102">
            <v>0.10613982502339432</v>
          </cell>
          <cell r="Y102">
            <v>0.10925090581588365</v>
          </cell>
          <cell r="Z102">
            <v>0.1041</v>
          </cell>
          <cell r="AA102">
            <v>0.14449999999999999</v>
          </cell>
          <cell r="AB102">
            <v>0.12252214500704957</v>
          </cell>
          <cell r="AC102">
            <v>0.11151282493501802</v>
          </cell>
          <cell r="AD102">
            <v>0.10818632947011167</v>
          </cell>
          <cell r="AE102">
            <v>0.10758392265257145</v>
          </cell>
        </row>
        <row r="103">
          <cell r="H103">
            <v>8.6178061192579855E-2</v>
          </cell>
          <cell r="I103">
            <v>7.2690772863602482E-2</v>
          </cell>
          <cell r="J103">
            <v>7.7786946955333336E-2</v>
          </cell>
          <cell r="K103">
            <v>6.7067408348589097E-2</v>
          </cell>
          <cell r="L103">
            <v>2.8450709843145752E-2</v>
          </cell>
          <cell r="M103">
            <v>7.6855577207534248E-2</v>
          </cell>
          <cell r="N103">
            <v>0.11062212381877858</v>
          </cell>
          <cell r="O103">
            <v>9.6546139517135726E-2</v>
          </cell>
          <cell r="P103">
            <v>0.13459171506402304</v>
          </cell>
          <cell r="Q103">
            <v>0.11394342348545834</v>
          </cell>
          <cell r="R103">
            <v>0.11624548833379195</v>
          </cell>
          <cell r="S103">
            <v>0.18323381811888867</v>
          </cell>
          <cell r="T103">
            <v>0.22502244567108176</v>
          </cell>
          <cell r="U103">
            <v>0.15657555571490342</v>
          </cell>
          <cell r="V103">
            <v>0.13345825565396569</v>
          </cell>
          <cell r="W103">
            <v>3.1553643203351134E-2</v>
          </cell>
          <cell r="X103">
            <v>4.2950174976605679E-2</v>
          </cell>
          <cell r="Y103">
            <v>4.4209094184116358E-2</v>
          </cell>
          <cell r="Z103">
            <v>0.1041</v>
          </cell>
          <cell r="AA103">
            <v>0.14449999999999999</v>
          </cell>
          <cell r="AB103">
            <v>0.12252214500704957</v>
          </cell>
          <cell r="AC103">
            <v>0.11151282493501802</v>
          </cell>
          <cell r="AD103">
            <v>0.10818632947011167</v>
          </cell>
          <cell r="AE103">
            <v>0.10758392265257145</v>
          </cell>
        </row>
        <row r="104">
          <cell r="H104">
            <v>8.6474074074074148E-2</v>
          </cell>
          <cell r="I104">
            <v>8.6474074074074037E-2</v>
          </cell>
          <cell r="J104">
            <v>8.6474074074074148E-2</v>
          </cell>
          <cell r="K104">
            <v>8.6474074074074148E-2</v>
          </cell>
          <cell r="L104">
            <v>8.6474074074073926E-2</v>
          </cell>
          <cell r="M104">
            <v>8.6474074074074148E-2</v>
          </cell>
          <cell r="N104">
            <v>8.6474074074074148E-2</v>
          </cell>
          <cell r="O104">
            <v>8.6474074074073926E-2</v>
          </cell>
          <cell r="P104">
            <v>8.6474074074074148E-2</v>
          </cell>
          <cell r="Q104">
            <v>8.6474074074074148E-2</v>
          </cell>
          <cell r="R104">
            <v>8.6474074074073926E-2</v>
          </cell>
          <cell r="S104">
            <v>8.6474074074074148E-2</v>
          </cell>
          <cell r="T104">
            <v>8.6474074074074148E-2</v>
          </cell>
          <cell r="U104">
            <v>8.6474074074073926E-2</v>
          </cell>
          <cell r="V104">
            <v>8.6474074074073926E-2</v>
          </cell>
          <cell r="W104">
            <v>8.647407407407437E-2</v>
          </cell>
          <cell r="X104">
            <v>8.6474074074073926E-2</v>
          </cell>
          <cell r="Y104">
            <v>8.647407407407437E-2</v>
          </cell>
          <cell r="Z104">
            <v>8.6474074074073926E-2</v>
          </cell>
          <cell r="AA104">
            <v>8.6474074074073926E-2</v>
          </cell>
          <cell r="AB104">
            <v>8.6474074074073926E-2</v>
          </cell>
          <cell r="AC104">
            <v>8.647407407407437E-2</v>
          </cell>
          <cell r="AD104">
            <v>8.6474074074073926E-2</v>
          </cell>
          <cell r="AE104">
            <v>8.647407407407437E-2</v>
          </cell>
        </row>
        <row r="105">
          <cell r="H105">
            <v>0.29699999999999999</v>
          </cell>
          <cell r="I105">
            <v>0.18059999999999998</v>
          </cell>
          <cell r="J105">
            <v>9.4500000000000001E-2</v>
          </cell>
          <cell r="K105">
            <v>0.46850000000000003</v>
          </cell>
          <cell r="L105">
            <v>0.1009</v>
          </cell>
          <cell r="M105">
            <v>0.13689999999999999</v>
          </cell>
          <cell r="N105">
            <v>0.37169999999999997</v>
          </cell>
          <cell r="O105">
            <v>0.29910000000000003</v>
          </cell>
          <cell r="P105">
            <v>0.4612</v>
          </cell>
          <cell r="Q105">
            <v>0.78410000000000002</v>
          </cell>
          <cell r="R105">
            <v>0.1585</v>
          </cell>
          <cell r="S105">
            <v>0.14169999999999999</v>
          </cell>
          <cell r="T105">
            <v>0.24959999999999999</v>
          </cell>
          <cell r="U105">
            <v>0.2296</v>
          </cell>
          <cell r="V105">
            <v>0.22839999999999999</v>
          </cell>
          <cell r="W105">
            <v>0.24010000000000001</v>
          </cell>
          <cell r="X105">
            <v>0.247</v>
          </cell>
          <cell r="Y105">
            <v>0.36219999999999997</v>
          </cell>
          <cell r="Z105">
            <v>0.39089999999999997</v>
          </cell>
          <cell r="AA105">
            <v>0.62470000000000003</v>
          </cell>
          <cell r="AB105">
            <v>0.54312269999999974</v>
          </cell>
          <cell r="AC105">
            <v>0.43204304999999998</v>
          </cell>
          <cell r="AD105">
            <v>0.39338529000000044</v>
          </cell>
          <cell r="AE105">
            <v>0.43886131999999956</v>
          </cell>
        </row>
        <row r="106">
          <cell r="H106">
            <v>9.4114999999999976E-2</v>
          </cell>
          <cell r="I106">
            <v>3.5979999999999998E-2</v>
          </cell>
          <cell r="J106">
            <v>4.9454999999999999E-2</v>
          </cell>
          <cell r="K106">
            <v>1.6729999999999998E-2</v>
          </cell>
          <cell r="L106">
            <v>8.9494999999999991E-2</v>
          </cell>
          <cell r="M106">
            <v>0.18592000000000003</v>
          </cell>
          <cell r="N106">
            <v>0.22197</v>
          </cell>
          <cell r="O106">
            <v>6.1249999999999999E-2</v>
          </cell>
          <cell r="P106">
            <v>0.23075499999999996</v>
          </cell>
          <cell r="Q106">
            <v>0.19785499999999995</v>
          </cell>
          <cell r="R106">
            <v>0.15771000000000002</v>
          </cell>
          <cell r="S106">
            <v>0.15168999999999996</v>
          </cell>
          <cell r="T106">
            <v>0.16621499999999997</v>
          </cell>
          <cell r="U106">
            <v>0.24384500000000001</v>
          </cell>
          <cell r="V106">
            <v>0.190085</v>
          </cell>
          <cell r="W106">
            <v>0.16197999999999999</v>
          </cell>
          <cell r="X106">
            <v>0.14038499999999998</v>
          </cell>
          <cell r="Y106">
            <v>0.31633</v>
          </cell>
          <cell r="Z106">
            <v>0.6502</v>
          </cell>
          <cell r="AA106">
            <v>0.64700000000000002</v>
          </cell>
          <cell r="AB106">
            <v>0.45748749999999927</v>
          </cell>
          <cell r="AC106">
            <v>0.5602725700000003</v>
          </cell>
          <cell r="AD106">
            <v>0.47068721000000047</v>
          </cell>
          <cell r="AE106">
            <v>0.54478340999999997</v>
          </cell>
        </row>
        <row r="107">
          <cell r="H107">
            <v>0.174785</v>
          </cell>
          <cell r="I107">
            <v>6.6820000000000004E-2</v>
          </cell>
          <cell r="J107">
            <v>9.184500000000001E-2</v>
          </cell>
          <cell r="K107">
            <v>3.107E-2</v>
          </cell>
          <cell r="L107">
            <v>0.16620499999999999</v>
          </cell>
          <cell r="M107">
            <v>0.34528000000000003</v>
          </cell>
          <cell r="N107">
            <v>0.41223000000000004</v>
          </cell>
          <cell r="O107">
            <v>0.11375</v>
          </cell>
          <cell r="P107">
            <v>0.42854499999999995</v>
          </cell>
          <cell r="Q107">
            <v>0.36744499999999997</v>
          </cell>
          <cell r="R107">
            <v>0.29289000000000004</v>
          </cell>
          <cell r="S107">
            <v>0.28170999999999996</v>
          </cell>
          <cell r="T107">
            <v>0.30868499999999999</v>
          </cell>
          <cell r="U107">
            <v>0.45285500000000001</v>
          </cell>
          <cell r="V107">
            <v>0.35301500000000002</v>
          </cell>
          <cell r="W107">
            <v>0.35450480000000001</v>
          </cell>
          <cell r="X107">
            <v>0.30724260000000003</v>
          </cell>
          <cell r="Y107">
            <v>0.6923108</v>
          </cell>
          <cell r="Z107">
            <v>0.6502</v>
          </cell>
          <cell r="AA107">
            <v>0.64700000000000002</v>
          </cell>
          <cell r="AB107">
            <v>0.45748749999999927</v>
          </cell>
          <cell r="AC107">
            <v>0.5602725700000003</v>
          </cell>
          <cell r="AD107">
            <v>0.47068721000000047</v>
          </cell>
          <cell r="AE107">
            <v>0.54478340999999997</v>
          </cell>
        </row>
        <row r="108">
          <cell r="H108">
            <v>0.16187400000000002</v>
          </cell>
          <cell r="I108">
            <v>0.40232200000000001</v>
          </cell>
          <cell r="J108">
            <v>0.21423400000000004</v>
          </cell>
          <cell r="K108">
            <v>0.16636200000000001</v>
          </cell>
          <cell r="L108">
            <v>0.14161000000000001</v>
          </cell>
          <cell r="M108">
            <v>0.21616506400000002</v>
          </cell>
          <cell r="N108">
            <v>0.43234400000000001</v>
          </cell>
          <cell r="O108">
            <v>0.29482056200000006</v>
          </cell>
          <cell r="P108">
            <v>0.20296021200000003</v>
          </cell>
          <cell r="Q108">
            <v>0.39565800000000001</v>
          </cell>
          <cell r="R108">
            <v>0.36665600000000004</v>
          </cell>
          <cell r="S108">
            <v>0.54201909199999998</v>
          </cell>
          <cell r="T108">
            <v>0.55654331400000001</v>
          </cell>
          <cell r="U108">
            <v>0.70082122600000007</v>
          </cell>
          <cell r="V108">
            <v>0.47504799999999997</v>
          </cell>
          <cell r="W108">
            <v>0.35580000000000001</v>
          </cell>
          <cell r="X108">
            <v>0.66449999999999998</v>
          </cell>
          <cell r="Y108">
            <v>1.038</v>
          </cell>
          <cell r="Z108">
            <v>0.46650000000000003</v>
          </cell>
          <cell r="AA108">
            <v>0.95889999999999997</v>
          </cell>
          <cell r="AB108">
            <v>0.46645769387703823</v>
          </cell>
          <cell r="AC108">
            <v>0.49047162329837557</v>
          </cell>
          <cell r="AD108">
            <v>0.51237945405876495</v>
          </cell>
          <cell r="AE108">
            <v>0.52849590625857834</v>
          </cell>
        </row>
        <row r="109">
          <cell r="H109">
            <v>0.31422600000000006</v>
          </cell>
          <cell r="I109">
            <v>1.1833</v>
          </cell>
          <cell r="J109">
            <v>0.63009999999999999</v>
          </cell>
          <cell r="K109">
            <v>0.48930000000000001</v>
          </cell>
          <cell r="L109">
            <v>0.41649999999999998</v>
          </cell>
          <cell r="M109">
            <v>0.63577960000000011</v>
          </cell>
          <cell r="N109">
            <v>1.2715999999999998</v>
          </cell>
          <cell r="O109">
            <v>0.86711930000000004</v>
          </cell>
          <cell r="P109">
            <v>0.59694180000000008</v>
          </cell>
          <cell r="Q109">
            <v>1.1637</v>
          </cell>
          <cell r="R109">
            <v>1.0784</v>
          </cell>
          <cell r="S109">
            <v>1.5941737999999999</v>
          </cell>
          <cell r="T109">
            <v>1.6368920999999999</v>
          </cell>
          <cell r="U109">
            <v>2.0612388999999998</v>
          </cell>
          <cell r="V109">
            <v>1.3971999999999998</v>
          </cell>
          <cell r="W109">
            <v>1.0427</v>
          </cell>
          <cell r="X109">
            <v>0.80215000000000003</v>
          </cell>
          <cell r="Y109">
            <v>0.2843</v>
          </cell>
          <cell r="Z109">
            <v>0.34749999999999998</v>
          </cell>
          <cell r="AA109">
            <v>0.2964</v>
          </cell>
          <cell r="AB109">
            <v>0.53927991626881955</v>
          </cell>
          <cell r="AC109">
            <v>0.4102555079683779</v>
          </cell>
          <cell r="AD109">
            <v>0.42249327104785911</v>
          </cell>
          <cell r="AE109">
            <v>0.42234898958167211</v>
          </cell>
        </row>
        <row r="131">
          <cell r="H131">
            <v>2.7637531750820971E-2</v>
          </cell>
          <cell r="I131">
            <v>6.7805425246072637E-2</v>
          </cell>
          <cell r="J131">
            <v>4.9110933933817151E-2</v>
          </cell>
          <cell r="K131">
            <v>3.8348970016221416E-2</v>
          </cell>
          <cell r="L131">
            <v>6.6037027419237657E-2</v>
          </cell>
          <cell r="M131">
            <v>2.9153301316679522E-2</v>
          </cell>
          <cell r="N131">
            <v>7.9577902207574089E-2</v>
          </cell>
          <cell r="O131">
            <v>0.19129011921134953</v>
          </cell>
          <cell r="P131">
            <v>0.14137077484240779</v>
          </cell>
          <cell r="Q131">
            <v>0.21059091834994842</v>
          </cell>
          <cell r="R131">
            <v>0.10413336917448265</v>
          </cell>
          <cell r="S131">
            <v>0.21539085530850052</v>
          </cell>
          <cell r="T131">
            <v>0.19139117051574009</v>
          </cell>
          <cell r="U131">
            <v>0.25454823575984653</v>
          </cell>
          <cell r="V131">
            <v>0.21195511095922112</v>
          </cell>
          <cell r="W131">
            <v>0.19125980382003235</v>
          </cell>
          <cell r="X131">
            <v>0.26220792463265175</v>
          </cell>
          <cell r="Y131">
            <v>0.21725019930928702</v>
          </cell>
          <cell r="Z131">
            <v>2.7993000000000001E-2</v>
          </cell>
          <cell r="AA131">
            <v>4.1474999999999998E-2</v>
          </cell>
          <cell r="AB131">
            <v>4.0846333382852616E-2</v>
          </cell>
          <cell r="AC131">
            <v>5.0886648139373152E-2</v>
          </cell>
          <cell r="AD131">
            <v>5.2535476840249826E-2</v>
          </cell>
          <cell r="AE131">
            <v>5.8530607733513491E-2</v>
          </cell>
        </row>
        <row r="132">
          <cell r="H132">
            <v>1.245184060327729E-2</v>
          </cell>
          <cell r="I132">
            <v>3.0549122650087968E-2</v>
          </cell>
          <cell r="J132">
            <v>2.2126488238364762E-2</v>
          </cell>
          <cell r="K132">
            <v>1.7277782482426805E-2</v>
          </cell>
          <cell r="L132">
            <v>2.9752386962492529E-2</v>
          </cell>
          <cell r="M132">
            <v>1.3134756906930521E-2</v>
          </cell>
          <cell r="N132">
            <v>3.585310594179475E-2</v>
          </cell>
          <cell r="O132">
            <v>8.6184037521038065E-2</v>
          </cell>
          <cell r="P132">
            <v>6.3693327254058227E-2</v>
          </cell>
          <cell r="Q132">
            <v>9.4879838454222556E-2</v>
          </cell>
          <cell r="R132">
            <v>4.6916350060977136E-2</v>
          </cell>
          <cell r="S132">
            <v>9.7042406749124469E-2</v>
          </cell>
          <cell r="T132">
            <v>8.6229565274614936E-2</v>
          </cell>
          <cell r="U132">
            <v>0.11468441126016633</v>
          </cell>
          <cell r="V132">
            <v>9.5494463127510462E-2</v>
          </cell>
          <cell r="W132">
            <v>8.6170379194964994E-2</v>
          </cell>
          <cell r="X132">
            <v>0.11813541498129401</v>
          </cell>
          <cell r="Y132">
            <v>9.78801174149391E-2</v>
          </cell>
          <cell r="Z132">
            <v>8.2645999999999997E-2</v>
          </cell>
          <cell r="AA132">
            <v>0.12245</v>
          </cell>
          <cell r="AB132">
            <v>0.12059393665413629</v>
          </cell>
          <cell r="AC132">
            <v>0.15023677069719693</v>
          </cell>
          <cell r="AD132">
            <v>0.15510474114740425</v>
          </cell>
          <cell r="AE132">
            <v>0.17280465140370652</v>
          </cell>
        </row>
        <row r="133">
          <cell r="H133">
            <v>1.461062764590175E-2</v>
          </cell>
          <cell r="I133">
            <v>3.5845452103839388E-2</v>
          </cell>
          <cell r="J133">
            <v>2.5962577827818099E-2</v>
          </cell>
          <cell r="K133">
            <v>2.0273247501351788E-2</v>
          </cell>
          <cell r="L133">
            <v>3.4910585618269804E-2</v>
          </cell>
          <cell r="M133">
            <v>1.5411941776389961E-2</v>
          </cell>
          <cell r="N133">
            <v>4.2068991850631177E-2</v>
          </cell>
          <cell r="O133">
            <v>0.10112584326761248</v>
          </cell>
          <cell r="P133">
            <v>7.4735897903533979E-2</v>
          </cell>
          <cell r="Q133">
            <v>0.11132924319582904</v>
          </cell>
          <cell r="R133">
            <v>5.5050280764540223E-2</v>
          </cell>
          <cell r="S133">
            <v>0.11386673794237505</v>
          </cell>
          <cell r="T133">
            <v>0.10117926420964501</v>
          </cell>
          <cell r="U133">
            <v>0.13456735297998723</v>
          </cell>
          <cell r="V133">
            <v>0.11205042591326843</v>
          </cell>
          <cell r="W133">
            <v>0.10110981698500271</v>
          </cell>
          <cell r="X133">
            <v>0.13861666038605433</v>
          </cell>
          <cell r="Y133">
            <v>0.11484968327577393</v>
          </cell>
          <cell r="Z133">
            <v>2.2661000000000001E-2</v>
          </cell>
          <cell r="AA133">
            <v>3.3575000000000001E-2</v>
          </cell>
          <cell r="AB133">
            <v>3.3066079405166406E-2</v>
          </cell>
          <cell r="AC133">
            <v>4.1193953255683029E-2</v>
          </cell>
          <cell r="AD133">
            <v>4.2528719346868915E-2</v>
          </cell>
          <cell r="AE133">
            <v>4.7381920546177597E-2</v>
          </cell>
        </row>
        <row r="134">
          <cell r="H134">
            <v>4.7323598598832305E-2</v>
          </cell>
          <cell r="I134">
            <v>6.3539377139690933E-2</v>
          </cell>
          <cell r="J134">
            <v>7.4493301011168897E-2</v>
          </cell>
          <cell r="K134">
            <v>5.6242276796304551E-2</v>
          </cell>
          <cell r="L134">
            <v>4.7356692024425905E-2</v>
          </cell>
          <cell r="M134">
            <v>0.13958806915375851</v>
          </cell>
          <cell r="N134">
            <v>9.9958692005435654E-2</v>
          </cell>
          <cell r="O134">
            <v>0.13430966777158107</v>
          </cell>
          <cell r="P134">
            <v>6.0114207590754469E-2</v>
          </cell>
          <cell r="Q134">
            <v>5.8310615895903861E-2</v>
          </cell>
          <cell r="R134">
            <v>7.3368124540986873E-2</v>
          </cell>
          <cell r="S134">
            <v>0.10579968162270412</v>
          </cell>
          <cell r="T134">
            <v>0.13090104493544141</v>
          </cell>
          <cell r="U134">
            <v>0.18562102415444087</v>
          </cell>
          <cell r="V134">
            <v>6.9612020736114513E-2</v>
          </cell>
          <cell r="W134">
            <v>8.6866670950193486E-2</v>
          </cell>
          <cell r="X134">
            <v>0.15042390425477303</v>
          </cell>
          <cell r="Y134">
            <v>6.9917599237908579E-2</v>
          </cell>
          <cell r="Z134">
            <v>6.0696E-2</v>
          </cell>
          <cell r="AA134">
            <v>0.20314799999999997</v>
          </cell>
          <cell r="AB134">
            <v>0.13470040401937183</v>
          </cell>
          <cell r="AC134">
            <v>0.11643600922484103</v>
          </cell>
          <cell r="AD134">
            <v>0.11439186666203939</v>
          </cell>
          <cell r="AE134">
            <v>0.11940706859733403</v>
          </cell>
        </row>
        <row r="135">
          <cell r="H135">
            <v>8.7405897783390932E-2</v>
          </cell>
          <cell r="I135">
            <v>0.11735617045042701</v>
          </cell>
          <cell r="J135">
            <v>0.13758788525203705</v>
          </cell>
          <cell r="K135">
            <v>0.10387854775026077</v>
          </cell>
          <cell r="L135">
            <v>8.746702078883388E-2</v>
          </cell>
          <cell r="M135">
            <v>0.25781683695828184</v>
          </cell>
          <cell r="N135">
            <v>0.18462203794037227</v>
          </cell>
          <cell r="O135">
            <v>0.24806771759013438</v>
          </cell>
          <cell r="P135">
            <v>0.11102993938708366</v>
          </cell>
          <cell r="Q135">
            <v>0.10769873559044393</v>
          </cell>
          <cell r="R135">
            <v>0.1355097030669774</v>
          </cell>
          <cell r="S135">
            <v>0.19541024840104954</v>
          </cell>
          <cell r="T135">
            <v>0.24177204802951249</v>
          </cell>
          <cell r="U135">
            <v>0.34283893752939848</v>
          </cell>
          <cell r="V135">
            <v>0.12857224194920477</v>
          </cell>
          <cell r="W135">
            <v>0.16044129327991158</v>
          </cell>
          <cell r="X135">
            <v>0.27783044376924665</v>
          </cell>
          <cell r="Y135">
            <v>0.12913664034838468</v>
          </cell>
          <cell r="Z135">
            <v>3.0348E-2</v>
          </cell>
          <cell r="AA135">
            <v>0.10157399999999998</v>
          </cell>
          <cell r="AB135">
            <v>6.7350202009685917E-2</v>
          </cell>
          <cell r="AC135">
            <v>5.8218004612420514E-2</v>
          </cell>
          <cell r="AD135">
            <v>5.7195933331019695E-2</v>
          </cell>
          <cell r="AE135">
            <v>5.9703534298667017E-2</v>
          </cell>
        </row>
        <row r="136">
          <cell r="H136">
            <v>2.1851474445847733E-2</v>
          </cell>
          <cell r="I136">
            <v>2.9339042612606753E-2</v>
          </cell>
          <cell r="J136">
            <v>3.4396971313009263E-2</v>
          </cell>
          <cell r="K136">
            <v>2.5969636937565193E-2</v>
          </cell>
          <cell r="L136">
            <v>2.186675519720847E-2</v>
          </cell>
          <cell r="M136">
            <v>6.4454209239570459E-2</v>
          </cell>
          <cell r="N136">
            <v>4.6155509485093067E-2</v>
          </cell>
          <cell r="O136">
            <v>6.2016929397533595E-2</v>
          </cell>
          <cell r="P136">
            <v>2.7757484846770916E-2</v>
          </cell>
          <cell r="Q136">
            <v>2.6924683897610983E-2</v>
          </cell>
          <cell r="R136">
            <v>3.3877425766744351E-2</v>
          </cell>
          <cell r="S136">
            <v>4.8852562100262384E-2</v>
          </cell>
          <cell r="T136">
            <v>6.0443012007378123E-2</v>
          </cell>
          <cell r="U136">
            <v>8.570973438234962E-2</v>
          </cell>
          <cell r="V136">
            <v>3.2143060487301194E-2</v>
          </cell>
          <cell r="W136">
            <v>4.0110323319977895E-2</v>
          </cell>
          <cell r="X136">
            <v>6.9457610942311662E-2</v>
          </cell>
          <cell r="Y136">
            <v>3.228416008709617E-2</v>
          </cell>
          <cell r="Z136">
            <v>0.18546000000000001</v>
          </cell>
          <cell r="AA136">
            <v>0.62073</v>
          </cell>
          <cell r="AB136">
            <v>0.41158456783696956</v>
          </cell>
          <cell r="AC136">
            <v>0.35577669485368096</v>
          </cell>
          <cell r="AD136">
            <v>0.34953070368956485</v>
          </cell>
          <cell r="AE136">
            <v>0.36485493182518736</v>
          </cell>
        </row>
        <row r="137">
          <cell r="H137">
            <v>4.2189029171929009E-2</v>
          </cell>
          <cell r="I137">
            <v>5.6645409797275316E-2</v>
          </cell>
          <cell r="J137">
            <v>6.6410842423784755E-2</v>
          </cell>
          <cell r="K137">
            <v>5.0140038515869477E-2</v>
          </cell>
          <cell r="L137">
            <v>4.2218531989531759E-2</v>
          </cell>
          <cell r="M137">
            <v>0.12444288464838921</v>
          </cell>
          <cell r="N137">
            <v>8.9113260569099004E-2</v>
          </cell>
          <cell r="O137">
            <v>0.11973718524075097</v>
          </cell>
          <cell r="P137">
            <v>5.3591868175390939E-2</v>
          </cell>
          <cell r="Q137">
            <v>5.1983964616041198E-2</v>
          </cell>
          <cell r="R137">
            <v>6.5407746625291335E-2</v>
          </cell>
          <cell r="S137">
            <v>9.432050787598395E-2</v>
          </cell>
          <cell r="T137">
            <v>0.11669839502766798</v>
          </cell>
          <cell r="U137">
            <v>0.16548130393381105</v>
          </cell>
          <cell r="V137">
            <v>6.2059176827379478E-2</v>
          </cell>
          <cell r="W137">
            <v>7.7441712449917086E-2</v>
          </cell>
          <cell r="X137">
            <v>0.13410304103366871</v>
          </cell>
          <cell r="Y137">
            <v>6.2331600326610628E-2</v>
          </cell>
          <cell r="Z137">
            <v>6.0696E-2</v>
          </cell>
          <cell r="AA137">
            <v>0.20314799999999997</v>
          </cell>
          <cell r="AB137">
            <v>0.13470040401937183</v>
          </cell>
          <cell r="AC137">
            <v>0.11643600922484103</v>
          </cell>
          <cell r="AD137">
            <v>0.11439186666203939</v>
          </cell>
          <cell r="AE137">
            <v>0.11940706859733403</v>
          </cell>
        </row>
        <row r="138">
          <cell r="H138">
            <v>8.3687999999999999E-2</v>
          </cell>
          <cell r="I138">
            <v>7.8474000000000002E-2</v>
          </cell>
          <cell r="J138">
            <v>0.23700600000000002</v>
          </cell>
          <cell r="K138">
            <v>0.23515800000000001</v>
          </cell>
          <cell r="L138">
            <v>0.27984000000000003</v>
          </cell>
          <cell r="M138">
            <v>0.176814</v>
          </cell>
          <cell r="N138">
            <v>8.4347999999999992E-2</v>
          </cell>
          <cell r="O138">
            <v>0.40854000000000001</v>
          </cell>
          <cell r="P138">
            <v>0.225324</v>
          </cell>
          <cell r="Q138">
            <v>5.4120000000000001E-2</v>
          </cell>
          <cell r="R138">
            <v>0.40906799999999999</v>
          </cell>
          <cell r="S138">
            <v>0.27079799999999998</v>
          </cell>
          <cell r="T138">
            <v>0.207372</v>
          </cell>
          <cell r="U138">
            <v>0.19912200000000002</v>
          </cell>
          <cell r="V138">
            <v>0.15206400000000003</v>
          </cell>
          <cell r="W138">
            <v>0.27260000000000001</v>
          </cell>
          <cell r="X138">
            <v>0.189</v>
          </cell>
          <cell r="Y138">
            <v>0.1072</v>
          </cell>
          <cell r="Z138">
            <v>0.44969999999999999</v>
          </cell>
          <cell r="AA138">
            <v>0.112</v>
          </cell>
          <cell r="AB138">
            <v>0.4401652614761517</v>
          </cell>
          <cell r="AC138">
            <v>0.21984801303614007</v>
          </cell>
          <cell r="AD138">
            <v>0.15364627260124672</v>
          </cell>
          <cell r="AE138">
            <v>0.15855763042086438</v>
          </cell>
        </row>
        <row r="139">
          <cell r="H139">
            <v>4.3112000000000004E-2</v>
          </cell>
          <cell r="I139">
            <v>4.0426000000000004E-2</v>
          </cell>
          <cell r="J139">
            <v>0.12209400000000002</v>
          </cell>
          <cell r="K139">
            <v>0.12114200000000001</v>
          </cell>
          <cell r="L139">
            <v>0.14416000000000001</v>
          </cell>
          <cell r="M139">
            <v>9.1086E-2</v>
          </cell>
          <cell r="N139">
            <v>4.3452000000000005E-2</v>
          </cell>
          <cell r="O139">
            <v>0.21046000000000001</v>
          </cell>
          <cell r="P139">
            <v>0.11607600000000001</v>
          </cell>
          <cell r="Q139">
            <v>2.7880000000000002E-2</v>
          </cell>
          <cell r="R139">
            <v>0.210732</v>
          </cell>
          <cell r="S139">
            <v>0.13950200000000001</v>
          </cell>
          <cell r="T139">
            <v>0.10682800000000001</v>
          </cell>
          <cell r="U139">
            <v>0.102578</v>
          </cell>
          <cell r="V139">
            <v>7.8336000000000017E-2</v>
          </cell>
          <cell r="W139">
            <v>0.14680000000000001</v>
          </cell>
          <cell r="X139">
            <v>0.24359999999999998</v>
          </cell>
          <cell r="Y139">
            <v>0.1031</v>
          </cell>
          <cell r="Z139">
            <v>0.1915</v>
          </cell>
          <cell r="AA139">
            <v>0.29419999999999996</v>
          </cell>
          <cell r="AB139">
            <v>0.35744725178671727</v>
          </cell>
          <cell r="AC139">
            <v>0.22417923952580085</v>
          </cell>
          <cell r="AD139">
            <v>0.17356368464901417</v>
          </cell>
          <cell r="AE139">
            <v>0.17526384939785247</v>
          </cell>
        </row>
        <row r="140">
          <cell r="H140">
            <v>0.1671</v>
          </cell>
          <cell r="I140">
            <v>7.1599999999999997E-2</v>
          </cell>
          <cell r="J140">
            <v>0.26939999999999997</v>
          </cell>
          <cell r="K140">
            <v>4.3299999999999998E-2</v>
          </cell>
          <cell r="L140">
            <v>4.5899999999999996E-2</v>
          </cell>
          <cell r="M140">
            <v>9.9299999999999999E-2</v>
          </cell>
          <cell r="N140">
            <v>0.22140000000000001</v>
          </cell>
          <cell r="O140">
            <v>0.3105</v>
          </cell>
          <cell r="P140">
            <v>0.33019999999999999</v>
          </cell>
          <cell r="Q140">
            <v>0.38160000000000005</v>
          </cell>
          <cell r="R140">
            <v>0.1825</v>
          </cell>
          <cell r="S140">
            <v>0.3387</v>
          </cell>
          <cell r="T140">
            <v>0.48710000000000003</v>
          </cell>
          <cell r="U140">
            <v>0.3115</v>
          </cell>
          <cell r="V140">
            <v>0.2233</v>
          </cell>
          <cell r="W140">
            <v>0.1108</v>
          </cell>
          <cell r="X140">
            <v>0.22839999999999999</v>
          </cell>
          <cell r="Y140">
            <v>0.25869999999999999</v>
          </cell>
          <cell r="Z140">
            <v>7.1999999999999995E-2</v>
          </cell>
          <cell r="AA140">
            <v>0.26689999999999997</v>
          </cell>
          <cell r="AB140">
            <v>0.13994319</v>
          </cell>
          <cell r="AC140">
            <v>0.13183231000000001</v>
          </cell>
          <cell r="AD140">
            <v>0.11379148000000006</v>
          </cell>
          <cell r="AE140">
            <v>0.11830017999999998</v>
          </cell>
        </row>
        <row r="141">
          <cell r="H141">
            <v>6.2100589823534016E-2</v>
          </cell>
          <cell r="I141">
            <v>8.3379812909919804E-2</v>
          </cell>
          <cell r="J141">
            <v>9.7754145239702855E-2</v>
          </cell>
          <cell r="K141">
            <v>7.3804162521046185E-2</v>
          </cell>
          <cell r="L141">
            <v>6.2144016809424593E-2</v>
          </cell>
          <cell r="M141">
            <v>0.18317502648648007</v>
          </cell>
          <cell r="N141">
            <v>0.13117121088250666</v>
          </cell>
          <cell r="O141">
            <v>0.17624842223693205</v>
          </cell>
          <cell r="P141">
            <v>7.8885119870244436E-2</v>
          </cell>
          <cell r="Q141">
            <v>7.6518349139207631E-2</v>
          </cell>
          <cell r="R141">
            <v>9.6277627719423012E-2</v>
          </cell>
          <cell r="S141">
            <v>0.13883607389219457</v>
          </cell>
          <cell r="T141">
            <v>0.17177544269020198</v>
          </cell>
          <cell r="U141">
            <v>0.24358196386028133</v>
          </cell>
          <cell r="V141">
            <v>9.1348664820841821E-2</v>
          </cell>
          <cell r="W141">
            <v>3.3659473654209432E-2</v>
          </cell>
          <cell r="X141">
            <v>5.7814844658594489E-2</v>
          </cell>
          <cell r="Y141">
            <v>2.6639964131567617E-2</v>
          </cell>
          <cell r="Z141">
            <v>4.7600000000000003E-2</v>
          </cell>
          <cell r="AA141">
            <v>2.12E-2</v>
          </cell>
          <cell r="AB141">
            <v>3.7391982114600208E-2</v>
          </cell>
          <cell r="AC141">
            <v>3.8556202084216395E-2</v>
          </cell>
          <cell r="AD141">
            <v>3.9254739655337212E-2</v>
          </cell>
          <cell r="AE141">
            <v>3.9612886681477867E-2</v>
          </cell>
        </row>
        <row r="142">
          <cell r="H142">
            <v>2.5129410176465982E-2</v>
          </cell>
          <cell r="I142">
            <v>3.3740187090080198E-2</v>
          </cell>
          <cell r="J142">
            <v>3.9556854760297154E-2</v>
          </cell>
          <cell r="K142">
            <v>2.9865337478953799E-2</v>
          </cell>
          <cell r="L142">
            <v>2.5146983190575397E-2</v>
          </cell>
          <cell r="M142">
            <v>7.4122973513519944E-2</v>
          </cell>
          <cell r="N142">
            <v>5.3079289117493357E-2</v>
          </cell>
          <cell r="O142">
            <v>7.1320077763067966E-2</v>
          </cell>
          <cell r="P142">
            <v>3.1921380129755567E-2</v>
          </cell>
          <cell r="Q142">
            <v>3.0963650860792346E-2</v>
          </cell>
          <cell r="R142">
            <v>3.8959372280576977E-2</v>
          </cell>
          <cell r="S142">
            <v>5.6180926107805416E-2</v>
          </cell>
          <cell r="T142">
            <v>6.9510057309798035E-2</v>
          </cell>
          <cell r="U142">
            <v>9.8567036139718664E-2</v>
          </cell>
          <cell r="V142">
            <v>3.6964835179158176E-2</v>
          </cell>
          <cell r="W142">
            <v>1.3620526345790574E-2</v>
          </cell>
          <cell r="X142">
            <v>2.3395155341405505E-2</v>
          </cell>
          <cell r="Y142">
            <v>1.0780035868432387E-2</v>
          </cell>
          <cell r="Z142">
            <v>4.7600000000000003E-2</v>
          </cell>
          <cell r="AA142">
            <v>2.12E-2</v>
          </cell>
          <cell r="AB142">
            <v>3.7391982114600208E-2</v>
          </cell>
          <cell r="AC142">
            <v>3.8556202084216395E-2</v>
          </cell>
          <cell r="AD142">
            <v>3.9254739655337212E-2</v>
          </cell>
          <cell r="AE142">
            <v>3.9612886681477867E-2</v>
          </cell>
        </row>
        <row r="143">
          <cell r="H143">
            <v>1.8200000000000001E-2</v>
          </cell>
          <cell r="I143">
            <v>2.7699999999999999E-2</v>
          </cell>
          <cell r="J143">
            <v>1.0199999999999999E-2</v>
          </cell>
          <cell r="K143">
            <v>7.4000000000000003E-3</v>
          </cell>
          <cell r="L143">
            <v>3.2199999999999999E-2</v>
          </cell>
          <cell r="M143">
            <v>1.3099999999999999E-2</v>
          </cell>
          <cell r="N143">
            <v>7.7200000000000005E-2</v>
          </cell>
          <cell r="O143">
            <v>4.1299999999999996E-2</v>
          </cell>
          <cell r="P143">
            <v>4.8000000000000001E-2</v>
          </cell>
          <cell r="Q143">
            <v>4.5499999999999999E-2</v>
          </cell>
          <cell r="R143">
            <v>5.1299999999999998E-2</v>
          </cell>
          <cell r="S143">
            <v>5.0299999999999997E-2</v>
          </cell>
          <cell r="T143">
            <v>2.52E-2</v>
          </cell>
          <cell r="U143">
            <v>3.0499999999999999E-2</v>
          </cell>
          <cell r="V143">
            <v>2.5999999999999999E-2</v>
          </cell>
          <cell r="W143">
            <v>6.9501599999999997E-2</v>
          </cell>
          <cell r="X143">
            <v>0.11937869999999999</v>
          </cell>
          <cell r="Y143">
            <v>5.5007399999999998E-2</v>
          </cell>
          <cell r="Z143">
            <v>0.3372</v>
          </cell>
          <cell r="AA143">
            <v>1.1285999999999998</v>
          </cell>
          <cell r="AB143">
            <v>0.74833557788539917</v>
          </cell>
          <cell r="AC143">
            <v>0.64686671791578354</v>
          </cell>
          <cell r="AD143">
            <v>0.63551037034466329</v>
          </cell>
          <cell r="AE143">
            <v>0.66337260331852244</v>
          </cell>
        </row>
        <row r="144">
          <cell r="H144">
            <v>1.6199999999999999E-2</v>
          </cell>
          <cell r="I144">
            <v>7.2800000000000004E-2</v>
          </cell>
          <cell r="J144">
            <v>0.23139999999999999</v>
          </cell>
          <cell r="K144">
            <v>6.2899999999999998E-2</v>
          </cell>
          <cell r="L144">
            <v>8.0299999999999996E-2</v>
          </cell>
          <cell r="M144">
            <v>0.1036</v>
          </cell>
          <cell r="N144">
            <v>0.13750000000000001</v>
          </cell>
          <cell r="O144">
            <v>0.12790000000000001</v>
          </cell>
          <cell r="P144">
            <v>0.24299999999999999</v>
          </cell>
          <cell r="Q144">
            <v>0.21619999999999998</v>
          </cell>
          <cell r="R144">
            <v>0.15919999999999998</v>
          </cell>
          <cell r="S144">
            <v>0.2424</v>
          </cell>
          <cell r="T144">
            <v>0.153</v>
          </cell>
          <cell r="U144">
            <v>0.15630000000000002</v>
          </cell>
          <cell r="V144">
            <v>0.32839999999999997</v>
          </cell>
          <cell r="W144">
            <v>0.2853</v>
          </cell>
          <cell r="X144">
            <v>8.43E-2</v>
          </cell>
          <cell r="Y144">
            <v>0.13190000000000002</v>
          </cell>
          <cell r="Z144">
            <v>0.14849999999999999</v>
          </cell>
          <cell r="AA144">
            <v>0.33030000000000004</v>
          </cell>
          <cell r="AB144">
            <v>0.26767490999999999</v>
          </cell>
          <cell r="AC144">
            <v>0.22668945999999998</v>
          </cell>
          <cell r="AD144">
            <v>0.21574797999999998</v>
          </cell>
          <cell r="AE144">
            <v>0.248752</v>
          </cell>
        </row>
        <row r="145">
          <cell r="H145">
            <v>5.5926000000000003E-2</v>
          </cell>
          <cell r="I145">
            <v>7.7945400000000012E-2</v>
          </cell>
          <cell r="J145">
            <v>3.9616200000000004E-2</v>
          </cell>
          <cell r="K145">
            <v>3.7861200000000005E-2</v>
          </cell>
          <cell r="L145">
            <v>4.8601800000000001E-2</v>
          </cell>
          <cell r="M145">
            <v>4.8461400000000002E-2</v>
          </cell>
          <cell r="N145">
            <v>0.1010412</v>
          </cell>
          <cell r="O145">
            <v>5.0918399999999996E-2</v>
          </cell>
          <cell r="P145">
            <v>5.8921200000000007E-2</v>
          </cell>
          <cell r="Q145">
            <v>8.45442E-2</v>
          </cell>
          <cell r="R145">
            <v>9.3974400000000013E-2</v>
          </cell>
          <cell r="S145">
            <v>5.9202000000000005E-2</v>
          </cell>
          <cell r="T145">
            <v>7.4201400000000001E-2</v>
          </cell>
          <cell r="U145">
            <v>0.1071486</v>
          </cell>
          <cell r="V145">
            <v>0.11398140000000001</v>
          </cell>
          <cell r="W145">
            <v>9.4021200000000013E-2</v>
          </cell>
          <cell r="X145">
            <v>5.4498600000000001E-2</v>
          </cell>
          <cell r="Y145">
            <v>5.9061600000000006E-2</v>
          </cell>
          <cell r="Z145">
            <v>0.3604</v>
          </cell>
          <cell r="AA145">
            <v>0.33529999999999999</v>
          </cell>
          <cell r="AB145">
            <v>0.18800158000000008</v>
          </cell>
          <cell r="AC145">
            <v>0.1901061300000001</v>
          </cell>
          <cell r="AD145">
            <v>0.24725164000000002</v>
          </cell>
          <cell r="AE145">
            <v>0.28489977000000005</v>
          </cell>
        </row>
        <row r="146">
          <cell r="H146">
            <v>0.18307400000000001</v>
          </cell>
          <cell r="I146">
            <v>0.25515460000000001</v>
          </cell>
          <cell r="J146">
            <v>0.12968380000000002</v>
          </cell>
          <cell r="K146">
            <v>0.12393880000000002</v>
          </cell>
          <cell r="L146">
            <v>0.1590982</v>
          </cell>
          <cell r="M146">
            <v>0.15863859999999999</v>
          </cell>
          <cell r="N146">
            <v>0.33075880000000002</v>
          </cell>
          <cell r="O146">
            <v>0.16668160000000001</v>
          </cell>
          <cell r="P146">
            <v>0.19287880000000002</v>
          </cell>
          <cell r="Q146">
            <v>0.2767558</v>
          </cell>
          <cell r="R146">
            <v>0.3076256</v>
          </cell>
          <cell r="S146">
            <v>0.193798</v>
          </cell>
          <cell r="T146">
            <v>0.24289860000000002</v>
          </cell>
          <cell r="U146">
            <v>0.35075139999999999</v>
          </cell>
          <cell r="V146">
            <v>0.37311860000000002</v>
          </cell>
          <cell r="W146">
            <v>0.30777879999999996</v>
          </cell>
          <cell r="X146">
            <v>0.17840139999999999</v>
          </cell>
          <cell r="Y146">
            <v>0.19333839999999999</v>
          </cell>
          <cell r="Z146">
            <v>0.3604</v>
          </cell>
          <cell r="AA146">
            <v>0.33529999999999999</v>
          </cell>
          <cell r="AB146">
            <v>0.18800158000000008</v>
          </cell>
          <cell r="AC146">
            <v>0.1901061300000001</v>
          </cell>
          <cell r="AD146">
            <v>0.24725164000000002</v>
          </cell>
          <cell r="AE146">
            <v>0.28489977000000005</v>
          </cell>
        </row>
        <row r="147">
          <cell r="H147">
            <v>0.13889000000000001</v>
          </cell>
          <cell r="I147">
            <v>8.6394000000000026E-2</v>
          </cell>
          <cell r="J147">
            <v>8.9862000000000011E-2</v>
          </cell>
          <cell r="K147">
            <v>0.10047000000000002</v>
          </cell>
          <cell r="L147">
            <v>9.1595999999999997E-2</v>
          </cell>
          <cell r="M147">
            <v>5.3102692600000008E-2</v>
          </cell>
          <cell r="N147">
            <v>7.5077616799999997E-2</v>
          </cell>
          <cell r="O147">
            <v>0.14943000000000001</v>
          </cell>
          <cell r="P147">
            <v>0.19896800000000001</v>
          </cell>
          <cell r="Q147">
            <v>0.17751400000000001</v>
          </cell>
          <cell r="R147">
            <v>0.29961847200000008</v>
          </cell>
          <cell r="S147">
            <v>0.32215000000000005</v>
          </cell>
          <cell r="T147">
            <v>0.23167600000000005</v>
          </cell>
          <cell r="U147">
            <v>0.13569400000000001</v>
          </cell>
          <cell r="V147">
            <v>0.19543199999999999</v>
          </cell>
          <cell r="W147">
            <v>7.3900000000000007E-2</v>
          </cell>
          <cell r="X147">
            <v>0.19789999999999999</v>
          </cell>
          <cell r="Y147">
            <v>0.19040000000000001</v>
          </cell>
          <cell r="Z147">
            <v>0.27250000000000002</v>
          </cell>
          <cell r="AA147">
            <v>0.30969999999999998</v>
          </cell>
          <cell r="AB147">
            <v>0.14437921709174992</v>
          </cell>
          <cell r="AC147">
            <v>0.12593667786924057</v>
          </cell>
          <cell r="AD147">
            <v>0.11274781687252457</v>
          </cell>
          <cell r="AE147">
            <v>0.11357810546743598</v>
          </cell>
        </row>
        <row r="148">
          <cell r="H148">
            <v>0.26961000000000002</v>
          </cell>
          <cell r="I148">
            <v>0.16770600000000002</v>
          </cell>
          <cell r="J148">
            <v>0.17443800000000001</v>
          </cell>
          <cell r="K148">
            <v>0.19503000000000001</v>
          </cell>
          <cell r="L148">
            <v>0.17780399999999999</v>
          </cell>
          <cell r="M148">
            <v>0.10308169740000001</v>
          </cell>
          <cell r="N148">
            <v>0.14573890320000002</v>
          </cell>
          <cell r="O148">
            <v>0.29006999999999999</v>
          </cell>
          <cell r="P148">
            <v>0.38623200000000002</v>
          </cell>
          <cell r="Q148">
            <v>0.344586</v>
          </cell>
          <cell r="R148">
            <v>0.58161232800000007</v>
          </cell>
          <cell r="S148">
            <v>0.62535000000000007</v>
          </cell>
          <cell r="T148">
            <v>0.44972400000000012</v>
          </cell>
          <cell r="U148">
            <v>0.26340600000000003</v>
          </cell>
          <cell r="V148">
            <v>0.37936799999999998</v>
          </cell>
          <cell r="W148">
            <v>0.15509999999999999</v>
          </cell>
          <cell r="X148">
            <v>0.2155</v>
          </cell>
          <cell r="Y148">
            <v>0.21199999999999999</v>
          </cell>
          <cell r="Z148">
            <v>0.20980000000000001</v>
          </cell>
          <cell r="AA148">
            <v>0.19269999999999998</v>
          </cell>
          <cell r="AB148">
            <v>0.28119913349861531</v>
          </cell>
          <cell r="AC148">
            <v>0.25254892801661488</v>
          </cell>
          <cell r="AD148">
            <v>0.26806078039084402</v>
          </cell>
          <cell r="AE148">
            <v>0.28886737875496393</v>
          </cell>
        </row>
        <row r="168">
          <cell r="G168" t="str">
            <v>Western MT portion of state</v>
          </cell>
        </row>
        <row r="169">
          <cell r="H169">
            <v>5.8452515664333813</v>
          </cell>
          <cell r="I169">
            <v>2.3942560490388454</v>
          </cell>
          <cell r="J169">
            <v>3.2535508684892789</v>
          </cell>
          <cell r="K169">
            <v>3.8808061249763441</v>
          </cell>
          <cell r="L169">
            <v>2.6785158945721284</v>
          </cell>
          <cell r="M169">
            <v>2.1289433230787926</v>
          </cell>
          <cell r="N169">
            <v>1.9047034050448099</v>
          </cell>
          <cell r="O169">
            <v>2.9945048391710078</v>
          </cell>
          <cell r="P169">
            <v>3.7348996623363648</v>
          </cell>
          <cell r="Q169">
            <v>4.3096744291447084</v>
          </cell>
          <cell r="R169">
            <v>4.6932151602156393</v>
          </cell>
          <cell r="S169">
            <v>6.7040926655271003</v>
          </cell>
          <cell r="T169">
            <v>8.0155996509731651</v>
          </cell>
          <cell r="U169">
            <v>8.5121404979223296</v>
          </cell>
          <cell r="V169">
            <v>5.7106188925677364</v>
          </cell>
          <cell r="W169">
            <v>3.9531865469773946</v>
          </cell>
          <cell r="X169">
            <v>3.613957014984337</v>
          </cell>
          <cell r="Y169">
            <v>4.2577960031375479</v>
          </cell>
          <cell r="Z169">
            <v>2.9053730099999999</v>
          </cell>
          <cell r="AA169">
            <v>5.76397475</v>
          </cell>
          <cell r="AB169">
            <v>4.1477159651255757</v>
          </cell>
          <cell r="AC169">
            <v>4.3042855770003277</v>
          </cell>
          <cell r="AD169">
            <v>3.9757692712668407</v>
          </cell>
          <cell r="AE169">
            <v>3.9080659306945158</v>
          </cell>
        </row>
        <row r="170">
          <cell r="H170">
            <v>2.6335253613638385</v>
          </cell>
          <cell r="I170">
            <v>1.0787104635412517</v>
          </cell>
          <cell r="J170">
            <v>1.4658579924699486</v>
          </cell>
          <cell r="K170">
            <v>1.7484621896089618</v>
          </cell>
          <cell r="L170">
            <v>1.2067811725468609</v>
          </cell>
          <cell r="M170">
            <v>0.95917620833130801</v>
          </cell>
          <cell r="N170">
            <v>0.85814693620145599</v>
          </cell>
          <cell r="O170">
            <v>1.3491471408980753</v>
          </cell>
          <cell r="P170">
            <v>1.6827253491356049</v>
          </cell>
          <cell r="Q170">
            <v>1.9416849350932321</v>
          </cell>
          <cell r="R170">
            <v>2.1144857514330568</v>
          </cell>
          <cell r="S170">
            <v>3.0204684706789751</v>
          </cell>
          <cell r="T170">
            <v>3.6113561114457378</v>
          </cell>
          <cell r="U170">
            <v>3.8350681105841429</v>
          </cell>
          <cell r="V170">
            <v>2.5728678247182866</v>
          </cell>
          <cell r="W170">
            <v>1.7810725357744892</v>
          </cell>
          <cell r="X170">
            <v>1.628235730433635</v>
          </cell>
          <cell r="Y170">
            <v>1.9183115782676574</v>
          </cell>
          <cell r="Z170">
            <v>2.52049922</v>
          </cell>
          <cell r="AA170">
            <v>4.3866505</v>
          </cell>
          <cell r="AB170">
            <v>3.3467175863389964</v>
          </cell>
          <cell r="AC170">
            <v>3.4921085643107492</v>
          </cell>
          <cell r="AD170">
            <v>3.2325006595168051</v>
          </cell>
          <cell r="AE170">
            <v>3.2055077433563333</v>
          </cell>
        </row>
        <row r="171">
          <cell r="H171">
            <v>3.0901020722027819</v>
          </cell>
          <cell r="I171">
            <v>1.2657274874199036</v>
          </cell>
          <cell r="J171">
            <v>1.7199951390407733</v>
          </cell>
          <cell r="K171">
            <v>2.0515946854146958</v>
          </cell>
          <cell r="L171">
            <v>1.4160019328810107</v>
          </cell>
          <cell r="M171">
            <v>1.1254694685898994</v>
          </cell>
          <cell r="N171">
            <v>1.0069246587537342</v>
          </cell>
          <cell r="O171">
            <v>1.5830500199309174</v>
          </cell>
          <cell r="P171">
            <v>1.9744609885280306</v>
          </cell>
          <cell r="Q171">
            <v>2.2783166357620592</v>
          </cell>
          <cell r="R171">
            <v>2.4810760883513034</v>
          </cell>
          <cell r="S171">
            <v>3.5441298637939256</v>
          </cell>
          <cell r="T171">
            <v>4.2374602375810966</v>
          </cell>
          <cell r="U171">
            <v>4.4999573914935276</v>
          </cell>
          <cell r="V171">
            <v>3.0189282827139783</v>
          </cell>
          <cell r="W171">
            <v>2.0898587172481164</v>
          </cell>
          <cell r="X171">
            <v>1.9105244545820284</v>
          </cell>
          <cell r="Y171">
            <v>2.2508910185947957</v>
          </cell>
          <cell r="Z171">
            <v>0.65600877000000002</v>
          </cell>
          <cell r="AA171">
            <v>1.1345497499999999</v>
          </cell>
          <cell r="AB171">
            <v>0.87002001760199665</v>
          </cell>
          <cell r="AC171">
            <v>0.90846325570362163</v>
          </cell>
          <cell r="AD171">
            <v>0.8416976698075469</v>
          </cell>
          <cell r="AE171">
            <v>0.83495356000334453</v>
          </cell>
        </row>
        <row r="172">
          <cell r="H172">
            <v>1.9601639052244866</v>
          </cell>
          <cell r="I172">
            <v>1.8139548177464644</v>
          </cell>
          <cell r="J172">
            <v>1.5990745699068862</v>
          </cell>
          <cell r="K172">
            <v>1.2830229881440107</v>
          </cell>
          <cell r="L172">
            <v>0.979871173680254</v>
          </cell>
          <cell r="M172">
            <v>1.241660719000097</v>
          </cell>
          <cell r="N172">
            <v>1.8848305823635303</v>
          </cell>
          <cell r="O172">
            <v>2.4988567954738619</v>
          </cell>
          <cell r="P172">
            <v>2.288456066580165</v>
          </cell>
          <cell r="Q172">
            <v>1.2544054066975698</v>
          </cell>
          <cell r="R172">
            <v>1.5651299718837426</v>
          </cell>
          <cell r="S172">
            <v>2.1687149616138099</v>
          </cell>
          <cell r="T172">
            <v>2.726992850636329</v>
          </cell>
          <cell r="U172">
            <v>2.3639545922978495</v>
          </cell>
          <cell r="V172">
            <v>2.12134434059036</v>
          </cell>
          <cell r="W172">
            <v>1.7332075021200439</v>
          </cell>
          <cell r="X172">
            <v>1.6498023915828299</v>
          </cell>
          <cell r="Y172">
            <v>1.7728331175696301</v>
          </cell>
          <cell r="Z172">
            <v>3.0494837200000005</v>
          </cell>
          <cell r="AA172">
            <v>3.9300753599999996</v>
          </cell>
          <cell r="AB172">
            <v>3.2949268651724135</v>
          </cell>
          <cell r="AC172">
            <v>3.0804508752407767</v>
          </cell>
          <cell r="AD172">
            <v>2.9901146137661283</v>
          </cell>
          <cell r="AE172">
            <v>3.1209850609635708</v>
          </cell>
        </row>
        <row r="173">
          <cell r="H173">
            <v>3.620390059325949</v>
          </cell>
          <cell r="I173">
            <v>3.3503443118873304</v>
          </cell>
          <cell r="J173">
            <v>2.9534640759282804</v>
          </cell>
          <cell r="K173">
            <v>2.3697220726198811</v>
          </cell>
          <cell r="L173">
            <v>1.8098057244890269</v>
          </cell>
          <cell r="M173">
            <v>2.2933266509713843</v>
          </cell>
          <cell r="N173">
            <v>3.4812506677195292</v>
          </cell>
          <cell r="O173">
            <v>4.6153468482405211</v>
          </cell>
          <cell r="P173">
            <v>4.2267402091062101</v>
          </cell>
          <cell r="Q173">
            <v>2.3168658767096826</v>
          </cell>
          <cell r="R173">
            <v>2.8907689691960035</v>
          </cell>
          <cell r="S173">
            <v>4.0055803841765441</v>
          </cell>
          <cell r="T173">
            <v>5.0367103393662491</v>
          </cell>
          <cell r="U173">
            <v>4.366184727635269</v>
          </cell>
          <cell r="V173">
            <v>3.9180876367586932</v>
          </cell>
          <cell r="W173">
            <v>3.2012053658879802</v>
          </cell>
          <cell r="X173">
            <v>3.0471575169907066</v>
          </cell>
          <cell r="Y173">
            <v>3.2743932171110264</v>
          </cell>
          <cell r="Z173">
            <v>1.21717136</v>
          </cell>
          <cell r="AA173">
            <v>1.5786711799999997</v>
          </cell>
          <cell r="AB173">
            <v>1.3199722007364803</v>
          </cell>
          <cell r="AC173">
            <v>1.2300279538780112</v>
          </cell>
          <cell r="AD173">
            <v>1.196371930895225</v>
          </cell>
          <cell r="AE173">
            <v>1.248350009064233</v>
          </cell>
        </row>
        <row r="174">
          <cell r="H174">
            <v>0.90509751483148726</v>
          </cell>
          <cell r="I174">
            <v>0.8375860779718326</v>
          </cell>
          <cell r="J174">
            <v>0.7383660189820701</v>
          </cell>
          <cell r="K174">
            <v>0.59243051815497028</v>
          </cell>
          <cell r="L174">
            <v>0.45245143112225672</v>
          </cell>
          <cell r="M174">
            <v>0.57333166274284608</v>
          </cell>
          <cell r="N174">
            <v>0.87031266692988229</v>
          </cell>
          <cell r="O174">
            <v>1.1538367120601303</v>
          </cell>
          <cell r="P174">
            <v>1.0566850522765525</v>
          </cell>
          <cell r="Q174">
            <v>0.57921646917742065</v>
          </cell>
          <cell r="R174">
            <v>0.72269224229900086</v>
          </cell>
          <cell r="S174">
            <v>1.001395096044136</v>
          </cell>
          <cell r="T174">
            <v>1.2591775848415623</v>
          </cell>
          <cell r="U174">
            <v>1.0915461819088172</v>
          </cell>
          <cell r="V174">
            <v>0.9795219091896733</v>
          </cell>
          <cell r="W174">
            <v>0.80030134147199505</v>
          </cell>
          <cell r="X174">
            <v>0.76178937924767665</v>
          </cell>
          <cell r="Y174">
            <v>0.81859830427775659</v>
          </cell>
          <cell r="Z174">
            <v>4.4185782000000007</v>
          </cell>
          <cell r="AA174">
            <v>5.8084251000000009</v>
          </cell>
          <cell r="AB174">
            <v>4.8341193729503171</v>
          </cell>
          <cell r="AC174">
            <v>4.4973948910402894</v>
          </cell>
          <cell r="AD174">
            <v>4.3749492047650769</v>
          </cell>
          <cell r="AE174">
            <v>4.5648201170153557</v>
          </cell>
        </row>
        <row r="175">
          <cell r="H175">
            <v>1.7474878206180771</v>
          </cell>
          <cell r="I175">
            <v>1.6171422923943721</v>
          </cell>
          <cell r="J175">
            <v>1.4255763651827631</v>
          </cell>
          <cell r="K175">
            <v>1.1438161060811387</v>
          </cell>
          <cell r="L175">
            <v>0.87355600070846262</v>
          </cell>
          <cell r="M175">
            <v>1.1069416072856728</v>
          </cell>
          <cell r="N175">
            <v>1.6803280979870585</v>
          </cell>
          <cell r="O175">
            <v>2.2277329992254882</v>
          </cell>
          <cell r="P175">
            <v>2.0401605670370717</v>
          </cell>
          <cell r="Q175">
            <v>1.1183035074153274</v>
          </cell>
          <cell r="R175">
            <v>1.3953147266212531</v>
          </cell>
          <cell r="S175">
            <v>1.9334112681655102</v>
          </cell>
          <cell r="T175">
            <v>2.4311164901558593</v>
          </cell>
          <cell r="U175">
            <v>2.1074675681580644</v>
          </cell>
          <cell r="V175">
            <v>1.8911803184612741</v>
          </cell>
          <cell r="W175">
            <v>1.5451559905199812</v>
          </cell>
          <cell r="X175">
            <v>1.4708002621787872</v>
          </cell>
          <cell r="Y175">
            <v>1.580482261041587</v>
          </cell>
          <cell r="Z175">
            <v>1.38987072</v>
          </cell>
          <cell r="AA175">
            <v>1.8173303599999999</v>
          </cell>
          <cell r="AB175">
            <v>1.5136049433773811</v>
          </cell>
          <cell r="AC175">
            <v>1.4027949732052674</v>
          </cell>
          <cell r="AD175">
            <v>1.3671049082637361</v>
          </cell>
          <cell r="AE175">
            <v>1.4256651163527188</v>
          </cell>
        </row>
        <row r="176">
          <cell r="H176">
            <v>2.3326221600000001</v>
          </cell>
          <cell r="I176">
            <v>2.1343561800000002</v>
          </cell>
          <cell r="J176">
            <v>2.7849274200000003</v>
          </cell>
          <cell r="K176">
            <v>3.7213380599999999</v>
          </cell>
          <cell r="L176">
            <v>3.8396688000000001</v>
          </cell>
          <cell r="M176">
            <v>4.5304399799999997</v>
          </cell>
          <cell r="N176">
            <v>3.8655843599999997</v>
          </cell>
          <cell r="O176">
            <v>3.7622019600000001</v>
          </cell>
          <cell r="P176">
            <v>4.9317826799999995</v>
          </cell>
          <cell r="Q176">
            <v>3.5256144000000003</v>
          </cell>
          <cell r="R176">
            <v>4.1166087600000001</v>
          </cell>
          <cell r="S176">
            <v>3.6865428600000003</v>
          </cell>
          <cell r="T176">
            <v>4.4936060400000004</v>
          </cell>
          <cell r="U176">
            <v>4.0552175400000001</v>
          </cell>
          <cell r="V176">
            <v>4.7025844800000005</v>
          </cell>
          <cell r="W176">
            <v>5.7826820000000012</v>
          </cell>
          <cell r="X176">
            <v>6.4745300000000006</v>
          </cell>
          <cell r="Y176">
            <v>4.3306040000000001</v>
          </cell>
          <cell r="Z176">
            <v>5.0644289999999996</v>
          </cell>
          <cell r="AA176">
            <v>4.8802399999999997</v>
          </cell>
          <cell r="AB176">
            <v>5.314560624425317</v>
          </cell>
          <cell r="AC176">
            <v>5.8392883922912757</v>
          </cell>
          <cell r="AD176">
            <v>5.5907307068579604</v>
          </cell>
          <cell r="AE176">
            <v>5.3970025110934667</v>
          </cell>
        </row>
        <row r="177">
          <cell r="H177">
            <v>1.2016538399999999</v>
          </cell>
          <cell r="I177">
            <v>1.0995168200000001</v>
          </cell>
          <cell r="J177">
            <v>1.4346595800000002</v>
          </cell>
          <cell r="K177">
            <v>1.91705294</v>
          </cell>
          <cell r="L177">
            <v>1.9780112000000001</v>
          </cell>
          <cell r="M177">
            <v>2.3338630200000003</v>
          </cell>
          <cell r="N177">
            <v>1.99136164</v>
          </cell>
          <cell r="O177">
            <v>1.93810404</v>
          </cell>
          <cell r="P177">
            <v>2.5406153199999997</v>
          </cell>
          <cell r="Q177">
            <v>1.8162256000000001</v>
          </cell>
          <cell r="R177">
            <v>2.12067724</v>
          </cell>
          <cell r="S177">
            <v>1.8991281399999997</v>
          </cell>
          <cell r="T177">
            <v>2.3148879600000005</v>
          </cell>
          <cell r="U177">
            <v>2.0890514600000003</v>
          </cell>
          <cell r="V177">
            <v>2.4225435200000001</v>
          </cell>
          <cell r="W177">
            <v>2.7598760000000002</v>
          </cell>
          <cell r="X177">
            <v>3.2231519999999998</v>
          </cell>
          <cell r="Y177">
            <v>1.711967</v>
          </cell>
          <cell r="Z177">
            <v>2.2422549999999997</v>
          </cell>
          <cell r="AA177">
            <v>1.9980939999999998</v>
          </cell>
          <cell r="AB177">
            <v>2.2146394799898173</v>
          </cell>
          <cell r="AC177">
            <v>2.4529568455976025</v>
          </cell>
          <cell r="AD177">
            <v>2.3252751304701671</v>
          </cell>
          <cell r="AE177">
            <v>2.2545756506342292</v>
          </cell>
        </row>
        <row r="178">
          <cell r="H178">
            <v>7.7681670999999994</v>
          </cell>
          <cell r="I178">
            <v>6.1909778999999991</v>
          </cell>
          <cell r="J178">
            <v>6.2494579999999997</v>
          </cell>
          <cell r="K178">
            <v>6.6152219000000008</v>
          </cell>
          <cell r="L178">
            <v>5.5810154000000001</v>
          </cell>
          <cell r="M178">
            <v>5.2429889000000003</v>
          </cell>
          <cell r="N178">
            <v>4.4018980000000001</v>
          </cell>
          <cell r="O178">
            <v>6.0446849999999994</v>
          </cell>
          <cell r="P178">
            <v>9.751614</v>
          </cell>
          <cell r="Q178">
            <v>11.116424999999998</v>
          </cell>
          <cell r="R178">
            <v>11.370925</v>
          </cell>
          <cell r="S178">
            <v>11.869458999999999</v>
          </cell>
          <cell r="T178">
            <v>10.888947</v>
          </cell>
          <cell r="U178">
            <v>9.4940550000000012</v>
          </cell>
          <cell r="V178">
            <v>10.433181000000001</v>
          </cell>
          <cell r="W178">
            <v>5.9005559999999999</v>
          </cell>
          <cell r="X178">
            <v>6.8123880000000003</v>
          </cell>
          <cell r="Y178">
            <v>6.1123589999999997</v>
          </cell>
          <cell r="Z178">
            <v>9.229140000000001</v>
          </cell>
          <cell r="AA178">
            <v>8.458632999999999</v>
          </cell>
          <cell r="AB178">
            <v>8.0452519383000087</v>
          </cell>
          <cell r="AC178">
            <v>7.6519041966999959</v>
          </cell>
          <cell r="AD178">
            <v>7.4193123636000031</v>
          </cell>
          <cell r="AE178">
            <v>7.7886886725999984</v>
          </cell>
        </row>
        <row r="179">
          <cell r="H179">
            <v>0.94562667569891845</v>
          </cell>
          <cell r="I179">
            <v>0.87797440847584418</v>
          </cell>
          <cell r="J179">
            <v>0.76896588931383225</v>
          </cell>
          <cell r="K179">
            <v>0.63948110135578418</v>
          </cell>
          <cell r="L179">
            <v>0.43394926096228958</v>
          </cell>
          <cell r="M179">
            <v>0.70856563684818685</v>
          </cell>
          <cell r="N179">
            <v>0.99833300111063006</v>
          </cell>
          <cell r="O179">
            <v>1.2788148464054281</v>
          </cell>
          <cell r="P179">
            <v>1.1413744588863326</v>
          </cell>
          <cell r="Q179">
            <v>0.71823731071012475</v>
          </cell>
          <cell r="R179">
            <v>0.84101134433644587</v>
          </cell>
          <cell r="S179">
            <v>1.2251082266483837</v>
          </cell>
          <cell r="T179">
            <v>1.5651012636603874</v>
          </cell>
          <cell r="U179">
            <v>1.2759510039866273</v>
          </cell>
          <cell r="V179">
            <v>1.107505460703968</v>
          </cell>
          <cell r="W179">
            <v>0.63798485303363595</v>
          </cell>
          <cell r="X179">
            <v>0.62624539967892912</v>
          </cell>
          <cell r="Y179">
            <v>0.67166554183832972</v>
          </cell>
          <cell r="Z179">
            <v>0.492732</v>
          </cell>
          <cell r="AA179">
            <v>0.49918399999999996</v>
          </cell>
          <cell r="AB179">
            <v>0.51242220696340901</v>
          </cell>
          <cell r="AC179">
            <v>0.56820095103565071</v>
          </cell>
          <cell r="AD179">
            <v>0.49314781500982674</v>
          </cell>
          <cell r="AE179">
            <v>0.5050087559041242</v>
          </cell>
        </row>
        <row r="180">
          <cell r="H180">
            <v>0.38265402430108175</v>
          </cell>
          <cell r="I180">
            <v>0.35527809152415585</v>
          </cell>
          <cell r="J180">
            <v>0.31116708068616789</v>
          </cell>
          <cell r="K180">
            <v>0.25877021364421587</v>
          </cell>
          <cell r="L180">
            <v>0.17560040903771046</v>
          </cell>
          <cell r="M180">
            <v>0.28672572315181322</v>
          </cell>
          <cell r="N180">
            <v>0.4039819838893699</v>
          </cell>
          <cell r="O180">
            <v>0.51748079859457219</v>
          </cell>
          <cell r="P180">
            <v>0.46186464611366751</v>
          </cell>
          <cell r="Q180">
            <v>0.29063942928987535</v>
          </cell>
          <cell r="R180">
            <v>0.34032074566355414</v>
          </cell>
          <cell r="S180">
            <v>0.49574806335161636</v>
          </cell>
          <cell r="T180">
            <v>0.63332847133961268</v>
          </cell>
          <cell r="U180">
            <v>0.51632192601337268</v>
          </cell>
          <cell r="V180">
            <v>0.44815933429603194</v>
          </cell>
          <cell r="W180">
            <v>0.25816474696636388</v>
          </cell>
          <cell r="X180">
            <v>0.25341430032107087</v>
          </cell>
          <cell r="Y180">
            <v>0.27179385816167018</v>
          </cell>
          <cell r="Z180">
            <v>0.492732</v>
          </cell>
          <cell r="AA180">
            <v>0.49918399999999996</v>
          </cell>
          <cell r="AB180">
            <v>0.51242220696340901</v>
          </cell>
          <cell r="AC180">
            <v>0.56820095103565071</v>
          </cell>
          <cell r="AD180">
            <v>0.49314781500982674</v>
          </cell>
          <cell r="AE180">
            <v>0.5050087559041242</v>
          </cell>
        </row>
        <row r="181">
          <cell r="H181">
            <v>0.40274807407407415</v>
          </cell>
          <cell r="I181">
            <v>0.37036307407407404</v>
          </cell>
          <cell r="J181">
            <v>0.48768807407407411</v>
          </cell>
          <cell r="K181">
            <v>0.46379207407407413</v>
          </cell>
          <cell r="L181">
            <v>0.53812807407407393</v>
          </cell>
          <cell r="M181">
            <v>0.42164107407407414</v>
          </cell>
          <cell r="N181">
            <v>0.43037807407407414</v>
          </cell>
          <cell r="O181">
            <v>0.50291507407407388</v>
          </cell>
          <cell r="P181">
            <v>0.48163407407407416</v>
          </cell>
          <cell r="Q181">
            <v>0.45580907407407417</v>
          </cell>
          <cell r="R181">
            <v>0.6205150740740738</v>
          </cell>
          <cell r="S181">
            <v>0.56234507407407419</v>
          </cell>
          <cell r="T181">
            <v>0.58473807407407419</v>
          </cell>
          <cell r="U181">
            <v>0.5404590740740739</v>
          </cell>
          <cell r="V181">
            <v>0.42069407407407394</v>
          </cell>
          <cell r="W181">
            <v>1.2428048860740741</v>
          </cell>
          <cell r="X181">
            <v>1.1604115330740739</v>
          </cell>
          <cell r="Y181">
            <v>1.2477731920740742</v>
          </cell>
          <cell r="Z181">
            <v>8.7690780740740752</v>
          </cell>
          <cell r="AA181">
            <v>11.037976074074074</v>
          </cell>
          <cell r="AB181">
            <v>9.3237041313177169</v>
          </cell>
          <cell r="AC181">
            <v>8.7162296123734357</v>
          </cell>
          <cell r="AD181">
            <v>8.4335868012343536</v>
          </cell>
          <cell r="AE181">
            <v>8.7947699601225242</v>
          </cell>
        </row>
        <row r="182">
          <cell r="H182">
            <v>1.2680339999999999</v>
          </cell>
          <cell r="I182">
            <v>3.2701959999999999</v>
          </cell>
          <cell r="J182">
            <v>2.1934979999999999</v>
          </cell>
          <cell r="K182">
            <v>2.1689530000000001</v>
          </cell>
          <cell r="L182">
            <v>1.452771</v>
          </cell>
          <cell r="M182">
            <v>0.90405199999999997</v>
          </cell>
          <cell r="N182">
            <v>1.359175</v>
          </cell>
          <cell r="O182">
            <v>1.5139029999999998</v>
          </cell>
          <cell r="P182">
            <v>2.30301</v>
          </cell>
          <cell r="Q182">
            <v>2.7516340000000001</v>
          </cell>
          <cell r="R182">
            <v>4.7814439999999996</v>
          </cell>
          <cell r="S182">
            <v>4.4062680000000007</v>
          </cell>
          <cell r="T182">
            <v>3.36571</v>
          </cell>
          <cell r="U182">
            <v>3.4345909999999997</v>
          </cell>
          <cell r="V182">
            <v>2.0285880000000001</v>
          </cell>
          <cell r="W182">
            <v>0.95992100000000002</v>
          </cell>
          <cell r="X182">
            <v>1.6628509999999999</v>
          </cell>
          <cell r="Y182">
            <v>1.8797829999999998</v>
          </cell>
          <cell r="Z182">
            <v>2.3661449999999999</v>
          </cell>
          <cell r="AA182">
            <v>3.0826709999999999</v>
          </cell>
          <cell r="AB182">
            <v>3.0169681880581578</v>
          </cell>
          <cell r="AC182">
            <v>2.5401827085011996</v>
          </cell>
          <cell r="AD182">
            <v>2.2922556070064219</v>
          </cell>
          <cell r="AE182">
            <v>2.6029925645564869</v>
          </cell>
        </row>
        <row r="183">
          <cell r="H183">
            <v>0.75905672000000002</v>
          </cell>
          <cell r="I183">
            <v>0.75352307799999996</v>
          </cell>
          <cell r="J183">
            <v>1.0492427340000001</v>
          </cell>
          <cell r="K183">
            <v>0.82287268399999991</v>
          </cell>
          <cell r="L183">
            <v>0.67738382599999991</v>
          </cell>
          <cell r="M183">
            <v>1.2262085980000001</v>
          </cell>
          <cell r="N183">
            <v>0.94672238399999986</v>
          </cell>
          <cell r="O183">
            <v>0.94664478799999996</v>
          </cell>
          <cell r="P183">
            <v>0.89970378400000006</v>
          </cell>
          <cell r="Q183">
            <v>0.77038129399999988</v>
          </cell>
          <cell r="R183">
            <v>1.1871685080000001</v>
          </cell>
          <cell r="S183">
            <v>1.3819149399999999</v>
          </cell>
          <cell r="T183">
            <v>2.1635749979999996</v>
          </cell>
          <cell r="U183">
            <v>1.9397220020000001</v>
          </cell>
          <cell r="V183">
            <v>1.5831111979999999</v>
          </cell>
          <cell r="W183">
            <v>1.026218284</v>
          </cell>
          <cell r="X183">
            <v>1.045345602</v>
          </cell>
          <cell r="Y183">
            <v>1.134643912</v>
          </cell>
          <cell r="Z183">
            <v>7.6951280000000004</v>
          </cell>
          <cell r="AA183">
            <v>4.5313210000000002</v>
          </cell>
          <cell r="AB183">
            <v>4.4960725606</v>
          </cell>
          <cell r="AC183">
            <v>4.5696217040999993</v>
          </cell>
          <cell r="AD183">
            <v>4.8413475147999998</v>
          </cell>
          <cell r="AE183">
            <v>5.1556288689000001</v>
          </cell>
        </row>
        <row r="184">
          <cell r="H184">
            <v>1.5868732800000001</v>
          </cell>
          <cell r="I184">
            <v>1.5850439220000003</v>
          </cell>
          <cell r="J184">
            <v>2.1840582660000001</v>
          </cell>
          <cell r="K184">
            <v>1.6983533159999999</v>
          </cell>
          <cell r="L184">
            <v>1.4102051739999999</v>
          </cell>
          <cell r="M184">
            <v>2.5247384019999997</v>
          </cell>
          <cell r="N184">
            <v>1.9978036160000001</v>
          </cell>
          <cell r="O184">
            <v>1.9580872119999999</v>
          </cell>
          <cell r="P184">
            <v>1.839522216</v>
          </cell>
          <cell r="Q184">
            <v>1.601259706</v>
          </cell>
          <cell r="R184">
            <v>2.454743492</v>
          </cell>
          <cell r="S184">
            <v>2.82329506</v>
          </cell>
          <cell r="T184">
            <v>4.3995720020000002</v>
          </cell>
          <cell r="U184">
            <v>3.9502809980000002</v>
          </cell>
          <cell r="V184">
            <v>3.2548358020000001</v>
          </cell>
          <cell r="W184">
            <v>3.1835925159999996</v>
          </cell>
          <cell r="X184">
            <v>3.2696349979999999</v>
          </cell>
          <cell r="Y184">
            <v>3.3710648879999998</v>
          </cell>
          <cell r="Z184">
            <v>7.6951280000000004</v>
          </cell>
          <cell r="AA184">
            <v>4.5313210000000002</v>
          </cell>
          <cell r="AB184">
            <v>4.4960725606</v>
          </cell>
          <cell r="AC184">
            <v>4.5696217040999993</v>
          </cell>
          <cell r="AD184">
            <v>4.8413475147999998</v>
          </cell>
          <cell r="AE184">
            <v>5.1556288689000001</v>
          </cell>
        </row>
        <row r="185">
          <cell r="H185">
            <v>2.0197172999999999</v>
          </cell>
          <cell r="I185">
            <v>2.4033025800000001</v>
          </cell>
          <cell r="J185">
            <v>1.6100873399999998</v>
          </cell>
          <cell r="K185">
            <v>2.2882799</v>
          </cell>
          <cell r="L185">
            <v>2.8939977200000002</v>
          </cell>
          <cell r="M185">
            <v>2.6208346827820002</v>
          </cell>
          <cell r="N185">
            <v>2.808180909576</v>
          </cell>
          <cell r="O185">
            <v>2.4410076620000001</v>
          </cell>
          <cell r="P185">
            <v>3.4118360120000002</v>
          </cell>
          <cell r="Q185">
            <v>4.6980795400000002</v>
          </cell>
          <cell r="R185">
            <v>5.0203619890400004</v>
          </cell>
          <cell r="S185">
            <v>6.1223928520000008</v>
          </cell>
          <cell r="T185">
            <v>6.8415446340000008</v>
          </cell>
          <cell r="U185">
            <v>6.7605348059999999</v>
          </cell>
          <cell r="V185">
            <v>5.2803142400000009</v>
          </cell>
          <cell r="W185">
            <v>4.7062230000000014</v>
          </cell>
          <cell r="X185">
            <v>4.0795029999999999</v>
          </cell>
          <cell r="Y185">
            <v>5.6370279999999999</v>
          </cell>
          <cell r="Z185">
            <v>3.2726250000000001</v>
          </cell>
          <cell r="AA185">
            <v>4.1234289999999998</v>
          </cell>
          <cell r="AB185">
            <v>4.1990751697822688</v>
          </cell>
          <cell r="AC185">
            <v>3.9559845486033547</v>
          </cell>
          <cell r="AD185">
            <v>4.2245626971251937</v>
          </cell>
          <cell r="AE185">
            <v>4.3471217789162413</v>
          </cell>
        </row>
        <row r="186">
          <cell r="H186">
            <v>3.9206276999999998</v>
          </cell>
          <cell r="I186">
            <v>5.0675564199999998</v>
          </cell>
          <cell r="J186">
            <v>3.3396976600000001</v>
          </cell>
          <cell r="K186">
            <v>4.6083171000000016</v>
          </cell>
          <cell r="L186">
            <v>5.7593702800000006</v>
          </cell>
          <cell r="M186">
            <v>5.3036676835180003</v>
          </cell>
          <cell r="N186">
            <v>5.8835187068239998</v>
          </cell>
          <cell r="O186">
            <v>5.0332471999999999</v>
          </cell>
          <cell r="P186">
            <v>6.8259360000000013</v>
          </cell>
          <cell r="Q186">
            <v>9.5154594599999989</v>
          </cell>
          <cell r="R186">
            <v>10.112064566960001</v>
          </cell>
          <cell r="S186">
            <v>12.42666404</v>
          </cell>
          <cell r="T186">
            <v>13.837188780000002</v>
          </cell>
          <cell r="U186">
            <v>13.824212319999997</v>
          </cell>
          <cell r="V186">
            <v>10.725069760000002</v>
          </cell>
          <cell r="W186">
            <v>7.2359570000000009</v>
          </cell>
          <cell r="X186">
            <v>9.5127849999999992</v>
          </cell>
          <cell r="Y186">
            <v>8.7675900000000002</v>
          </cell>
          <cell r="Z186">
            <v>3.607186</v>
          </cell>
          <cell r="AA186">
            <v>4.0182390000000003</v>
          </cell>
          <cell r="AB186">
            <v>4.2711939641417151</v>
          </cell>
          <cell r="AC186">
            <v>4.5946027044206739</v>
          </cell>
          <cell r="AD186">
            <v>4.429112704129059</v>
          </cell>
          <cell r="AE186">
            <v>4.328169119778071</v>
          </cell>
        </row>
        <row r="207">
          <cell r="G207" t="str">
            <v>Low</v>
          </cell>
          <cell r="H207">
            <v>42.389799174074071</v>
          </cell>
          <cell r="I207">
            <v>36.465809974074077</v>
          </cell>
          <cell r="J207">
            <v>35.569335074074075</v>
          </cell>
          <cell r="K207">
            <v>38.272286974074078</v>
          </cell>
          <cell r="L207">
            <v>34.157084474074075</v>
          </cell>
          <cell r="M207">
            <v>35.53257534037408</v>
          </cell>
          <cell r="N207">
            <v>36.773434690474069</v>
          </cell>
          <cell r="O207">
            <v>42.359566936074067</v>
          </cell>
          <cell r="P207">
            <v>51.593021086074074</v>
          </cell>
          <cell r="Q207">
            <v>51.05823207407407</v>
          </cell>
          <cell r="R207">
            <v>58.828523630074066</v>
          </cell>
          <cell r="S207">
            <v>69.276658966074081</v>
          </cell>
          <cell r="T207">
            <v>78.406612488074074</v>
          </cell>
          <cell r="U207">
            <v>74.656716200074086</v>
          </cell>
          <cell r="V207">
            <v>62.619136074074078</v>
          </cell>
          <cell r="W207">
            <v>48.797968286074081</v>
          </cell>
          <cell r="X207">
            <v>52.20252758307408</v>
          </cell>
          <cell r="Y207">
            <v>51.00957789207407</v>
          </cell>
          <cell r="Z207">
            <v>67.083563074074078</v>
          </cell>
          <cell r="AA207">
            <v>72.079969074074057</v>
          </cell>
          <cell r="AB207">
            <v>65.729459982444979</v>
          </cell>
          <cell r="AC207">
            <v>64.942320409137878</v>
          </cell>
          <cell r="AD207">
            <v>63.362334928324181</v>
          </cell>
          <cell r="AE207">
            <v>65.142943044759335</v>
          </cell>
        </row>
        <row r="214">
          <cell r="G214">
            <v>1986</v>
          </cell>
          <cell r="H214">
            <v>1987</v>
          </cell>
          <cell r="I214">
            <v>1988</v>
          </cell>
          <cell r="J214">
            <v>1989</v>
          </cell>
          <cell r="K214">
            <v>1990</v>
          </cell>
          <cell r="L214">
            <v>1991</v>
          </cell>
          <cell r="M214">
            <v>1992</v>
          </cell>
          <cell r="N214">
            <v>1993</v>
          </cell>
          <cell r="O214">
            <v>1994</v>
          </cell>
          <cell r="P214">
            <v>1995</v>
          </cell>
          <cell r="Q214">
            <v>1996</v>
          </cell>
          <cell r="R214">
            <v>1997</v>
          </cell>
          <cell r="S214">
            <v>1998</v>
          </cell>
          <cell r="T214">
            <v>1999</v>
          </cell>
          <cell r="U214">
            <v>2000</v>
          </cell>
          <cell r="V214">
            <v>2001</v>
          </cell>
          <cell r="W214">
            <v>2002</v>
          </cell>
          <cell r="X214">
            <v>2003</v>
          </cell>
          <cell r="Y214">
            <v>2004</v>
          </cell>
          <cell r="Z214">
            <v>2005</v>
          </cell>
          <cell r="AA214">
            <v>2006</v>
          </cell>
          <cell r="AB214">
            <v>2007</v>
          </cell>
          <cell r="AC214">
            <v>2008</v>
          </cell>
          <cell r="AD214">
            <v>2009</v>
          </cell>
          <cell r="AE214">
            <v>2010</v>
          </cell>
        </row>
        <row r="216">
          <cell r="G216">
            <v>208998.69198523989</v>
          </cell>
          <cell r="H216">
            <v>200145.98024940802</v>
          </cell>
          <cell r="I216">
            <v>204298.48758186327</v>
          </cell>
          <cell r="J216">
            <v>212514.47308934119</v>
          </cell>
          <cell r="K216">
            <v>218248.8879770175</v>
          </cell>
          <cell r="L216">
            <v>230735.79972918943</v>
          </cell>
          <cell r="M216">
            <v>231528.43027437758</v>
          </cell>
          <cell r="N216">
            <v>244878.83743148466</v>
          </cell>
          <cell r="O216">
            <v>242786.25970780815</v>
          </cell>
          <cell r="P216">
            <v>255559.09058324914</v>
          </cell>
          <cell r="Q216">
            <v>268008.32621918456</v>
          </cell>
          <cell r="R216">
            <v>265489.37581064156</v>
          </cell>
          <cell r="S216">
            <v>272482.6174634418</v>
          </cell>
          <cell r="T216">
            <v>284410.89610058442</v>
          </cell>
          <cell r="U216">
            <v>300017.95217937022</v>
          </cell>
          <cell r="V216">
            <v>317942.85702325829</v>
          </cell>
          <cell r="W216">
            <v>335695.10260296741</v>
          </cell>
          <cell r="X216">
            <v>348922.95366756298</v>
          </cell>
          <cell r="Y216">
            <v>353537.99027757213</v>
          </cell>
          <cell r="Z216">
            <v>354596.7797693297</v>
          </cell>
          <cell r="AA216">
            <v>359853.55392939574</v>
          </cell>
          <cell r="AB216">
            <v>355546.86718435638</v>
          </cell>
          <cell r="AC216">
            <v>351120.83370566339</v>
          </cell>
          <cell r="AD216">
            <v>353655.16843746061</v>
          </cell>
          <cell r="AE216">
            <v>360684.15806895884</v>
          </cell>
        </row>
        <row r="217">
          <cell r="G217">
            <v>73536.576809621445</v>
          </cell>
          <cell r="H217">
            <v>90173.965820167112</v>
          </cell>
          <cell r="I217">
            <v>92044.840537701777</v>
          </cell>
          <cell r="J217">
            <v>95746.478689050549</v>
          </cell>
          <cell r="K217">
            <v>98330.06758469365</v>
          </cell>
          <cell r="L217">
            <v>103955.93302619121</v>
          </cell>
          <cell r="M217">
            <v>104313.04556775086</v>
          </cell>
          <cell r="N217">
            <v>110327.95107407245</v>
          </cell>
          <cell r="O217">
            <v>109385.15905848605</v>
          </cell>
          <cell r="P217">
            <v>115139.84278160419</v>
          </cell>
          <cell r="Q217">
            <v>120748.73358881973</v>
          </cell>
          <cell r="R217">
            <v>119613.84320651177</v>
          </cell>
          <cell r="S217">
            <v>122764.58514490072</v>
          </cell>
          <cell r="T217">
            <v>128138.76347603065</v>
          </cell>
          <cell r="U217">
            <v>135170.38179605946</v>
          </cell>
          <cell r="V217">
            <v>143246.28596714657</v>
          </cell>
          <cell r="W217">
            <v>151244.40006437257</v>
          </cell>
          <cell r="X217">
            <v>157204.08902883093</v>
          </cell>
          <cell r="Y217">
            <v>159283.35213974226</v>
          </cell>
          <cell r="Z217">
            <v>162515.65727255808</v>
          </cell>
          <cell r="AA217">
            <v>167612.08530117007</v>
          </cell>
          <cell r="AB217">
            <v>168423.08861424751</v>
          </cell>
          <cell r="AC217">
            <v>169187.35438208625</v>
          </cell>
          <cell r="AD217">
            <v>173048.3572794295</v>
          </cell>
          <cell r="AE217">
            <v>179117.10252840212</v>
          </cell>
        </row>
        <row r="218">
          <cell r="G218">
            <v>104499.34599261994</v>
          </cell>
          <cell r="H218">
            <v>105807.50910078075</v>
          </cell>
          <cell r="I218">
            <v>108002.7390865257</v>
          </cell>
          <cell r="J218">
            <v>112346.13364419344</v>
          </cell>
          <cell r="K218">
            <v>115377.64171974598</v>
          </cell>
          <cell r="L218">
            <v>121978.86862029215</v>
          </cell>
          <cell r="M218">
            <v>122397.89409119615</v>
          </cell>
          <cell r="N218">
            <v>129455.60928994505</v>
          </cell>
          <cell r="O218">
            <v>128349.36455664544</v>
          </cell>
          <cell r="P218">
            <v>135101.74308261863</v>
          </cell>
          <cell r="Q218">
            <v>141683.05244094582</v>
          </cell>
          <cell r="R218">
            <v>140351.40507064035</v>
          </cell>
          <cell r="S218">
            <v>144048.39403289961</v>
          </cell>
          <cell r="T218">
            <v>150354.29859757473</v>
          </cell>
          <cell r="U218">
            <v>158604.99504441186</v>
          </cell>
          <cell r="V218">
            <v>168081.02613950011</v>
          </cell>
          <cell r="W218">
            <v>177465.78062417047</v>
          </cell>
          <cell r="X218">
            <v>184458.70633847601</v>
          </cell>
          <cell r="Y218">
            <v>186898.45320476568</v>
          </cell>
          <cell r="Z218">
            <v>186028.83658052023</v>
          </cell>
          <cell r="AA218">
            <v>187392.62346713556</v>
          </cell>
          <cell r="AB218">
            <v>183688.58010542323</v>
          </cell>
          <cell r="AC218">
            <v>179917.79537687683</v>
          </cell>
          <cell r="AD218">
            <v>179846.95356055681</v>
          </cell>
          <cell r="AE218">
            <v>182057.43147324634</v>
          </cell>
        </row>
        <row r="219">
          <cell r="G219">
            <v>13423.836588687245</v>
          </cell>
          <cell r="H219">
            <v>21791.875763514865</v>
          </cell>
          <cell r="I219">
            <v>22224.659925521173</v>
          </cell>
          <cell r="J219">
            <v>22732.952835002077</v>
          </cell>
          <cell r="K219">
            <v>23080.895311996119</v>
          </cell>
          <cell r="L219">
            <v>24394.967985397427</v>
          </cell>
          <cell r="M219">
            <v>24342.77819338522</v>
          </cell>
          <cell r="N219">
            <v>25847.114822320538</v>
          </cell>
          <cell r="O219">
            <v>25597.201842348808</v>
          </cell>
          <cell r="P219">
            <v>26685.15216798272</v>
          </cell>
          <cell r="Q219">
            <v>27183.979842094126</v>
          </cell>
          <cell r="R219">
            <v>26370.318525564584</v>
          </cell>
          <cell r="S219">
            <v>26408.046610476242</v>
          </cell>
          <cell r="T219">
            <v>27113.984701041256</v>
          </cell>
          <cell r="U219">
            <v>28084.473978898819</v>
          </cell>
          <cell r="V219">
            <v>29362.800335296797</v>
          </cell>
          <cell r="W219">
            <v>30805.387561284086</v>
          </cell>
          <cell r="X219">
            <v>32039.384416567875</v>
          </cell>
          <cell r="Y219">
            <v>32288.612309161115</v>
          </cell>
          <cell r="Z219">
            <v>32756.354184115167</v>
          </cell>
          <cell r="AA219">
            <v>33718.918515821199</v>
          </cell>
          <cell r="AB219">
            <v>33600.302576498187</v>
          </cell>
          <cell r="AC219">
            <v>33338.384168395656</v>
          </cell>
          <cell r="AD219">
            <v>33752.759044080267</v>
          </cell>
          <cell r="AE219">
            <v>34616.681984882525</v>
          </cell>
        </row>
        <row r="220">
          <cell r="G220">
            <v>42956.277083799177</v>
          </cell>
          <cell r="H220">
            <v>40249.231290308788</v>
          </cell>
          <cell r="I220">
            <v>41048.576423532184</v>
          </cell>
          <cell r="J220">
            <v>41987.384954699257</v>
          </cell>
          <cell r="K220">
            <v>42630.028909915964</v>
          </cell>
          <cell r="L220">
            <v>45057.099233644389</v>
          </cell>
          <cell r="M220">
            <v>44960.705557740206</v>
          </cell>
          <cell r="N220">
            <v>47739.190235863898</v>
          </cell>
          <cell r="O220">
            <v>47277.605127611147</v>
          </cell>
          <cell r="P220">
            <v>49287.03124420641</v>
          </cell>
          <cell r="Q220">
            <v>50208.35764342035</v>
          </cell>
          <cell r="R220">
            <v>48705.538754566136</v>
          </cell>
          <cell r="S220">
            <v>48775.221898515229</v>
          </cell>
          <cell r="T220">
            <v>50079.077784632274</v>
          </cell>
          <cell r="U220">
            <v>51871.555303921945</v>
          </cell>
          <cell r="V220">
            <v>54232.602775994215</v>
          </cell>
          <cell r="W220">
            <v>56897.037336162713</v>
          </cell>
          <cell r="X220">
            <v>59176.208958597657</v>
          </cell>
          <cell r="Y220">
            <v>59636.528721881943</v>
          </cell>
          <cell r="Z220">
            <v>59267.380594230824</v>
          </cell>
          <cell r="AA220">
            <v>59661.108667141169</v>
          </cell>
          <cell r="AB220">
            <v>58346.611071043306</v>
          </cell>
          <cell r="AC220">
            <v>56953.433458145395</v>
          </cell>
          <cell r="AD220">
            <v>56761.820168837978</v>
          </cell>
          <cell r="AE220">
            <v>57298.25438694148</v>
          </cell>
        </row>
        <row r="221">
          <cell r="G221">
            <v>10739.069270949794</v>
          </cell>
          <cell r="H221">
            <v>10062.307822577197</v>
          </cell>
          <cell r="I221">
            <v>10262.144105883046</v>
          </cell>
          <cell r="J221">
            <v>10496.846238674814</v>
          </cell>
          <cell r="K221">
            <v>10657.507227478991</v>
          </cell>
          <cell r="L221">
            <v>11264.274808411097</v>
          </cell>
          <cell r="M221">
            <v>11240.176389435052</v>
          </cell>
          <cell r="N221">
            <v>11934.797558965975</v>
          </cell>
          <cell r="O221">
            <v>11819.401281902787</v>
          </cell>
          <cell r="P221">
            <v>12321.757811051602</v>
          </cell>
          <cell r="Q221">
            <v>12552.089410855087</v>
          </cell>
          <cell r="R221">
            <v>12176.384688641534</v>
          </cell>
          <cell r="S221">
            <v>12193.805474628807</v>
          </cell>
          <cell r="T221">
            <v>12519.769446158069</v>
          </cell>
          <cell r="U221">
            <v>12967.888825980486</v>
          </cell>
          <cell r="V221">
            <v>13558.150693998554</v>
          </cell>
          <cell r="W221">
            <v>14224.259334040678</v>
          </cell>
          <cell r="X221">
            <v>14794.052239649414</v>
          </cell>
          <cell r="Y221">
            <v>14909.132180470486</v>
          </cell>
          <cell r="Z221">
            <v>16089.783930114661</v>
          </cell>
          <cell r="AA221">
            <v>17617.092653342384</v>
          </cell>
          <cell r="AB221">
            <v>18419.311769849035</v>
          </cell>
          <cell r="AC221">
            <v>19009.848165719726</v>
          </cell>
          <cell r="AD221">
            <v>19949.851202602753</v>
          </cell>
          <cell r="AE221">
            <v>21177.433659989274</v>
          </cell>
        </row>
        <row r="222">
          <cell r="G222">
            <v>22373.060981145409</v>
          </cell>
          <cell r="H222">
            <v>19427.476132820269</v>
          </cell>
          <cell r="I222">
            <v>19813.303588395116</v>
          </cell>
          <cell r="J222">
            <v>20266.447157796101</v>
          </cell>
          <cell r="K222">
            <v>20576.638177640001</v>
          </cell>
          <cell r="L222">
            <v>21748.135105042526</v>
          </cell>
          <cell r="M222">
            <v>21701.60786022446</v>
          </cell>
          <cell r="N222">
            <v>23042.725268910268</v>
          </cell>
          <cell r="O222">
            <v>22819.927630635757</v>
          </cell>
          <cell r="P222">
            <v>23789.836288996135</v>
          </cell>
          <cell r="Q222">
            <v>24234.541592860558</v>
          </cell>
          <cell r="R222">
            <v>23509.161823876082</v>
          </cell>
          <cell r="S222">
            <v>23542.796444278309</v>
          </cell>
          <cell r="T222">
            <v>24172.140863938701</v>
          </cell>
          <cell r="U222">
            <v>25037.332896388816</v>
          </cell>
          <cell r="V222">
            <v>26176.96195119722</v>
          </cell>
          <cell r="W222">
            <v>27463.02971362921</v>
          </cell>
          <cell r="X222">
            <v>28563.138979768595</v>
          </cell>
          <cell r="Y222">
            <v>28785.325862051341</v>
          </cell>
          <cell r="Z222">
            <v>28924.071606197242</v>
          </cell>
          <cell r="AA222">
            <v>29469.866159102188</v>
          </cell>
          <cell r="AB222">
            <v>29116.933433380244</v>
          </cell>
          <cell r="AC222">
            <v>28678.217716061263</v>
          </cell>
          <cell r="AD222">
            <v>28831.690819149815</v>
          </cell>
          <cell r="AE222">
            <v>29362.860829323748</v>
          </cell>
        </row>
        <row r="223">
          <cell r="G223">
            <v>4115.706901028545</v>
          </cell>
          <cell r="H223">
            <v>4205.010520242442</v>
          </cell>
          <cell r="I223">
            <v>4292.0902136220993</v>
          </cell>
          <cell r="J223">
            <v>4385.1340717390349</v>
          </cell>
          <cell r="K223">
            <v>4578.7455890095252</v>
          </cell>
          <cell r="L223">
            <v>4925.2542379471824</v>
          </cell>
          <cell r="M223">
            <v>5059.9086971479355</v>
          </cell>
          <cell r="N223">
            <v>5491.2305796720329</v>
          </cell>
          <cell r="O223">
            <v>5593.5954805401325</v>
          </cell>
          <cell r="P223">
            <v>5926.3175733184044</v>
          </cell>
          <cell r="Q223">
            <v>6182.9348882424329</v>
          </cell>
          <cell r="R223">
            <v>6169.7723192810736</v>
          </cell>
          <cell r="S223">
            <v>6245.6036993975076</v>
          </cell>
          <cell r="T223">
            <v>6577.8422959626059</v>
          </cell>
          <cell r="U223">
            <v>6928.8339007962168</v>
          </cell>
          <cell r="V223">
            <v>7490.3140941843267</v>
          </cell>
          <cell r="W223">
            <v>8257.6043067687824</v>
          </cell>
          <cell r="X223">
            <v>8802.0048065065639</v>
          </cell>
          <cell r="Y223">
            <v>9009.5800347258555</v>
          </cell>
          <cell r="Z223">
            <v>9145.9892087019052</v>
          </cell>
          <cell r="AA223">
            <v>9211.6710302419669</v>
          </cell>
          <cell r="AB223">
            <v>9178.9855009367984</v>
          </cell>
          <cell r="AC223">
            <v>9148.5358510380192</v>
          </cell>
          <cell r="AD223">
            <v>9307.2672479613648</v>
          </cell>
          <cell r="AE223">
            <v>9585.7986641014031</v>
          </cell>
        </row>
        <row r="224">
          <cell r="G224">
            <v>7052.2389172900575</v>
          </cell>
          <cell r="H224">
            <v>7205.2601294462738</v>
          </cell>
          <cell r="I224">
            <v>7354.4706581173587</v>
          </cell>
          <cell r="J224">
            <v>7513.9007470440247</v>
          </cell>
          <cell r="K224">
            <v>7845.6529125321231</v>
          </cell>
          <cell r="L224">
            <v>8439.3933896795734</v>
          </cell>
          <cell r="M224">
            <v>8670.1229922479361</v>
          </cell>
          <cell r="N224">
            <v>9409.1904328995261</v>
          </cell>
          <cell r="O224">
            <v>9584.5920722840365</v>
          </cell>
          <cell r="P224">
            <v>10154.709368719003</v>
          </cell>
          <cell r="Q224">
            <v>10594.421587950512</v>
          </cell>
          <cell r="R224">
            <v>10571.867605533151</v>
          </cell>
          <cell r="S224">
            <v>10701.80421736411</v>
          </cell>
          <cell r="T224">
            <v>11271.093045957972</v>
          </cell>
          <cell r="U224">
            <v>11872.515040957445</v>
          </cell>
          <cell r="V224">
            <v>12834.607961157768</v>
          </cell>
          <cell r="W224">
            <v>14047.589314524124</v>
          </cell>
          <cell r="X224">
            <v>15152.652396838437</v>
          </cell>
          <cell r="Y224">
            <v>15479.510456527292</v>
          </cell>
          <cell r="Z224">
            <v>15798.174448709171</v>
          </cell>
          <cell r="AA224">
            <v>16024.318633545427</v>
          </cell>
          <cell r="AB224">
            <v>15915.266706434264</v>
          </cell>
          <cell r="AC224">
            <v>15890.102655033168</v>
          </cell>
          <cell r="AD224">
            <v>16206.894670169306</v>
          </cell>
          <cell r="AE224">
            <v>16751.236087215875</v>
          </cell>
        </row>
        <row r="225">
          <cell r="G225">
            <v>50887.549088008323</v>
          </cell>
          <cell r="H225">
            <v>52096.128378848516</v>
          </cell>
          <cell r="I225">
            <v>53891.473390088919</v>
          </cell>
          <cell r="J225">
            <v>55301.704088136066</v>
          </cell>
          <cell r="K225">
            <v>56320.720929326286</v>
          </cell>
          <cell r="L225">
            <v>59598.948196798665</v>
          </cell>
          <cell r="M225">
            <v>59875.038133999398</v>
          </cell>
          <cell r="N225">
            <v>63090.538108352572</v>
          </cell>
          <cell r="O225">
            <v>62290.990920621967</v>
          </cell>
          <cell r="P225">
            <v>65911.63038498332</v>
          </cell>
          <cell r="Q225">
            <v>68983.639135362406</v>
          </cell>
          <cell r="R225">
            <v>69732.96582170199</v>
          </cell>
          <cell r="S225">
            <v>71331.440918664593</v>
          </cell>
          <cell r="T225">
            <v>74031.11753504441</v>
          </cell>
          <cell r="U225">
            <v>76942.356081206293</v>
          </cell>
          <cell r="V225">
            <v>81143.432123224557</v>
          </cell>
          <cell r="W225">
            <v>85690.254182846576</v>
          </cell>
          <cell r="X225">
            <v>88772.478710730531</v>
          </cell>
          <cell r="Y225">
            <v>89611.133454044131</v>
          </cell>
          <cell r="Z225">
            <v>90910.782716700836</v>
          </cell>
          <cell r="AA225">
            <v>92712.944275381815</v>
          </cell>
          <cell r="AB225">
            <v>92106.864078517261</v>
          </cell>
          <cell r="AC225">
            <v>91226.675126907721</v>
          </cell>
          <cell r="AD225">
            <v>92126.824590314762</v>
          </cell>
          <cell r="AE225">
            <v>94226.839366206506</v>
          </cell>
        </row>
        <row r="226">
          <cell r="G226">
            <v>19812.879259651741</v>
          </cell>
          <cell r="H226">
            <v>18032.884427272984</v>
          </cell>
          <cell r="I226">
            <v>18390.850686182566</v>
          </cell>
          <cell r="J226">
            <v>18811.272058336421</v>
          </cell>
          <cell r="K226">
            <v>19099.063705396456</v>
          </cell>
          <cell r="L226">
            <v>20186.310587606091</v>
          </cell>
          <cell r="M226">
            <v>20143.040724556799</v>
          </cell>
          <cell r="N226">
            <v>21387.69116528075</v>
          </cell>
          <cell r="O226">
            <v>21180.748251774428</v>
          </cell>
          <cell r="P226">
            <v>22080.758751653964</v>
          </cell>
          <cell r="Q226">
            <v>22493.41427857352</v>
          </cell>
          <cell r="R226">
            <v>21820.012288958882</v>
          </cell>
          <cell r="S226">
            <v>21851.072681430713</v>
          </cell>
          <cell r="T226">
            <v>22435.037007354465</v>
          </cell>
          <cell r="U226">
            <v>23237.856100070774</v>
          </cell>
          <cell r="V226">
            <v>24295.423566588957</v>
          </cell>
          <cell r="W226">
            <v>25676.409631101869</v>
          </cell>
          <cell r="X226">
            <v>26947.489232296917</v>
          </cell>
          <cell r="Y226">
            <v>27352.311253779546</v>
          </cell>
          <cell r="Z226">
            <v>27335.965576247774</v>
          </cell>
          <cell r="AA226">
            <v>27602.57300118457</v>
          </cell>
          <cell r="AB226">
            <v>27114.80587866436</v>
          </cell>
          <cell r="AC226">
            <v>26610.841990217854</v>
          </cell>
          <cell r="AD226">
            <v>26693.236756604154</v>
          </cell>
          <cell r="AE226">
            <v>27154.544217813003</v>
          </cell>
        </row>
        <row r="227">
          <cell r="G227">
            <v>7419.0906995658279</v>
          </cell>
          <cell r="H227">
            <v>10929.866269561855</v>
          </cell>
          <cell r="I227">
            <v>11146.832299299163</v>
          </cell>
          <cell r="J227">
            <v>11401.652840795985</v>
          </cell>
          <cell r="K227">
            <v>11576.085512870666</v>
          </cell>
          <cell r="L227">
            <v>12235.073988756241</v>
          </cell>
          <cell r="M227">
            <v>12208.847800786238</v>
          </cell>
          <cell r="N227">
            <v>12963.239752020037</v>
          </cell>
          <cell r="O227">
            <v>12837.810102693569</v>
          </cell>
          <cell r="P227">
            <v>13383.313205347922</v>
          </cell>
          <cell r="Q227">
            <v>13633.426809902779</v>
          </cell>
          <cell r="R227">
            <v>13225.27282201311</v>
          </cell>
          <cell r="S227">
            <v>13244.098758449756</v>
          </cell>
          <cell r="T227">
            <v>13598.043908726899</v>
          </cell>
          <cell r="U227">
            <v>14084.638571795298</v>
          </cell>
          <cell r="V227">
            <v>14725.638131610645</v>
          </cell>
          <cell r="W227">
            <v>15562.664125213003</v>
          </cell>
          <cell r="X227">
            <v>16333.074988492226</v>
          </cell>
          <cell r="Y227">
            <v>16578.44064674971</v>
          </cell>
          <cell r="Z227">
            <v>16857.311575218704</v>
          </cell>
          <cell r="AA227">
            <v>17266.656645919924</v>
          </cell>
          <cell r="AB227">
            <v>17209.046241024487</v>
          </cell>
          <cell r="AC227">
            <v>17136.3703707032</v>
          </cell>
          <cell r="AD227">
            <v>17456.408368183093</v>
          </cell>
          <cell r="AE227">
            <v>18058.866872371669</v>
          </cell>
        </row>
        <row r="228">
          <cell r="G228">
            <v>83364.422267462985</v>
          </cell>
          <cell r="H228">
            <v>83832.227579195271</v>
          </cell>
          <cell r="I228">
            <v>84473.651357137482</v>
          </cell>
          <cell r="J228">
            <v>85669.000717749455</v>
          </cell>
          <cell r="K228">
            <v>86953.915160136385</v>
          </cell>
          <cell r="L228">
            <v>91285.461447874812</v>
          </cell>
          <cell r="M228">
            <v>90938.245242666802</v>
          </cell>
          <cell r="N228">
            <v>95719.927133708654</v>
          </cell>
          <cell r="O228">
            <v>93952.396537730761</v>
          </cell>
          <cell r="P228">
            <v>96705.968870619268</v>
          </cell>
          <cell r="Q228">
            <v>98084.385907262404</v>
          </cell>
          <cell r="R228">
            <v>94854.133820205563</v>
          </cell>
          <cell r="S228">
            <v>94531.289301758676</v>
          </cell>
          <cell r="T228">
            <v>96314.095346684699</v>
          </cell>
          <cell r="U228">
            <v>98468.71184276056</v>
          </cell>
          <cell r="V228">
            <v>101998.44637128555</v>
          </cell>
          <cell r="W228">
            <v>108335.20040286546</v>
          </cell>
          <cell r="X228">
            <v>114395.71234984108</v>
          </cell>
          <cell r="Y228">
            <v>116727.38959742447</v>
          </cell>
          <cell r="Z228">
            <v>141998.01843454241</v>
          </cell>
          <cell r="AA228">
            <v>171946.05794425026</v>
          </cell>
          <cell r="AB228">
            <v>192464.78312542022</v>
          </cell>
          <cell r="AC228">
            <v>208908.64373695463</v>
          </cell>
          <cell r="AD228">
            <v>228706.45614921703</v>
          </cell>
          <cell r="AE228">
            <v>252084.95499626573</v>
          </cell>
        </row>
        <row r="229">
          <cell r="G229">
            <v>12778.134917081974</v>
          </cell>
          <cell r="H229">
            <v>12894.186073617273</v>
          </cell>
          <cell r="I229">
            <v>13178.009408971293</v>
          </cell>
          <cell r="J229">
            <v>13341.082749817862</v>
          </cell>
          <cell r="K229">
            <v>13581.568601140933</v>
          </cell>
          <cell r="L229">
            <v>14287.410756019724</v>
          </cell>
          <cell r="M229">
            <v>14217.523844548945</v>
          </cell>
          <cell r="N229">
            <v>14955.493690163396</v>
          </cell>
          <cell r="O229">
            <v>14749.068526871995</v>
          </cell>
          <cell r="P229">
            <v>15217.615920965041</v>
          </cell>
          <cell r="Q229">
            <v>15615.500853886677</v>
          </cell>
          <cell r="R229">
            <v>15768.602167633129</v>
          </cell>
          <cell r="S229">
            <v>16113.909210513591</v>
          </cell>
          <cell r="T229">
            <v>16679.827859739111</v>
          </cell>
          <cell r="U229">
            <v>17277.728711114269</v>
          </cell>
          <cell r="V229">
            <v>17914.590049087761</v>
          </cell>
          <cell r="W229">
            <v>18631.873619577422</v>
          </cell>
          <cell r="X229">
            <v>19246.310352174143</v>
          </cell>
          <cell r="Y229">
            <v>19226.799168199374</v>
          </cell>
          <cell r="Z229">
            <v>19109.077435323827</v>
          </cell>
          <cell r="AA229">
            <v>19277.963444280296</v>
          </cell>
          <cell r="AB229">
            <v>18940.524142835653</v>
          </cell>
          <cell r="AC229">
            <v>18579.144573461443</v>
          </cell>
          <cell r="AD229">
            <v>18559.369474301344</v>
          </cell>
          <cell r="AE229">
            <v>18786.218095097855</v>
          </cell>
        </row>
        <row r="230">
          <cell r="G230">
            <v>19927.728810231933</v>
          </cell>
          <cell r="H230">
            <v>20387.498878375507</v>
          </cell>
          <cell r="I230">
            <v>21039.067675030969</v>
          </cell>
          <cell r="J230">
            <v>21751.96518935723</v>
          </cell>
          <cell r="K230">
            <v>22543.066584433152</v>
          </cell>
          <cell r="L230">
            <v>23942.959888780144</v>
          </cell>
          <cell r="M230">
            <v>24443.241717863308</v>
          </cell>
          <cell r="N230">
            <v>25857.012921133639</v>
          </cell>
          <cell r="O230">
            <v>26019.551101581019</v>
          </cell>
          <cell r="P230">
            <v>27043.216886545717</v>
          </cell>
          <cell r="Q230">
            <v>27714.128414291805</v>
          </cell>
          <cell r="R230">
            <v>27458.778506721221</v>
          </cell>
          <cell r="S230">
            <v>28235.725930746761</v>
          </cell>
          <cell r="T230">
            <v>30700.328022192367</v>
          </cell>
          <cell r="U230">
            <v>33048.146988518049</v>
          </cell>
          <cell r="V230">
            <v>35494.528422093819</v>
          </cell>
          <cell r="W230">
            <v>37620.955907392017</v>
          </cell>
          <cell r="X230">
            <v>39513.733368011992</v>
          </cell>
          <cell r="Y230">
            <v>40010.808440145935</v>
          </cell>
          <cell r="Z230">
            <v>48908.818659119788</v>
          </cell>
          <cell r="AA230">
            <v>52282.519633483942</v>
          </cell>
          <cell r="AB230">
            <v>55374.912449867224</v>
          </cell>
          <cell r="AC230">
            <v>58076.99156480789</v>
          </cell>
          <cell r="AD230">
            <v>62210.734014487818</v>
          </cell>
          <cell r="AE230">
            <v>67374.994373915324</v>
          </cell>
        </row>
        <row r="231">
          <cell r="G231">
            <v>45108.374295171176</v>
          </cell>
          <cell r="H231">
            <v>46149.56065856183</v>
          </cell>
          <cell r="I231">
            <v>47625.090696060222</v>
          </cell>
          <cell r="J231">
            <v>49239.504556032982</v>
          </cell>
          <cell r="K231">
            <v>51031.017404918923</v>
          </cell>
          <cell r="L231">
            <v>54200.373325811925</v>
          </cell>
          <cell r="M231">
            <v>55333.543476117171</v>
          </cell>
          <cell r="N231">
            <v>58534.252384181593</v>
          </cell>
          <cell r="O231">
            <v>58902.884869384878</v>
          </cell>
          <cell r="P231">
            <v>61220.727174027903</v>
          </cell>
          <cell r="Q231">
            <v>62739.911562789377</v>
          </cell>
          <cell r="R231">
            <v>62162.601935177241</v>
          </cell>
          <cell r="S231">
            <v>63922.405058420525</v>
          </cell>
          <cell r="T231">
            <v>69503.539738679581</v>
          </cell>
          <cell r="U231">
            <v>74820.119795511695</v>
          </cell>
          <cell r="V231">
            <v>80359.598457471366</v>
          </cell>
          <cell r="W231">
            <v>86541.70128799032</v>
          </cell>
          <cell r="X231">
            <v>92483.477913026232</v>
          </cell>
          <cell r="Y231">
            <v>94848.756057148668</v>
          </cell>
          <cell r="Z231">
            <v>104876.15733776866</v>
          </cell>
          <cell r="AA231">
            <v>108880.94517899094</v>
          </cell>
          <cell r="AB231">
            <v>111269.29774283603</v>
          </cell>
          <cell r="AC231">
            <v>113174.32196937493</v>
          </cell>
          <cell r="AD231">
            <v>117725.13831993856</v>
          </cell>
          <cell r="AE231">
            <v>124056.03016699647</v>
          </cell>
        </row>
        <row r="232">
          <cell r="G232">
            <v>14732.614363471273</v>
          </cell>
          <cell r="H232">
            <v>15190.025849992297</v>
          </cell>
          <cell r="I232">
            <v>15978.652657210951</v>
          </cell>
          <cell r="J232">
            <v>16358.081684185232</v>
          </cell>
          <cell r="K232">
            <v>16802.815184019466</v>
          </cell>
          <cell r="L232">
            <v>17995.075095351578</v>
          </cell>
          <cell r="M232">
            <v>18068.872042573646</v>
          </cell>
          <cell r="N232">
            <v>19587.401185481136</v>
          </cell>
          <cell r="O232">
            <v>19396.744558816688</v>
          </cell>
          <cell r="P232">
            <v>20469.625724466405</v>
          </cell>
          <cell r="Q232">
            <v>22021.466826109994</v>
          </cell>
          <cell r="R232">
            <v>22443.493824552352</v>
          </cell>
          <cell r="S232">
            <v>23154.520006260926</v>
          </cell>
          <cell r="T232">
            <v>24297.299686122278</v>
          </cell>
          <cell r="U232">
            <v>25604.628317990238</v>
          </cell>
          <cell r="V232">
            <v>27252.115344501475</v>
          </cell>
          <cell r="W232">
            <v>29326.592850202847</v>
          </cell>
          <cell r="X232">
            <v>31071.045803116915</v>
          </cell>
          <cell r="Y232">
            <v>31809.338088577882</v>
          </cell>
          <cell r="Z232">
            <v>32253.678455315665</v>
          </cell>
          <cell r="AA232">
            <v>33031.407872308417</v>
          </cell>
          <cell r="AB232">
            <v>33044.701825989607</v>
          </cell>
          <cell r="AC232">
            <v>33079.38765057132</v>
          </cell>
          <cell r="AD232">
            <v>33840.932034592515</v>
          </cell>
          <cell r="AE232">
            <v>35028.551814055783</v>
          </cell>
        </row>
        <row r="233">
          <cell r="G233">
            <v>30607.73667734694</v>
          </cell>
          <cell r="H233">
            <v>31558.031715771514</v>
          </cell>
          <cell r="I233">
            <v>33196.443002222775</v>
          </cell>
          <cell r="J233">
            <v>33984.725615128584</v>
          </cell>
          <cell r="K233">
            <v>34908.681507727801</v>
          </cell>
          <cell r="L233">
            <v>37385.660577205868</v>
          </cell>
          <cell r="M233">
            <v>37538.977393382476</v>
          </cell>
          <cell r="N233">
            <v>40693.796965544178</v>
          </cell>
          <cell r="O233">
            <v>40297.698372262203</v>
          </cell>
          <cell r="P233">
            <v>42526.662179644067</v>
          </cell>
          <cell r="Q233">
            <v>45750.688997447731</v>
          </cell>
          <cell r="R233">
            <v>46627.471007780034</v>
          </cell>
          <cell r="S233">
            <v>48104.663147852298</v>
          </cell>
          <cell r="T233">
            <v>50478.844583575272</v>
          </cell>
          <cell r="U233">
            <v>53194.884624247505</v>
          </cell>
          <cell r="V233">
            <v>56617.620592401901</v>
          </cell>
          <cell r="W233">
            <v>59923.157134890702</v>
          </cell>
          <cell r="X233">
            <v>63973.486449511773</v>
          </cell>
          <cell r="Y233">
            <v>66181.538107032015</v>
          </cell>
          <cell r="Z233">
            <v>66453.563269918333</v>
          </cell>
          <cell r="AA233">
            <v>66959.267579956038</v>
          </cell>
          <cell r="AB233">
            <v>66094.364426773463</v>
          </cell>
          <cell r="AC233">
            <v>65334.982685483985</v>
          </cell>
          <cell r="AD233">
            <v>65811.632936669848</v>
          </cell>
          <cell r="AE233">
            <v>67051.855449590992</v>
          </cell>
        </row>
        <row r="236">
          <cell r="G236">
            <v>365235.87759901345</v>
          </cell>
          <cell r="H236">
            <v>354859.62782446295</v>
          </cell>
          <cell r="I236">
            <v>359099.12116031331</v>
          </cell>
          <cell r="J236">
            <v>363684.89253116085</v>
          </cell>
          <cell r="K236">
            <v>371183.65691280959</v>
          </cell>
          <cell r="L236">
            <v>393810.14448577375</v>
          </cell>
          <cell r="M236">
            <v>392919.76472724194</v>
          </cell>
          <cell r="N236">
            <v>416337.28299488511</v>
          </cell>
          <cell r="O236">
            <v>415847.40765335562</v>
          </cell>
          <cell r="P236">
            <v>440930.75205977412</v>
          </cell>
          <cell r="Q236">
            <v>462610.57949277834</v>
          </cell>
          <cell r="R236">
            <v>464545.80548638868</v>
          </cell>
          <cell r="S236">
            <v>474100.778496566</v>
          </cell>
          <cell r="T236">
            <v>490120.37038982578</v>
          </cell>
          <cell r="U236">
            <v>507824.3128671766</v>
          </cell>
          <cell r="V236">
            <v>523265.66056981642</v>
          </cell>
          <cell r="W236">
            <v>547621.81359517598</v>
          </cell>
          <cell r="X236">
            <v>577195.13074333861</v>
          </cell>
          <cell r="Y236">
            <v>597901.31757310289</v>
          </cell>
          <cell r="Z236">
            <v>606724.96847552957</v>
          </cell>
          <cell r="AA236">
            <v>621130.50828699535</v>
          </cell>
          <cell r="AB236">
            <v>615303.10013566166</v>
          </cell>
          <cell r="AC236">
            <v>604685.27239587845</v>
          </cell>
          <cell r="AD236">
            <v>611946.42316720472</v>
          </cell>
          <cell r="AE236">
            <v>621775.7724142184</v>
          </cell>
        </row>
        <row r="237">
          <cell r="G237">
            <v>128508.91989594916</v>
          </cell>
          <cell r="H237">
            <v>159878.80401357694</v>
          </cell>
          <cell r="I237">
            <v>161788.86949021256</v>
          </cell>
          <cell r="J237">
            <v>163854.9474116308</v>
          </cell>
          <cell r="K237">
            <v>167233.44805501943</v>
          </cell>
          <cell r="L237">
            <v>177427.60791020317</v>
          </cell>
          <cell r="M237">
            <v>177026.45534239855</v>
          </cell>
          <cell r="N237">
            <v>187577.00694092782</v>
          </cell>
          <cell r="O237">
            <v>187356.29802512456</v>
          </cell>
          <cell r="P237">
            <v>198657.37256252611</v>
          </cell>
          <cell r="Q237">
            <v>208425.02323177626</v>
          </cell>
          <cell r="R237">
            <v>209296.92184490184</v>
          </cell>
          <cell r="S237">
            <v>213601.82873615521</v>
          </cell>
          <cell r="T237">
            <v>220819.31134577713</v>
          </cell>
          <cell r="U237">
            <v>228795.66291599342</v>
          </cell>
          <cell r="V237">
            <v>235752.62282205813</v>
          </cell>
          <cell r="W237">
            <v>246726.06784295075</v>
          </cell>
          <cell r="X237">
            <v>260050.0590936582</v>
          </cell>
          <cell r="Y237">
            <v>269379.04477264325</v>
          </cell>
          <cell r="Z237">
            <v>274246.47257606586</v>
          </cell>
          <cell r="AA237">
            <v>283323.60322947107</v>
          </cell>
          <cell r="AB237">
            <v>282176.62280447973</v>
          </cell>
          <cell r="AC237">
            <v>278788.25314832455</v>
          </cell>
          <cell r="AD237">
            <v>283474.80692722125</v>
          </cell>
          <cell r="AE237">
            <v>289306.68472038873</v>
          </cell>
        </row>
        <row r="238">
          <cell r="G238">
            <v>182617.93879950672</v>
          </cell>
          <cell r="H238">
            <v>187597.13911690007</v>
          </cell>
          <cell r="I238">
            <v>189838.35439964873</v>
          </cell>
          <cell r="J238">
            <v>192262.63014803207</v>
          </cell>
          <cell r="K238">
            <v>196226.86455117722</v>
          </cell>
          <cell r="L238">
            <v>208188.39526396897</v>
          </cell>
          <cell r="M238">
            <v>207717.6945070184</v>
          </cell>
          <cell r="N238">
            <v>220097.40492705166</v>
          </cell>
          <cell r="O238">
            <v>219838.43150379052</v>
          </cell>
          <cell r="P238">
            <v>233098.78371397682</v>
          </cell>
          <cell r="Q238">
            <v>244559.86095151352</v>
          </cell>
          <cell r="R238">
            <v>245582.9214280509</v>
          </cell>
          <cell r="S238">
            <v>250634.17398117352</v>
          </cell>
          <cell r="T238">
            <v>259102.95818021009</v>
          </cell>
          <cell r="U238">
            <v>268462.17714857374</v>
          </cell>
          <cell r="V238">
            <v>276625.27158364275</v>
          </cell>
          <cell r="W238">
            <v>289501.19284710946</v>
          </cell>
          <cell r="X238">
            <v>305135.17669927207</v>
          </cell>
          <cell r="Y238">
            <v>316081.53719425993</v>
          </cell>
          <cell r="Z238">
            <v>318864.90587520832</v>
          </cell>
          <cell r="AA238">
            <v>321024.71413024032</v>
          </cell>
          <cell r="AB238">
            <v>314825.8482508192</v>
          </cell>
          <cell r="AC238">
            <v>306269.79725356057</v>
          </cell>
          <cell r="AD238">
            <v>307123.92753089877</v>
          </cell>
          <cell r="AE238">
            <v>309360.53101240424</v>
          </cell>
        </row>
        <row r="239">
          <cell r="G239">
            <v>22826.038376498713</v>
          </cell>
          <cell r="H239">
            <v>37085.098831852469</v>
          </cell>
          <cell r="I239">
            <v>37893.103890682374</v>
          </cell>
          <cell r="J239">
            <v>38462.381555532207</v>
          </cell>
          <cell r="K239">
            <v>38969.129623895285</v>
          </cell>
          <cell r="L239">
            <v>41122.671401230393</v>
          </cell>
          <cell r="M239">
            <v>41185.78757641455</v>
          </cell>
          <cell r="N239">
            <v>44212.728429698531</v>
          </cell>
          <cell r="O239">
            <v>44951.843483761288</v>
          </cell>
          <cell r="P239">
            <v>48023.926933948365</v>
          </cell>
          <cell r="Q239">
            <v>50150.466781839837</v>
          </cell>
          <cell r="R239">
            <v>50124.859380140115</v>
          </cell>
          <cell r="S239">
            <v>50689.163852827936</v>
          </cell>
          <cell r="T239">
            <v>51823.573400304151</v>
          </cell>
          <cell r="U239">
            <v>52861.045289321017</v>
          </cell>
          <cell r="V239">
            <v>54320.35492645581</v>
          </cell>
          <cell r="W239">
            <v>56926.871894878575</v>
          </cell>
          <cell r="X239">
            <v>59891.068626553875</v>
          </cell>
          <cell r="Y239">
            <v>62046.543913457623</v>
          </cell>
          <cell r="Z239">
            <v>63939.99342109407</v>
          </cell>
          <cell r="AA239">
            <v>65822.79068051881</v>
          </cell>
          <cell r="AB239">
            <v>65849.37613974858</v>
          </cell>
          <cell r="AC239">
            <v>65246.726750042319</v>
          </cell>
          <cell r="AD239">
            <v>66564.13506297869</v>
          </cell>
          <cell r="AE239">
            <v>68260.473116669134</v>
          </cell>
        </row>
        <row r="240">
          <cell r="G240">
            <v>73043.322804795869</v>
          </cell>
          <cell r="H240">
            <v>68495.559377511716</v>
          </cell>
          <cell r="I240">
            <v>69987.931252677838</v>
          </cell>
          <cell r="J240">
            <v>71039.377610467272</v>
          </cell>
          <cell r="K240">
            <v>71975.332845840443</v>
          </cell>
          <cell r="L240">
            <v>75952.888611573333</v>
          </cell>
          <cell r="M240">
            <v>76069.463135066151</v>
          </cell>
          <cell r="N240">
            <v>81660.172435542656</v>
          </cell>
          <cell r="O240">
            <v>83025.305620219151</v>
          </cell>
          <cell r="P240">
            <v>88699.392544701768</v>
          </cell>
          <cell r="Q240">
            <v>92627.076196842638</v>
          </cell>
          <cell r="R240">
            <v>92579.779752748451</v>
          </cell>
          <cell r="S240">
            <v>93622.040707511944</v>
          </cell>
          <cell r="T240">
            <v>95717.276232429431</v>
          </cell>
          <cell r="U240">
            <v>97633.469518009108</v>
          </cell>
          <cell r="V240">
            <v>100328.79009282413</v>
          </cell>
          <cell r="W240">
            <v>105142.983485933</v>
          </cell>
          <cell r="X240">
            <v>110617.80543966891</v>
          </cell>
          <cell r="Y240">
            <v>114598.93236534574</v>
          </cell>
          <cell r="Z240">
            <v>115858.64768204739</v>
          </cell>
          <cell r="AA240">
            <v>116478.30055393775</v>
          </cell>
          <cell r="AB240">
            <v>114286.39036749169</v>
          </cell>
          <cell r="AC240">
            <v>111201.59592874881</v>
          </cell>
          <cell r="AD240">
            <v>111549.77156105102</v>
          </cell>
          <cell r="AE240">
            <v>112441.44112659105</v>
          </cell>
        </row>
        <row r="241">
          <cell r="G241">
            <v>18260.830701198967</v>
          </cell>
          <cell r="H241">
            <v>17123.889844377929</v>
          </cell>
          <cell r="I241">
            <v>17496.982813169459</v>
          </cell>
          <cell r="J241">
            <v>17759.844402616818</v>
          </cell>
          <cell r="K241">
            <v>17993.833211460111</v>
          </cell>
          <cell r="L241">
            <v>18988.222152893333</v>
          </cell>
          <cell r="M241">
            <v>19017.365783766538</v>
          </cell>
          <cell r="N241">
            <v>20415.043108885664</v>
          </cell>
          <cell r="O241">
            <v>20756.326405054788</v>
          </cell>
          <cell r="P241">
            <v>22174.848136175442</v>
          </cell>
          <cell r="Q241">
            <v>23156.769049210659</v>
          </cell>
          <cell r="R241">
            <v>23144.944938187113</v>
          </cell>
          <cell r="S241">
            <v>23405.510176877986</v>
          </cell>
          <cell r="T241">
            <v>23929.319058107358</v>
          </cell>
          <cell r="U241">
            <v>24408.367379502277</v>
          </cell>
          <cell r="V241">
            <v>25082.197523206032</v>
          </cell>
          <cell r="W241">
            <v>26285.74587148325</v>
          </cell>
          <cell r="X241">
            <v>27654.451359917228</v>
          </cell>
          <cell r="Y241">
            <v>28649.733091336435</v>
          </cell>
          <cell r="Z241">
            <v>30793.004144602553</v>
          </cell>
          <cell r="AA241">
            <v>33283.211347743643</v>
          </cell>
          <cell r="AB241">
            <v>34566.484046841208</v>
          </cell>
          <cell r="AC241">
            <v>35406.47476373057</v>
          </cell>
          <cell r="AD241">
            <v>37197.32778087561</v>
          </cell>
          <cell r="AE241">
            <v>39251.843081514526</v>
          </cell>
        </row>
        <row r="242">
          <cell r="G242">
            <v>38043.397294164519</v>
          </cell>
          <cell r="H242">
            <v>33061.397754723999</v>
          </cell>
          <cell r="I242">
            <v>33781.73496506628</v>
          </cell>
          <cell r="J242">
            <v>34289.246496741514</v>
          </cell>
          <cell r="K242">
            <v>34741.012838946874</v>
          </cell>
          <cell r="L242">
            <v>36660.897200175481</v>
          </cell>
          <cell r="M242">
            <v>36717.165325062553</v>
          </cell>
          <cell r="N242">
            <v>39415.685719579902</v>
          </cell>
          <cell r="O242">
            <v>40074.60743095701</v>
          </cell>
          <cell r="P242">
            <v>42813.372489743997</v>
          </cell>
          <cell r="Q242">
            <v>44709.184607467789</v>
          </cell>
          <cell r="R242">
            <v>44686.35558665546</v>
          </cell>
          <cell r="S242">
            <v>45189.43351320739</v>
          </cell>
          <cell r="T242">
            <v>46200.760608112003</v>
          </cell>
          <cell r="U242">
            <v>47125.667696472541</v>
          </cell>
          <cell r="V242">
            <v>48426.643502937863</v>
          </cell>
          <cell r="W242">
            <v>50750.35563966936</v>
          </cell>
          <cell r="X242">
            <v>53392.939595384662</v>
          </cell>
          <cell r="Y242">
            <v>55314.547682069737</v>
          </cell>
          <cell r="Z242">
            <v>56206.338067598081</v>
          </cell>
          <cell r="AA242">
            <v>56867.860447024854</v>
          </cell>
          <cell r="AB242">
            <v>56094.0735060183</v>
          </cell>
          <cell r="AC242">
            <v>54855.157088644417</v>
          </cell>
          <cell r="AD242">
            <v>55287.638953758076</v>
          </cell>
          <cell r="AE242">
            <v>56002.286494712542</v>
          </cell>
        </row>
        <row r="243">
          <cell r="G243">
            <v>4628.0563230687512</v>
          </cell>
          <cell r="H243">
            <v>4701.4044369701423</v>
          </cell>
          <cell r="I243">
            <v>4765.7538702829233</v>
          </cell>
          <cell r="J243">
            <v>4856.2183556535629</v>
          </cell>
          <cell r="K243">
            <v>4946.6084717631393</v>
          </cell>
          <cell r="L243">
            <v>5278.2857012813538</v>
          </cell>
          <cell r="M243">
            <v>5357.0931278130192</v>
          </cell>
          <cell r="N243">
            <v>5747.3914872416699</v>
          </cell>
          <cell r="O243">
            <v>5732.4673645938337</v>
          </cell>
          <cell r="P243">
            <v>6142.1880301032079</v>
          </cell>
          <cell r="Q243">
            <v>6440.7376439136387</v>
          </cell>
          <cell r="R243">
            <v>6446.5319933809833</v>
          </cell>
          <cell r="S243">
            <v>6508.8716791976822</v>
          </cell>
          <cell r="T243">
            <v>6604.0308077340533</v>
          </cell>
          <cell r="U243">
            <v>6726.1553145885591</v>
          </cell>
          <cell r="V243">
            <v>6888.1269957209943</v>
          </cell>
          <cell r="W243">
            <v>7236.5674433278036</v>
          </cell>
          <cell r="X243">
            <v>7730.2118587169389</v>
          </cell>
          <cell r="Y243">
            <v>8038.0237502793789</v>
          </cell>
          <cell r="Z243">
            <v>8252.3093205514033</v>
          </cell>
          <cell r="AA243">
            <v>8409.382277396091</v>
          </cell>
          <cell r="AB243">
            <v>8362.9356517854412</v>
          </cell>
          <cell r="AC243">
            <v>8292.2030909308778</v>
          </cell>
          <cell r="AD243">
            <v>8458.0331189855751</v>
          </cell>
          <cell r="AE243">
            <v>8650.3301626552002</v>
          </cell>
        </row>
        <row r="244">
          <cell r="G244">
            <v>15523.354711945038</v>
          </cell>
          <cell r="H244">
            <v>15769.377817555918</v>
          </cell>
          <cell r="I244">
            <v>15985.217688356061</v>
          </cell>
          <cell r="J244">
            <v>16288.652261578984</v>
          </cell>
          <cell r="K244">
            <v>16591.837386580326</v>
          </cell>
          <cell r="L244">
            <v>17704.344003671897</v>
          </cell>
          <cell r="M244">
            <v>17968.678651002941</v>
          </cell>
          <cell r="N244">
            <v>19277.81135250035</v>
          </cell>
          <cell r="O244">
            <v>19227.753091871116</v>
          </cell>
          <cell r="P244">
            <v>20602.031791076501</v>
          </cell>
          <cell r="Q244">
            <v>21603.422273554581</v>
          </cell>
          <cell r="R244">
            <v>21622.857590635365</v>
          </cell>
          <cell r="S244">
            <v>21831.956397566515</v>
          </cell>
          <cell r="T244">
            <v>22151.137670055909</v>
          </cell>
          <cell r="U244">
            <v>22560.765796117001</v>
          </cell>
          <cell r="V244">
            <v>23104.048695889851</v>
          </cell>
          <cell r="W244">
            <v>24222.842301479006</v>
          </cell>
          <cell r="X244">
            <v>25741.472768522566</v>
          </cell>
          <cell r="Y244">
            <v>26592.666617849558</v>
          </cell>
          <cell r="Z244">
            <v>27217.575877861957</v>
          </cell>
          <cell r="AA244">
            <v>27703.370878767415</v>
          </cell>
          <cell r="AB244">
            <v>27506.937031022229</v>
          </cell>
          <cell r="AC244">
            <v>27126.465394959287</v>
          </cell>
          <cell r="AD244">
            <v>27532.444745598816</v>
          </cell>
          <cell r="AE244">
            <v>28038.123006593294</v>
          </cell>
        </row>
        <row r="245">
          <cell r="G245">
            <v>42989.038650593269</v>
          </cell>
          <cell r="H245">
            <v>46177.524094383676</v>
          </cell>
          <cell r="I245">
            <v>48049.097799709365</v>
          </cell>
          <cell r="J245">
            <v>50221.351556134323</v>
          </cell>
          <cell r="K245">
            <v>53009.132948004757</v>
          </cell>
          <cell r="L245">
            <v>57640.128982233764</v>
          </cell>
          <cell r="M245">
            <v>59025.056673692248</v>
          </cell>
          <cell r="N245">
            <v>64140.796106645364</v>
          </cell>
          <cell r="O245">
            <v>65738.378600449563</v>
          </cell>
          <cell r="P245">
            <v>72214.596280012745</v>
          </cell>
          <cell r="Q245">
            <v>79060.97595669709</v>
          </cell>
          <cell r="R245">
            <v>81293.356899375809</v>
          </cell>
          <cell r="S245">
            <v>84841.963710676544</v>
          </cell>
          <cell r="T245">
            <v>88452.881885079623</v>
          </cell>
          <cell r="U245">
            <v>92105.077335115246</v>
          </cell>
          <cell r="V245">
            <v>97065.846332970599</v>
          </cell>
          <cell r="W245">
            <v>102052.43951083547</v>
          </cell>
          <cell r="X245">
            <v>109775.5245398815</v>
          </cell>
          <cell r="Y245">
            <v>114575.40812346498</v>
          </cell>
          <cell r="Z245">
            <v>118916.91832645051</v>
          </cell>
          <cell r="AA245">
            <v>122334.77011979968</v>
          </cell>
          <cell r="AB245">
            <v>122593.4152380662</v>
          </cell>
          <cell r="AC245">
            <v>121709.85508655623</v>
          </cell>
          <cell r="AD245">
            <v>124569.45637297981</v>
          </cell>
          <cell r="AE245">
            <v>128234.69570832193</v>
          </cell>
        </row>
        <row r="246">
          <cell r="G246">
            <v>33299.04878638684</v>
          </cell>
          <cell r="H246">
            <v>30330.448544332252</v>
          </cell>
          <cell r="I246">
            <v>30989.602297357953</v>
          </cell>
          <cell r="J246">
            <v>31454.007198291205</v>
          </cell>
          <cell r="K246">
            <v>31867.401752508187</v>
          </cell>
          <cell r="L246">
            <v>33627.757716878958</v>
          </cell>
          <cell r="M246">
            <v>33678.283068356512</v>
          </cell>
          <cell r="N246">
            <v>36151.728628515026</v>
          </cell>
          <cell r="O246">
            <v>36753.502636978956</v>
          </cell>
          <cell r="P246">
            <v>39263.465870843895</v>
          </cell>
          <cell r="Q246">
            <v>41001.093157340103</v>
          </cell>
          <cell r="R246">
            <v>40978.97325122216</v>
          </cell>
          <cell r="S246">
            <v>41438.624077021566</v>
          </cell>
          <cell r="T246">
            <v>42363.69971619008</v>
          </cell>
          <cell r="U246">
            <v>43210.133146248801</v>
          </cell>
          <cell r="V246">
            <v>44401.32382270151</v>
          </cell>
          <cell r="W246">
            <v>46342.560297745775</v>
          </cell>
          <cell r="X246">
            <v>48642.611386782039</v>
          </cell>
          <cell r="Y246">
            <v>50263.175879098308</v>
          </cell>
          <cell r="Z246">
            <v>50977.817961385736</v>
          </cell>
          <cell r="AA246">
            <v>51339.024248911577</v>
          </cell>
          <cell r="AB246">
            <v>50538.39378639061</v>
          </cell>
          <cell r="AC246">
            <v>49436.659552163255</v>
          </cell>
          <cell r="AD246">
            <v>49738.779482392318</v>
          </cell>
          <cell r="AE246">
            <v>50267.876249741275</v>
          </cell>
        </row>
        <row r="247">
          <cell r="G247">
            <v>10691.658369472056</v>
          </cell>
          <cell r="H247">
            <v>15762.991449869804</v>
          </cell>
          <cell r="I247">
            <v>16105.559247965732</v>
          </cell>
          <cell r="J247">
            <v>16346.914415265306</v>
          </cell>
          <cell r="K247">
            <v>16561.759072574627</v>
          </cell>
          <cell r="L247">
            <v>17476.631003154402</v>
          </cell>
          <cell r="M247">
            <v>17502.889457004119</v>
          </cell>
          <cell r="N247">
            <v>18788.360100786689</v>
          </cell>
          <cell r="O247">
            <v>19101.107158790332</v>
          </cell>
          <cell r="P247">
            <v>20405.55634743558</v>
          </cell>
          <cell r="Q247">
            <v>21308.615991280461</v>
          </cell>
          <cell r="R247">
            <v>21297.120088392661</v>
          </cell>
          <cell r="S247">
            <v>21536.004522508803</v>
          </cell>
          <cell r="T247">
            <v>22016.774181070974</v>
          </cell>
          <cell r="U247">
            <v>22456.672816311991</v>
          </cell>
          <cell r="V247">
            <v>23075.744717627389</v>
          </cell>
          <cell r="W247">
            <v>24084.621784300914</v>
          </cell>
          <cell r="X247">
            <v>25279.97785026049</v>
          </cell>
          <cell r="Y247">
            <v>26122.198966740394</v>
          </cell>
          <cell r="Z247">
            <v>26801.516390175642</v>
          </cell>
          <cell r="AA247">
            <v>27292.56324226594</v>
          </cell>
          <cell r="AB247">
            <v>27183.612671531475</v>
          </cell>
          <cell r="AC247">
            <v>26965.245592442159</v>
          </cell>
          <cell r="AD247">
            <v>27407.916763462723</v>
          </cell>
          <cell r="AE247">
            <v>27972.689694185861</v>
          </cell>
        </row>
        <row r="248">
          <cell r="G248">
            <v>112714.25036667172</v>
          </cell>
          <cell r="H248">
            <v>114141.16481280299</v>
          </cell>
          <cell r="I248">
            <v>115190.36661142894</v>
          </cell>
          <cell r="J248">
            <v>116520.75449208662</v>
          </cell>
          <cell r="K248">
            <v>117639.50338136432</v>
          </cell>
          <cell r="L248">
            <v>125133.03018357205</v>
          </cell>
          <cell r="M248">
            <v>125028.1219180683</v>
          </cell>
          <cell r="N248">
            <v>132782.30628235237</v>
          </cell>
          <cell r="O248">
            <v>132776.26779086614</v>
          </cell>
          <cell r="P248">
            <v>140250.1217333712</v>
          </cell>
          <cell r="Q248">
            <v>146590.53423395441</v>
          </cell>
          <cell r="R248">
            <v>146845.81875868811</v>
          </cell>
          <cell r="S248">
            <v>147443.91759888123</v>
          </cell>
          <cell r="T248">
            <v>149119.28301449967</v>
          </cell>
          <cell r="U248">
            <v>151298.35382192422</v>
          </cell>
          <cell r="V248">
            <v>153935.93009441264</v>
          </cell>
          <cell r="W248">
            <v>164146.30188532348</v>
          </cell>
          <cell r="X248">
            <v>174886.41228830878</v>
          </cell>
          <cell r="Y248">
            <v>184122.16950487869</v>
          </cell>
          <cell r="Z248">
            <v>222578.6043170327</v>
          </cell>
          <cell r="AA248">
            <v>270108.4559566789</v>
          </cell>
          <cell r="AB248">
            <v>303077.22933959612</v>
          </cell>
          <cell r="AC248">
            <v>330226.38848079956</v>
          </cell>
          <cell r="AD248">
            <v>364736.77247703593</v>
          </cell>
          <cell r="AE248">
            <v>402666.75528648176</v>
          </cell>
        </row>
        <row r="249">
          <cell r="G249">
            <v>14752.415649731582</v>
          </cell>
          <cell r="H249">
            <v>14949.486256197217</v>
          </cell>
          <cell r="I249">
            <v>15653.173296422536</v>
          </cell>
          <cell r="J249">
            <v>16126.238339946436</v>
          </cell>
          <cell r="K249">
            <v>16429.953298851924</v>
          </cell>
          <cell r="L249">
            <v>17486.291276105734</v>
          </cell>
          <cell r="M249">
            <v>17416.657106211544</v>
          </cell>
          <cell r="N249">
            <v>18528.371104601782</v>
          </cell>
          <cell r="O249">
            <v>18478.233325586072</v>
          </cell>
          <cell r="P249">
            <v>19711.765341966311</v>
          </cell>
          <cell r="Q249">
            <v>20744.547614122177</v>
          </cell>
          <cell r="R249">
            <v>21201.557636324564</v>
          </cell>
          <cell r="S249">
            <v>21869.370611957627</v>
          </cell>
          <cell r="T249">
            <v>22409.704663340748</v>
          </cell>
          <cell r="U249">
            <v>23146.437011872487</v>
          </cell>
          <cell r="V249">
            <v>23754.6214532173</v>
          </cell>
          <cell r="W249">
            <v>24638.42210750085</v>
          </cell>
          <cell r="X249">
            <v>25998.629422016213</v>
          </cell>
          <cell r="Y249">
            <v>27022.019736324251</v>
          </cell>
          <cell r="Z249">
            <v>27815.476693020497</v>
          </cell>
          <cell r="AA249">
            <v>28513.040758287032</v>
          </cell>
          <cell r="AB249">
            <v>28522.892788035613</v>
          </cell>
          <cell r="AC249">
            <v>28160.258081621505</v>
          </cell>
          <cell r="AD249">
            <v>28635.095426973003</v>
          </cell>
          <cell r="AE249">
            <v>29323.666041989127</v>
          </cell>
        </row>
        <row r="250">
          <cell r="G250">
            <v>34875.560548544068</v>
          </cell>
          <cell r="H250">
            <v>35490.215717743871</v>
          </cell>
          <cell r="I250">
            <v>36041.055471905849</v>
          </cell>
          <cell r="J250">
            <v>36987.832605266187</v>
          </cell>
          <cell r="K250">
            <v>37609.896544160554</v>
          </cell>
          <cell r="L250">
            <v>39880.544867932578</v>
          </cell>
          <cell r="M250">
            <v>40403.524766928334</v>
          </cell>
          <cell r="N250">
            <v>43318.517315310317</v>
          </cell>
          <cell r="O250">
            <v>43477.324084102991</v>
          </cell>
          <cell r="P250">
            <v>46102.792950617768</v>
          </cell>
          <cell r="Q250">
            <v>48157.744443856565</v>
          </cell>
          <cell r="R250">
            <v>48381.995246132137</v>
          </cell>
          <cell r="S250">
            <v>49049.199908716473</v>
          </cell>
          <cell r="T250">
            <v>50428.752236485008</v>
          </cell>
          <cell r="U250">
            <v>51749.10969971741</v>
          </cell>
          <cell r="V250">
            <v>53283.685692529973</v>
          </cell>
          <cell r="W250">
            <v>55740.603359634508</v>
          </cell>
          <cell r="X250">
            <v>58846.279199835903</v>
          </cell>
          <cell r="Y250">
            <v>60989.003348343955</v>
          </cell>
          <cell r="Z250">
            <v>66855.58838065021</v>
          </cell>
          <cell r="AA250">
            <v>70982.670891079164</v>
          </cell>
          <cell r="AB250">
            <v>72875.175932513535</v>
          </cell>
          <cell r="AC250">
            <v>74055.453637505809</v>
          </cell>
          <cell r="AD250">
            <v>77727.363212703494</v>
          </cell>
          <cell r="AE250">
            <v>81944.81933887284</v>
          </cell>
        </row>
        <row r="251">
          <cell r="G251">
            <v>95092.731567875642</v>
          </cell>
          <cell r="H251">
            <v>96766.415545228316</v>
          </cell>
          <cell r="I251">
            <v>98266.332436564364</v>
          </cell>
          <cell r="J251">
            <v>100844.37260873445</v>
          </cell>
          <cell r="K251">
            <v>102538.23040020447</v>
          </cell>
          <cell r="L251">
            <v>108726.98855621848</v>
          </cell>
          <cell r="M251">
            <v>110149.4485241012</v>
          </cell>
          <cell r="N251">
            <v>118093.70785323142</v>
          </cell>
          <cell r="O251">
            <v>118524.17778565657</v>
          </cell>
          <cell r="P251">
            <v>125679.56328821628</v>
          </cell>
          <cell r="Q251">
            <v>131279.82577985615</v>
          </cell>
          <cell r="R251">
            <v>131888.41597728548</v>
          </cell>
          <cell r="S251">
            <v>133704.03605860649</v>
          </cell>
          <cell r="T251">
            <v>137459.9244662337</v>
          </cell>
          <cell r="U251">
            <v>141055.35189563283</v>
          </cell>
          <cell r="V251">
            <v>145235.13322236884</v>
          </cell>
          <cell r="W251">
            <v>153068.71128711573</v>
          </cell>
          <cell r="X251">
            <v>162786.7828709142</v>
          </cell>
          <cell r="Y251">
            <v>169902.61285857085</v>
          </cell>
          <cell r="Z251">
            <v>177924.99831106921</v>
          </cell>
          <cell r="AA251">
            <v>183099.6511936677</v>
          </cell>
          <cell r="AB251">
            <v>183290.58023238834</v>
          </cell>
          <cell r="AC251">
            <v>181910.0452579376</v>
          </cell>
          <cell r="AD251">
            <v>186440.59700101402</v>
          </cell>
          <cell r="AE251">
            <v>192071.4052546951</v>
          </cell>
        </row>
        <row r="252">
          <cell r="G252">
            <v>20269.095261833754</v>
          </cell>
          <cell r="H252">
            <v>20530.532236312658</v>
          </cell>
          <cell r="I252">
            <v>20719.297673345118</v>
          </cell>
          <cell r="J252">
            <v>20905.426610008475</v>
          </cell>
          <cell r="K252">
            <v>21238.400627835614</v>
          </cell>
          <cell r="L252">
            <v>22707.133589089823</v>
          </cell>
          <cell r="M252">
            <v>22914.0953188536</v>
          </cell>
          <cell r="N252">
            <v>24446.984147439664</v>
          </cell>
          <cell r="O252">
            <v>24508.760457259279</v>
          </cell>
          <cell r="P252">
            <v>26182.572155659302</v>
          </cell>
          <cell r="Q252">
            <v>27665.032170520342</v>
          </cell>
          <cell r="R252">
            <v>27944.373484518161</v>
          </cell>
          <cell r="S252">
            <v>28737.453154020208</v>
          </cell>
          <cell r="T252">
            <v>29887.275798005736</v>
          </cell>
          <cell r="U252">
            <v>31124.852838925988</v>
          </cell>
          <cell r="V252">
            <v>32286.30287308092</v>
          </cell>
          <cell r="W252">
            <v>34084.157085432591</v>
          </cell>
          <cell r="X252">
            <v>36026.430975225201</v>
          </cell>
          <cell r="Y252">
            <v>37766.179529638641</v>
          </cell>
          <cell r="Z252">
            <v>38453.867170200647</v>
          </cell>
          <cell r="AA252">
            <v>38998.349356101215</v>
          </cell>
          <cell r="AB252">
            <v>38753.276478936947</v>
          </cell>
          <cell r="AC252">
            <v>38078.707519783769</v>
          </cell>
          <cell r="AD252">
            <v>38623.220290712226</v>
          </cell>
          <cell r="AE252">
            <v>39376.63752481604</v>
          </cell>
        </row>
        <row r="253">
          <cell r="G253">
            <v>111590.53378044043</v>
          </cell>
          <cell r="H253">
            <v>113029.8625297102</v>
          </cell>
          <cell r="I253">
            <v>114069.10160800362</v>
          </cell>
          <cell r="J253">
            <v>115093.82555971152</v>
          </cell>
          <cell r="K253">
            <v>116926.99807700257</v>
          </cell>
          <cell r="L253">
            <v>125013.03709404237</v>
          </cell>
          <cell r="M253">
            <v>126152.45499099954</v>
          </cell>
          <cell r="N253">
            <v>134591.7010648037</v>
          </cell>
          <cell r="O253">
            <v>134931.80758158234</v>
          </cell>
          <cell r="P253">
            <v>144146.89776985085</v>
          </cell>
          <cell r="Q253">
            <v>152308.51042347541</v>
          </cell>
          <cell r="R253">
            <v>153846.41065697235</v>
          </cell>
          <cell r="S253">
            <v>158212.67281652676</v>
          </cell>
          <cell r="T253">
            <v>164542.96634653877</v>
          </cell>
          <cell r="U253">
            <v>171356.38750849618</v>
          </cell>
          <cell r="V253">
            <v>177750.69507853885</v>
          </cell>
          <cell r="W253">
            <v>186860.74176010364</v>
          </cell>
          <cell r="X253">
            <v>198849.0352817431</v>
          </cell>
          <cell r="Y253">
            <v>207459.88509259641</v>
          </cell>
          <cell r="Z253">
            <v>210238.94541030767</v>
          </cell>
          <cell r="AA253">
            <v>212559.78193989891</v>
          </cell>
          <cell r="AB253">
            <v>209370.44418938732</v>
          </cell>
          <cell r="AC253">
            <v>204710.6763606098</v>
          </cell>
          <cell r="AD253">
            <v>206356.08182021734</v>
          </cell>
          <cell r="AE253">
            <v>208941.43593905578</v>
          </cell>
        </row>
        <row r="256">
          <cell r="G256">
            <v>41700.08658172701</v>
          </cell>
          <cell r="H256">
            <v>42703.510343600574</v>
          </cell>
          <cell r="I256">
            <v>44257.002746285623</v>
          </cell>
          <cell r="J256">
            <v>46606.120598262525</v>
          </cell>
          <cell r="K256">
            <v>48934.561178675896</v>
          </cell>
          <cell r="L256">
            <v>49695.768483822583</v>
          </cell>
          <cell r="M256">
            <v>49546.517070036483</v>
          </cell>
          <cell r="N256">
            <v>52273.811962574538</v>
          </cell>
          <cell r="O256">
            <v>52585.807956194207</v>
          </cell>
          <cell r="P256">
            <v>56289.490101634299</v>
          </cell>
          <cell r="Q256">
            <v>59687.816054859606</v>
          </cell>
          <cell r="R256">
            <v>62488.410252297035</v>
          </cell>
          <cell r="S256">
            <v>66288.542174939212</v>
          </cell>
          <cell r="T256">
            <v>70860.892025420588</v>
          </cell>
          <cell r="U256">
            <v>78425.921481403377</v>
          </cell>
          <cell r="V256">
            <v>82710.375879353072</v>
          </cell>
          <cell r="W256">
            <v>87029.28237334211</v>
          </cell>
          <cell r="X256">
            <v>91919.753724823735</v>
          </cell>
          <cell r="Y256">
            <v>97412.530517584542</v>
          </cell>
          <cell r="Z256">
            <v>101803.61807623306</v>
          </cell>
          <cell r="AA256">
            <v>106254.40114189948</v>
          </cell>
          <cell r="AB256">
            <v>108563.77406324894</v>
          </cell>
          <cell r="AC256">
            <v>110216.79388037193</v>
          </cell>
          <cell r="AD256">
            <v>113386.61374144799</v>
          </cell>
          <cell r="AE256">
            <v>117712.63216067546</v>
          </cell>
        </row>
        <row r="257">
          <cell r="G257">
            <v>14672.252686163205</v>
          </cell>
          <cell r="H257">
            <v>19239.68134321988</v>
          </cell>
          <cell r="I257">
            <v>19939.593330695461</v>
          </cell>
          <cell r="J257">
            <v>20997.967186756636</v>
          </cell>
          <cell r="K257">
            <v>22047.02508465117</v>
          </cell>
          <cell r="L257">
            <v>22389.980168889302</v>
          </cell>
          <cell r="M257">
            <v>22322.736290852939</v>
          </cell>
          <cell r="N257">
            <v>23551.49440088233</v>
          </cell>
          <cell r="O257">
            <v>23692.06138119155</v>
          </cell>
          <cell r="P257">
            <v>25360.721959712802</v>
          </cell>
          <cell r="Q257">
            <v>26891.807060548002</v>
          </cell>
          <cell r="R257">
            <v>28153.589511143226</v>
          </cell>
          <cell r="S257">
            <v>29865.70466667843</v>
          </cell>
          <cell r="T257">
            <v>31925.735643175518</v>
          </cell>
          <cell r="U257">
            <v>35334.09141800685</v>
          </cell>
          <cell r="V257">
            <v>37264.413695563177</v>
          </cell>
          <cell r="W257">
            <v>39210.258054186605</v>
          </cell>
          <cell r="X257">
            <v>41413.615803083063</v>
          </cell>
          <cell r="Y257">
            <v>43888.336834956921</v>
          </cell>
          <cell r="Z257">
            <v>49736.807319184532</v>
          </cell>
          <cell r="AA257">
            <v>56142.539444000598</v>
          </cell>
          <cell r="AB257">
            <v>60827.935304007333</v>
          </cell>
          <cell r="AC257">
            <v>65095.991258090726</v>
          </cell>
          <cell r="AD257">
            <v>69834.495854563807</v>
          </cell>
          <cell r="AE257">
            <v>75291.428799324145</v>
          </cell>
        </row>
        <row r="258">
          <cell r="G258">
            <v>20850.043290863505</v>
          </cell>
          <cell r="H258">
            <v>22575.282569679115</v>
          </cell>
          <cell r="I258">
            <v>23396.538941304792</v>
          </cell>
          <cell r="J258">
            <v>24638.404044926261</v>
          </cell>
          <cell r="K258">
            <v>25869.338074156876</v>
          </cell>
          <cell r="L258">
            <v>26271.751596359642</v>
          </cell>
          <cell r="M258">
            <v>26192.849585423435</v>
          </cell>
          <cell r="N258">
            <v>27634.638617624529</v>
          </cell>
          <cell r="O258">
            <v>27799.575824423198</v>
          </cell>
          <cell r="P258">
            <v>29757.533620136724</v>
          </cell>
          <cell r="Q258">
            <v>31554.064351232275</v>
          </cell>
          <cell r="R258">
            <v>33034.603184256543</v>
          </cell>
          <cell r="S258">
            <v>35043.549316914716</v>
          </cell>
          <cell r="T258">
            <v>37460.729755981731</v>
          </cell>
          <cell r="U258">
            <v>41459.995302130206</v>
          </cell>
          <cell r="V258">
            <v>43724.979325981389</v>
          </cell>
          <cell r="W258">
            <v>46008.176508351571</v>
          </cell>
          <cell r="X258">
            <v>48593.532413997003</v>
          </cell>
          <cell r="Y258">
            <v>51497.298104241556</v>
          </cell>
          <cell r="Z258">
            <v>52757.518908787002</v>
          </cell>
          <cell r="AA258">
            <v>53903.877954527678</v>
          </cell>
          <cell r="AB258">
            <v>54125.33752447724</v>
          </cell>
          <cell r="AC258">
            <v>54033.163247066717</v>
          </cell>
          <cell r="AD258">
            <v>54801.231162971046</v>
          </cell>
          <cell r="AE258">
            <v>56126.369631058922</v>
          </cell>
        </row>
        <row r="259">
          <cell r="G259">
            <v>3084.9199261436966</v>
          </cell>
          <cell r="H259">
            <v>5192.3238248352354</v>
          </cell>
          <cell r="I259">
            <v>5441.9087153135188</v>
          </cell>
          <cell r="J259">
            <v>5708.9913981860245</v>
          </cell>
          <cell r="K259">
            <v>5939.2683798155113</v>
          </cell>
          <cell r="L259">
            <v>5907.767503560216</v>
          </cell>
          <cell r="M259">
            <v>5893.8371432833674</v>
          </cell>
          <cell r="N259">
            <v>6195.5678689534261</v>
          </cell>
          <cell r="O259">
            <v>6123.6377703355965</v>
          </cell>
          <cell r="P259">
            <v>6556.9250028957049</v>
          </cell>
          <cell r="Q259">
            <v>6960.5527448298462</v>
          </cell>
          <cell r="R259">
            <v>7163.8361106454095</v>
          </cell>
          <cell r="S259">
            <v>7643.6281214589717</v>
          </cell>
          <cell r="T259">
            <v>8227.1598087030998</v>
          </cell>
          <cell r="U259">
            <v>8657.9336583136501</v>
          </cell>
          <cell r="V259">
            <v>9040.8792984394131</v>
          </cell>
          <cell r="W259">
            <v>9412.5989064156402</v>
          </cell>
          <cell r="X259">
            <v>9908.961078993003</v>
          </cell>
          <cell r="Y259">
            <v>10279.707681731243</v>
          </cell>
          <cell r="Z259">
            <v>10839.759702525946</v>
          </cell>
          <cell r="AA259">
            <v>11663.103603960732</v>
          </cell>
          <cell r="AB259">
            <v>12117.020713681366</v>
          </cell>
          <cell r="AC259">
            <v>12408.832497687614</v>
          </cell>
          <cell r="AD259">
            <v>12917.727582640358</v>
          </cell>
          <cell r="AE259">
            <v>13578.615297081387</v>
          </cell>
        </row>
        <row r="260">
          <cell r="G260">
            <v>9871.7437636598297</v>
          </cell>
          <cell r="H260">
            <v>9590.1355545478818</v>
          </cell>
          <cell r="I260">
            <v>10051.114686975101</v>
          </cell>
          <cell r="J260">
            <v>10544.41195028686</v>
          </cell>
          <cell r="K260">
            <v>10969.729696910446</v>
          </cell>
          <cell r="L260">
            <v>10911.548103549427</v>
          </cell>
          <cell r="M260">
            <v>10885.818960320785</v>
          </cell>
          <cell r="N260">
            <v>11443.110581137555</v>
          </cell>
          <cell r="O260">
            <v>11310.256887980453</v>
          </cell>
          <cell r="P260">
            <v>12110.53118413112</v>
          </cell>
          <cell r="Q260">
            <v>12856.024895484399</v>
          </cell>
          <cell r="R260">
            <v>13231.48588365146</v>
          </cell>
          <cell r="S260">
            <v>14117.653730056369</v>
          </cell>
          <cell r="T260">
            <v>15195.427029610313</v>
          </cell>
          <cell r="U260">
            <v>15991.059149348286</v>
          </cell>
          <cell r="V260">
            <v>16698.353363407765</v>
          </cell>
          <cell r="W260">
            <v>17384.91328321179</v>
          </cell>
          <cell r="X260">
            <v>18301.685942189361</v>
          </cell>
          <cell r="Y260">
            <v>18986.448737537681</v>
          </cell>
          <cell r="Z260">
            <v>19186.457357777792</v>
          </cell>
          <cell r="AA260">
            <v>19421.389500806956</v>
          </cell>
          <cell r="AB260">
            <v>19309.143644282176</v>
          </cell>
          <cell r="AC260">
            <v>19047.886232108558</v>
          </cell>
          <cell r="AD260">
            <v>19147.291907871771</v>
          </cell>
          <cell r="AE260">
            <v>19450.207372063909</v>
          </cell>
        </row>
        <row r="261">
          <cell r="G261">
            <v>2467.9359409149574</v>
          </cell>
          <cell r="H261">
            <v>2397.5338886369705</v>
          </cell>
          <cell r="I261">
            <v>2512.7786717437752</v>
          </cell>
          <cell r="J261">
            <v>2636.1029875717149</v>
          </cell>
          <cell r="K261">
            <v>2742.4324242276116</v>
          </cell>
          <cell r="L261">
            <v>2727.8870258873567</v>
          </cell>
          <cell r="M261">
            <v>2721.4547400801962</v>
          </cell>
          <cell r="N261">
            <v>2860.7776452843887</v>
          </cell>
          <cell r="O261">
            <v>2827.5642219951133</v>
          </cell>
          <cell r="P261">
            <v>3027.6327960327799</v>
          </cell>
          <cell r="Q261">
            <v>3214.0062238710998</v>
          </cell>
          <cell r="R261">
            <v>3307.8714709128649</v>
          </cell>
          <cell r="S261">
            <v>3529.4134325140922</v>
          </cell>
          <cell r="T261">
            <v>3798.8567574025783</v>
          </cell>
          <cell r="U261">
            <v>3997.7647873370715</v>
          </cell>
          <cell r="V261">
            <v>4174.5883408519412</v>
          </cell>
          <cell r="W261">
            <v>4346.2283208029476</v>
          </cell>
          <cell r="X261">
            <v>4575.4214855473401</v>
          </cell>
          <cell r="Y261">
            <v>4746.6121843844203</v>
          </cell>
          <cell r="Z261">
            <v>5696.4113678519134</v>
          </cell>
          <cell r="AA261">
            <v>7141.6915145381108</v>
          </cell>
          <cell r="AB261">
            <v>8138.7616941484803</v>
          </cell>
          <cell r="AC261">
            <v>8936.3970229625047</v>
          </cell>
          <cell r="AD261">
            <v>9867.6418435425585</v>
          </cell>
          <cell r="AE261">
            <v>10933.03441460919</v>
          </cell>
        </row>
        <row r="262">
          <cell r="G262">
            <v>5141.5332102394941</v>
          </cell>
          <cell r="H262">
            <v>4628.9611906538521</v>
          </cell>
          <cell r="I262">
            <v>4851.4663368605652</v>
          </cell>
          <cell r="J262">
            <v>5089.5707801541757</v>
          </cell>
          <cell r="K262">
            <v>5294.8629088856933</v>
          </cell>
          <cell r="L262">
            <v>5266.7798503984886</v>
          </cell>
          <cell r="M262">
            <v>5254.3609221365559</v>
          </cell>
          <cell r="N262">
            <v>5523.3541256178196</v>
          </cell>
          <cell r="O262">
            <v>5459.2283803495338</v>
          </cell>
          <cell r="P262">
            <v>5845.504323759169</v>
          </cell>
          <cell r="Q262">
            <v>6205.3388055662963</v>
          </cell>
          <cell r="R262">
            <v>6386.5661024010788</v>
          </cell>
          <cell r="S262">
            <v>6814.3010959349658</v>
          </cell>
          <cell r="T262">
            <v>7334.5201009303946</v>
          </cell>
          <cell r="U262">
            <v>7718.5553612618451</v>
          </cell>
          <cell r="V262">
            <v>8059.9517313791303</v>
          </cell>
          <cell r="W262">
            <v>8391.3400841041475</v>
          </cell>
          <cell r="X262">
            <v>8833.8473912138234</v>
          </cell>
          <cell r="Y262">
            <v>9164.3683089257556</v>
          </cell>
          <cell r="Z262">
            <v>9427.4013538185536</v>
          </cell>
          <cell r="AA262">
            <v>9797.3565548521656</v>
          </cell>
          <cell r="AB262">
            <v>9932.861944815053</v>
          </cell>
          <cell r="AC262">
            <v>9966.4333527343661</v>
          </cell>
          <cell r="AD262">
            <v>10182.127978430055</v>
          </cell>
          <cell r="AE262">
            <v>10511.460426461397</v>
          </cell>
        </row>
        <row r="263">
          <cell r="G263">
            <v>38695.862157504649</v>
          </cell>
          <cell r="H263">
            <v>39188.4671848789</v>
          </cell>
          <cell r="I263">
            <v>39741.214823901777</v>
          </cell>
          <cell r="J263">
            <v>40107.89074653374</v>
          </cell>
          <cell r="K263">
            <v>41756.080499778414</v>
          </cell>
          <cell r="L263">
            <v>42655.293736363157</v>
          </cell>
          <cell r="M263">
            <v>41788.422279535007</v>
          </cell>
          <cell r="N263">
            <v>42758.588014985733</v>
          </cell>
          <cell r="O263">
            <v>42675.647914828987</v>
          </cell>
          <cell r="P263">
            <v>44698.188170030255</v>
          </cell>
          <cell r="Q263">
            <v>46622.423951739962</v>
          </cell>
          <cell r="R263">
            <v>47476.187309589091</v>
          </cell>
          <cell r="S263">
            <v>47987.913010357173</v>
          </cell>
          <cell r="T263">
            <v>48926.548887985504</v>
          </cell>
          <cell r="U263">
            <v>49631.181693389517</v>
          </cell>
          <cell r="V263">
            <v>51502.693953272537</v>
          </cell>
          <cell r="W263">
            <v>53982.101264314697</v>
          </cell>
          <cell r="X263">
            <v>56987.497434832425</v>
          </cell>
          <cell r="Y263">
            <v>57959.733733594301</v>
          </cell>
          <cell r="Z263">
            <v>59424.072963241932</v>
          </cell>
          <cell r="AA263">
            <v>62248.204735016327</v>
          </cell>
          <cell r="AB263">
            <v>63461.255420553018</v>
          </cell>
          <cell r="AC263">
            <v>63503.996144116907</v>
          </cell>
          <cell r="AD263">
            <v>64899.250469511047</v>
          </cell>
          <cell r="AE263">
            <v>67021.594229596027</v>
          </cell>
        </row>
        <row r="264">
          <cell r="G264">
            <v>15817.337232070206</v>
          </cell>
          <cell r="H264">
            <v>16018.694674591499</v>
          </cell>
          <cell r="I264">
            <v>16244.636036876404</v>
          </cell>
          <cell r="J264">
            <v>16394.518644467444</v>
          </cell>
          <cell r="K264">
            <v>17068.233395760493</v>
          </cell>
          <cell r="L264">
            <v>17435.796184482177</v>
          </cell>
          <cell r="M264">
            <v>17081.453435541836</v>
          </cell>
          <cell r="N264">
            <v>17478.018798168017</v>
          </cell>
          <cell r="O264">
            <v>17444.116167212251</v>
          </cell>
          <cell r="P264">
            <v>18270.850590436661</v>
          </cell>
          <cell r="Q264">
            <v>19057.402034863284</v>
          </cell>
          <cell r="R264">
            <v>19406.386711636154</v>
          </cell>
          <cell r="S264">
            <v>19615.559928824609</v>
          </cell>
          <cell r="T264">
            <v>19999.237133227925</v>
          </cell>
          <cell r="U264">
            <v>20287.263141344494</v>
          </cell>
          <cell r="V264">
            <v>21052.263296348981</v>
          </cell>
          <cell r="W264">
            <v>22167.22763662495</v>
          </cell>
          <cell r="X264">
            <v>23362.862099979786</v>
          </cell>
          <cell r="Y264">
            <v>23744.685317019321</v>
          </cell>
          <cell r="Z264">
            <v>23996.322284808713</v>
          </cell>
          <cell r="AA264">
            <v>23948.878801276289</v>
          </cell>
          <cell r="AB264">
            <v>23807.88839224822</v>
          </cell>
          <cell r="AC264">
            <v>23579.111074955865</v>
          </cell>
          <cell r="AD264">
            <v>23808.133708016674</v>
          </cell>
          <cell r="AE264">
            <v>24242.268569309461</v>
          </cell>
        </row>
        <row r="265">
          <cell r="G265">
            <v>5322.184838687871</v>
          </cell>
          <cell r="H265">
            <v>5545.0304646425429</v>
          </cell>
          <cell r="I265">
            <v>5646.0717363855647</v>
          </cell>
          <cell r="J265">
            <v>5772.714861515663</v>
          </cell>
          <cell r="K265">
            <v>5942.4333319450498</v>
          </cell>
          <cell r="L265">
            <v>6101.6843781988837</v>
          </cell>
          <cell r="M265">
            <v>5984.6208573422091</v>
          </cell>
          <cell r="N265">
            <v>6060.5218777927839</v>
          </cell>
          <cell r="O265">
            <v>5984.088884824102</v>
          </cell>
          <cell r="P265">
            <v>6250.5787353942815</v>
          </cell>
          <cell r="Q265">
            <v>6572.719636686692</v>
          </cell>
          <cell r="R265">
            <v>6621.4012106557939</v>
          </cell>
          <cell r="S265">
            <v>7007.3620811741166</v>
          </cell>
          <cell r="T265">
            <v>7493.6319939120322</v>
          </cell>
          <cell r="U265">
            <v>7852.5601573598751</v>
          </cell>
          <cell r="V265">
            <v>8244.2529789954897</v>
          </cell>
          <cell r="W265">
            <v>8590.1003647840844</v>
          </cell>
          <cell r="X265">
            <v>8791.169223543573</v>
          </cell>
          <cell r="Y265">
            <v>9001.664162895453</v>
          </cell>
          <cell r="Z265">
            <v>9312.348144124393</v>
          </cell>
          <cell r="AA265">
            <v>9600.2460714418157</v>
          </cell>
          <cell r="AB265">
            <v>9649.7064927956617</v>
          </cell>
          <cell r="AC265">
            <v>9594.2324440334487</v>
          </cell>
          <cell r="AD265">
            <v>9674.6836717986062</v>
          </cell>
          <cell r="AE265">
            <v>9849.4812135498341</v>
          </cell>
        </row>
        <row r="266">
          <cell r="G266">
            <v>40188.47897715179</v>
          </cell>
          <cell r="H266">
            <v>37894.786608260598</v>
          </cell>
          <cell r="I266">
            <v>39692.417744606828</v>
          </cell>
          <cell r="J266">
            <v>41616.076447625463</v>
          </cell>
          <cell r="K266">
            <v>43274.642682815946</v>
          </cell>
          <cell r="L266">
            <v>43037.119273569937</v>
          </cell>
          <cell r="M266">
            <v>42915.311055033781</v>
          </cell>
          <cell r="N266">
            <v>45084.536114695635</v>
          </cell>
          <cell r="O266">
            <v>44539.564838901228</v>
          </cell>
          <cell r="P266">
            <v>47662.286009123229</v>
          </cell>
          <cell r="Q266">
            <v>50573.227173981133</v>
          </cell>
          <cell r="R266">
            <v>52028.353540521784</v>
          </cell>
          <cell r="S266">
            <v>55480.383681701147</v>
          </cell>
          <cell r="T266">
            <v>59679.121785217372</v>
          </cell>
          <cell r="U266">
            <v>62780.458365300248</v>
          </cell>
          <cell r="V266">
            <v>65538.345071305797</v>
          </cell>
          <cell r="W266">
            <v>66650.46253738238</v>
          </cell>
          <cell r="X266">
            <v>67942.572302651621</v>
          </cell>
          <cell r="Y266">
            <v>68392.695694490918</v>
          </cell>
          <cell r="Z266">
            <v>68988.233738220995</v>
          </cell>
          <cell r="AA266">
            <v>69484.825010124769</v>
          </cell>
          <cell r="AB266">
            <v>68888.699697287899</v>
          </cell>
          <cell r="AC266">
            <v>67780.569700880937</v>
          </cell>
          <cell r="AD266">
            <v>67936.197356717166</v>
          </cell>
          <cell r="AE266">
            <v>68764.752407722292</v>
          </cell>
        </row>
        <row r="267">
          <cell r="G267">
            <v>1188.7545350603505</v>
          </cell>
          <cell r="H267">
            <v>1814.3315151782574</v>
          </cell>
          <cell r="I267">
            <v>1900.3987322087844</v>
          </cell>
          <cell r="J267">
            <v>1992.499913445489</v>
          </cell>
          <cell r="K267">
            <v>2071.9089630760959</v>
          </cell>
          <cell r="L267">
            <v>2060.5367864375899</v>
          </cell>
          <cell r="M267">
            <v>2054.7048367295088</v>
          </cell>
          <cell r="N267">
            <v>2158.5632758848569</v>
          </cell>
          <cell r="O267">
            <v>2132.4710703590135</v>
          </cell>
          <cell r="P267">
            <v>2281.9811201401903</v>
          </cell>
          <cell r="Q267">
            <v>2421.3515393175903</v>
          </cell>
          <cell r="R267">
            <v>2491.0202684932815</v>
          </cell>
          <cell r="S267">
            <v>2656.2970159581087</v>
          </cell>
          <cell r="T267">
            <v>2857.3247442295396</v>
          </cell>
          <cell r="U267">
            <v>3005.8109398265065</v>
          </cell>
          <cell r="V267">
            <v>3137.8533977435613</v>
          </cell>
          <cell r="W267">
            <v>3191.0995022312723</v>
          </cell>
          <cell r="X267">
            <v>3252.9633013979505</v>
          </cell>
          <cell r="Y267">
            <v>3274.5143676165139</v>
          </cell>
          <cell r="Z267">
            <v>3365.3187326417874</v>
          </cell>
          <cell r="AA267">
            <v>3474.0116701583424</v>
          </cell>
          <cell r="AB267">
            <v>3512.953897458478</v>
          </cell>
          <cell r="AC267">
            <v>3516.3128897770621</v>
          </cell>
          <cell r="AD267">
            <v>3581.1158402421911</v>
          </cell>
          <cell r="AE267">
            <v>3680.4791879235472</v>
          </cell>
        </row>
        <row r="268">
          <cell r="G268">
            <v>3849.7950827751201</v>
          </cell>
          <cell r="H268">
            <v>3906.2891171259025</v>
          </cell>
          <cell r="I268">
            <v>3961.8719573742533</v>
          </cell>
          <cell r="J268">
            <v>4034.5396870432041</v>
          </cell>
          <cell r="K268">
            <v>4138.6436132460585</v>
          </cell>
          <cell r="L268">
            <v>4100.6830786251285</v>
          </cell>
          <cell r="M268">
            <v>4035.3829999262734</v>
          </cell>
          <cell r="N268">
            <v>4110.6521986094058</v>
          </cell>
          <cell r="O268">
            <v>4006.1320247028834</v>
          </cell>
          <cell r="P268">
            <v>4254.9883579236111</v>
          </cell>
          <cell r="Q268">
            <v>4437.9947273019006</v>
          </cell>
          <cell r="R268">
            <v>4680.7221218276991</v>
          </cell>
          <cell r="S268">
            <v>4828.4799985370428</v>
          </cell>
          <cell r="T268">
            <v>5017.4618558662078</v>
          </cell>
          <cell r="U268">
            <v>5345.4511655331662</v>
          </cell>
          <cell r="V268">
            <v>5516.9923667331486</v>
          </cell>
          <cell r="W268">
            <v>5867.6518045882958</v>
          </cell>
          <cell r="X268">
            <v>6329.7630600932562</v>
          </cell>
          <cell r="Y268">
            <v>6722.9459400846354</v>
          </cell>
          <cell r="Z268">
            <v>6861.7784227451157</v>
          </cell>
          <cell r="AA268">
            <v>6955.8284829545846</v>
          </cell>
          <cell r="AB268">
            <v>6957.0865987713378</v>
          </cell>
          <cell r="AC268">
            <v>6912.3452832716694</v>
          </cell>
          <cell r="AD268">
            <v>6996.4987096325658</v>
          </cell>
          <cell r="AE268">
            <v>7149.722042615902</v>
          </cell>
        </row>
        <row r="269">
          <cell r="G269">
            <v>534.44742790618818</v>
          </cell>
          <cell r="H269">
            <v>549.59350482299533</v>
          </cell>
          <cell r="I269">
            <v>558.80354351382152</v>
          </cell>
          <cell r="J269">
            <v>563.62274980553275</v>
          </cell>
          <cell r="K269">
            <v>587.5147936961863</v>
          </cell>
          <cell r="L269">
            <v>579.97784016970309</v>
          </cell>
          <cell r="M269">
            <v>560.90805620046797</v>
          </cell>
          <cell r="N269">
            <v>573.68000690966471</v>
          </cell>
          <cell r="O269">
            <v>553.53475886949707</v>
          </cell>
          <cell r="P269">
            <v>576.68826299924194</v>
          </cell>
          <cell r="Q269">
            <v>617.12387357911405</v>
          </cell>
          <cell r="R269">
            <v>611.47974591985735</v>
          </cell>
          <cell r="S269">
            <v>612.49116303855203</v>
          </cell>
          <cell r="T269">
            <v>617.39099685506926</v>
          </cell>
          <cell r="U269">
            <v>625.42155541820807</v>
          </cell>
          <cell r="V269">
            <v>634.89317973156528</v>
          </cell>
          <cell r="W269">
            <v>649.66639439859387</v>
          </cell>
          <cell r="X269">
            <v>664.18689457805033</v>
          </cell>
          <cell r="Y269">
            <v>675.222447049018</v>
          </cell>
          <cell r="Z269">
            <v>689.29368563316996</v>
          </cell>
          <cell r="AA269">
            <v>708.88049415932687</v>
          </cell>
          <cell r="AB269">
            <v>715.26417571277989</v>
          </cell>
          <cell r="AC269">
            <v>712.08311568624777</v>
          </cell>
          <cell r="AD269">
            <v>720.56979461845128</v>
          </cell>
          <cell r="AE269">
            <v>738.00039313122193</v>
          </cell>
        </row>
        <row r="270">
          <cell r="G270">
            <v>3115.2089672205038</v>
          </cell>
          <cell r="H270">
            <v>3197.5651166446492</v>
          </cell>
          <cell r="I270">
            <v>3229.0497286223444</v>
          </cell>
          <cell r="J270">
            <v>3272.3257565644481</v>
          </cell>
          <cell r="K270">
            <v>3286.9654885929872</v>
          </cell>
          <cell r="L270">
            <v>3293.264126133221</v>
          </cell>
          <cell r="M270">
            <v>3300.0809674539782</v>
          </cell>
          <cell r="N270">
            <v>3451.930911696365</v>
          </cell>
          <cell r="O270">
            <v>3297.3681869148945</v>
          </cell>
          <cell r="P270">
            <v>3489.5232829070401</v>
          </cell>
          <cell r="Q270">
            <v>3673.2929341504673</v>
          </cell>
          <cell r="R270">
            <v>3717.6174958107317</v>
          </cell>
          <cell r="S270">
            <v>3800.0880835238581</v>
          </cell>
          <cell r="T270">
            <v>3887.0650904153217</v>
          </cell>
          <cell r="U270">
            <v>4056.124578585614</v>
          </cell>
          <cell r="V270">
            <v>4194.5406633190933</v>
          </cell>
          <cell r="W270">
            <v>4344.0884180067906</v>
          </cell>
          <cell r="X270">
            <v>4474.3387921523226</v>
          </cell>
          <cell r="Y270">
            <v>4678.5785905776456</v>
          </cell>
          <cell r="Z270">
            <v>5141.8087527319158</v>
          </cell>
          <cell r="AA270">
            <v>5563.8893544924167</v>
          </cell>
          <cell r="AB270">
            <v>5764.1241758474371</v>
          </cell>
          <cell r="AC270">
            <v>5987.6855187118917</v>
          </cell>
          <cell r="AD270">
            <v>6250.8438285058528</v>
          </cell>
          <cell r="AE270">
            <v>6624.8401927575715</v>
          </cell>
        </row>
        <row r="271">
          <cell r="G271">
            <v>11420.491920913755</v>
          </cell>
          <cell r="H271">
            <v>11592.720625003223</v>
          </cell>
          <cell r="I271">
            <v>11658.563357544677</v>
          </cell>
          <cell r="J271">
            <v>11749.065090113814</v>
          </cell>
          <cell r="K271">
            <v>11779.680679758576</v>
          </cell>
          <cell r="L271">
            <v>11687.872839212228</v>
          </cell>
          <cell r="M271">
            <v>11490.221763086443</v>
          </cell>
          <cell r="N271">
            <v>11768.452142521628</v>
          </cell>
          <cell r="O271">
            <v>11179.822225067792</v>
          </cell>
          <cell r="P271">
            <v>11601.176974790342</v>
          </cell>
          <cell r="Q271">
            <v>12023.171597635273</v>
          </cell>
          <cell r="R271">
            <v>12026.872322236679</v>
          </cell>
          <cell r="S271">
            <v>12163.184919060364</v>
          </cell>
          <cell r="T271">
            <v>12304.230792458153</v>
          </cell>
          <cell r="U271">
            <v>12644.901097631564</v>
          </cell>
          <cell r="V271">
            <v>12931.671530017473</v>
          </cell>
          <cell r="W271">
            <v>13317.881753484435</v>
          </cell>
          <cell r="X271">
            <v>13653.779577349764</v>
          </cell>
          <cell r="Y271">
            <v>14138.492855194008</v>
          </cell>
          <cell r="Z271">
            <v>14622.668209005438</v>
          </cell>
          <cell r="AA271">
            <v>15006.014751748147</v>
          </cell>
          <cell r="AB271">
            <v>15029.928175957646</v>
          </cell>
          <cell r="AC271">
            <v>15034.086030244467</v>
          </cell>
          <cell r="AD271">
            <v>15245.007781740544</v>
          </cell>
          <cell r="AE271">
            <v>15663.703138796815</v>
          </cell>
        </row>
        <row r="272">
          <cell r="G272">
            <v>3691.5192148666688</v>
          </cell>
          <cell r="H272">
            <v>3753.6667501636275</v>
          </cell>
          <cell r="I272">
            <v>3908.1283727573941</v>
          </cell>
          <cell r="J272">
            <v>3990.3782404125386</v>
          </cell>
          <cell r="K272">
            <v>4054.2488327687715</v>
          </cell>
          <cell r="L272">
            <v>4020.6948301558132</v>
          </cell>
          <cell r="M272">
            <v>3920.8513231352058</v>
          </cell>
          <cell r="N272">
            <v>4041.18327816493</v>
          </cell>
          <cell r="O272">
            <v>3904.2872844354733</v>
          </cell>
          <cell r="P272">
            <v>3990.4226943218055</v>
          </cell>
          <cell r="Q272">
            <v>4159.7894375329506</v>
          </cell>
          <cell r="R272">
            <v>4196.5362378426089</v>
          </cell>
          <cell r="S272">
            <v>4339.6995561507783</v>
          </cell>
          <cell r="T272">
            <v>4479.5142833859791</v>
          </cell>
          <cell r="U272">
            <v>4693.9937824858698</v>
          </cell>
          <cell r="V272">
            <v>4845.6041433523815</v>
          </cell>
          <cell r="W272">
            <v>4995.1928652936713</v>
          </cell>
          <cell r="X272">
            <v>5242.7236629585241</v>
          </cell>
          <cell r="Y272">
            <v>5545.2672924388035</v>
          </cell>
          <cell r="Z272">
            <v>5673.8896302172889</v>
          </cell>
          <cell r="AA272">
            <v>5924.0874725941449</v>
          </cell>
          <cell r="AB272">
            <v>5934.4464396809926</v>
          </cell>
          <cell r="AC272">
            <v>5912.4372921907834</v>
          </cell>
          <cell r="AD272">
            <v>6006.6769874874071</v>
          </cell>
          <cell r="AE272">
            <v>6164.8604393322439</v>
          </cell>
        </row>
        <row r="273">
          <cell r="G273">
            <v>17497.207948601801</v>
          </cell>
          <cell r="H273">
            <v>17791.777280438058</v>
          </cell>
          <cell r="I273">
            <v>18901.054967077107</v>
          </cell>
          <cell r="J273">
            <v>19491.738538742164</v>
          </cell>
          <cell r="K273">
            <v>19950.42997123814</v>
          </cell>
          <cell r="L273">
            <v>19905.594194185171</v>
          </cell>
          <cell r="M273">
            <v>19584.467713881531</v>
          </cell>
          <cell r="N273">
            <v>20522.118178496305</v>
          </cell>
          <cell r="O273">
            <v>20034.834221414225</v>
          </cell>
          <cell r="P273">
            <v>20616.976813630718</v>
          </cell>
          <cell r="Q273">
            <v>21762.89295682016</v>
          </cell>
          <cell r="R273">
            <v>22193.060520158731</v>
          </cell>
          <cell r="S273">
            <v>23288.74802317745</v>
          </cell>
          <cell r="T273">
            <v>24369.151315222582</v>
          </cell>
          <cell r="U273">
            <v>25933.512365323673</v>
          </cell>
          <cell r="V273">
            <v>27027.347784204048</v>
          </cell>
          <cell r="W273">
            <v>28045.729928476008</v>
          </cell>
          <cell r="X273">
            <v>28851.325810615399</v>
          </cell>
          <cell r="Y273">
            <v>28873.897229677121</v>
          </cell>
          <cell r="Z273">
            <v>29028.51577124407</v>
          </cell>
          <cell r="AA273">
            <v>28959.754956209981</v>
          </cell>
          <cell r="AB273">
            <v>28706.819769662256</v>
          </cell>
          <cell r="AC273">
            <v>28180.95717693547</v>
          </cell>
          <cell r="AD273">
            <v>28203.027422428651</v>
          </cell>
          <cell r="AE273">
            <v>28506.77394470897</v>
          </cell>
        </row>
        <row r="276">
          <cell r="G276">
            <v>53708.756626847957</v>
          </cell>
          <cell r="H276">
            <v>50349.464058565485</v>
          </cell>
          <cell r="I276">
            <v>50585.765733522334</v>
          </cell>
          <cell r="J276">
            <v>50756.917170227302</v>
          </cell>
          <cell r="K276">
            <v>50890.56319950617</v>
          </cell>
          <cell r="L276">
            <v>50409.683971895211</v>
          </cell>
          <cell r="M276">
            <v>49748.857660934671</v>
          </cell>
          <cell r="N276">
            <v>51074.418525560905</v>
          </cell>
          <cell r="O276">
            <v>50637.294229816769</v>
          </cell>
          <cell r="P276">
            <v>51882.363343747689</v>
          </cell>
          <cell r="Q276">
            <v>53040.286432316985</v>
          </cell>
          <cell r="R276">
            <v>53738.485192411041</v>
          </cell>
          <cell r="S276">
            <v>55949.769545049654</v>
          </cell>
          <cell r="T276">
            <v>57329.270888827872</v>
          </cell>
          <cell r="U276">
            <v>59883.340093594605</v>
          </cell>
          <cell r="V276">
            <v>62238.988957004687</v>
          </cell>
          <cell r="W276">
            <v>64365.633187934131</v>
          </cell>
          <cell r="X276">
            <v>65570.953790492698</v>
          </cell>
          <cell r="Y276">
            <v>67305.727422033131</v>
          </cell>
          <cell r="Z276">
            <v>68196.039917622096</v>
          </cell>
          <cell r="AA276">
            <v>68883.240349581378</v>
          </cell>
          <cell r="AB276">
            <v>68252.643635550878</v>
          </cell>
          <cell r="AC276">
            <v>68712.851087571893</v>
          </cell>
          <cell r="AD276">
            <v>69589.365365579099</v>
          </cell>
          <cell r="AE276">
            <v>71181.30416701932</v>
          </cell>
        </row>
        <row r="277">
          <cell r="G277">
            <v>18897.525479816875</v>
          </cell>
          <cell r="H277">
            <v>22684.496812891877</v>
          </cell>
          <cell r="I277">
            <v>22790.96040079034</v>
          </cell>
          <cell r="J277">
            <v>22868.071136585651</v>
          </cell>
          <cell r="K277">
            <v>22928.284149413474</v>
          </cell>
          <cell r="L277">
            <v>22711.628351579398</v>
          </cell>
          <cell r="M277">
            <v>22413.899018702621</v>
          </cell>
          <cell r="N277">
            <v>23011.11850794945</v>
          </cell>
          <cell r="O277">
            <v>22814.176099940669</v>
          </cell>
          <cell r="P277">
            <v>23375.130757053677</v>
          </cell>
          <cell r="Q277">
            <v>23896.822558612297</v>
          </cell>
          <cell r="R277">
            <v>24211.389711297299</v>
          </cell>
          <cell r="S277">
            <v>25207.663927671896</v>
          </cell>
          <cell r="T277">
            <v>25829.18581318625</v>
          </cell>
          <cell r="U277">
            <v>26979.898652314874</v>
          </cell>
          <cell r="V277">
            <v>28041.214996658913</v>
          </cell>
          <cell r="W277">
            <v>28999.35536976318</v>
          </cell>
          <cell r="X277">
            <v>29542.401693661457</v>
          </cell>
          <cell r="Y277">
            <v>30323.988303401613</v>
          </cell>
          <cell r="Z277">
            <v>31006.105312805237</v>
          </cell>
          <cell r="AA277">
            <v>31737.357087980727</v>
          </cell>
          <cell r="AB277">
            <v>31853.529467166318</v>
          </cell>
          <cell r="AC277">
            <v>32575.680823859493</v>
          </cell>
          <cell r="AD277">
            <v>33518.523530953906</v>
          </cell>
          <cell r="AE277">
            <v>34882.341931854091</v>
          </cell>
        </row>
        <row r="278">
          <cell r="G278">
            <v>26854.378313423978</v>
          </cell>
          <cell r="H278">
            <v>26617.32886145165</v>
          </cell>
          <cell r="I278">
            <v>26742.250139372747</v>
          </cell>
          <cell r="J278">
            <v>26832.72963426046</v>
          </cell>
          <cell r="K278">
            <v>26903.381832428946</v>
          </cell>
          <cell r="L278">
            <v>26649.16421992223</v>
          </cell>
          <cell r="M278">
            <v>26299.817279134986</v>
          </cell>
          <cell r="N278">
            <v>27000.577259789123</v>
          </cell>
          <cell r="O278">
            <v>26769.490765608803</v>
          </cell>
          <cell r="P278">
            <v>27427.698646872188</v>
          </cell>
          <cell r="Q278">
            <v>28039.836635250114</v>
          </cell>
          <cell r="R278">
            <v>28408.940584131567</v>
          </cell>
          <cell r="S278">
            <v>29577.939776494393</v>
          </cell>
          <cell r="T278">
            <v>30307.215482179141</v>
          </cell>
          <cell r="U278">
            <v>31657.428463177443</v>
          </cell>
          <cell r="V278">
            <v>32902.746196978107</v>
          </cell>
          <cell r="W278">
            <v>34027.00024663622</v>
          </cell>
          <cell r="X278">
            <v>34664.19501050633</v>
          </cell>
          <cell r="Y278">
            <v>35581.286008678158</v>
          </cell>
          <cell r="Z278">
            <v>36083.497426165137</v>
          </cell>
          <cell r="AA278">
            <v>36494.12300096816</v>
          </cell>
          <cell r="AB278">
            <v>36205.695140698299</v>
          </cell>
          <cell r="AC278">
            <v>36506.780251500866</v>
          </cell>
          <cell r="AD278">
            <v>37031.665828922414</v>
          </cell>
          <cell r="AE278">
            <v>37945.836580810574</v>
          </cell>
        </row>
        <row r="279">
          <cell r="G279">
            <v>2899.3137186553386</v>
          </cell>
          <cell r="H279">
            <v>4653.2063275829678</v>
          </cell>
          <cell r="I279">
            <v>4722.1827958588665</v>
          </cell>
          <cell r="J279">
            <v>4803.0505198635774</v>
          </cell>
          <cell r="K279">
            <v>4864.1054718609148</v>
          </cell>
          <cell r="L279">
            <v>4847.1465088239911</v>
          </cell>
          <cell r="M279">
            <v>4921.2901977497777</v>
          </cell>
          <cell r="N279">
            <v>5132.826898850004</v>
          </cell>
          <cell r="O279">
            <v>5165.3941277993135</v>
          </cell>
          <cell r="P279">
            <v>5307.180926289423</v>
          </cell>
          <cell r="Q279">
            <v>5413.9324826064094</v>
          </cell>
          <cell r="R279">
            <v>5527.7892431994651</v>
          </cell>
          <cell r="S279">
            <v>5793.8879649185292</v>
          </cell>
          <cell r="T279">
            <v>6012.6273752844645</v>
          </cell>
          <cell r="U279">
            <v>6396.3583829453282</v>
          </cell>
          <cell r="V279">
            <v>6644.3243452930392</v>
          </cell>
          <cell r="W279">
            <v>6897.2765527024421</v>
          </cell>
          <cell r="X279">
            <v>7099.8649378566442</v>
          </cell>
          <cell r="Y279">
            <v>7280.7841604239902</v>
          </cell>
          <cell r="Z279">
            <v>7440.8024860006608</v>
          </cell>
          <cell r="AA279">
            <v>7753.3183815559305</v>
          </cell>
          <cell r="AB279">
            <v>7831.6449985303652</v>
          </cell>
          <cell r="AC279">
            <v>8006.5157584517292</v>
          </cell>
          <cell r="AD279">
            <v>8228.1687845852503</v>
          </cell>
          <cell r="AE279">
            <v>8541.3880336494094</v>
          </cell>
        </row>
        <row r="280">
          <cell r="G280">
            <v>9277.8038996970827</v>
          </cell>
          <cell r="H280">
            <v>8594.3945235766678</v>
          </cell>
          <cell r="I280">
            <v>8721.7929107257623</v>
          </cell>
          <cell r="J280">
            <v>8871.1542489927488</v>
          </cell>
          <cell r="K280">
            <v>8983.9217276176933</v>
          </cell>
          <cell r="L280">
            <v>8952.5988055744328</v>
          </cell>
          <cell r="M280">
            <v>9089.5409631323892</v>
          </cell>
          <cell r="N280">
            <v>9480.2457239968408</v>
          </cell>
          <cell r="O280">
            <v>9540.3968530088641</v>
          </cell>
          <cell r="P280">
            <v>9802.2747064011619</v>
          </cell>
          <cell r="Q280">
            <v>9999.4430514959204</v>
          </cell>
          <cell r="R280">
            <v>10209.734590453189</v>
          </cell>
          <cell r="S280">
            <v>10701.214493916017</v>
          </cell>
          <cell r="T280">
            <v>11105.222538733551</v>
          </cell>
          <cell r="U280">
            <v>11813.967313539215</v>
          </cell>
          <cell r="V280">
            <v>12271.956312694891</v>
          </cell>
          <cell r="W280">
            <v>12739.154823364681</v>
          </cell>
          <cell r="X280">
            <v>13113.332193834716</v>
          </cell>
          <cell r="Y280">
            <v>13447.486982206243</v>
          </cell>
          <cell r="Z280">
            <v>13640.857864027112</v>
          </cell>
          <cell r="AA280">
            <v>13872.69083053642</v>
          </cell>
          <cell r="AB280">
            <v>13796.657277388424</v>
          </cell>
          <cell r="AC280">
            <v>13921.166336675924</v>
          </cell>
          <cell r="AD280">
            <v>14127.797044953708</v>
          </cell>
          <cell r="AE280">
            <v>14478.709794728822</v>
          </cell>
        </row>
        <row r="281">
          <cell r="G281">
            <v>2319.4509749242707</v>
          </cell>
          <cell r="H281">
            <v>2148.5986308941669</v>
          </cell>
          <cell r="I281">
            <v>2180.4482276814406</v>
          </cell>
          <cell r="J281">
            <v>2217.7885622481872</v>
          </cell>
          <cell r="K281">
            <v>2245.9804319044233</v>
          </cell>
          <cell r="L281">
            <v>2238.1497013936082</v>
          </cell>
          <cell r="M281">
            <v>2272.3852407830973</v>
          </cell>
          <cell r="N281">
            <v>2370.0614309992102</v>
          </cell>
          <cell r="O281">
            <v>2385.099213252216</v>
          </cell>
          <cell r="P281">
            <v>2450.5686766002905</v>
          </cell>
          <cell r="Q281">
            <v>2499.8607628739801</v>
          </cell>
          <cell r="R281">
            <v>2552.4336476132971</v>
          </cell>
          <cell r="S281">
            <v>2675.3036234790043</v>
          </cell>
          <cell r="T281">
            <v>2776.3056346833878</v>
          </cell>
          <cell r="U281">
            <v>2953.4918283848037</v>
          </cell>
          <cell r="V281">
            <v>3067.9890781737226</v>
          </cell>
          <cell r="W281">
            <v>3184.7887058411702</v>
          </cell>
          <cell r="X281">
            <v>3278.3330484586791</v>
          </cell>
          <cell r="Y281">
            <v>3361.8717455515607</v>
          </cell>
          <cell r="Z281">
            <v>3632.5223696265007</v>
          </cell>
          <cell r="AA281">
            <v>4441.9015054216325</v>
          </cell>
          <cell r="AB281">
            <v>4903.0609251577835</v>
          </cell>
          <cell r="AC281">
            <v>5365.9975567944002</v>
          </cell>
          <cell r="AD281">
            <v>5858.7859645388498</v>
          </cell>
          <cell r="AE281">
            <v>6441.6862271514865</v>
          </cell>
        </row>
        <row r="282">
          <cell r="G282">
            <v>4832.1895310922318</v>
          </cell>
          <cell r="H282">
            <v>4148.337474535304</v>
          </cell>
          <cell r="I282">
            <v>4209.8300557934908</v>
          </cell>
          <cell r="J282">
            <v>4281.9237018415006</v>
          </cell>
          <cell r="K282">
            <v>4336.3542444708164</v>
          </cell>
          <cell r="L282">
            <v>4321.2353142230195</v>
          </cell>
          <cell r="M282">
            <v>4387.3344771696347</v>
          </cell>
          <cell r="N282">
            <v>4575.9196295648571</v>
          </cell>
          <cell r="O282">
            <v>4604.9533424031115</v>
          </cell>
          <cell r="P282">
            <v>4731.3563961607624</v>
          </cell>
          <cell r="Q282">
            <v>4826.5255011518029</v>
          </cell>
          <cell r="R282">
            <v>4928.0289019138954</v>
          </cell>
          <cell r="S282">
            <v>5165.2561429862953</v>
          </cell>
          <cell r="T282">
            <v>5360.2625169353532</v>
          </cell>
          <cell r="U282">
            <v>5702.3590428909547</v>
          </cell>
          <cell r="V282">
            <v>5923.4209132659416</v>
          </cell>
          <cell r="W282">
            <v>6148.928025435609</v>
          </cell>
          <cell r="X282">
            <v>6329.5357464083654</v>
          </cell>
          <cell r="Y282">
            <v>6490.8253901516618</v>
          </cell>
          <cell r="Z282">
            <v>6641.7124607483611</v>
          </cell>
          <cell r="AA282">
            <v>6948.1408095370089</v>
          </cell>
          <cell r="AB282">
            <v>7035.7465017183213</v>
          </cell>
          <cell r="AC282">
            <v>7207.6309870677396</v>
          </cell>
          <cell r="AD282">
            <v>7421.5670118882181</v>
          </cell>
          <cell r="AE282">
            <v>7719.1351981849666</v>
          </cell>
        </row>
        <row r="283">
          <cell r="G283">
            <v>52715.95523740026</v>
          </cell>
          <cell r="H283">
            <v>52972.193082349717</v>
          </cell>
          <cell r="I283">
            <v>53212.466582069668</v>
          </cell>
          <cell r="J283">
            <v>53938.137008894228</v>
          </cell>
          <cell r="K283">
            <v>54658.14918677666</v>
          </cell>
          <cell r="L283">
            <v>54742.833531026023</v>
          </cell>
          <cell r="M283">
            <v>54443.844986943564</v>
          </cell>
          <cell r="N283">
            <v>55849.634953873981</v>
          </cell>
          <cell r="O283">
            <v>55878.248310892755</v>
          </cell>
          <cell r="P283">
            <v>57396.258918086387</v>
          </cell>
          <cell r="Q283">
            <v>58035.309287294032</v>
          </cell>
          <cell r="R283">
            <v>59654.398509755512</v>
          </cell>
          <cell r="S283">
            <v>62104.8709686109</v>
          </cell>
          <cell r="T283">
            <v>63526.574546607473</v>
          </cell>
          <cell r="U283">
            <v>65957.962889180169</v>
          </cell>
          <cell r="V283">
            <v>68171.241513705259</v>
          </cell>
          <cell r="W283">
            <v>70617.724740144578</v>
          </cell>
          <cell r="X283">
            <v>71464.039108899116</v>
          </cell>
          <cell r="Y283">
            <v>72789.143125892486</v>
          </cell>
          <cell r="Z283">
            <v>75215.745131270101</v>
          </cell>
          <cell r="AA283">
            <v>76186.560911929831</v>
          </cell>
          <cell r="AB283">
            <v>76853.980700327316</v>
          </cell>
          <cell r="AC283">
            <v>77917.122126248083</v>
          </cell>
          <cell r="AD283">
            <v>79216.483772401363</v>
          </cell>
          <cell r="AE283">
            <v>81328.70406933871</v>
          </cell>
        </row>
        <row r="284">
          <cell r="G284">
            <v>12325.222891105739</v>
          </cell>
          <cell r="H284">
            <v>12411.478571584297</v>
          </cell>
          <cell r="I284">
            <v>12492.3602782791</v>
          </cell>
          <cell r="J284">
            <v>12736.637997994008</v>
          </cell>
          <cell r="K284">
            <v>12979.011018139992</v>
          </cell>
          <cell r="L284">
            <v>13082.905311561863</v>
          </cell>
          <cell r="M284">
            <v>13062.787028174751</v>
          </cell>
          <cell r="N284">
            <v>13424.845554871805</v>
          </cell>
          <cell r="O284">
            <v>13548.59001540821</v>
          </cell>
          <cell r="P284">
            <v>13980.657672693853</v>
          </cell>
          <cell r="Q284">
            <v>14151.634240852109</v>
          </cell>
          <cell r="R284">
            <v>14662.608287554143</v>
          </cell>
          <cell r="S284">
            <v>15342.221667490938</v>
          </cell>
          <cell r="T284">
            <v>15752.539658883021</v>
          </cell>
          <cell r="U284">
            <v>16413.182641424464</v>
          </cell>
          <cell r="V284">
            <v>17008.725904970168</v>
          </cell>
          <cell r="W284">
            <v>17714.846912884725</v>
          </cell>
          <cell r="X284">
            <v>18311.517709238116</v>
          </cell>
          <cell r="Y284">
            <v>18790.104072193208</v>
          </cell>
          <cell r="Z284">
            <v>19448.410032238226</v>
          </cell>
          <cell r="AA284">
            <v>20279.403781524616</v>
          </cell>
          <cell r="AB284">
            <v>20865.767577195416</v>
          </cell>
          <cell r="AC284">
            <v>21460.307798955622</v>
          </cell>
          <cell r="AD284">
            <v>22071.159594989709</v>
          </cell>
          <cell r="AE284">
            <v>22914.833275438461</v>
          </cell>
        </row>
        <row r="285">
          <cell r="G285">
            <v>4064.3381986614581</v>
          </cell>
          <cell r="H285">
            <v>4110.6155283892722</v>
          </cell>
          <cell r="I285">
            <v>4130.4447133594185</v>
          </cell>
          <cell r="J285">
            <v>4205.0534065292159</v>
          </cell>
          <cell r="K285">
            <v>4217.0450784455206</v>
          </cell>
          <cell r="L285">
            <v>4170.9267556090681</v>
          </cell>
          <cell r="M285">
            <v>4134.7945018280743</v>
          </cell>
          <cell r="N285">
            <v>4282.9160340500976</v>
          </cell>
          <cell r="O285">
            <v>4275.4670964137213</v>
          </cell>
          <cell r="P285">
            <v>4429.7057135800214</v>
          </cell>
          <cell r="Q285">
            <v>4571.3057004235488</v>
          </cell>
          <cell r="R285">
            <v>4650.7392960571424</v>
          </cell>
          <cell r="S285">
            <v>4871.7140546202527</v>
          </cell>
          <cell r="T285">
            <v>5071.655054028929</v>
          </cell>
          <cell r="U285">
            <v>5305.9233944586949</v>
          </cell>
          <cell r="V285">
            <v>5510.6914731726365</v>
          </cell>
          <cell r="W285">
            <v>5667.2540484688725</v>
          </cell>
          <cell r="X285">
            <v>5754.0571342942558</v>
          </cell>
          <cell r="Y285">
            <v>5912.2142025016201</v>
          </cell>
          <cell r="Z285">
            <v>6003.5111888109896</v>
          </cell>
          <cell r="AA285">
            <v>6134.9943818498568</v>
          </cell>
          <cell r="AB285">
            <v>6108.7349988576152</v>
          </cell>
          <cell r="AC285">
            <v>6173.6786485485254</v>
          </cell>
          <cell r="AD285">
            <v>6269.9374728963212</v>
          </cell>
          <cell r="AE285">
            <v>6430.4101834982612</v>
          </cell>
        </row>
        <row r="286">
          <cell r="G286">
            <v>23923.707463310635</v>
          </cell>
          <cell r="H286">
            <v>21647.641659652782</v>
          </cell>
          <cell r="I286">
            <v>22128.313168026249</v>
          </cell>
          <cell r="J286">
            <v>22691.850441645358</v>
          </cell>
          <cell r="K286">
            <v>23117.319831479061</v>
          </cell>
          <cell r="L286">
            <v>23149.057701051199</v>
          </cell>
          <cell r="M286">
            <v>23825.879336971771</v>
          </cell>
          <cell r="N286">
            <v>25078.936527734691</v>
          </cell>
          <cell r="O286">
            <v>25532.814116989506</v>
          </cell>
          <cell r="P286">
            <v>26363.909867431343</v>
          </cell>
          <cell r="Q286">
            <v>27020.037905563124</v>
          </cell>
          <cell r="R286">
            <v>27745.751550098303</v>
          </cell>
          <cell r="S286">
            <v>29311.199170970409</v>
          </cell>
          <cell r="T286">
            <v>30699.76709413149</v>
          </cell>
          <cell r="U286">
            <v>33060.000699184602</v>
          </cell>
          <cell r="V286">
            <v>34490.685630520056</v>
          </cell>
          <cell r="W286">
            <v>35472.814235427039</v>
          </cell>
          <cell r="X286">
            <v>35945.792596740102</v>
          </cell>
          <cell r="Y286">
            <v>36599.196670922705</v>
          </cell>
          <cell r="Z286">
            <v>37338.175449304828</v>
          </cell>
          <cell r="AA286">
            <v>37764.39848142652</v>
          </cell>
          <cell r="AB286">
            <v>37576.372594239103</v>
          </cell>
          <cell r="AC286">
            <v>37973.19540543147</v>
          </cell>
          <cell r="AD286">
            <v>38602.990098158494</v>
          </cell>
          <cell r="AE286">
            <v>39622.564281848492</v>
          </cell>
        </row>
        <row r="287">
          <cell r="G287">
            <v>996.27006530550568</v>
          </cell>
          <cell r="H287">
            <v>1459.1695219378896</v>
          </cell>
          <cell r="I287">
            <v>1491.5694122404775</v>
          </cell>
          <cell r="J287">
            <v>1529.5549086316887</v>
          </cell>
          <cell r="K287">
            <v>1558.2338740323387</v>
          </cell>
          <cell r="L287">
            <v>1560.3731801377803</v>
          </cell>
          <cell r="M287">
            <v>1605.9946625352893</v>
          </cell>
          <cell r="N287">
            <v>1690.4575749741171</v>
          </cell>
          <cell r="O287">
            <v>1721.0514084892775</v>
          </cell>
          <cell r="P287">
            <v>1777.0718105230519</v>
          </cell>
          <cell r="Q287">
            <v>1821.2984311768487</v>
          </cell>
          <cell r="R287">
            <v>1870.2155025331188</v>
          </cell>
          <cell r="S287">
            <v>1975.7352396241201</v>
          </cell>
          <cell r="T287">
            <v>2069.3323170551284</v>
          </cell>
          <cell r="U287">
            <v>2228.4249792163846</v>
          </cell>
          <cell r="V287">
            <v>2324.8609734979896</v>
          </cell>
          <cell r="W287">
            <v>2391.0618165013484</v>
          </cell>
          <cell r="X287">
            <v>2422.9431465887023</v>
          </cell>
          <cell r="Y287">
            <v>2466.986157164506</v>
          </cell>
          <cell r="Z287">
            <v>2548.1271595340168</v>
          </cell>
          <cell r="AA287">
            <v>2591.155501135403</v>
          </cell>
          <cell r="AB287">
            <v>2602.4683840851649</v>
          </cell>
          <cell r="AC287">
            <v>2654.8483583836405</v>
          </cell>
          <cell r="AD287">
            <v>2724.2999372452</v>
          </cell>
          <cell r="AE287">
            <v>2822.2253817942296</v>
          </cell>
        </row>
        <row r="288">
          <cell r="G288">
            <v>6892.3787896395215</v>
          </cell>
          <cell r="H288">
            <v>6928.1609750366788</v>
          </cell>
          <cell r="I288">
            <v>6982.6206747894967</v>
          </cell>
          <cell r="J288">
            <v>7002.6744270450472</v>
          </cell>
          <cell r="K288">
            <v>7017.2232277010353</v>
          </cell>
          <cell r="L288">
            <v>6982.0498196612562</v>
          </cell>
          <cell r="M288">
            <v>6901.8684594309616</v>
          </cell>
          <cell r="N288">
            <v>7198.137989982336</v>
          </cell>
          <cell r="O288">
            <v>7124.1508540068598</v>
          </cell>
          <cell r="P288">
            <v>7324.0058826836794</v>
          </cell>
          <cell r="Q288">
            <v>7473.4110288347356</v>
          </cell>
          <cell r="R288">
            <v>7621.4968117202607</v>
          </cell>
          <cell r="S288">
            <v>7927.3463352318622</v>
          </cell>
          <cell r="T288">
            <v>8076.0865137607298</v>
          </cell>
          <cell r="U288">
            <v>8366.4477846220634</v>
          </cell>
          <cell r="V288">
            <v>8638.4901170356188</v>
          </cell>
          <cell r="W288">
            <v>8983.0887739326063</v>
          </cell>
          <cell r="X288">
            <v>9271.6822999805772</v>
          </cell>
          <cell r="Y288">
            <v>9518.2206653226694</v>
          </cell>
          <cell r="Z288">
            <v>10391.498689374765</v>
          </cell>
          <cell r="AA288">
            <v>13044.720292089158</v>
          </cell>
          <cell r="AB288">
            <v>14581.489120295437</v>
          </cell>
          <cell r="AC288">
            <v>16100.012982795835</v>
          </cell>
          <cell r="AD288">
            <v>17707.540694802836</v>
          </cell>
          <cell r="AE288">
            <v>19596.207526869926</v>
          </cell>
        </row>
        <row r="289">
          <cell r="G289">
            <v>1781.7556093565017</v>
          </cell>
          <cell r="H289">
            <v>1783.0538360074877</v>
          </cell>
          <cell r="I289">
            <v>1788.8878421921647</v>
          </cell>
          <cell r="J289">
            <v>1807.4316475648882</v>
          </cell>
          <cell r="K289">
            <v>1812.4722930184073</v>
          </cell>
          <cell r="L289">
            <v>1793.6088525783809</v>
          </cell>
          <cell r="M289">
            <v>1774.6486729597157</v>
          </cell>
          <cell r="N289">
            <v>1823.0509687537462</v>
          </cell>
          <cell r="O289">
            <v>1794.2995981969964</v>
          </cell>
          <cell r="P289">
            <v>1840.40380825741</v>
          </cell>
          <cell r="Q289">
            <v>1872.8279339126823</v>
          </cell>
          <cell r="R289">
            <v>1897.4249208326673</v>
          </cell>
          <cell r="S289">
            <v>1968.2360718720968</v>
          </cell>
          <cell r="T289">
            <v>2005.124253123417</v>
          </cell>
          <cell r="U289">
            <v>2074.6913217054471</v>
          </cell>
          <cell r="V289">
            <v>2157.0993395020882</v>
          </cell>
          <cell r="W289">
            <v>2230.5387643737845</v>
          </cell>
          <cell r="X289">
            <v>2244.3283016341893</v>
          </cell>
          <cell r="Y289">
            <v>2286.2415552117754</v>
          </cell>
          <cell r="Z289">
            <v>2326.3694648036135</v>
          </cell>
          <cell r="AA289">
            <v>2374.7982364656368</v>
          </cell>
          <cell r="AB289">
            <v>2372.028004997203</v>
          </cell>
          <cell r="AC289">
            <v>2401.8374704377493</v>
          </cell>
          <cell r="AD289">
            <v>2445.1309775396853</v>
          </cell>
          <cell r="AE289">
            <v>2516.1911582055527</v>
          </cell>
        </row>
        <row r="290">
          <cell r="G290">
            <v>2766.2306421587773</v>
          </cell>
          <cell r="H290">
            <v>2818.4580776956645</v>
          </cell>
          <cell r="I290">
            <v>2891.2487001949826</v>
          </cell>
          <cell r="J290">
            <v>2928.2449547405686</v>
          </cell>
          <cell r="K290">
            <v>2963.6022730245368</v>
          </cell>
          <cell r="L290">
            <v>2967.139006534268</v>
          </cell>
          <cell r="M290">
            <v>2966.3889493279867</v>
          </cell>
          <cell r="N290">
            <v>3122.6086524580405</v>
          </cell>
          <cell r="O290">
            <v>3102.4778216604896</v>
          </cell>
          <cell r="P290">
            <v>3203.2341197678347</v>
          </cell>
          <cell r="Q290">
            <v>3308.1437877260823</v>
          </cell>
          <cell r="R290">
            <v>3416.7948674728191</v>
          </cell>
          <cell r="S290">
            <v>3565.1526112071565</v>
          </cell>
          <cell r="T290">
            <v>3680.8949130500373</v>
          </cell>
          <cell r="U290">
            <v>3890.9266215566536</v>
          </cell>
          <cell r="V290">
            <v>4108.0317271811991</v>
          </cell>
          <cell r="W290">
            <v>4297.4681162204697</v>
          </cell>
          <cell r="X290">
            <v>4366.5805978291328</v>
          </cell>
          <cell r="Y290">
            <v>4487.4959667609901</v>
          </cell>
          <cell r="Z290">
            <v>4926.8541427762138</v>
          </cell>
          <cell r="AA290">
            <v>5327.6338130134527</v>
          </cell>
          <cell r="AB290">
            <v>5467.5606581810716</v>
          </cell>
          <cell r="AC290">
            <v>5692.4167839611218</v>
          </cell>
          <cell r="AD290">
            <v>6015.7371534228814</v>
          </cell>
          <cell r="AE290">
            <v>6447.6555798742547</v>
          </cell>
        </row>
        <row r="291">
          <cell r="G291">
            <v>4846.9173570763787</v>
          </cell>
          <cell r="H291">
            <v>5008.2207596646458</v>
          </cell>
          <cell r="I291">
            <v>5233.033158836829</v>
          </cell>
          <cell r="J291">
            <v>5347.2953599171369</v>
          </cell>
          <cell r="K291">
            <v>5456.4957387404911</v>
          </cell>
          <cell r="L291">
            <v>5518.8324925047837</v>
          </cell>
          <cell r="M291">
            <v>5571.4355115558528</v>
          </cell>
          <cell r="N291">
            <v>5978.1045452741855</v>
          </cell>
          <cell r="O291">
            <v>5993.7545762651171</v>
          </cell>
          <cell r="P291">
            <v>6251.1086086014566</v>
          </cell>
          <cell r="Q291">
            <v>6545.0150556943636</v>
          </cell>
          <cell r="R291">
            <v>6857.360364281305</v>
          </cell>
          <cell r="S291">
            <v>7216.4853030157956</v>
          </cell>
          <cell r="T291">
            <v>7527.399842884297</v>
          </cell>
          <cell r="U291">
            <v>8068.4471852160214</v>
          </cell>
          <cell r="V291">
            <v>8637.0155147854675</v>
          </cell>
          <cell r="W291">
            <v>9132.2699067393223</v>
          </cell>
          <cell r="X291">
            <v>9334.210585621915</v>
          </cell>
          <cell r="Y291">
            <v>9652.3734184585046</v>
          </cell>
          <cell r="Z291">
            <v>10129.531809913426</v>
          </cell>
          <cell r="AA291">
            <v>10549.414687247838</v>
          </cell>
          <cell r="AB291">
            <v>10617.785206666567</v>
          </cell>
          <cell r="AC291">
            <v>10850.415661333316</v>
          </cell>
          <cell r="AD291">
            <v>11208.394192480373</v>
          </cell>
          <cell r="AE291">
            <v>11723.25428099248</v>
          </cell>
        </row>
        <row r="292">
          <cell r="G292">
            <v>8982.682049718147</v>
          </cell>
          <cell r="H292">
            <v>9133.9571886090871</v>
          </cell>
          <cell r="I292">
            <v>9228.0551391407607</v>
          </cell>
          <cell r="J292">
            <v>9325.9303391624871</v>
          </cell>
          <cell r="K292">
            <v>9435.3594788008522</v>
          </cell>
          <cell r="L292">
            <v>9402.5029670648019</v>
          </cell>
          <cell r="M292">
            <v>9317.0133829133265</v>
          </cell>
          <cell r="N292">
            <v>9594.8534284338602</v>
          </cell>
          <cell r="O292">
            <v>9549.1543135264837</v>
          </cell>
          <cell r="P292">
            <v>9905.9247494187312</v>
          </cell>
          <cell r="Q292">
            <v>10179.873946420012</v>
          </cell>
          <cell r="R292">
            <v>10570.47967384969</v>
          </cell>
          <cell r="S292">
            <v>11214.050773343295</v>
          </cell>
          <cell r="T292">
            <v>11613.829592872014</v>
          </cell>
          <cell r="U292">
            <v>12097.143965452469</v>
          </cell>
          <cell r="V292">
            <v>12642.748453845543</v>
          </cell>
          <cell r="W292">
            <v>13013.240075139931</v>
          </cell>
          <cell r="X292">
            <v>13291.521251566393</v>
          </cell>
          <cell r="Y292">
            <v>13704.521907588638</v>
          </cell>
          <cell r="Z292">
            <v>14204.638505637235</v>
          </cell>
          <cell r="AA292">
            <v>14704.160551185496</v>
          </cell>
          <cell r="AB292">
            <v>14715.028570659057</v>
          </cell>
          <cell r="AC292">
            <v>14928.119440779048</v>
          </cell>
          <cell r="AD292">
            <v>15215.031073933886</v>
          </cell>
          <cell r="AE292">
            <v>15656.809695717346</v>
          </cell>
        </row>
        <row r="293">
          <cell r="G293">
            <v>11026.806939503975</v>
          </cell>
          <cell r="H293">
            <v>11212.506682861736</v>
          </cell>
          <cell r="I293">
            <v>11328.017832891619</v>
          </cell>
          <cell r="J293">
            <v>11448.165794138758</v>
          </cell>
          <cell r="K293">
            <v>11582.496942638683</v>
          </cell>
          <cell r="L293">
            <v>11542.163508858694</v>
          </cell>
          <cell r="M293">
            <v>11437.219669751494</v>
          </cell>
          <cell r="N293">
            <v>11778.285792882729</v>
          </cell>
          <cell r="O293">
            <v>11722.187256320849</v>
          </cell>
          <cell r="P293">
            <v>12160.145395831078</v>
          </cell>
          <cell r="Q293">
            <v>12496.43525779497</v>
          </cell>
          <cell r="R293">
            <v>12975.92834482533</v>
          </cell>
          <cell r="S293">
            <v>13765.952329497366</v>
          </cell>
          <cell r="T293">
            <v>14256.705963773478</v>
          </cell>
          <cell r="U293">
            <v>14850.004741135788</v>
          </cell>
          <cell r="V293">
            <v>15519.768551714615</v>
          </cell>
          <cell r="W293">
            <v>15983.555698489869</v>
          </cell>
          <cell r="X293">
            <v>16194.710846388716</v>
          </cell>
          <cell r="Y293">
            <v>16576.532245536484</v>
          </cell>
          <cell r="Z293">
            <v>16934.510115706671</v>
          </cell>
          <cell r="AA293">
            <v>17217.490214471542</v>
          </cell>
          <cell r="AB293">
            <v>17241.166059223928</v>
          </cell>
          <cell r="AC293">
            <v>17506.071071606191</v>
          </cell>
          <cell r="AD293">
            <v>17889.73979428424</v>
          </cell>
          <cell r="AE293">
            <v>18472.572870047712</v>
          </cell>
        </row>
      </sheetData>
      <sheetData sheetId="7">
        <row r="20">
          <cell r="H20">
            <v>0.54056403834827815</v>
          </cell>
          <cell r="I20">
            <v>0.48200277076100684</v>
          </cell>
          <cell r="J20">
            <v>0.56609879065860214</v>
          </cell>
          <cell r="K20">
            <v>0.38751242004584513</v>
          </cell>
          <cell r="L20">
            <v>0.37711808922827855</v>
          </cell>
          <cell r="M20">
            <v>0.25636734424005708</v>
          </cell>
          <cell r="N20">
            <v>0.44466162759752242</v>
          </cell>
          <cell r="O20">
            <v>0.45536974953410997</v>
          </cell>
          <cell r="P20">
            <v>0.70573583862289258</v>
          </cell>
          <cell r="Q20">
            <v>0.32030228474056088</v>
          </cell>
          <cell r="R20">
            <v>0.45656607817537698</v>
          </cell>
          <cell r="S20">
            <v>0.54274096423648555</v>
          </cell>
          <cell r="T20">
            <v>0.5468986965635122</v>
          </cell>
          <cell r="U20">
            <v>0.68988938711233838</v>
          </cell>
          <cell r="V20">
            <v>0.53901469469811258</v>
          </cell>
          <cell r="W20">
            <v>0.3806850435515966</v>
          </cell>
          <cell r="X20">
            <v>0.49257182617893736</v>
          </cell>
          <cell r="Y20">
            <v>0.47062937090000179</v>
          </cell>
          <cell r="Z20">
            <v>0.56590400000000007</v>
          </cell>
          <cell r="AA20">
            <v>0.63572800000000007</v>
          </cell>
          <cell r="AB20">
            <v>0.55195677698180112</v>
          </cell>
          <cell r="AC20">
            <v>0.49509450059010646</v>
          </cell>
          <cell r="AD20">
            <v>0.48926806425812347</v>
          </cell>
          <cell r="AE20">
            <v>0.50707539425908554</v>
          </cell>
        </row>
        <row r="21">
          <cell r="H21">
            <v>0.40814400000000001</v>
          </cell>
          <cell r="I21">
            <v>0.39798</v>
          </cell>
          <cell r="J21">
            <v>0.425238</v>
          </cell>
          <cell r="K21">
            <v>0.88486200000000004</v>
          </cell>
          <cell r="L21">
            <v>0.683562</v>
          </cell>
          <cell r="M21">
            <v>0.85707600000000006</v>
          </cell>
          <cell r="N21">
            <v>0.88373999999999997</v>
          </cell>
          <cell r="O21">
            <v>1.075866</v>
          </cell>
          <cell r="P21">
            <v>1.041018</v>
          </cell>
          <cell r="Q21">
            <v>0.91416599999999992</v>
          </cell>
          <cell r="R21">
            <v>1.1944680000000001</v>
          </cell>
          <cell r="S21">
            <v>0.82579200000000008</v>
          </cell>
          <cell r="T21">
            <v>1.2765060000000001</v>
          </cell>
          <cell r="U21">
            <v>1.201794</v>
          </cell>
          <cell r="V21">
            <v>1.6133040000000001</v>
          </cell>
          <cell r="W21">
            <v>2.0698000000000003</v>
          </cell>
          <cell r="X21">
            <v>1.415</v>
          </cell>
          <cell r="Y21">
            <v>1.1031</v>
          </cell>
          <cell r="Z21">
            <v>1.0355000000000001</v>
          </cell>
          <cell r="AA21">
            <v>0.28970000000000001</v>
          </cell>
          <cell r="AB21">
            <v>0.96416996977002289</v>
          </cell>
          <cell r="AC21">
            <v>1.0474829794917409</v>
          </cell>
          <cell r="AD21">
            <v>1.0602062008599469</v>
          </cell>
          <cell r="AE21">
            <v>1.0741061198150028</v>
          </cell>
        </row>
        <row r="22">
          <cell r="H22">
            <v>0.210256</v>
          </cell>
          <cell r="I22">
            <v>0.20502000000000001</v>
          </cell>
          <cell r="J22">
            <v>0.21906200000000001</v>
          </cell>
          <cell r="K22">
            <v>0.45583800000000002</v>
          </cell>
          <cell r="L22">
            <v>0.35213800000000001</v>
          </cell>
          <cell r="M22">
            <v>0.44152400000000003</v>
          </cell>
          <cell r="N22">
            <v>0.45526000000000005</v>
          </cell>
          <cell r="O22">
            <v>0.554234</v>
          </cell>
          <cell r="P22">
            <v>0.53628200000000004</v>
          </cell>
          <cell r="Q22">
            <v>0.47093400000000002</v>
          </cell>
          <cell r="R22">
            <v>0.61533199999999999</v>
          </cell>
          <cell r="S22">
            <v>0.42540800000000006</v>
          </cell>
          <cell r="T22">
            <v>0.65759400000000001</v>
          </cell>
          <cell r="U22">
            <v>0.61910600000000016</v>
          </cell>
          <cell r="V22">
            <v>0.83109600000000017</v>
          </cell>
          <cell r="W22">
            <v>0.93820000000000003</v>
          </cell>
          <cell r="X22">
            <v>0.94359999999999999</v>
          </cell>
          <cell r="Y22">
            <v>0.53320000000000001</v>
          </cell>
          <cell r="Z22">
            <v>0.64049999999999996</v>
          </cell>
          <cell r="AA22">
            <v>0.29170000000000001</v>
          </cell>
          <cell r="AB22">
            <v>0.43694662123493522</v>
          </cell>
          <cell r="AC22">
            <v>0.58273476357135601</v>
          </cell>
          <cell r="AD22">
            <v>0.6086834810811409</v>
          </cell>
          <cell r="AE22">
            <v>0.64149366754371639</v>
          </cell>
        </row>
        <row r="23">
          <cell r="H23">
            <v>1.9095</v>
          </cell>
          <cell r="I23">
            <v>2.8365629999999999</v>
          </cell>
          <cell r="J23">
            <v>2.2281</v>
          </cell>
          <cell r="K23">
            <v>1.61</v>
          </cell>
          <cell r="L23">
            <v>1.4142000000000001</v>
          </cell>
          <cell r="M23">
            <v>1.5080250000000002</v>
          </cell>
          <cell r="N23">
            <v>0.83910000000000007</v>
          </cell>
          <cell r="O23">
            <v>1.2907</v>
          </cell>
          <cell r="P23">
            <v>3.8820000000000001</v>
          </cell>
          <cell r="Q23">
            <v>3.8363</v>
          </cell>
          <cell r="R23">
            <v>5.9918000000000005</v>
          </cell>
          <cell r="S23">
            <v>4.3921000000000001</v>
          </cell>
          <cell r="T23">
            <v>3.3323</v>
          </cell>
          <cell r="U23">
            <v>3.0750000000000002</v>
          </cell>
          <cell r="V23">
            <v>3.1429999999999998</v>
          </cell>
          <cell r="W23">
            <v>2.3030999999999997</v>
          </cell>
          <cell r="X23">
            <v>1.4487000000000001</v>
          </cell>
          <cell r="Y23">
            <v>2.0606</v>
          </cell>
          <cell r="Z23">
            <v>3.4781999999999997</v>
          </cell>
          <cell r="AA23">
            <v>2.6520000000000001</v>
          </cell>
          <cell r="AB23">
            <v>2.9438208100000005</v>
          </cell>
          <cell r="AC23">
            <v>2.7560084900000006</v>
          </cell>
          <cell r="AD23">
            <v>2.603018580000001</v>
          </cell>
          <cell r="AE23">
            <v>2.6672277900000001</v>
          </cell>
        </row>
        <row r="24">
          <cell r="H24">
            <v>0.14913168675370994</v>
          </cell>
          <cell r="I24">
            <v>0.1329757089339306</v>
          </cell>
          <cell r="J24">
            <v>0.15617625578296401</v>
          </cell>
          <cell r="K24">
            <v>0.1069075571805157</v>
          </cell>
          <cell r="L24">
            <v>0.10403995227613426</v>
          </cell>
          <cell r="M24">
            <v>7.0727040207687705E-2</v>
          </cell>
          <cell r="N24">
            <v>0.12267397357932248</v>
          </cell>
          <cell r="O24">
            <v>0.12562814768836453</v>
          </cell>
          <cell r="P24">
            <v>0.19469955185691878</v>
          </cell>
          <cell r="Q24">
            <v>8.8365515657279348E-2</v>
          </cell>
          <cell r="R24">
            <v>0.12595819278113293</v>
          </cell>
          <cell r="S24">
            <v>0.14973226061104264</v>
          </cell>
          <cell r="T24">
            <v>0.15087930257279522</v>
          </cell>
          <cell r="U24">
            <v>0.19032780702155982</v>
          </cell>
          <cell r="V24">
            <v>0.14870425130569837</v>
          </cell>
          <cell r="W24">
            <v>0.16880282991010148</v>
          </cell>
          <cell r="X24">
            <v>0.21751936506571806</v>
          </cell>
          <cell r="Y24">
            <v>0.19732937621560423</v>
          </cell>
          <cell r="Z24">
            <v>0.10970000000000001</v>
          </cell>
          <cell r="AA24">
            <v>9.4200000000000006E-2</v>
          </cell>
          <cell r="AB24">
            <v>9.8923323863743931E-2</v>
          </cell>
          <cell r="AC24">
            <v>0.10283212131183471</v>
          </cell>
          <cell r="AD24">
            <v>0.11325872838672849</v>
          </cell>
          <cell r="AE24">
            <v>0.12860505588071519</v>
          </cell>
        </row>
        <row r="25">
          <cell r="H25">
            <v>6.0347113246290073E-2</v>
          </cell>
          <cell r="I25">
            <v>5.3809491066069394E-2</v>
          </cell>
          <cell r="J25">
            <v>6.3197744217035973E-2</v>
          </cell>
          <cell r="K25">
            <v>4.326084281948428E-2</v>
          </cell>
          <cell r="L25">
            <v>4.2100447723865751E-2</v>
          </cell>
          <cell r="M25">
            <v>2.8620159792312291E-2</v>
          </cell>
          <cell r="N25">
            <v>4.9640826420677527E-2</v>
          </cell>
          <cell r="O25">
            <v>5.0836252311635494E-2</v>
          </cell>
          <cell r="P25">
            <v>7.8786448143081236E-2</v>
          </cell>
          <cell r="Q25">
            <v>3.5757684342720655E-2</v>
          </cell>
          <cell r="R25">
            <v>5.0969807218867055E-2</v>
          </cell>
          <cell r="S25">
            <v>6.059013938895734E-2</v>
          </cell>
          <cell r="T25">
            <v>6.1054297427204751E-2</v>
          </cell>
          <cell r="U25">
            <v>7.7017392978440125E-2</v>
          </cell>
          <cell r="V25">
            <v>6.0174148694301641E-2</v>
          </cell>
          <cell r="W25">
            <v>6.8307170089898533E-2</v>
          </cell>
          <cell r="X25">
            <v>8.8020634934281985E-2</v>
          </cell>
          <cell r="Y25">
            <v>7.9850623784395738E-2</v>
          </cell>
          <cell r="Z25">
            <v>0.10970000000000001</v>
          </cell>
          <cell r="AA25">
            <v>9.4200000000000006E-2</v>
          </cell>
          <cell r="AB25">
            <v>9.8923323863743931E-2</v>
          </cell>
          <cell r="AC25">
            <v>0.10283212131183471</v>
          </cell>
          <cell r="AD25">
            <v>0.11325872838672849</v>
          </cell>
          <cell r="AE25">
            <v>0.12860505588071519</v>
          </cell>
        </row>
        <row r="26">
          <cell r="H26">
            <v>6.7900000000000002E-2</v>
          </cell>
          <cell r="I26">
            <v>9.3099999999999988E-2</v>
          </cell>
          <cell r="J26">
            <v>0.17349999999999999</v>
          </cell>
          <cell r="K26">
            <v>0.1865</v>
          </cell>
          <cell r="L26">
            <v>9.8900000000000002E-2</v>
          </cell>
          <cell r="M26">
            <v>0.1036</v>
          </cell>
          <cell r="N26">
            <v>0.1033</v>
          </cell>
          <cell r="O26">
            <v>0.10299999999999999</v>
          </cell>
          <cell r="P26">
            <v>0.16839999999999999</v>
          </cell>
          <cell r="Q26">
            <v>9.3099999999999988E-2</v>
          </cell>
          <cell r="R26">
            <v>0.1729</v>
          </cell>
          <cell r="S26">
            <v>0.18819999999999998</v>
          </cell>
          <cell r="T26">
            <v>0.14849999999999999</v>
          </cell>
          <cell r="U26">
            <v>0.13639999999999999</v>
          </cell>
          <cell r="V26">
            <v>0.11509999999999999</v>
          </cell>
          <cell r="W26">
            <v>0.34855169999999996</v>
          </cell>
          <cell r="X26">
            <v>0.44914379999999998</v>
          </cell>
          <cell r="Y26">
            <v>0.4074546</v>
          </cell>
          <cell r="Z26">
            <v>3.5369000000000002</v>
          </cell>
          <cell r="AA26">
            <v>3.9733000000000001</v>
          </cell>
          <cell r="AB26">
            <v>3.449729856136257</v>
          </cell>
          <cell r="AC26">
            <v>3.0943406286881654</v>
          </cell>
          <cell r="AD26">
            <v>3.0579254016132715</v>
          </cell>
          <cell r="AE26">
            <v>3.1692212141192844</v>
          </cell>
        </row>
        <row r="27">
          <cell r="H27">
            <v>0.34329999999999999</v>
          </cell>
          <cell r="I27">
            <v>0.83960000000000001</v>
          </cell>
          <cell r="J27">
            <v>0.4824</v>
          </cell>
          <cell r="K27">
            <v>0.71140000000000003</v>
          </cell>
          <cell r="L27">
            <v>0.39800000000000002</v>
          </cell>
          <cell r="M27">
            <v>0.2858</v>
          </cell>
          <cell r="N27">
            <v>0.30269999999999997</v>
          </cell>
          <cell r="O27">
            <v>0.52510000000000001</v>
          </cell>
          <cell r="P27">
            <v>0.63970000000000005</v>
          </cell>
          <cell r="Q27">
            <v>0.7984</v>
          </cell>
          <cell r="R27">
            <v>2.4916999999999998</v>
          </cell>
          <cell r="S27">
            <v>1.8120000000000001</v>
          </cell>
          <cell r="T27">
            <v>1.2810999999999999</v>
          </cell>
          <cell r="U27">
            <v>1.1297999999999999</v>
          </cell>
          <cell r="V27">
            <v>0.46079999999999999</v>
          </cell>
          <cell r="W27">
            <v>0.1757</v>
          </cell>
          <cell r="X27">
            <v>0.44230000000000003</v>
          </cell>
          <cell r="Y27">
            <v>0.30010000000000003</v>
          </cell>
          <cell r="Z27">
            <v>0.32750000000000001</v>
          </cell>
          <cell r="AA27">
            <v>0.47720000000000001</v>
          </cell>
          <cell r="AB27">
            <v>0.55912742999999965</v>
          </cell>
          <cell r="AC27">
            <v>0.54529235000000031</v>
          </cell>
          <cell r="AD27">
            <v>0.40671768999999997</v>
          </cell>
          <cell r="AE27">
            <v>0.44228138999999994</v>
          </cell>
        </row>
        <row r="28">
          <cell r="H28">
            <v>0.20303249999999998</v>
          </cell>
          <cell r="I28">
            <v>0.28772999999999999</v>
          </cell>
          <cell r="J28">
            <v>0.3148125</v>
          </cell>
          <cell r="K28">
            <v>0.34934699999999996</v>
          </cell>
          <cell r="L28">
            <v>0.195408</v>
          </cell>
          <cell r="M28">
            <v>0.33637499999999998</v>
          </cell>
          <cell r="N28">
            <v>0.13727549999999999</v>
          </cell>
          <cell r="O28">
            <v>0.35469449999999997</v>
          </cell>
          <cell r="P28">
            <v>0.25029750000000001</v>
          </cell>
          <cell r="Q28">
            <v>0.1968915</v>
          </cell>
          <cell r="R28">
            <v>0.43252649999999998</v>
          </cell>
          <cell r="S28">
            <v>0.54820499999999994</v>
          </cell>
          <cell r="T28">
            <v>0.97724699999999987</v>
          </cell>
          <cell r="U28">
            <v>0.84756149999999986</v>
          </cell>
          <cell r="V28">
            <v>0.64639199999999997</v>
          </cell>
          <cell r="W28">
            <v>0.33719399999999999</v>
          </cell>
          <cell r="X28">
            <v>0.39087360000000004</v>
          </cell>
          <cell r="Y28">
            <v>0.30558060000000004</v>
          </cell>
          <cell r="Z28">
            <v>3.7835000000000001</v>
          </cell>
          <cell r="AA28">
            <v>1.3673</v>
          </cell>
          <cell r="AB28">
            <v>1.8872418900000005</v>
          </cell>
          <cell r="AC28">
            <v>1.84246679</v>
          </cell>
          <cell r="AD28">
            <v>1.9964261199999997</v>
          </cell>
          <cell r="AE28">
            <v>2.11022474</v>
          </cell>
        </row>
        <row r="29">
          <cell r="H29">
            <v>0.38546750000000002</v>
          </cell>
          <cell r="I29">
            <v>0.54627000000000003</v>
          </cell>
          <cell r="J29">
            <v>0.59768750000000004</v>
          </cell>
          <cell r="K29">
            <v>0.66325300000000009</v>
          </cell>
          <cell r="L29">
            <v>0.37099200000000004</v>
          </cell>
          <cell r="M29">
            <v>0.638625</v>
          </cell>
          <cell r="N29">
            <v>0.26062450000000004</v>
          </cell>
          <cell r="O29">
            <v>0.67340549999999999</v>
          </cell>
          <cell r="P29">
            <v>0.47520250000000003</v>
          </cell>
          <cell r="Q29">
            <v>0.37380850000000004</v>
          </cell>
          <cell r="R29">
            <v>0.82117350000000011</v>
          </cell>
          <cell r="S29">
            <v>1.0407950000000001</v>
          </cell>
          <cell r="T29">
            <v>1.855353</v>
          </cell>
          <cell r="U29">
            <v>1.6091385</v>
          </cell>
          <cell r="V29">
            <v>1.2272080000000001</v>
          </cell>
          <cell r="W29">
            <v>1.1038060000000001</v>
          </cell>
          <cell r="X29">
            <v>1.2795264000000002</v>
          </cell>
          <cell r="Y29">
            <v>1.0003194000000002</v>
          </cell>
          <cell r="Z29">
            <v>3.7835000000000001</v>
          </cell>
          <cell r="AA29">
            <v>1.3673</v>
          </cell>
          <cell r="AB29">
            <v>1.8872418900000005</v>
          </cell>
          <cell r="AC29">
            <v>1.84246679</v>
          </cell>
          <cell r="AD29">
            <v>1.9964261199999997</v>
          </cell>
          <cell r="AE29">
            <v>2.11022474</v>
          </cell>
        </row>
        <row r="30">
          <cell r="H30">
            <v>0.66609400000000007</v>
          </cell>
          <cell r="I30">
            <v>1.1484180000000002</v>
          </cell>
          <cell r="J30">
            <v>0.55253399999999997</v>
          </cell>
          <cell r="K30">
            <v>0.6476320000000001</v>
          </cell>
          <cell r="L30">
            <v>0.68836400000000009</v>
          </cell>
          <cell r="M30">
            <v>0.40613802400000004</v>
          </cell>
          <cell r="N30">
            <v>0.97611110000000012</v>
          </cell>
          <cell r="O30">
            <v>0.44944599999999996</v>
          </cell>
          <cell r="P30">
            <v>1.0394595600000001</v>
          </cell>
          <cell r="Q30">
            <v>1.9108285600000001</v>
          </cell>
          <cell r="R30">
            <v>2.0233162</v>
          </cell>
          <cell r="S30">
            <v>1.5876980000000001</v>
          </cell>
          <cell r="T30">
            <v>1.3800260000000002</v>
          </cell>
          <cell r="U30">
            <v>1.4298360000000001</v>
          </cell>
          <cell r="V30">
            <v>1.3088299999999999</v>
          </cell>
          <cell r="W30">
            <v>1.4430000000000001</v>
          </cell>
          <cell r="X30">
            <v>1.3551</v>
          </cell>
          <cell r="Y30">
            <v>1.248</v>
          </cell>
          <cell r="Z30">
            <v>1.1154000000000002</v>
          </cell>
          <cell r="AA30">
            <v>1.0509999999999999</v>
          </cell>
          <cell r="AB30">
            <v>1.2799544001277074</v>
          </cell>
          <cell r="AC30">
            <v>1.4046792195590034</v>
          </cell>
          <cell r="AD30">
            <v>1.4878548079657998</v>
          </cell>
          <cell r="AE30">
            <v>1.4917427808967407</v>
          </cell>
        </row>
        <row r="31">
          <cell r="H31">
            <v>1.2930060000000001</v>
          </cell>
          <cell r="I31">
            <v>2.229282</v>
          </cell>
          <cell r="J31">
            <v>1.0725660000000001</v>
          </cell>
          <cell r="K31">
            <v>1.2571680000000001</v>
          </cell>
          <cell r="L31">
            <v>1.3362360000000002</v>
          </cell>
          <cell r="M31">
            <v>0.78838557600000003</v>
          </cell>
          <cell r="N31">
            <v>1.8948039000000001</v>
          </cell>
          <cell r="O31">
            <v>0.87245399999999995</v>
          </cell>
          <cell r="P31">
            <v>2.0177744400000002</v>
          </cell>
          <cell r="Q31">
            <v>3.7092554399999997</v>
          </cell>
          <cell r="R31">
            <v>3.9276137999999996</v>
          </cell>
          <cell r="S31">
            <v>3.0820020000000001</v>
          </cell>
          <cell r="T31">
            <v>2.6788740000000009</v>
          </cell>
          <cell r="U31">
            <v>2.7755639999999997</v>
          </cell>
          <cell r="V31">
            <v>2.5406699999999995</v>
          </cell>
          <cell r="W31">
            <v>1.5496500000000002</v>
          </cell>
          <cell r="X31">
            <v>3.1783999999999999</v>
          </cell>
          <cell r="Y31">
            <v>3.2438500000000001</v>
          </cell>
          <cell r="Z31">
            <v>1.3588</v>
          </cell>
          <cell r="AA31">
            <v>0.66200000000000003</v>
          </cell>
          <cell r="AB31">
            <v>1.2854712808283151</v>
          </cell>
          <cell r="AC31">
            <v>1.5350817518422488</v>
          </cell>
          <cell r="AD31">
            <v>1.3825302212329729</v>
          </cell>
          <cell r="AE31">
            <v>1.2973344781524432</v>
          </cell>
        </row>
        <row r="53">
          <cell r="H53">
            <v>4.6720565328458212</v>
          </cell>
          <cell r="I53">
            <v>1.5093528080297529</v>
          </cell>
          <cell r="J53">
            <v>1.6326353993862486</v>
          </cell>
          <cell r="K53">
            <v>2.6697249363466713</v>
          </cell>
          <cell r="L53">
            <v>1.9057770751539596</v>
          </cell>
          <cell r="M53">
            <v>1.3124038157725313</v>
          </cell>
          <cell r="N53">
            <v>1.0072288765130091</v>
          </cell>
          <cell r="O53">
            <v>1.7837576251023464</v>
          </cell>
          <cell r="P53">
            <v>1.8651544507889506</v>
          </cell>
          <cell r="Q53">
            <v>2.2166108874593542</v>
          </cell>
          <cell r="R53">
            <v>2.5878733797903091</v>
          </cell>
          <cell r="S53">
            <v>4.1569475087148886</v>
          </cell>
          <cell r="T53">
            <v>5.6567509684797317</v>
          </cell>
          <cell r="U53">
            <v>5.4289813283833865</v>
          </cell>
          <cell r="V53">
            <v>3.5235074071425996</v>
          </cell>
          <cell r="W53">
            <v>2.4352050691170355</v>
          </cell>
          <cell r="X53">
            <v>2.1414388221232086</v>
          </cell>
          <cell r="Y53">
            <v>2.302555021843534</v>
          </cell>
          <cell r="Z53">
            <v>1.4488319999999999</v>
          </cell>
          <cell r="AA53">
            <v>4.2056000000000004</v>
          </cell>
          <cell r="AB53">
            <v>2.5994797107084047</v>
          </cell>
          <cell r="AC53">
            <v>2.6698126381317313</v>
          </cell>
          <cell r="AD53">
            <v>2.4533274635786939</v>
          </cell>
          <cell r="AE53">
            <v>2.3671787571438605</v>
          </cell>
        </row>
        <row r="54">
          <cell r="H54">
            <v>2.1049529227503614</v>
          </cell>
          <cell r="I54">
            <v>0.68002529130110145</v>
          </cell>
          <cell r="J54">
            <v>0.7355691506648977</v>
          </cell>
          <cell r="K54">
            <v>1.2028204856244402</v>
          </cell>
          <cell r="L54">
            <v>0.85863066858321024</v>
          </cell>
          <cell r="M54">
            <v>0.59129169957975791</v>
          </cell>
          <cell r="N54">
            <v>0.45379788377757357</v>
          </cell>
          <cell r="O54">
            <v>0.80365590613912508</v>
          </cell>
          <cell r="P54">
            <v>0.84032851164530364</v>
          </cell>
          <cell r="Q54">
            <v>0.99867403858570003</v>
          </cell>
          <cell r="R54">
            <v>1.1659430052271653</v>
          </cell>
          <cell r="S54">
            <v>1.8728751988922039</v>
          </cell>
          <cell r="T54">
            <v>2.5485981174802896</v>
          </cell>
          <cell r="U54">
            <v>2.4459785609179971</v>
          </cell>
          <cell r="V54">
            <v>1.587484475595518</v>
          </cell>
          <cell r="W54">
            <v>1.0971596751232116</v>
          </cell>
          <cell r="X54">
            <v>0.96480594269985731</v>
          </cell>
          <cell r="Y54">
            <v>1.0373953930028383</v>
          </cell>
          <cell r="Z54">
            <v>0.90551999999999988</v>
          </cell>
          <cell r="AA54">
            <v>2.6284999999999998</v>
          </cell>
          <cell r="AB54">
            <v>1.6246748191927527</v>
          </cell>
          <cell r="AC54">
            <v>1.668632898832332</v>
          </cell>
          <cell r="AD54">
            <v>1.5333296647366834</v>
          </cell>
          <cell r="AE54">
            <v>1.4794867232149127</v>
          </cell>
        </row>
        <row r="55">
          <cell r="H55">
            <v>2.4698905444038184</v>
          </cell>
          <cell r="I55">
            <v>0.79792190066914614</v>
          </cell>
          <cell r="J55">
            <v>0.86309544994885412</v>
          </cell>
          <cell r="K55">
            <v>1.4113545780288896</v>
          </cell>
          <cell r="L55">
            <v>1.0074922562628299</v>
          </cell>
          <cell r="M55">
            <v>0.69380448464771105</v>
          </cell>
          <cell r="N55">
            <v>0.53247323970941751</v>
          </cell>
          <cell r="O55">
            <v>0.94298646875852898</v>
          </cell>
          <cell r="P55">
            <v>0.98601703756574599</v>
          </cell>
          <cell r="Q55">
            <v>1.1718150739549462</v>
          </cell>
          <cell r="R55">
            <v>1.368083614982526</v>
          </cell>
          <cell r="S55">
            <v>2.1975772923929076</v>
          </cell>
          <cell r="T55">
            <v>2.9904509140399775</v>
          </cell>
          <cell r="U55">
            <v>2.8700401106986155</v>
          </cell>
          <cell r="V55">
            <v>1.8627081172618836</v>
          </cell>
          <cell r="W55">
            <v>1.2873752557597529</v>
          </cell>
          <cell r="X55">
            <v>1.1320752351769341</v>
          </cell>
          <cell r="Y55">
            <v>1.2172495851536278</v>
          </cell>
          <cell r="Z55">
            <v>0.23284799999999997</v>
          </cell>
          <cell r="AA55">
            <v>0.67589999999999995</v>
          </cell>
          <cell r="AB55">
            <v>0.41777352493527931</v>
          </cell>
          <cell r="AC55">
            <v>0.42907703112831391</v>
          </cell>
          <cell r="AD55">
            <v>0.39428477093229003</v>
          </cell>
          <cell r="AE55">
            <v>0.38043944311240613</v>
          </cell>
        </row>
        <row r="56">
          <cell r="H56">
            <v>1.1645465043915073</v>
          </cell>
          <cell r="I56">
            <v>1.1001820295846425</v>
          </cell>
          <cell r="J56">
            <v>0.77513011814390298</v>
          </cell>
          <cell r="K56">
            <v>0.68998963836582305</v>
          </cell>
          <cell r="L56">
            <v>0.47628477138962716</v>
          </cell>
          <cell r="M56">
            <v>0.72979317264235954</v>
          </cell>
          <cell r="N56">
            <v>1.1207523315363412</v>
          </cell>
          <cell r="O56">
            <v>1.7296949802124721</v>
          </cell>
          <cell r="P56">
            <v>1.2091017784188862</v>
          </cell>
          <cell r="Q56">
            <v>0.64730626181604856</v>
          </cell>
          <cell r="R56">
            <v>0.79226517966966792</v>
          </cell>
          <cell r="S56">
            <v>1.1545493376429821</v>
          </cell>
          <cell r="T56">
            <v>1.6151595389454148</v>
          </cell>
          <cell r="U56">
            <v>1.1894365697530624</v>
          </cell>
          <cell r="V56">
            <v>1.2257225823958589</v>
          </cell>
          <cell r="W56">
            <v>1.0573849449768578</v>
          </cell>
          <cell r="X56">
            <v>0.72875294390060763</v>
          </cell>
          <cell r="Y56">
            <v>0.92132453975849626</v>
          </cell>
          <cell r="Z56">
            <v>1.6346550000000002</v>
          </cell>
          <cell r="AA56">
            <v>2.0905169999999997</v>
          </cell>
          <cell r="AB56">
            <v>1.7691131441651935</v>
          </cell>
          <cell r="AC56">
            <v>1.7050112905317358</v>
          </cell>
          <cell r="AD56">
            <v>1.6258923167686812</v>
          </cell>
          <cell r="AE56">
            <v>1.7031142550524103</v>
          </cell>
        </row>
        <row r="57">
          <cell r="H57">
            <v>2.1508979819924536</v>
          </cell>
          <cell r="I57">
            <v>2.0320178699041631</v>
          </cell>
          <cell r="J57">
            <v>1.4316524077056443</v>
          </cell>
          <cell r="K57">
            <v>1.2743993607470525</v>
          </cell>
          <cell r="L57">
            <v>0.87969003365045617</v>
          </cell>
          <cell r="M57">
            <v>1.3479158250777785</v>
          </cell>
          <cell r="N57">
            <v>2.0700108747262438</v>
          </cell>
          <cell r="O57">
            <v>3.1947177964742988</v>
          </cell>
          <cell r="P57">
            <v>2.2331908304370804</v>
          </cell>
          <cell r="Q57">
            <v>1.195563875741235</v>
          </cell>
          <cell r="R57">
            <v>1.4633005807224375</v>
          </cell>
          <cell r="S57">
            <v>2.1324333816489229</v>
          </cell>
          <cell r="T57">
            <v>2.983172745624953</v>
          </cell>
          <cell r="U57">
            <v>2.1968695178271713</v>
          </cell>
          <cell r="V57">
            <v>2.2638891783333217</v>
          </cell>
          <cell r="W57">
            <v>1.9529723680105797</v>
          </cell>
          <cell r="X57">
            <v>1.3459945399311508</v>
          </cell>
          <cell r="Y57">
            <v>1.701671067538973</v>
          </cell>
          <cell r="Z57">
            <v>0.59441999999999995</v>
          </cell>
          <cell r="AA57">
            <v>0.76018799999999986</v>
          </cell>
          <cell r="AB57">
            <v>0.64331387060552492</v>
          </cell>
          <cell r="AC57">
            <v>0.62000410564790387</v>
          </cell>
          <cell r="AD57">
            <v>0.59123356973406582</v>
          </cell>
          <cell r="AE57">
            <v>0.61931427456451282</v>
          </cell>
        </row>
        <row r="58">
          <cell r="H58">
            <v>0.53772449549811341</v>
          </cell>
          <cell r="I58">
            <v>0.50800446747604078</v>
          </cell>
          <cell r="J58">
            <v>0.35791310192641107</v>
          </cell>
          <cell r="K58">
            <v>0.31859984018676313</v>
          </cell>
          <cell r="L58">
            <v>0.21992250841261404</v>
          </cell>
          <cell r="M58">
            <v>0.33697895626944463</v>
          </cell>
          <cell r="N58">
            <v>0.51750271868156095</v>
          </cell>
          <cell r="O58">
            <v>0.79867944911857469</v>
          </cell>
          <cell r="P58">
            <v>0.55829770760927011</v>
          </cell>
          <cell r="Q58">
            <v>0.29889096893530875</v>
          </cell>
          <cell r="R58">
            <v>0.36582514518060938</v>
          </cell>
          <cell r="S58">
            <v>0.53310834541223073</v>
          </cell>
          <cell r="T58">
            <v>0.74579318640623826</v>
          </cell>
          <cell r="U58">
            <v>0.54921737945679283</v>
          </cell>
          <cell r="V58">
            <v>0.56597229458333043</v>
          </cell>
          <cell r="W58">
            <v>0.48824309200264493</v>
          </cell>
          <cell r="X58">
            <v>0.3364986349827877</v>
          </cell>
          <cell r="Y58">
            <v>0.42541776688474325</v>
          </cell>
          <cell r="Z58">
            <v>2.1300050000000001</v>
          </cell>
          <cell r="AA58">
            <v>2.7240069999999998</v>
          </cell>
          <cell r="AB58">
            <v>2.305208036336464</v>
          </cell>
          <cell r="AC58">
            <v>2.2216813785716556</v>
          </cell>
          <cell r="AD58">
            <v>2.118586958213736</v>
          </cell>
          <cell r="AE58">
            <v>2.2192094838561709</v>
          </cell>
        </row>
        <row r="59">
          <cell r="H59">
            <v>1.0381942181179253</v>
          </cell>
          <cell r="I59">
            <v>0.980813233035153</v>
          </cell>
          <cell r="J59">
            <v>0.69102917222404159</v>
          </cell>
          <cell r="K59">
            <v>0.61512636070036175</v>
          </cell>
          <cell r="L59">
            <v>0.42460828654730265</v>
          </cell>
          <cell r="M59">
            <v>0.65061124601041742</v>
          </cell>
          <cell r="N59">
            <v>0.99915167505585367</v>
          </cell>
          <cell r="O59">
            <v>1.542024574194655</v>
          </cell>
          <cell r="P59">
            <v>1.077915283534763</v>
          </cell>
          <cell r="Q59">
            <v>0.57707409350740779</v>
          </cell>
          <cell r="R59">
            <v>0.70630509442728517</v>
          </cell>
          <cell r="S59">
            <v>1.029281735295865</v>
          </cell>
          <cell r="T59">
            <v>1.4399161290233935</v>
          </cell>
          <cell r="U59">
            <v>1.0603837329629731</v>
          </cell>
          <cell r="V59">
            <v>1.092732744687489</v>
          </cell>
          <cell r="W59">
            <v>0.94265959500991836</v>
          </cell>
          <cell r="X59">
            <v>0.64968388118545384</v>
          </cell>
          <cell r="Y59">
            <v>0.82136162581778727</v>
          </cell>
          <cell r="Z59">
            <v>0.59441999999999995</v>
          </cell>
          <cell r="AA59">
            <v>0.76018799999999986</v>
          </cell>
          <cell r="AB59">
            <v>0.64331387060552492</v>
          </cell>
          <cell r="AC59">
            <v>0.62000410564790387</v>
          </cell>
          <cell r="AD59">
            <v>0.59123356973406582</v>
          </cell>
          <cell r="AE59">
            <v>0.61931427456451282</v>
          </cell>
        </row>
        <row r="60">
          <cell r="H60">
            <v>1.6924380000000001</v>
          </cell>
          <cell r="I60">
            <v>1.484802</v>
          </cell>
          <cell r="J60">
            <v>2.0873819999999998</v>
          </cell>
          <cell r="K60">
            <v>2.0856660000000002</v>
          </cell>
          <cell r="L60">
            <v>2.3110560000000002</v>
          </cell>
          <cell r="M60">
            <v>3.1661519999999999</v>
          </cell>
          <cell r="N60">
            <v>2.39778</v>
          </cell>
          <cell r="O60">
            <v>1.4201721599999999</v>
          </cell>
          <cell r="P60">
            <v>2.9824739999999998</v>
          </cell>
          <cell r="Q60">
            <v>1.9324140000000003</v>
          </cell>
          <cell r="R60">
            <v>1.907796</v>
          </cell>
          <cell r="S60">
            <v>2.3078220000000003</v>
          </cell>
          <cell r="T60">
            <v>2.4817980000000004</v>
          </cell>
          <cell r="U60">
            <v>2.3626019999999999</v>
          </cell>
          <cell r="V60">
            <v>2.16249</v>
          </cell>
          <cell r="W60">
            <v>2.6243000000000003</v>
          </cell>
          <cell r="X60">
            <v>3.7761</v>
          </cell>
          <cell r="Y60">
            <v>2.5621999999999998</v>
          </cell>
          <cell r="Z60">
            <v>3.0191999999999997</v>
          </cell>
          <cell r="AA60">
            <v>2.9931000000000001</v>
          </cell>
          <cell r="AB60">
            <v>2.8918301090794269</v>
          </cell>
          <cell r="AC60">
            <v>3.782360064278282</v>
          </cell>
          <cell r="AD60">
            <v>3.4705377413257055</v>
          </cell>
          <cell r="AE60">
            <v>3.2160116321090824</v>
          </cell>
        </row>
        <row r="61">
          <cell r="H61">
            <v>0.87186200000000003</v>
          </cell>
          <cell r="I61">
            <v>0.76489800000000008</v>
          </cell>
          <cell r="J61">
            <v>1.075318</v>
          </cell>
          <cell r="K61">
            <v>1.0744339999999999</v>
          </cell>
          <cell r="L61">
            <v>1.190544</v>
          </cell>
          <cell r="M61">
            <v>1.6310480000000001</v>
          </cell>
          <cell r="N61">
            <v>1.23522</v>
          </cell>
          <cell r="O61">
            <v>0.73160384000000001</v>
          </cell>
          <cell r="P61">
            <v>1.5364259999999998</v>
          </cell>
          <cell r="Q61">
            <v>0.99548600000000009</v>
          </cell>
          <cell r="R61">
            <v>0.98280400000000012</v>
          </cell>
          <cell r="S61">
            <v>1.1888779999999999</v>
          </cell>
          <cell r="T61">
            <v>1.2785020000000002</v>
          </cell>
          <cell r="U61">
            <v>1.217098</v>
          </cell>
          <cell r="V61">
            <v>1.1140099999999999</v>
          </cell>
          <cell r="W61">
            <v>1.2012</v>
          </cell>
          <cell r="X61">
            <v>1.5534000000000001</v>
          </cell>
          <cell r="Y61">
            <v>0.81710000000000005</v>
          </cell>
          <cell r="Z61">
            <v>1.2970999999999999</v>
          </cell>
          <cell r="AA61">
            <v>1.4250999999999998</v>
          </cell>
          <cell r="AB61">
            <v>1.3376018689940781</v>
          </cell>
          <cell r="AC61">
            <v>1.4693053926132156</v>
          </cell>
          <cell r="AD61">
            <v>1.3354667382339562</v>
          </cell>
          <cell r="AE61">
            <v>1.249250206816515</v>
          </cell>
        </row>
        <row r="62">
          <cell r="H62">
            <v>5.2438000000000002</v>
          </cell>
          <cell r="I62">
            <v>3.0779999999999998</v>
          </cell>
          <cell r="J62">
            <v>3.5724999999999998</v>
          </cell>
          <cell r="K62">
            <v>4.5848000000000004</v>
          </cell>
          <cell r="L62">
            <v>3.4581999999999997</v>
          </cell>
          <cell r="M62">
            <v>3.2988000000000004</v>
          </cell>
          <cell r="N62">
            <v>3.1168</v>
          </cell>
          <cell r="O62">
            <v>3.8371</v>
          </cell>
          <cell r="P62">
            <v>5.0454999999999997</v>
          </cell>
          <cell r="Q62">
            <v>6.3580129999999997</v>
          </cell>
          <cell r="R62">
            <v>4.7816999999999998</v>
          </cell>
          <cell r="S62">
            <v>6.0843999999999996</v>
          </cell>
          <cell r="T62">
            <v>5.7608000000000006</v>
          </cell>
          <cell r="U62">
            <v>5.1916000000000002</v>
          </cell>
          <cell r="V62">
            <v>6.0718000000000005</v>
          </cell>
          <cell r="W62">
            <v>2.7429000000000001</v>
          </cell>
          <cell r="X62">
            <v>4.8205</v>
          </cell>
          <cell r="Y62">
            <v>3.1579999999999999</v>
          </cell>
          <cell r="Z62">
            <v>4.7521000000000004</v>
          </cell>
          <cell r="AA62">
            <v>4.5863000000000005</v>
          </cell>
          <cell r="AB62">
            <v>4.2521218800000069</v>
          </cell>
          <cell r="AC62">
            <v>4.1643903399999962</v>
          </cell>
          <cell r="AD62">
            <v>4.2213762000000035</v>
          </cell>
          <cell r="AE62">
            <v>4.5285378099999987</v>
          </cell>
        </row>
        <row r="63">
          <cell r="H63">
            <v>0.5481317139383739</v>
          </cell>
          <cell r="I63">
            <v>0.5178364790468617</v>
          </cell>
          <cell r="J63">
            <v>0.36484021769957081</v>
          </cell>
          <cell r="K63">
            <v>0.32476607988686124</v>
          </cell>
          <cell r="L63">
            <v>0.22417892894792907</v>
          </cell>
          <cell r="M63">
            <v>0.34350090875073974</v>
          </cell>
          <cell r="N63">
            <v>0.52751856114705731</v>
          </cell>
          <cell r="O63">
            <v>0.81413723755914813</v>
          </cell>
          <cell r="P63">
            <v>0.56910310376739748</v>
          </cell>
          <cell r="Q63">
            <v>0.30467575952895537</v>
          </cell>
          <cell r="R63">
            <v>0.37290539208903378</v>
          </cell>
          <cell r="S63">
            <v>0.54342622203767876</v>
          </cell>
          <cell r="T63">
            <v>0.76022740442525871</v>
          </cell>
          <cell r="U63">
            <v>0.55984703327961061</v>
          </cell>
          <cell r="V63">
            <v>0.57692622610435551</v>
          </cell>
          <cell r="W63">
            <v>0.37201976634398637</v>
          </cell>
          <cell r="X63">
            <v>0.26963174813441793</v>
          </cell>
          <cell r="Y63">
            <v>0.34990048025184839</v>
          </cell>
          <cell r="Z63">
            <v>0.25180000000000002</v>
          </cell>
          <cell r="AA63">
            <v>0.24840000000000001</v>
          </cell>
          <cell r="AB63">
            <v>0.2696633082872934</v>
          </cell>
          <cell r="AC63">
            <v>0.33187896960079466</v>
          </cell>
          <cell r="AD63">
            <v>0.24932755554944439</v>
          </cell>
          <cell r="AE63">
            <v>0.2462404319623952</v>
          </cell>
        </row>
        <row r="64">
          <cell r="H64">
            <v>0.22180508606162622</v>
          </cell>
          <cell r="I64">
            <v>0.20954592095313826</v>
          </cell>
          <cell r="J64">
            <v>0.14763498230042921</v>
          </cell>
          <cell r="K64">
            <v>0.13141872011313882</v>
          </cell>
          <cell r="L64">
            <v>9.0715471052070965E-2</v>
          </cell>
          <cell r="M64">
            <v>0.13899989124926035</v>
          </cell>
          <cell r="N64">
            <v>0.21346383885294262</v>
          </cell>
          <cell r="O64">
            <v>0.32944596244085222</v>
          </cell>
          <cell r="P64">
            <v>0.23029129623260253</v>
          </cell>
          <cell r="Q64">
            <v>0.12328904047104472</v>
          </cell>
          <cell r="R64">
            <v>0.15089860791096629</v>
          </cell>
          <cell r="S64">
            <v>0.2199009779623213</v>
          </cell>
          <cell r="T64">
            <v>0.30763099557474127</v>
          </cell>
          <cell r="U64">
            <v>0.22654576672038956</v>
          </cell>
          <cell r="V64">
            <v>0.23345697389564446</v>
          </cell>
          <cell r="W64">
            <v>0.15054023365601354</v>
          </cell>
          <cell r="X64">
            <v>0.1091082518655821</v>
          </cell>
          <cell r="Y64">
            <v>0.14158951974815162</v>
          </cell>
          <cell r="Z64">
            <v>0.25180000000000002</v>
          </cell>
          <cell r="AA64">
            <v>0.24840000000000001</v>
          </cell>
          <cell r="AB64">
            <v>0.2696633082872934</v>
          </cell>
          <cell r="AC64">
            <v>0.33187896960079466</v>
          </cell>
          <cell r="AD64">
            <v>0.24932755554944439</v>
          </cell>
          <cell r="AE64">
            <v>0.2462404319623952</v>
          </cell>
        </row>
        <row r="65">
          <cell r="H65">
            <v>0.23799999999999999</v>
          </cell>
          <cell r="I65">
            <v>0.17499999999999999</v>
          </cell>
          <cell r="J65">
            <v>0.22190000000000001</v>
          </cell>
          <cell r="K65">
            <v>0.18659999999999999</v>
          </cell>
          <cell r="L65">
            <v>0.33439999999999998</v>
          </cell>
          <cell r="M65">
            <v>0.22409999999999999</v>
          </cell>
          <cell r="N65">
            <v>0.1966</v>
          </cell>
          <cell r="O65">
            <v>0.28989999999999999</v>
          </cell>
          <cell r="P65">
            <v>0.19939999999999999</v>
          </cell>
          <cell r="Q65">
            <v>0.25030000000000002</v>
          </cell>
          <cell r="R65">
            <v>0.33189999999999997</v>
          </cell>
          <cell r="S65">
            <v>0.25900000000000001</v>
          </cell>
          <cell r="T65">
            <v>0.33539999999999998</v>
          </cell>
          <cell r="U65">
            <v>0.30019999999999997</v>
          </cell>
          <cell r="V65">
            <v>0.20430000000000001</v>
          </cell>
          <cell r="W65">
            <v>0.76816319999999993</v>
          </cell>
          <cell r="X65">
            <v>0.55674780000000001</v>
          </cell>
          <cell r="Y65">
            <v>0.72249029999999992</v>
          </cell>
          <cell r="Z65">
            <v>4.9535</v>
          </cell>
          <cell r="AA65">
            <v>6.3348999999999993</v>
          </cell>
          <cell r="AB65">
            <v>5.3609489217127075</v>
          </cell>
          <cell r="AC65">
            <v>5.1667008803991994</v>
          </cell>
          <cell r="AD65">
            <v>4.9269464144505486</v>
          </cell>
          <cell r="AE65">
            <v>5.1609522880376071</v>
          </cell>
        </row>
        <row r="66">
          <cell r="H66">
            <v>0.61850000000000005</v>
          </cell>
          <cell r="I66">
            <v>2.2084999999999999</v>
          </cell>
          <cell r="J66">
            <v>1.4847000000000001</v>
          </cell>
          <cell r="K66">
            <v>0.95320000000000005</v>
          </cell>
          <cell r="L66">
            <v>0.90810000000000002</v>
          </cell>
          <cell r="M66">
            <v>0.42230000000000001</v>
          </cell>
          <cell r="N66">
            <v>0.60639999999999994</v>
          </cell>
          <cell r="O66">
            <v>0.6167999999999999</v>
          </cell>
          <cell r="P66">
            <v>1.0635999999999999</v>
          </cell>
          <cell r="Q66">
            <v>1.0459000000000001</v>
          </cell>
          <cell r="R66">
            <v>2.0405000000000002</v>
          </cell>
          <cell r="S66">
            <v>2.3144</v>
          </cell>
          <cell r="T66">
            <v>1.7478</v>
          </cell>
          <cell r="U66">
            <v>1.9861</v>
          </cell>
          <cell r="V66">
            <v>1.1522000000000001</v>
          </cell>
          <cell r="W66">
            <v>0.38150000000000001</v>
          </cell>
          <cell r="X66">
            <v>0.92549999999999999</v>
          </cell>
          <cell r="Y66">
            <v>1.1422999999999999</v>
          </cell>
          <cell r="Z66">
            <v>1.5630999999999999</v>
          </cell>
          <cell r="AA66">
            <v>1.7925</v>
          </cell>
          <cell r="AB66">
            <v>1.7621433593581584</v>
          </cell>
          <cell r="AC66">
            <v>1.4336343163011998</v>
          </cell>
          <cell r="AD66">
            <v>1.3691762784064214</v>
          </cell>
          <cell r="AE66">
            <v>1.5800612145564872</v>
          </cell>
        </row>
        <row r="67">
          <cell r="H67">
            <v>0.43003140000000001</v>
          </cell>
          <cell r="I67">
            <v>0.38538420000000001</v>
          </cell>
          <cell r="J67">
            <v>0.66239400000000004</v>
          </cell>
          <cell r="K67">
            <v>0.43521479999999996</v>
          </cell>
          <cell r="L67">
            <v>0.36477779999999993</v>
          </cell>
          <cell r="M67">
            <v>0.67629059999999996</v>
          </cell>
          <cell r="N67">
            <v>0.52988339999999989</v>
          </cell>
          <cell r="O67">
            <v>0.50167679999999992</v>
          </cell>
          <cell r="P67">
            <v>0.38506620000000003</v>
          </cell>
          <cell r="Q67">
            <v>0.32744460000000003</v>
          </cell>
          <cell r="R67">
            <v>0.54336660000000003</v>
          </cell>
          <cell r="S67">
            <v>0.64827480000000004</v>
          </cell>
          <cell r="T67">
            <v>0.97781820000000008</v>
          </cell>
          <cell r="U67">
            <v>0.78724080000000007</v>
          </cell>
          <cell r="V67">
            <v>0.68166479999999996</v>
          </cell>
          <cell r="W67">
            <v>0.47345219999999999</v>
          </cell>
          <cell r="X67">
            <v>0.48302279999999997</v>
          </cell>
          <cell r="Y67">
            <v>0.4790682</v>
          </cell>
          <cell r="Z67">
            <v>3.056</v>
          </cell>
          <cell r="AA67">
            <v>2.3259000000000003</v>
          </cell>
          <cell r="AB67">
            <v>2.0441822700000003</v>
          </cell>
          <cell r="AC67">
            <v>2.0585218499999991</v>
          </cell>
          <cell r="AD67">
            <v>2.2333007499999997</v>
          </cell>
          <cell r="AE67">
            <v>2.33822785</v>
          </cell>
        </row>
        <row r="68">
          <cell r="H68">
            <v>0.92226859999999999</v>
          </cell>
          <cell r="I68">
            <v>0.82651580000000013</v>
          </cell>
          <cell r="J68">
            <v>1.420606</v>
          </cell>
          <cell r="K68">
            <v>0.93338520000000003</v>
          </cell>
          <cell r="L68">
            <v>0.78232219999999997</v>
          </cell>
          <cell r="M68">
            <v>1.4504094000000001</v>
          </cell>
          <cell r="N68">
            <v>1.1364166</v>
          </cell>
          <cell r="O68">
            <v>1.0759231999999999</v>
          </cell>
          <cell r="P68">
            <v>0.82583380000000006</v>
          </cell>
          <cell r="Q68">
            <v>0.70225540000000009</v>
          </cell>
          <cell r="R68">
            <v>1.1653334000000002</v>
          </cell>
          <cell r="S68">
            <v>1.3903251999999999</v>
          </cell>
          <cell r="T68">
            <v>2.0970818000000002</v>
          </cell>
          <cell r="U68">
            <v>1.6883592000000001</v>
          </cell>
          <cell r="V68">
            <v>1.4619352000000001</v>
          </cell>
          <cell r="W68">
            <v>1.5498478</v>
          </cell>
          <cell r="X68">
            <v>1.5811771999999999</v>
          </cell>
          <cell r="Y68">
            <v>1.5682318</v>
          </cell>
          <cell r="Z68">
            <v>3.056</v>
          </cell>
          <cell r="AA68">
            <v>2.3259000000000003</v>
          </cell>
          <cell r="AB68">
            <v>2.0441822700000003</v>
          </cell>
          <cell r="AC68">
            <v>2.0585218499999991</v>
          </cell>
          <cell r="AD68">
            <v>2.2333007499999997</v>
          </cell>
          <cell r="AE68">
            <v>2.33822785</v>
          </cell>
        </row>
        <row r="69">
          <cell r="H69">
            <v>1.112582</v>
          </cell>
          <cell r="I69">
            <v>0.80331799999999998</v>
          </cell>
          <cell r="J69">
            <v>0.79209799999999997</v>
          </cell>
          <cell r="K69">
            <v>1.4170180000000003</v>
          </cell>
          <cell r="L69">
            <v>2.0118140000000002</v>
          </cell>
          <cell r="M69">
            <v>1.9682630600000002</v>
          </cell>
          <cell r="N69">
            <v>1.356931568</v>
          </cell>
          <cell r="O69">
            <v>1.6115660000000003</v>
          </cell>
          <cell r="P69">
            <v>2.0560044800000004</v>
          </cell>
          <cell r="Q69">
            <v>2.2904100000000001</v>
          </cell>
          <cell r="R69">
            <v>2.4596072599999999</v>
          </cell>
          <cell r="S69">
            <v>3.8090502600000002</v>
          </cell>
          <cell r="T69">
            <v>4.7729200000000009</v>
          </cell>
          <cell r="U69">
            <v>4.5525319999999994</v>
          </cell>
          <cell r="V69">
            <v>3.3850400000000009</v>
          </cell>
          <cell r="W69">
            <v>2.8653000000000004</v>
          </cell>
          <cell r="X69">
            <v>1.9470999999999998</v>
          </cell>
          <cell r="Y69">
            <v>3.2425000000000002</v>
          </cell>
          <cell r="Z69">
            <v>1.5354000000000001</v>
          </cell>
          <cell r="AA69">
            <v>1.9370000000000001</v>
          </cell>
          <cell r="AB69">
            <v>2.3703669220352253</v>
          </cell>
          <cell r="AC69">
            <v>1.9890497993605087</v>
          </cell>
          <cell r="AD69">
            <v>2.1600621794832904</v>
          </cell>
          <cell r="AE69">
            <v>2.2621435716444833</v>
          </cell>
        </row>
        <row r="70">
          <cell r="H70">
            <v>2.1597179999999998</v>
          </cell>
          <cell r="I70">
            <v>1.559382</v>
          </cell>
          <cell r="J70">
            <v>1.5376019999999999</v>
          </cell>
          <cell r="K70">
            <v>2.7506820000000007</v>
          </cell>
          <cell r="L70">
            <v>3.9052860000000007</v>
          </cell>
          <cell r="M70">
            <v>3.8207459400000001</v>
          </cell>
          <cell r="N70">
            <v>2.634043632</v>
          </cell>
          <cell r="O70">
            <v>3.1283340000000002</v>
          </cell>
          <cell r="P70">
            <v>3.991067520000001</v>
          </cell>
          <cell r="Q70">
            <v>4.446089999999999</v>
          </cell>
          <cell r="R70">
            <v>4.7745317399999996</v>
          </cell>
          <cell r="S70">
            <v>7.3940387400000001</v>
          </cell>
          <cell r="T70">
            <v>9.2650800000000011</v>
          </cell>
          <cell r="U70">
            <v>8.8372679999999981</v>
          </cell>
          <cell r="V70">
            <v>6.5709600000000021</v>
          </cell>
          <cell r="W70">
            <v>4.5552000000000001</v>
          </cell>
          <cell r="X70">
            <v>5.4093999999999998</v>
          </cell>
          <cell r="Y70">
            <v>5.1186000000000007</v>
          </cell>
          <cell r="Z70">
            <v>1.7812999999999999</v>
          </cell>
          <cell r="AA70">
            <v>2.95</v>
          </cell>
          <cell r="AB70">
            <v>2.2861592609503698</v>
          </cell>
          <cell r="AC70">
            <v>2.5053125556405771</v>
          </cell>
          <cell r="AD70">
            <v>2.4712945670254456</v>
          </cell>
          <cell r="AE70">
            <v>2.4438312461536253</v>
          </cell>
        </row>
        <row r="92">
          <cell r="H92">
            <v>0.41436087365353341</v>
          </cell>
          <cell r="I92">
            <v>0.17461665398690543</v>
          </cell>
          <cell r="J92">
            <v>0.26404705837256015</v>
          </cell>
          <cell r="K92">
            <v>0.26172287837157698</v>
          </cell>
          <cell r="L92">
            <v>0.20771095617481719</v>
          </cell>
          <cell r="M92">
            <v>0.24565572097347629</v>
          </cell>
          <cell r="N92">
            <v>0.38202445624855086</v>
          </cell>
          <cell r="O92">
            <v>0.43265115974822654</v>
          </cell>
          <cell r="P92">
            <v>0.44386785453557986</v>
          </cell>
          <cell r="Q92">
            <v>0.36903936363436263</v>
          </cell>
          <cell r="R92">
            <v>0.5218289358729048</v>
          </cell>
          <cell r="S92">
            <v>0.56649361241353691</v>
          </cell>
          <cell r="T92">
            <v>0.68866463942173628</v>
          </cell>
          <cell r="U92">
            <v>1.031127510001379</v>
          </cell>
          <cell r="V92">
            <v>0.57467876806917317</v>
          </cell>
          <cell r="W92">
            <v>0.49454508368745087</v>
          </cell>
          <cell r="X92">
            <v>0.57525981306941887</v>
          </cell>
          <cell r="Y92">
            <v>0.81019904321227521</v>
          </cell>
          <cell r="Z92">
            <v>0.6358950000000001</v>
          </cell>
          <cell r="AA92">
            <v>0.73733399999999993</v>
          </cell>
          <cell r="AB92">
            <v>0.6518964294875611</v>
          </cell>
          <cell r="AC92">
            <v>0.67716166468748484</v>
          </cell>
          <cell r="AD92">
            <v>0.61357820737900048</v>
          </cell>
          <cell r="AE92">
            <v>0.62155831420158214</v>
          </cell>
        </row>
        <row r="93">
          <cell r="H93">
            <v>0.18668655354200558</v>
          </cell>
          <cell r="I93">
            <v>7.8671958180852486E-2</v>
          </cell>
          <cell r="J93">
            <v>0.11896402009639327</v>
          </cell>
          <cell r="K93">
            <v>0.11791688176412496</v>
          </cell>
          <cell r="L93">
            <v>9.3582297477281418E-2</v>
          </cell>
          <cell r="M93">
            <v>0.11067796894540068</v>
          </cell>
          <cell r="N93">
            <v>0.17211767239740325</v>
          </cell>
          <cell r="O93">
            <v>0.19492707693942124</v>
          </cell>
          <cell r="P93">
            <v>0.19998065758645517</v>
          </cell>
          <cell r="Q93">
            <v>0.1662673560627739</v>
          </cell>
          <cell r="R93">
            <v>0.23510531947101979</v>
          </cell>
          <cell r="S93">
            <v>0.25522858655200176</v>
          </cell>
          <cell r="T93">
            <v>0.31027164062645235</v>
          </cell>
          <cell r="U93">
            <v>0.46456519749850622</v>
          </cell>
          <cell r="V93">
            <v>0.25891633459172925</v>
          </cell>
          <cell r="W93">
            <v>0.22281282600526162</v>
          </cell>
          <cell r="X93">
            <v>0.25917811917479627</v>
          </cell>
          <cell r="Y93">
            <v>0.3650278698533686</v>
          </cell>
          <cell r="Z93">
            <v>0.79894500000000002</v>
          </cell>
          <cell r="AA93">
            <v>0.92639399999999994</v>
          </cell>
          <cell r="AB93">
            <v>0.81904936012539731</v>
          </cell>
          <cell r="AC93">
            <v>0.85079286076119875</v>
          </cell>
          <cell r="AD93">
            <v>0.77090595286079544</v>
          </cell>
          <cell r="AE93">
            <v>0.78093224091993652</v>
          </cell>
        </row>
        <row r="94">
          <cell r="H94">
            <v>0.21905257280446114</v>
          </cell>
          <cell r="I94">
            <v>9.2311387832242131E-2</v>
          </cell>
          <cell r="J94">
            <v>0.13958892153104671</v>
          </cell>
          <cell r="K94">
            <v>0.1383602398642981</v>
          </cell>
          <cell r="L94">
            <v>0.10980674634790144</v>
          </cell>
          <cell r="M94">
            <v>0.12986631008112301</v>
          </cell>
          <cell r="N94">
            <v>0.20195787135404591</v>
          </cell>
          <cell r="O94">
            <v>0.22872176331235222</v>
          </cell>
          <cell r="P94">
            <v>0.234651487877965</v>
          </cell>
          <cell r="Q94">
            <v>0.19509328030286358</v>
          </cell>
          <cell r="R94">
            <v>0.27586574465607538</v>
          </cell>
          <cell r="S94">
            <v>0.29947780103446142</v>
          </cell>
          <cell r="T94">
            <v>0.36406371995181136</v>
          </cell>
          <cell r="U94">
            <v>0.54510729250011491</v>
          </cell>
          <cell r="V94">
            <v>0.30380489733909782</v>
          </cell>
          <cell r="W94">
            <v>0.2614420903072876</v>
          </cell>
          <cell r="X94">
            <v>0.30411206775578492</v>
          </cell>
          <cell r="Y94">
            <v>0.42831308693435627</v>
          </cell>
          <cell r="Z94">
            <v>0.19566</v>
          </cell>
          <cell r="AA94">
            <v>0.22687199999999996</v>
          </cell>
          <cell r="AB94">
            <v>0.20058351676540342</v>
          </cell>
          <cell r="AC94">
            <v>0.20835743528845685</v>
          </cell>
          <cell r="AD94">
            <v>0.188793294578154</v>
          </cell>
          <cell r="AE94">
            <v>0.19124871206202526</v>
          </cell>
        </row>
        <row r="95">
          <cell r="H95">
            <v>0.16229015911096059</v>
          </cell>
          <cell r="I95">
            <v>0.13689095496788101</v>
          </cell>
          <cell r="J95">
            <v>0.1464880483900218</v>
          </cell>
          <cell r="K95">
            <v>0.12630105877793252</v>
          </cell>
          <cell r="L95">
            <v>5.3578256036020636E-2</v>
          </cell>
          <cell r="M95">
            <v>0.14473409683356164</v>
          </cell>
          <cell r="N95">
            <v>0.20832311411164292</v>
          </cell>
          <cell r="O95">
            <v>0.18181528021117813</v>
          </cell>
          <cell r="P95">
            <v>0.25346254662129836</v>
          </cell>
          <cell r="Q95">
            <v>0.21457777154883126</v>
          </cell>
          <cell r="R95">
            <v>0.21891301030159141</v>
          </cell>
          <cell r="S95">
            <v>0.34506514866435284</v>
          </cell>
          <cell r="T95">
            <v>0.4237613147259075</v>
          </cell>
          <cell r="U95">
            <v>0.29486242203887825</v>
          </cell>
          <cell r="V95">
            <v>0.25132802067051191</v>
          </cell>
          <cell r="W95">
            <v>0.19929265632196788</v>
          </cell>
          <cell r="X95">
            <v>0.28278808334118855</v>
          </cell>
          <cell r="Y95">
            <v>0.28374874501219671</v>
          </cell>
          <cell r="Z95">
            <v>0.38990000000000008</v>
          </cell>
          <cell r="AA95">
            <v>0.61124000000000001</v>
          </cell>
          <cell r="AB95">
            <v>0.48311013099802608</v>
          </cell>
          <cell r="AC95">
            <v>0.44265568341819511</v>
          </cell>
          <cell r="AD95">
            <v>0.44279982054836869</v>
          </cell>
          <cell r="AE95">
            <v>0.46242683685728003</v>
          </cell>
        </row>
        <row r="96">
          <cell r="H96">
            <v>0.29974721869213228</v>
          </cell>
          <cell r="I96">
            <v>0.25283531201468296</v>
          </cell>
          <cell r="J96">
            <v>0.27056098359313285</v>
          </cell>
          <cell r="K96">
            <v>0.23327595027294512</v>
          </cell>
          <cell r="L96">
            <v>9.8958145812104853E-2</v>
          </cell>
          <cell r="M96">
            <v>0.26732146430465759</v>
          </cell>
          <cell r="N96">
            <v>0.38476931926324892</v>
          </cell>
          <cell r="O96">
            <v>0.33580979190346144</v>
          </cell>
          <cell r="P96">
            <v>0.46814109868740644</v>
          </cell>
          <cell r="Q96">
            <v>0.39632156729196283</v>
          </cell>
          <cell r="R96">
            <v>0.40432868100498676</v>
          </cell>
          <cell r="S96">
            <v>0.63732957775343879</v>
          </cell>
          <cell r="T96">
            <v>0.78268008469672801</v>
          </cell>
          <cell r="U96">
            <v>0.54460597849651282</v>
          </cell>
          <cell r="V96">
            <v>0.46419866483633754</v>
          </cell>
          <cell r="W96">
            <v>0.36809021425281468</v>
          </cell>
          <cell r="X96">
            <v>0.52230487618688526</v>
          </cell>
          <cell r="Y96">
            <v>0.52407920228013871</v>
          </cell>
          <cell r="Z96">
            <v>0.18102500000000002</v>
          </cell>
          <cell r="AA96">
            <v>0.28378999999999999</v>
          </cell>
          <cell r="AB96">
            <v>0.22430113224908352</v>
          </cell>
          <cell r="AC96">
            <v>0.20551871015844772</v>
          </cell>
          <cell r="AD96">
            <v>0.20558563096888544</v>
          </cell>
          <cell r="AE96">
            <v>0.21469817425516571</v>
          </cell>
        </row>
        <row r="97">
          <cell r="H97">
            <v>7.4936804673033069E-2</v>
          </cell>
          <cell r="I97">
            <v>6.3208828003670739E-2</v>
          </cell>
          <cell r="J97">
            <v>6.7640245898283213E-2</v>
          </cell>
          <cell r="K97">
            <v>5.831898756823628E-2</v>
          </cell>
          <cell r="L97">
            <v>2.4739536453026213E-2</v>
          </cell>
          <cell r="M97">
            <v>6.6830366076164396E-2</v>
          </cell>
          <cell r="N97">
            <v>9.619232981581223E-2</v>
          </cell>
          <cell r="O97">
            <v>8.395244797586536E-2</v>
          </cell>
          <cell r="P97">
            <v>0.11703527467185161</v>
          </cell>
          <cell r="Q97">
            <v>9.9080391822990707E-2</v>
          </cell>
          <cell r="R97">
            <v>0.10108217025124669</v>
          </cell>
          <cell r="S97">
            <v>0.1593323944383597</v>
          </cell>
          <cell r="T97">
            <v>0.195670021174182</v>
          </cell>
          <cell r="U97">
            <v>0.13615149462412821</v>
          </cell>
          <cell r="V97">
            <v>0.11604966620908438</v>
          </cell>
          <cell r="W97">
            <v>9.2022553563203671E-2</v>
          </cell>
          <cell r="X97">
            <v>0.13057621904672131</v>
          </cell>
          <cell r="Y97">
            <v>0.13101980057003468</v>
          </cell>
          <cell r="Z97">
            <v>0.6266250000000001</v>
          </cell>
          <cell r="AA97">
            <v>0.98234999999999995</v>
          </cell>
          <cell r="AB97">
            <v>0.77642699624682754</v>
          </cell>
          <cell r="AC97">
            <v>0.71141091977924209</v>
          </cell>
          <cell r="AD97">
            <v>0.71164256873844955</v>
          </cell>
          <cell r="AE97">
            <v>0.74318598780634293</v>
          </cell>
        </row>
        <row r="98">
          <cell r="H98">
            <v>0.14468181752387402</v>
          </cell>
          <cell r="I98">
            <v>0.12203840501376527</v>
          </cell>
          <cell r="J98">
            <v>0.13059422211856206</v>
          </cell>
          <cell r="K98">
            <v>0.11259750338088605</v>
          </cell>
          <cell r="L98">
            <v>4.7765061698848296E-2</v>
          </cell>
          <cell r="M98">
            <v>0.12903057278561647</v>
          </cell>
          <cell r="N98">
            <v>0.18572023680929586</v>
          </cell>
          <cell r="O98">
            <v>0.1620884799094951</v>
          </cell>
          <cell r="P98">
            <v>0.22596208001944354</v>
          </cell>
          <cell r="Q98">
            <v>0.19129626933621519</v>
          </cell>
          <cell r="R98">
            <v>0.19516113844217509</v>
          </cell>
          <cell r="S98">
            <v>0.30762587914384881</v>
          </cell>
          <cell r="T98">
            <v>0.37778357940318252</v>
          </cell>
          <cell r="U98">
            <v>0.26287010484048079</v>
          </cell>
          <cell r="V98">
            <v>0.2240591482840664</v>
          </cell>
          <cell r="W98">
            <v>0.17766957586201376</v>
          </cell>
          <cell r="X98">
            <v>0.25210582142520493</v>
          </cell>
          <cell r="Y98">
            <v>0.25296225213763002</v>
          </cell>
          <cell r="Z98">
            <v>0.19495000000000004</v>
          </cell>
          <cell r="AA98">
            <v>0.30562</v>
          </cell>
          <cell r="AB98">
            <v>0.24155506549901304</v>
          </cell>
          <cell r="AC98">
            <v>0.22132784170909756</v>
          </cell>
          <cell r="AD98">
            <v>0.22139991027418435</v>
          </cell>
          <cell r="AE98">
            <v>0.23121341842864002</v>
          </cell>
        </row>
        <row r="99">
          <cell r="H99">
            <v>0.18433800000000003</v>
          </cell>
          <cell r="I99">
            <v>0.206844</v>
          </cell>
          <cell r="J99">
            <v>0.137214</v>
          </cell>
          <cell r="K99">
            <v>0.61676999999999993</v>
          </cell>
          <cell r="L99">
            <v>0.68554199999999998</v>
          </cell>
          <cell r="M99">
            <v>0.40642800000000001</v>
          </cell>
          <cell r="N99">
            <v>0.53598599999999996</v>
          </cell>
          <cell r="O99">
            <v>1.033296</v>
          </cell>
          <cell r="P99">
            <v>0.77985599999999999</v>
          </cell>
          <cell r="Q99">
            <v>0.64818600000000004</v>
          </cell>
          <cell r="R99">
            <v>0.78117599999999998</v>
          </cell>
          <cell r="S99">
            <v>0.39857400000000004</v>
          </cell>
          <cell r="T99">
            <v>0.61709999999999998</v>
          </cell>
          <cell r="U99">
            <v>0.37732200000000005</v>
          </cell>
          <cell r="V99">
            <v>0.84011400000000014</v>
          </cell>
          <cell r="W99">
            <v>0.93320000000000003</v>
          </cell>
          <cell r="X99">
            <v>1.1757</v>
          </cell>
          <cell r="Y99">
            <v>0.60420000000000007</v>
          </cell>
          <cell r="Z99">
            <v>0.75339999999999996</v>
          </cell>
          <cell r="AA99">
            <v>1.5335999999999999</v>
          </cell>
          <cell r="AB99">
            <v>1.2076663465344608</v>
          </cell>
          <cell r="AC99">
            <v>0.88413198109065294</v>
          </cell>
          <cell r="AD99">
            <v>0.97240838928959727</v>
          </cell>
          <cell r="AE99">
            <v>1.0165069098294888</v>
          </cell>
        </row>
        <row r="100">
          <cell r="H100">
            <v>9.4962000000000019E-2</v>
          </cell>
          <cell r="I100">
            <v>0.106556</v>
          </cell>
          <cell r="J100">
            <v>7.0686000000000013E-2</v>
          </cell>
          <cell r="K100">
            <v>0.31773000000000001</v>
          </cell>
          <cell r="L100">
            <v>0.35315800000000003</v>
          </cell>
          <cell r="M100">
            <v>0.20937199999999997</v>
          </cell>
          <cell r="N100">
            <v>0.27611400000000003</v>
          </cell>
          <cell r="O100">
            <v>0.532304</v>
          </cell>
          <cell r="P100">
            <v>0.40174399999999999</v>
          </cell>
          <cell r="Q100">
            <v>0.33391400000000004</v>
          </cell>
          <cell r="R100">
            <v>0.402424</v>
          </cell>
          <cell r="S100">
            <v>0.20532599999999998</v>
          </cell>
          <cell r="T100">
            <v>0.31790000000000002</v>
          </cell>
          <cell r="U100">
            <v>0.19437800000000005</v>
          </cell>
          <cell r="V100">
            <v>0.43278600000000006</v>
          </cell>
          <cell r="W100">
            <v>0.53679999999999994</v>
          </cell>
          <cell r="X100">
            <v>0.58729999999999993</v>
          </cell>
          <cell r="Y100">
            <v>0.3029</v>
          </cell>
          <cell r="Z100">
            <v>0.19550000000000001</v>
          </cell>
          <cell r="AA100">
            <v>0.11359999999999999</v>
          </cell>
          <cell r="AB100">
            <v>0.23634605624237559</v>
          </cell>
          <cell r="AC100">
            <v>0.27313452288332429</v>
          </cell>
          <cell r="AD100">
            <v>0.28219361090513184</v>
          </cell>
          <cell r="AE100">
            <v>0.26393138211722167</v>
          </cell>
        </row>
        <row r="101">
          <cell r="H101">
            <v>0.51962010000000003</v>
          </cell>
          <cell r="I101">
            <v>0.2356029</v>
          </cell>
          <cell r="J101">
            <v>0.29530000000000001</v>
          </cell>
          <cell r="K101">
            <v>0.39574090000000001</v>
          </cell>
          <cell r="L101">
            <v>0.68245239999999996</v>
          </cell>
          <cell r="M101">
            <v>0.37956290000000004</v>
          </cell>
          <cell r="N101">
            <v>0.31980000000000003</v>
          </cell>
          <cell r="O101">
            <v>0.7399</v>
          </cell>
          <cell r="P101">
            <v>0.63590000000000002</v>
          </cell>
          <cell r="Q101">
            <v>0.7046</v>
          </cell>
          <cell r="R101">
            <v>0.49339999999999995</v>
          </cell>
          <cell r="S101">
            <v>1.1999000000000002</v>
          </cell>
          <cell r="T101">
            <v>1.5182</v>
          </cell>
          <cell r="U101">
            <v>1.0499000000000001</v>
          </cell>
          <cell r="V101">
            <v>1.0911</v>
          </cell>
          <cell r="W101">
            <v>0.79139999999999999</v>
          </cell>
          <cell r="X101">
            <v>0.41299999999999998</v>
          </cell>
          <cell r="Y101">
            <v>0.74629999999999996</v>
          </cell>
          <cell r="Z101">
            <v>0.95779999999999998</v>
          </cell>
          <cell r="AA101">
            <v>1.0682</v>
          </cell>
          <cell r="AB101">
            <v>0.76954163000000042</v>
          </cell>
          <cell r="AC101">
            <v>0.65636095000000005</v>
          </cell>
          <cell r="AD101">
            <v>0.53005643999999963</v>
          </cell>
          <cell r="AE101">
            <v>0.52549197000000003</v>
          </cell>
        </row>
        <row r="102">
          <cell r="H102">
            <v>0.21296593880742018</v>
          </cell>
          <cell r="I102">
            <v>0.17963572713639753</v>
          </cell>
          <cell r="J102">
            <v>0.19222955304466666</v>
          </cell>
          <cell r="K102">
            <v>0.16573909165141087</v>
          </cell>
          <cell r="L102">
            <v>7.0308290156854247E-2</v>
          </cell>
          <cell r="M102">
            <v>0.18992792279246576</v>
          </cell>
          <cell r="N102">
            <v>0.27337287618122147</v>
          </cell>
          <cell r="O102">
            <v>0.23858786048286421</v>
          </cell>
          <cell r="P102">
            <v>0.33260728493597691</v>
          </cell>
          <cell r="Q102">
            <v>0.28158057651454166</v>
          </cell>
          <cell r="R102">
            <v>0.28726951166620807</v>
          </cell>
          <cell r="S102">
            <v>0.45281318188111136</v>
          </cell>
          <cell r="T102">
            <v>0.55608255432891829</v>
          </cell>
          <cell r="U102">
            <v>0.38693444428509655</v>
          </cell>
          <cell r="V102">
            <v>0.32980624434603434</v>
          </cell>
          <cell r="W102">
            <v>7.7976356796648869E-2</v>
          </cell>
          <cell r="X102">
            <v>0.10613982502339432</v>
          </cell>
          <cell r="Y102">
            <v>0.10925090581588365</v>
          </cell>
          <cell r="Z102">
            <v>0.1041</v>
          </cell>
          <cell r="AA102">
            <v>0.14449999999999999</v>
          </cell>
          <cell r="AB102">
            <v>0.12252214500704957</v>
          </cell>
          <cell r="AC102">
            <v>0.11151282493501802</v>
          </cell>
          <cell r="AD102">
            <v>0.10818632947011167</v>
          </cell>
          <cell r="AE102">
            <v>0.10758392265257145</v>
          </cell>
        </row>
        <row r="103">
          <cell r="H103">
            <v>8.6178061192579855E-2</v>
          </cell>
          <cell r="I103">
            <v>7.2690772863602482E-2</v>
          </cell>
          <cell r="J103">
            <v>7.7786946955333336E-2</v>
          </cell>
          <cell r="K103">
            <v>6.7067408348589097E-2</v>
          </cell>
          <cell r="L103">
            <v>2.8450709843145752E-2</v>
          </cell>
          <cell r="M103">
            <v>7.6855577207534248E-2</v>
          </cell>
          <cell r="N103">
            <v>0.11062212381877858</v>
          </cell>
          <cell r="O103">
            <v>9.6546139517135726E-2</v>
          </cell>
          <cell r="P103">
            <v>0.13459171506402304</v>
          </cell>
          <cell r="Q103">
            <v>0.11394342348545834</v>
          </cell>
          <cell r="R103">
            <v>0.11624548833379195</v>
          </cell>
          <cell r="S103">
            <v>0.18323381811888867</v>
          </cell>
          <cell r="T103">
            <v>0.22502244567108176</v>
          </cell>
          <cell r="U103">
            <v>0.15657555571490342</v>
          </cell>
          <cell r="V103">
            <v>0.13345825565396569</v>
          </cell>
          <cell r="W103">
            <v>3.1553643203351134E-2</v>
          </cell>
          <cell r="X103">
            <v>4.2950174976605679E-2</v>
          </cell>
          <cell r="Y103">
            <v>4.4209094184116358E-2</v>
          </cell>
          <cell r="Z103">
            <v>0.1041</v>
          </cell>
          <cell r="AA103">
            <v>0.14449999999999999</v>
          </cell>
          <cell r="AB103">
            <v>0.12252214500704957</v>
          </cell>
          <cell r="AC103">
            <v>0.11151282493501802</v>
          </cell>
          <cell r="AD103">
            <v>0.10818632947011167</v>
          </cell>
          <cell r="AE103">
            <v>0.10758392265257145</v>
          </cell>
        </row>
        <row r="104">
          <cell r="H104">
            <v>8.6474074074074148E-2</v>
          </cell>
          <cell r="I104">
            <v>8.6474074074074037E-2</v>
          </cell>
          <cell r="J104">
            <v>8.6474074074074148E-2</v>
          </cell>
          <cell r="K104">
            <v>8.6474074074074148E-2</v>
          </cell>
          <cell r="L104">
            <v>8.6474074074073926E-2</v>
          </cell>
          <cell r="M104">
            <v>8.6474074074074148E-2</v>
          </cell>
          <cell r="N104">
            <v>8.6474074074074148E-2</v>
          </cell>
          <cell r="O104">
            <v>8.6474074074073926E-2</v>
          </cell>
          <cell r="P104">
            <v>8.6474074074074148E-2</v>
          </cell>
          <cell r="Q104">
            <v>8.6474074074074148E-2</v>
          </cell>
          <cell r="R104">
            <v>8.6474074074073926E-2</v>
          </cell>
          <cell r="S104">
            <v>8.6474074074074148E-2</v>
          </cell>
          <cell r="T104">
            <v>8.6474074074074148E-2</v>
          </cell>
          <cell r="U104">
            <v>8.6474074074073926E-2</v>
          </cell>
          <cell r="V104">
            <v>8.6474074074073926E-2</v>
          </cell>
          <cell r="W104">
            <v>8.647407407407437E-2</v>
          </cell>
          <cell r="X104">
            <v>8.6474074074073926E-2</v>
          </cell>
          <cell r="Y104">
            <v>8.647407407407437E-2</v>
          </cell>
          <cell r="Z104">
            <v>8.6474074074073926E-2</v>
          </cell>
          <cell r="AA104">
            <v>8.6474074074073926E-2</v>
          </cell>
          <cell r="AB104">
            <v>8.6474074074073926E-2</v>
          </cell>
          <cell r="AC104">
            <v>8.647407407407437E-2</v>
          </cell>
          <cell r="AD104">
            <v>8.6474074074073926E-2</v>
          </cell>
          <cell r="AE104">
            <v>8.647407407407437E-2</v>
          </cell>
        </row>
        <row r="105">
          <cell r="H105">
            <v>0.29699999999999999</v>
          </cell>
          <cell r="I105">
            <v>0.18059999999999998</v>
          </cell>
          <cell r="J105">
            <v>9.4500000000000001E-2</v>
          </cell>
          <cell r="K105">
            <v>0.46850000000000003</v>
          </cell>
          <cell r="L105">
            <v>0.1009</v>
          </cell>
          <cell r="M105">
            <v>0.13689999999999999</v>
          </cell>
          <cell r="N105">
            <v>0.37169999999999997</v>
          </cell>
          <cell r="O105">
            <v>0.29910000000000003</v>
          </cell>
          <cell r="P105">
            <v>0.4612</v>
          </cell>
          <cell r="Q105">
            <v>0.78410000000000002</v>
          </cell>
          <cell r="R105">
            <v>0.1585</v>
          </cell>
          <cell r="S105">
            <v>0.14169999999999999</v>
          </cell>
          <cell r="T105">
            <v>0.24959999999999999</v>
          </cell>
          <cell r="U105">
            <v>0.2296</v>
          </cell>
          <cell r="V105">
            <v>0.22839999999999999</v>
          </cell>
          <cell r="W105">
            <v>0.24010000000000001</v>
          </cell>
          <cell r="X105">
            <v>0.247</v>
          </cell>
          <cell r="Y105">
            <v>0.36219999999999997</v>
          </cell>
          <cell r="Z105">
            <v>0.39089999999999997</v>
          </cell>
          <cell r="AA105">
            <v>0.62470000000000003</v>
          </cell>
          <cell r="AB105">
            <v>0.54312269999999974</v>
          </cell>
          <cell r="AC105">
            <v>0.43204304999999998</v>
          </cell>
          <cell r="AD105">
            <v>0.39338529000000044</v>
          </cell>
          <cell r="AE105">
            <v>0.43886131999999956</v>
          </cell>
        </row>
        <row r="106">
          <cell r="H106">
            <v>9.4114999999999976E-2</v>
          </cell>
          <cell r="I106">
            <v>3.5979999999999998E-2</v>
          </cell>
          <cell r="J106">
            <v>4.9454999999999999E-2</v>
          </cell>
          <cell r="K106">
            <v>1.6729999999999998E-2</v>
          </cell>
          <cell r="L106">
            <v>8.9494999999999991E-2</v>
          </cell>
          <cell r="M106">
            <v>0.18592000000000003</v>
          </cell>
          <cell r="N106">
            <v>0.22197</v>
          </cell>
          <cell r="O106">
            <v>6.1249999999999999E-2</v>
          </cell>
          <cell r="P106">
            <v>0.23075499999999996</v>
          </cell>
          <cell r="Q106">
            <v>0.19785499999999995</v>
          </cell>
          <cell r="R106">
            <v>0.15771000000000002</v>
          </cell>
          <cell r="S106">
            <v>0.15168999999999996</v>
          </cell>
          <cell r="T106">
            <v>0.16621499999999997</v>
          </cell>
          <cell r="U106">
            <v>0.24384500000000001</v>
          </cell>
          <cell r="V106">
            <v>0.190085</v>
          </cell>
          <cell r="W106">
            <v>0.16197999999999999</v>
          </cell>
          <cell r="X106">
            <v>0.14038499999999998</v>
          </cell>
          <cell r="Y106">
            <v>0.31633</v>
          </cell>
          <cell r="Z106">
            <v>0.6502</v>
          </cell>
          <cell r="AA106">
            <v>0.64700000000000002</v>
          </cell>
          <cell r="AB106">
            <v>0.45748749999999927</v>
          </cell>
          <cell r="AC106">
            <v>0.5602725700000003</v>
          </cell>
          <cell r="AD106">
            <v>0.47068721000000047</v>
          </cell>
          <cell r="AE106">
            <v>0.54478340999999997</v>
          </cell>
        </row>
        <row r="107">
          <cell r="H107">
            <v>0.174785</v>
          </cell>
          <cell r="I107">
            <v>6.6820000000000004E-2</v>
          </cell>
          <cell r="J107">
            <v>9.184500000000001E-2</v>
          </cell>
          <cell r="K107">
            <v>3.107E-2</v>
          </cell>
          <cell r="L107">
            <v>0.16620499999999999</v>
          </cell>
          <cell r="M107">
            <v>0.34528000000000003</v>
          </cell>
          <cell r="N107">
            <v>0.41223000000000004</v>
          </cell>
          <cell r="O107">
            <v>0.11375</v>
          </cell>
          <cell r="P107">
            <v>0.42854499999999995</v>
          </cell>
          <cell r="Q107">
            <v>0.36744499999999997</v>
          </cell>
          <cell r="R107">
            <v>0.29289000000000004</v>
          </cell>
          <cell r="S107">
            <v>0.28170999999999996</v>
          </cell>
          <cell r="T107">
            <v>0.30868499999999999</v>
          </cell>
          <cell r="U107">
            <v>0.45285500000000001</v>
          </cell>
          <cell r="V107">
            <v>0.35301500000000002</v>
          </cell>
          <cell r="W107">
            <v>0.35450480000000001</v>
          </cell>
          <cell r="X107">
            <v>0.30724260000000003</v>
          </cell>
          <cell r="Y107">
            <v>0.6923108</v>
          </cell>
          <cell r="Z107">
            <v>0.6502</v>
          </cell>
          <cell r="AA107">
            <v>0.64700000000000002</v>
          </cell>
          <cell r="AB107">
            <v>0.45748749999999927</v>
          </cell>
          <cell r="AC107">
            <v>0.5602725700000003</v>
          </cell>
          <cell r="AD107">
            <v>0.47068721000000047</v>
          </cell>
          <cell r="AE107">
            <v>0.54478340999999997</v>
          </cell>
        </row>
        <row r="108">
          <cell r="H108">
            <v>0.16187400000000002</v>
          </cell>
          <cell r="I108">
            <v>0.40232200000000001</v>
          </cell>
          <cell r="J108">
            <v>0.21423400000000004</v>
          </cell>
          <cell r="K108">
            <v>0.16636200000000001</v>
          </cell>
          <cell r="L108">
            <v>0.14161000000000001</v>
          </cell>
          <cell r="M108">
            <v>0.21616506400000002</v>
          </cell>
          <cell r="N108">
            <v>0.43234400000000001</v>
          </cell>
          <cell r="O108">
            <v>0.29482056200000006</v>
          </cell>
          <cell r="P108">
            <v>0.20296021200000003</v>
          </cell>
          <cell r="Q108">
            <v>0.39565800000000001</v>
          </cell>
          <cell r="R108">
            <v>0.36665600000000004</v>
          </cell>
          <cell r="S108">
            <v>0.54201909199999998</v>
          </cell>
          <cell r="T108">
            <v>0.55654331400000001</v>
          </cell>
          <cell r="U108">
            <v>0.70082122600000007</v>
          </cell>
          <cell r="V108">
            <v>0.47504799999999997</v>
          </cell>
          <cell r="W108">
            <v>0.35580000000000001</v>
          </cell>
          <cell r="X108">
            <v>0.66449999999999998</v>
          </cell>
          <cell r="Y108">
            <v>1.038</v>
          </cell>
          <cell r="Z108">
            <v>0.46650000000000003</v>
          </cell>
          <cell r="AA108">
            <v>0.95889999999999997</v>
          </cell>
          <cell r="AB108">
            <v>0.46645769387703823</v>
          </cell>
          <cell r="AC108">
            <v>0.49047162329837557</v>
          </cell>
          <cell r="AD108">
            <v>0.51237945405876495</v>
          </cell>
          <cell r="AE108">
            <v>0.52849590625857834</v>
          </cell>
        </row>
        <row r="109">
          <cell r="H109">
            <v>0.31422600000000006</v>
          </cell>
          <cell r="I109">
            <v>1.1833</v>
          </cell>
          <cell r="J109">
            <v>0.63009999999999999</v>
          </cell>
          <cell r="K109">
            <v>0.48930000000000001</v>
          </cell>
          <cell r="L109">
            <v>0.41649999999999998</v>
          </cell>
          <cell r="M109">
            <v>0.63577960000000011</v>
          </cell>
          <cell r="N109">
            <v>1.2715999999999998</v>
          </cell>
          <cell r="O109">
            <v>0.86711930000000004</v>
          </cell>
          <cell r="P109">
            <v>0.59694180000000008</v>
          </cell>
          <cell r="Q109">
            <v>1.1637</v>
          </cell>
          <cell r="R109">
            <v>1.0784</v>
          </cell>
          <cell r="S109">
            <v>1.5941737999999999</v>
          </cell>
          <cell r="T109">
            <v>1.6368920999999999</v>
          </cell>
          <cell r="U109">
            <v>2.0612388999999998</v>
          </cell>
          <cell r="V109">
            <v>1.3971999999999998</v>
          </cell>
          <cell r="W109">
            <v>1.0427</v>
          </cell>
          <cell r="X109">
            <v>0.80215000000000003</v>
          </cell>
          <cell r="Y109">
            <v>0.2843</v>
          </cell>
          <cell r="Z109">
            <v>0.34749999999999998</v>
          </cell>
          <cell r="AA109">
            <v>0.2964</v>
          </cell>
          <cell r="AB109">
            <v>0.53927991626881955</v>
          </cell>
          <cell r="AC109">
            <v>0.4102555079683779</v>
          </cell>
          <cell r="AD109">
            <v>0.42249327104785911</v>
          </cell>
          <cell r="AE109">
            <v>0.42234898958167211</v>
          </cell>
        </row>
        <row r="131">
          <cell r="H131">
            <v>2.7637531750820971E-2</v>
          </cell>
          <cell r="I131">
            <v>6.7805425246072637E-2</v>
          </cell>
          <cell r="J131">
            <v>4.9110933933817151E-2</v>
          </cell>
          <cell r="K131">
            <v>3.8348970016221416E-2</v>
          </cell>
          <cell r="L131">
            <v>6.6037027419237657E-2</v>
          </cell>
          <cell r="M131">
            <v>2.9153301316679522E-2</v>
          </cell>
          <cell r="N131">
            <v>7.9577902207574089E-2</v>
          </cell>
          <cell r="O131">
            <v>0.19129011921134953</v>
          </cell>
          <cell r="P131">
            <v>0.14137077484240779</v>
          </cell>
          <cell r="Q131">
            <v>0.21059091834994842</v>
          </cell>
          <cell r="R131">
            <v>0.10413336917448265</v>
          </cell>
          <cell r="S131">
            <v>0.21539085530850052</v>
          </cell>
          <cell r="T131">
            <v>0.19139117051574009</v>
          </cell>
          <cell r="U131">
            <v>0.25454823575984653</v>
          </cell>
          <cell r="V131">
            <v>0.21195511095922112</v>
          </cell>
          <cell r="W131">
            <v>0.19125980382003235</v>
          </cell>
          <cell r="X131">
            <v>0.26220792463265175</v>
          </cell>
          <cell r="Y131">
            <v>0.21725019930928702</v>
          </cell>
          <cell r="Z131">
            <v>2.7993000000000001E-2</v>
          </cell>
          <cell r="AA131">
            <v>4.1474999999999998E-2</v>
          </cell>
          <cell r="AB131">
            <v>4.0846333382852616E-2</v>
          </cell>
          <cell r="AC131">
            <v>5.0886648139373152E-2</v>
          </cell>
          <cell r="AD131">
            <v>5.2535476840249826E-2</v>
          </cell>
          <cell r="AE131">
            <v>5.8530607733513491E-2</v>
          </cell>
        </row>
        <row r="132">
          <cell r="H132">
            <v>1.245184060327729E-2</v>
          </cell>
          <cell r="I132">
            <v>3.0549122650087968E-2</v>
          </cell>
          <cell r="J132">
            <v>2.2126488238364762E-2</v>
          </cell>
          <cell r="K132">
            <v>1.7277782482426805E-2</v>
          </cell>
          <cell r="L132">
            <v>2.9752386962492529E-2</v>
          </cell>
          <cell r="M132">
            <v>1.3134756906930521E-2</v>
          </cell>
          <cell r="N132">
            <v>3.585310594179475E-2</v>
          </cell>
          <cell r="O132">
            <v>8.6184037521038065E-2</v>
          </cell>
          <cell r="P132">
            <v>6.3693327254058227E-2</v>
          </cell>
          <cell r="Q132">
            <v>9.4879838454222556E-2</v>
          </cell>
          <cell r="R132">
            <v>4.6916350060977136E-2</v>
          </cell>
          <cell r="S132">
            <v>9.7042406749124469E-2</v>
          </cell>
          <cell r="T132">
            <v>8.6229565274614936E-2</v>
          </cell>
          <cell r="U132">
            <v>0.11468441126016633</v>
          </cell>
          <cell r="V132">
            <v>9.5494463127510462E-2</v>
          </cell>
          <cell r="W132">
            <v>8.6170379194964994E-2</v>
          </cell>
          <cell r="X132">
            <v>0.11813541498129401</v>
          </cell>
          <cell r="Y132">
            <v>9.78801174149391E-2</v>
          </cell>
          <cell r="Z132">
            <v>8.2645999999999997E-2</v>
          </cell>
          <cell r="AA132">
            <v>0.12245</v>
          </cell>
          <cell r="AB132">
            <v>0.12059393665413629</v>
          </cell>
          <cell r="AC132">
            <v>0.15023677069719693</v>
          </cell>
          <cell r="AD132">
            <v>0.15510474114740425</v>
          </cell>
          <cell r="AE132">
            <v>0.17280465140370652</v>
          </cell>
        </row>
        <row r="133">
          <cell r="H133">
            <v>1.461062764590175E-2</v>
          </cell>
          <cell r="I133">
            <v>3.5845452103839388E-2</v>
          </cell>
          <cell r="J133">
            <v>2.5962577827818099E-2</v>
          </cell>
          <cell r="K133">
            <v>2.0273247501351788E-2</v>
          </cell>
          <cell r="L133">
            <v>3.4910585618269804E-2</v>
          </cell>
          <cell r="M133">
            <v>1.5411941776389961E-2</v>
          </cell>
          <cell r="N133">
            <v>4.2068991850631177E-2</v>
          </cell>
          <cell r="O133">
            <v>0.10112584326761248</v>
          </cell>
          <cell r="P133">
            <v>7.4735897903533979E-2</v>
          </cell>
          <cell r="Q133">
            <v>0.11132924319582904</v>
          </cell>
          <cell r="R133">
            <v>5.5050280764540223E-2</v>
          </cell>
          <cell r="S133">
            <v>0.11386673794237505</v>
          </cell>
          <cell r="T133">
            <v>0.10117926420964501</v>
          </cell>
          <cell r="U133">
            <v>0.13456735297998723</v>
          </cell>
          <cell r="V133">
            <v>0.11205042591326843</v>
          </cell>
          <cell r="W133">
            <v>0.10110981698500271</v>
          </cell>
          <cell r="X133">
            <v>0.13861666038605433</v>
          </cell>
          <cell r="Y133">
            <v>0.11484968327577393</v>
          </cell>
          <cell r="Z133">
            <v>2.2661000000000001E-2</v>
          </cell>
          <cell r="AA133">
            <v>3.3575000000000001E-2</v>
          </cell>
          <cell r="AB133">
            <v>3.3066079405166406E-2</v>
          </cell>
          <cell r="AC133">
            <v>4.1193953255683029E-2</v>
          </cell>
          <cell r="AD133">
            <v>4.2528719346868915E-2</v>
          </cell>
          <cell r="AE133">
            <v>4.7381920546177597E-2</v>
          </cell>
        </row>
        <row r="134">
          <cell r="H134">
            <v>4.7323598598832305E-2</v>
          </cell>
          <cell r="I134">
            <v>6.3539377139690933E-2</v>
          </cell>
          <cell r="J134">
            <v>7.4493301011168897E-2</v>
          </cell>
          <cell r="K134">
            <v>5.6242276796304551E-2</v>
          </cell>
          <cell r="L134">
            <v>4.7356692024425905E-2</v>
          </cell>
          <cell r="M134">
            <v>0.13958806915375851</v>
          </cell>
          <cell r="N134">
            <v>9.9958692005435654E-2</v>
          </cell>
          <cell r="O134">
            <v>0.13430966777158107</v>
          </cell>
          <cell r="P134">
            <v>6.0114207590754469E-2</v>
          </cell>
          <cell r="Q134">
            <v>5.8310615895903861E-2</v>
          </cell>
          <cell r="R134">
            <v>7.3368124540986873E-2</v>
          </cell>
          <cell r="S134">
            <v>0.10579968162270412</v>
          </cell>
          <cell r="T134">
            <v>0.13090104493544141</v>
          </cell>
          <cell r="U134">
            <v>0.18562102415444087</v>
          </cell>
          <cell r="V134">
            <v>6.9612020736114513E-2</v>
          </cell>
          <cell r="W134">
            <v>8.6866670950193486E-2</v>
          </cell>
          <cell r="X134">
            <v>0.15042390425477303</v>
          </cell>
          <cell r="Y134">
            <v>6.9917599237908579E-2</v>
          </cell>
          <cell r="Z134">
            <v>6.0696E-2</v>
          </cell>
          <cell r="AA134">
            <v>0.20314799999999997</v>
          </cell>
          <cell r="AB134">
            <v>0.13470040401937183</v>
          </cell>
          <cell r="AC134">
            <v>0.11643600922484103</v>
          </cell>
          <cell r="AD134">
            <v>0.11439186666203939</v>
          </cell>
          <cell r="AE134">
            <v>0.11940706859733403</v>
          </cell>
        </row>
        <row r="135">
          <cell r="H135">
            <v>8.7405897783390932E-2</v>
          </cell>
          <cell r="I135">
            <v>0.11735617045042701</v>
          </cell>
          <cell r="J135">
            <v>0.13758788525203705</v>
          </cell>
          <cell r="K135">
            <v>0.10387854775026077</v>
          </cell>
          <cell r="L135">
            <v>8.746702078883388E-2</v>
          </cell>
          <cell r="M135">
            <v>0.25781683695828184</v>
          </cell>
          <cell r="N135">
            <v>0.18462203794037227</v>
          </cell>
          <cell r="O135">
            <v>0.24806771759013438</v>
          </cell>
          <cell r="P135">
            <v>0.11102993938708366</v>
          </cell>
          <cell r="Q135">
            <v>0.10769873559044393</v>
          </cell>
          <cell r="R135">
            <v>0.1355097030669774</v>
          </cell>
          <cell r="S135">
            <v>0.19541024840104954</v>
          </cell>
          <cell r="T135">
            <v>0.24177204802951249</v>
          </cell>
          <cell r="U135">
            <v>0.34283893752939848</v>
          </cell>
          <cell r="V135">
            <v>0.12857224194920477</v>
          </cell>
          <cell r="W135">
            <v>0.16044129327991158</v>
          </cell>
          <cell r="X135">
            <v>0.27783044376924665</v>
          </cell>
          <cell r="Y135">
            <v>0.12913664034838468</v>
          </cell>
          <cell r="Z135">
            <v>3.0348E-2</v>
          </cell>
          <cell r="AA135">
            <v>0.10157399999999998</v>
          </cell>
          <cell r="AB135">
            <v>6.7350202009685917E-2</v>
          </cell>
          <cell r="AC135">
            <v>5.8218004612420514E-2</v>
          </cell>
          <cell r="AD135">
            <v>5.7195933331019695E-2</v>
          </cell>
          <cell r="AE135">
            <v>5.9703534298667017E-2</v>
          </cell>
        </row>
        <row r="136">
          <cell r="H136">
            <v>2.1851474445847733E-2</v>
          </cell>
          <cell r="I136">
            <v>2.9339042612606753E-2</v>
          </cell>
          <cell r="J136">
            <v>3.4396971313009263E-2</v>
          </cell>
          <cell r="K136">
            <v>2.5969636937565193E-2</v>
          </cell>
          <cell r="L136">
            <v>2.186675519720847E-2</v>
          </cell>
          <cell r="M136">
            <v>6.4454209239570459E-2</v>
          </cell>
          <cell r="N136">
            <v>4.6155509485093067E-2</v>
          </cell>
          <cell r="O136">
            <v>6.2016929397533595E-2</v>
          </cell>
          <cell r="P136">
            <v>2.7757484846770916E-2</v>
          </cell>
          <cell r="Q136">
            <v>2.6924683897610983E-2</v>
          </cell>
          <cell r="R136">
            <v>3.3877425766744351E-2</v>
          </cell>
          <cell r="S136">
            <v>4.8852562100262384E-2</v>
          </cell>
          <cell r="T136">
            <v>6.0443012007378123E-2</v>
          </cell>
          <cell r="U136">
            <v>8.570973438234962E-2</v>
          </cell>
          <cell r="V136">
            <v>3.2143060487301194E-2</v>
          </cell>
          <cell r="W136">
            <v>4.0110323319977895E-2</v>
          </cell>
          <cell r="X136">
            <v>6.9457610942311662E-2</v>
          </cell>
          <cell r="Y136">
            <v>3.228416008709617E-2</v>
          </cell>
          <cell r="Z136">
            <v>0.18546000000000001</v>
          </cell>
          <cell r="AA136">
            <v>0.62073</v>
          </cell>
          <cell r="AB136">
            <v>0.41158456783696956</v>
          </cell>
          <cell r="AC136">
            <v>0.35577669485368096</v>
          </cell>
          <cell r="AD136">
            <v>0.34953070368956485</v>
          </cell>
          <cell r="AE136">
            <v>0.36485493182518736</v>
          </cell>
        </row>
        <row r="137">
          <cell r="H137">
            <v>4.2189029171929009E-2</v>
          </cell>
          <cell r="I137">
            <v>5.6645409797275316E-2</v>
          </cell>
          <cell r="J137">
            <v>6.6410842423784755E-2</v>
          </cell>
          <cell r="K137">
            <v>5.0140038515869477E-2</v>
          </cell>
          <cell r="L137">
            <v>4.2218531989531759E-2</v>
          </cell>
          <cell r="M137">
            <v>0.12444288464838921</v>
          </cell>
          <cell r="N137">
            <v>8.9113260569099004E-2</v>
          </cell>
          <cell r="O137">
            <v>0.11973718524075097</v>
          </cell>
          <cell r="P137">
            <v>5.3591868175390939E-2</v>
          </cell>
          <cell r="Q137">
            <v>5.1983964616041198E-2</v>
          </cell>
          <cell r="R137">
            <v>6.5407746625291335E-2</v>
          </cell>
          <cell r="S137">
            <v>9.432050787598395E-2</v>
          </cell>
          <cell r="T137">
            <v>0.11669839502766798</v>
          </cell>
          <cell r="U137">
            <v>0.16548130393381105</v>
          </cell>
          <cell r="V137">
            <v>6.2059176827379478E-2</v>
          </cell>
          <cell r="W137">
            <v>7.7441712449917086E-2</v>
          </cell>
          <cell r="X137">
            <v>0.13410304103366871</v>
          </cell>
          <cell r="Y137">
            <v>6.2331600326610628E-2</v>
          </cell>
          <cell r="Z137">
            <v>6.0696E-2</v>
          </cell>
          <cell r="AA137">
            <v>0.20314799999999997</v>
          </cell>
          <cell r="AB137">
            <v>0.13470040401937183</v>
          </cell>
          <cell r="AC137">
            <v>0.11643600922484103</v>
          </cell>
          <cell r="AD137">
            <v>0.11439186666203939</v>
          </cell>
          <cell r="AE137">
            <v>0.11940706859733403</v>
          </cell>
        </row>
        <row r="138">
          <cell r="H138">
            <v>8.3687999999999999E-2</v>
          </cell>
          <cell r="I138">
            <v>7.8474000000000002E-2</v>
          </cell>
          <cell r="J138">
            <v>0.23700600000000002</v>
          </cell>
          <cell r="K138">
            <v>0.23515800000000001</v>
          </cell>
          <cell r="L138">
            <v>0.27984000000000003</v>
          </cell>
          <cell r="M138">
            <v>0.176814</v>
          </cell>
          <cell r="N138">
            <v>8.4347999999999992E-2</v>
          </cell>
          <cell r="O138">
            <v>0.40854000000000001</v>
          </cell>
          <cell r="P138">
            <v>0.225324</v>
          </cell>
          <cell r="Q138">
            <v>5.4120000000000001E-2</v>
          </cell>
          <cell r="R138">
            <v>0.40906799999999999</v>
          </cell>
          <cell r="S138">
            <v>0.27079799999999998</v>
          </cell>
          <cell r="T138">
            <v>0.207372</v>
          </cell>
          <cell r="U138">
            <v>0.19912200000000002</v>
          </cell>
          <cell r="V138">
            <v>0.15206400000000003</v>
          </cell>
          <cell r="W138">
            <v>0.27260000000000001</v>
          </cell>
          <cell r="X138">
            <v>0.189</v>
          </cell>
          <cell r="Y138">
            <v>0.1072</v>
          </cell>
          <cell r="Z138">
            <v>0.44969999999999999</v>
          </cell>
          <cell r="AA138">
            <v>0.112</v>
          </cell>
          <cell r="AB138">
            <v>0.4401652614761517</v>
          </cell>
          <cell r="AC138">
            <v>0.21984801303614007</v>
          </cell>
          <cell r="AD138">
            <v>0.15364627260124672</v>
          </cell>
          <cell r="AE138">
            <v>0.15855763042086438</v>
          </cell>
        </row>
        <row r="139">
          <cell r="H139">
            <v>4.3112000000000004E-2</v>
          </cell>
          <cell r="I139">
            <v>4.0426000000000004E-2</v>
          </cell>
          <cell r="J139">
            <v>0.12209400000000002</v>
          </cell>
          <cell r="K139">
            <v>0.12114200000000001</v>
          </cell>
          <cell r="L139">
            <v>0.14416000000000001</v>
          </cell>
          <cell r="M139">
            <v>9.1086E-2</v>
          </cell>
          <cell r="N139">
            <v>4.3452000000000005E-2</v>
          </cell>
          <cell r="O139">
            <v>0.21046000000000001</v>
          </cell>
          <cell r="P139">
            <v>0.11607600000000001</v>
          </cell>
          <cell r="Q139">
            <v>2.7880000000000002E-2</v>
          </cell>
          <cell r="R139">
            <v>0.210732</v>
          </cell>
          <cell r="S139">
            <v>0.13950200000000001</v>
          </cell>
          <cell r="T139">
            <v>0.10682800000000001</v>
          </cell>
          <cell r="U139">
            <v>0.102578</v>
          </cell>
          <cell r="V139">
            <v>7.8336000000000017E-2</v>
          </cell>
          <cell r="W139">
            <v>0.14680000000000001</v>
          </cell>
          <cell r="X139">
            <v>0.24359999999999998</v>
          </cell>
          <cell r="Y139">
            <v>0.1031</v>
          </cell>
          <cell r="Z139">
            <v>0.1915</v>
          </cell>
          <cell r="AA139">
            <v>0.29419999999999996</v>
          </cell>
          <cell r="AB139">
            <v>0.35744725178671727</v>
          </cell>
          <cell r="AC139">
            <v>0.22417923952580085</v>
          </cell>
          <cell r="AD139">
            <v>0.17356368464901417</v>
          </cell>
          <cell r="AE139">
            <v>0.17526384939785247</v>
          </cell>
        </row>
        <row r="140">
          <cell r="H140">
            <v>0.1671</v>
          </cell>
          <cell r="I140">
            <v>7.1599999999999997E-2</v>
          </cell>
          <cell r="J140">
            <v>0.26939999999999997</v>
          </cell>
          <cell r="K140">
            <v>4.3299999999999998E-2</v>
          </cell>
          <cell r="L140">
            <v>4.5899999999999996E-2</v>
          </cell>
          <cell r="M140">
            <v>9.9299999999999999E-2</v>
          </cell>
          <cell r="N140">
            <v>0.22140000000000001</v>
          </cell>
          <cell r="O140">
            <v>0.3105</v>
          </cell>
          <cell r="P140">
            <v>0.33019999999999999</v>
          </cell>
          <cell r="Q140">
            <v>0.38160000000000005</v>
          </cell>
          <cell r="R140">
            <v>0.1825</v>
          </cell>
          <cell r="S140">
            <v>0.3387</v>
          </cell>
          <cell r="T140">
            <v>0.48710000000000003</v>
          </cell>
          <cell r="U140">
            <v>0.3115</v>
          </cell>
          <cell r="V140">
            <v>0.2233</v>
          </cell>
          <cell r="W140">
            <v>0.1108</v>
          </cell>
          <cell r="X140">
            <v>0.22839999999999999</v>
          </cell>
          <cell r="Y140">
            <v>0.25869999999999999</v>
          </cell>
          <cell r="Z140">
            <v>7.1999999999999995E-2</v>
          </cell>
          <cell r="AA140">
            <v>0.26689999999999997</v>
          </cell>
          <cell r="AB140">
            <v>0.13994319</v>
          </cell>
          <cell r="AC140">
            <v>0.13183231000000001</v>
          </cell>
          <cell r="AD140">
            <v>0.11379148000000006</v>
          </cell>
          <cell r="AE140">
            <v>0.11830017999999998</v>
          </cell>
        </row>
        <row r="141">
          <cell r="H141">
            <v>6.2100589823534016E-2</v>
          </cell>
          <cell r="I141">
            <v>8.3379812909919804E-2</v>
          </cell>
          <cell r="J141">
            <v>9.7754145239702855E-2</v>
          </cell>
          <cell r="K141">
            <v>7.3804162521046185E-2</v>
          </cell>
          <cell r="L141">
            <v>6.2144016809424593E-2</v>
          </cell>
          <cell r="M141">
            <v>0.18317502648648007</v>
          </cell>
          <cell r="N141">
            <v>0.13117121088250666</v>
          </cell>
          <cell r="O141">
            <v>0.17624842223693205</v>
          </cell>
          <cell r="P141">
            <v>7.8885119870244436E-2</v>
          </cell>
          <cell r="Q141">
            <v>7.6518349139207631E-2</v>
          </cell>
          <cell r="R141">
            <v>9.6277627719423012E-2</v>
          </cell>
          <cell r="S141">
            <v>0.13883607389219457</v>
          </cell>
          <cell r="T141">
            <v>0.17177544269020198</v>
          </cell>
          <cell r="U141">
            <v>0.24358196386028133</v>
          </cell>
          <cell r="V141">
            <v>9.1348664820841821E-2</v>
          </cell>
          <cell r="W141">
            <v>3.3659473654209432E-2</v>
          </cell>
          <cell r="X141">
            <v>5.7814844658594489E-2</v>
          </cell>
          <cell r="Y141">
            <v>2.6639964131567617E-2</v>
          </cell>
          <cell r="Z141">
            <v>4.7600000000000003E-2</v>
          </cell>
          <cell r="AA141">
            <v>2.12E-2</v>
          </cell>
          <cell r="AB141">
            <v>3.7391982114600208E-2</v>
          </cell>
          <cell r="AC141">
            <v>3.8556202084216395E-2</v>
          </cell>
          <cell r="AD141">
            <v>3.9254739655337212E-2</v>
          </cell>
          <cell r="AE141">
            <v>3.9612886681477867E-2</v>
          </cell>
        </row>
        <row r="142">
          <cell r="H142">
            <v>2.5129410176465982E-2</v>
          </cell>
          <cell r="I142">
            <v>3.3740187090080198E-2</v>
          </cell>
          <cell r="J142">
            <v>3.9556854760297154E-2</v>
          </cell>
          <cell r="K142">
            <v>2.9865337478953799E-2</v>
          </cell>
          <cell r="L142">
            <v>2.5146983190575397E-2</v>
          </cell>
          <cell r="M142">
            <v>7.4122973513519944E-2</v>
          </cell>
          <cell r="N142">
            <v>5.3079289117493357E-2</v>
          </cell>
          <cell r="O142">
            <v>7.1320077763067966E-2</v>
          </cell>
          <cell r="P142">
            <v>3.1921380129755567E-2</v>
          </cell>
          <cell r="Q142">
            <v>3.0963650860792346E-2</v>
          </cell>
          <cell r="R142">
            <v>3.8959372280576977E-2</v>
          </cell>
          <cell r="S142">
            <v>5.6180926107805416E-2</v>
          </cell>
          <cell r="T142">
            <v>6.9510057309798035E-2</v>
          </cell>
          <cell r="U142">
            <v>9.8567036139718664E-2</v>
          </cell>
          <cell r="V142">
            <v>3.6964835179158176E-2</v>
          </cell>
          <cell r="W142">
            <v>1.3620526345790574E-2</v>
          </cell>
          <cell r="X142">
            <v>2.3395155341405505E-2</v>
          </cell>
          <cell r="Y142">
            <v>1.0780035868432387E-2</v>
          </cell>
          <cell r="Z142">
            <v>4.7600000000000003E-2</v>
          </cell>
          <cell r="AA142">
            <v>2.12E-2</v>
          </cell>
          <cell r="AB142">
            <v>3.7391982114600208E-2</v>
          </cell>
          <cell r="AC142">
            <v>3.8556202084216395E-2</v>
          </cell>
          <cell r="AD142">
            <v>3.9254739655337212E-2</v>
          </cell>
          <cell r="AE142">
            <v>3.9612886681477867E-2</v>
          </cell>
        </row>
        <row r="143">
          <cell r="H143">
            <v>1.8200000000000001E-2</v>
          </cell>
          <cell r="I143">
            <v>2.7699999999999999E-2</v>
          </cell>
          <cell r="J143">
            <v>1.0199999999999999E-2</v>
          </cell>
          <cell r="K143">
            <v>7.4000000000000003E-3</v>
          </cell>
          <cell r="L143">
            <v>3.2199999999999999E-2</v>
          </cell>
          <cell r="M143">
            <v>1.3099999999999999E-2</v>
          </cell>
          <cell r="N143">
            <v>7.7200000000000005E-2</v>
          </cell>
          <cell r="O143">
            <v>4.1299999999999996E-2</v>
          </cell>
          <cell r="P143">
            <v>4.8000000000000001E-2</v>
          </cell>
          <cell r="Q143">
            <v>4.5499999999999999E-2</v>
          </cell>
          <cell r="R143">
            <v>5.1299999999999998E-2</v>
          </cell>
          <cell r="S143">
            <v>5.0299999999999997E-2</v>
          </cell>
          <cell r="T143">
            <v>2.52E-2</v>
          </cell>
          <cell r="U143">
            <v>3.0499999999999999E-2</v>
          </cell>
          <cell r="V143">
            <v>2.5999999999999999E-2</v>
          </cell>
          <cell r="W143">
            <v>6.9501599999999997E-2</v>
          </cell>
          <cell r="X143">
            <v>0.11937869999999999</v>
          </cell>
          <cell r="Y143">
            <v>5.5007399999999998E-2</v>
          </cell>
          <cell r="Z143">
            <v>0.3372</v>
          </cell>
          <cell r="AA143">
            <v>1.1285999999999998</v>
          </cell>
          <cell r="AB143">
            <v>0.74833557788539917</v>
          </cell>
          <cell r="AC143">
            <v>0.64686671791578354</v>
          </cell>
          <cell r="AD143">
            <v>0.63551037034466329</v>
          </cell>
          <cell r="AE143">
            <v>0.66337260331852244</v>
          </cell>
        </row>
        <row r="144">
          <cell r="H144">
            <v>1.6199999999999999E-2</v>
          </cell>
          <cell r="I144">
            <v>7.2800000000000004E-2</v>
          </cell>
          <cell r="J144">
            <v>0.23139999999999999</v>
          </cell>
          <cell r="K144">
            <v>6.2899999999999998E-2</v>
          </cell>
          <cell r="L144">
            <v>8.0299999999999996E-2</v>
          </cell>
          <cell r="M144">
            <v>0.1036</v>
          </cell>
          <cell r="N144">
            <v>0.13750000000000001</v>
          </cell>
          <cell r="O144">
            <v>0.12790000000000001</v>
          </cell>
          <cell r="P144">
            <v>0.24299999999999999</v>
          </cell>
          <cell r="Q144">
            <v>0.21619999999999998</v>
          </cell>
          <cell r="R144">
            <v>0.15919999999999998</v>
          </cell>
          <cell r="S144">
            <v>0.2424</v>
          </cell>
          <cell r="T144">
            <v>0.153</v>
          </cell>
          <cell r="U144">
            <v>0.15630000000000002</v>
          </cell>
          <cell r="V144">
            <v>0.32839999999999997</v>
          </cell>
          <cell r="W144">
            <v>0.2853</v>
          </cell>
          <cell r="X144">
            <v>8.43E-2</v>
          </cell>
          <cell r="Y144">
            <v>0.13190000000000002</v>
          </cell>
          <cell r="Z144">
            <v>0.14849999999999999</v>
          </cell>
          <cell r="AA144">
            <v>0.33030000000000004</v>
          </cell>
          <cell r="AB144">
            <v>0.26767490999999999</v>
          </cell>
          <cell r="AC144">
            <v>0.22668945999999998</v>
          </cell>
          <cell r="AD144">
            <v>0.21574797999999998</v>
          </cell>
          <cell r="AE144">
            <v>0.248752</v>
          </cell>
        </row>
        <row r="145">
          <cell r="H145">
            <v>5.5926000000000003E-2</v>
          </cell>
          <cell r="I145">
            <v>7.7945400000000012E-2</v>
          </cell>
          <cell r="J145">
            <v>3.9616200000000004E-2</v>
          </cell>
          <cell r="K145">
            <v>3.7861200000000005E-2</v>
          </cell>
          <cell r="L145">
            <v>4.8601800000000001E-2</v>
          </cell>
          <cell r="M145">
            <v>4.8461400000000002E-2</v>
          </cell>
          <cell r="N145">
            <v>0.1010412</v>
          </cell>
          <cell r="O145">
            <v>5.0918399999999996E-2</v>
          </cell>
          <cell r="P145">
            <v>5.8921200000000007E-2</v>
          </cell>
          <cell r="Q145">
            <v>8.45442E-2</v>
          </cell>
          <cell r="R145">
            <v>9.3974400000000013E-2</v>
          </cell>
          <cell r="S145">
            <v>5.9202000000000005E-2</v>
          </cell>
          <cell r="T145">
            <v>7.4201400000000001E-2</v>
          </cell>
          <cell r="U145">
            <v>0.1071486</v>
          </cell>
          <cell r="V145">
            <v>0.11398140000000001</v>
          </cell>
          <cell r="W145">
            <v>9.4021200000000013E-2</v>
          </cell>
          <cell r="X145">
            <v>5.4498600000000001E-2</v>
          </cell>
          <cell r="Y145">
            <v>5.9061600000000006E-2</v>
          </cell>
          <cell r="Z145">
            <v>0.3604</v>
          </cell>
          <cell r="AA145">
            <v>0.33529999999999999</v>
          </cell>
          <cell r="AB145">
            <v>0.18800158000000008</v>
          </cell>
          <cell r="AC145">
            <v>0.1901061300000001</v>
          </cell>
          <cell r="AD145">
            <v>0.24725164000000002</v>
          </cell>
          <cell r="AE145">
            <v>0.28489977000000005</v>
          </cell>
        </row>
        <row r="146">
          <cell r="H146">
            <v>0.18307400000000001</v>
          </cell>
          <cell r="I146">
            <v>0.25515460000000001</v>
          </cell>
          <cell r="J146">
            <v>0.12968380000000002</v>
          </cell>
          <cell r="K146">
            <v>0.12393880000000002</v>
          </cell>
          <cell r="L146">
            <v>0.1590982</v>
          </cell>
          <cell r="M146">
            <v>0.15863859999999999</v>
          </cell>
          <cell r="N146">
            <v>0.33075880000000002</v>
          </cell>
          <cell r="O146">
            <v>0.16668160000000001</v>
          </cell>
          <cell r="P146">
            <v>0.19287880000000002</v>
          </cell>
          <cell r="Q146">
            <v>0.2767558</v>
          </cell>
          <cell r="R146">
            <v>0.3076256</v>
          </cell>
          <cell r="S146">
            <v>0.193798</v>
          </cell>
          <cell r="T146">
            <v>0.24289860000000002</v>
          </cell>
          <cell r="U146">
            <v>0.35075139999999999</v>
          </cell>
          <cell r="V146">
            <v>0.37311860000000002</v>
          </cell>
          <cell r="W146">
            <v>0.30777879999999996</v>
          </cell>
          <cell r="X146">
            <v>0.17840139999999999</v>
          </cell>
          <cell r="Y146">
            <v>0.19333839999999999</v>
          </cell>
          <cell r="Z146">
            <v>0.3604</v>
          </cell>
          <cell r="AA146">
            <v>0.33529999999999999</v>
          </cell>
          <cell r="AB146">
            <v>0.18800158000000008</v>
          </cell>
          <cell r="AC146">
            <v>0.1901061300000001</v>
          </cell>
          <cell r="AD146">
            <v>0.24725164000000002</v>
          </cell>
          <cell r="AE146">
            <v>0.28489977000000005</v>
          </cell>
        </row>
        <row r="147">
          <cell r="H147">
            <v>0.13889000000000001</v>
          </cell>
          <cell r="I147">
            <v>8.6394000000000026E-2</v>
          </cell>
          <cell r="J147">
            <v>8.9862000000000011E-2</v>
          </cell>
          <cell r="K147">
            <v>0.10047000000000002</v>
          </cell>
          <cell r="L147">
            <v>9.1595999999999997E-2</v>
          </cell>
          <cell r="M147">
            <v>5.3102692600000008E-2</v>
          </cell>
          <cell r="N147">
            <v>7.5077616799999997E-2</v>
          </cell>
          <cell r="O147">
            <v>0.14943000000000001</v>
          </cell>
          <cell r="P147">
            <v>0.19896800000000001</v>
          </cell>
          <cell r="Q147">
            <v>0.17751400000000001</v>
          </cell>
          <cell r="R147">
            <v>0.29961847200000008</v>
          </cell>
          <cell r="S147">
            <v>0.32215000000000005</v>
          </cell>
          <cell r="T147">
            <v>0.23167600000000005</v>
          </cell>
          <cell r="U147">
            <v>0.13569400000000001</v>
          </cell>
          <cell r="V147">
            <v>0.19543199999999999</v>
          </cell>
          <cell r="W147">
            <v>7.3900000000000007E-2</v>
          </cell>
          <cell r="X147">
            <v>0.19789999999999999</v>
          </cell>
          <cell r="Y147">
            <v>0.19040000000000001</v>
          </cell>
          <cell r="Z147">
            <v>0.27250000000000002</v>
          </cell>
          <cell r="AA147">
            <v>0.30969999999999998</v>
          </cell>
          <cell r="AB147">
            <v>0.14437921709174992</v>
          </cell>
          <cell r="AC147">
            <v>0.12593667786924057</v>
          </cell>
          <cell r="AD147">
            <v>0.11274781687252457</v>
          </cell>
          <cell r="AE147">
            <v>0.11357810546743598</v>
          </cell>
        </row>
        <row r="148">
          <cell r="H148">
            <v>0.26961000000000002</v>
          </cell>
          <cell r="I148">
            <v>0.16770600000000002</v>
          </cell>
          <cell r="J148">
            <v>0.17443800000000001</v>
          </cell>
          <cell r="K148">
            <v>0.19503000000000001</v>
          </cell>
          <cell r="L148">
            <v>0.17780399999999999</v>
          </cell>
          <cell r="M148">
            <v>0.10308169740000001</v>
          </cell>
          <cell r="N148">
            <v>0.14573890320000002</v>
          </cell>
          <cell r="O148">
            <v>0.29006999999999999</v>
          </cell>
          <cell r="P148">
            <v>0.38623200000000002</v>
          </cell>
          <cell r="Q148">
            <v>0.344586</v>
          </cell>
          <cell r="R148">
            <v>0.58161232800000007</v>
          </cell>
          <cell r="S148">
            <v>0.62535000000000007</v>
          </cell>
          <cell r="T148">
            <v>0.44972400000000012</v>
          </cell>
          <cell r="U148">
            <v>0.26340600000000003</v>
          </cell>
          <cell r="V148">
            <v>0.37936799999999998</v>
          </cell>
          <cell r="W148">
            <v>0.15509999999999999</v>
          </cell>
          <cell r="X148">
            <v>0.2155</v>
          </cell>
          <cell r="Y148">
            <v>0.21199999999999999</v>
          </cell>
          <cell r="Z148">
            <v>0.20980000000000001</v>
          </cell>
          <cell r="AA148">
            <v>0.19269999999999998</v>
          </cell>
          <cell r="AB148">
            <v>0.28119913349861531</v>
          </cell>
          <cell r="AC148">
            <v>0.25254892801661488</v>
          </cell>
          <cell r="AD148">
            <v>0.26806078039084402</v>
          </cell>
          <cell r="AE148">
            <v>0.28886737875496393</v>
          </cell>
        </row>
        <row r="168">
          <cell r="G168" t="str">
            <v>Western MT portion of state</v>
          </cell>
        </row>
        <row r="169">
          <cell r="H169">
            <v>5.8452515664333813</v>
          </cell>
          <cell r="I169">
            <v>2.3942560490388454</v>
          </cell>
          <cell r="J169">
            <v>3.2535508684892789</v>
          </cell>
          <cell r="K169">
            <v>3.8808061249763441</v>
          </cell>
          <cell r="L169">
            <v>2.6785158945721284</v>
          </cell>
          <cell r="M169">
            <v>2.1289433230787926</v>
          </cell>
          <cell r="N169">
            <v>1.9047034050448099</v>
          </cell>
          <cell r="O169">
            <v>2.9945048391710078</v>
          </cell>
          <cell r="P169">
            <v>3.7348996623363648</v>
          </cell>
          <cell r="Q169">
            <v>4.3096744291447084</v>
          </cell>
          <cell r="R169">
            <v>4.6932151602156393</v>
          </cell>
          <cell r="S169">
            <v>6.7040926655271003</v>
          </cell>
          <cell r="T169">
            <v>8.0155996509731651</v>
          </cell>
          <cell r="U169">
            <v>8.5121404979223296</v>
          </cell>
          <cell r="V169">
            <v>5.7106188925677364</v>
          </cell>
          <cell r="W169">
            <v>3.9531865469773946</v>
          </cell>
          <cell r="X169">
            <v>3.613957014984337</v>
          </cell>
          <cell r="Y169">
            <v>4.2577960031375479</v>
          </cell>
          <cell r="Z169">
            <v>2.9053730099999999</v>
          </cell>
          <cell r="AA169">
            <v>5.76397475</v>
          </cell>
          <cell r="AB169">
            <v>4.1477159651255757</v>
          </cell>
          <cell r="AC169">
            <v>4.3042855770003277</v>
          </cell>
          <cell r="AD169">
            <v>3.9757692712668407</v>
          </cell>
          <cell r="AE169">
            <v>3.9080659306945158</v>
          </cell>
        </row>
        <row r="170">
          <cell r="H170">
            <v>2.6335253613638385</v>
          </cell>
          <cell r="I170">
            <v>1.0787104635412517</v>
          </cell>
          <cell r="J170">
            <v>1.4658579924699486</v>
          </cell>
          <cell r="K170">
            <v>1.7484621896089618</v>
          </cell>
          <cell r="L170">
            <v>1.2067811725468609</v>
          </cell>
          <cell r="M170">
            <v>0.95917620833130801</v>
          </cell>
          <cell r="N170">
            <v>0.85814693620145599</v>
          </cell>
          <cell r="O170">
            <v>1.3491471408980753</v>
          </cell>
          <cell r="P170">
            <v>1.6827253491356049</v>
          </cell>
          <cell r="Q170">
            <v>1.9416849350932321</v>
          </cell>
          <cell r="R170">
            <v>2.1144857514330568</v>
          </cell>
          <cell r="S170">
            <v>3.0204684706789751</v>
          </cell>
          <cell r="T170">
            <v>3.6113561114457378</v>
          </cell>
          <cell r="U170">
            <v>3.8350681105841429</v>
          </cell>
          <cell r="V170">
            <v>2.5728678247182866</v>
          </cell>
          <cell r="W170">
            <v>1.7810725357744892</v>
          </cell>
          <cell r="X170">
            <v>1.628235730433635</v>
          </cell>
          <cell r="Y170">
            <v>1.9183115782676574</v>
          </cell>
          <cell r="Z170">
            <v>2.52049922</v>
          </cell>
          <cell r="AA170">
            <v>4.3866505</v>
          </cell>
          <cell r="AB170">
            <v>3.3467175863389964</v>
          </cell>
          <cell r="AC170">
            <v>3.4921085643107492</v>
          </cell>
          <cell r="AD170">
            <v>3.2325006595168051</v>
          </cell>
          <cell r="AE170">
            <v>3.2055077433563333</v>
          </cell>
        </row>
        <row r="171">
          <cell r="H171">
            <v>3.0901020722027819</v>
          </cell>
          <cell r="I171">
            <v>1.2657274874199036</v>
          </cell>
          <cell r="J171">
            <v>1.7199951390407733</v>
          </cell>
          <cell r="K171">
            <v>2.0515946854146958</v>
          </cell>
          <cell r="L171">
            <v>1.4160019328810107</v>
          </cell>
          <cell r="M171">
            <v>1.1254694685898994</v>
          </cell>
          <cell r="N171">
            <v>1.0069246587537342</v>
          </cell>
          <cell r="O171">
            <v>1.5830500199309174</v>
          </cell>
          <cell r="P171">
            <v>1.9744609885280306</v>
          </cell>
          <cell r="Q171">
            <v>2.2783166357620592</v>
          </cell>
          <cell r="R171">
            <v>2.4810760883513034</v>
          </cell>
          <cell r="S171">
            <v>3.5441298637939256</v>
          </cell>
          <cell r="T171">
            <v>4.2374602375810966</v>
          </cell>
          <cell r="U171">
            <v>4.4999573914935276</v>
          </cell>
          <cell r="V171">
            <v>3.0189282827139783</v>
          </cell>
          <cell r="W171">
            <v>2.0898587172481164</v>
          </cell>
          <cell r="X171">
            <v>1.9105244545820284</v>
          </cell>
          <cell r="Y171">
            <v>2.2508910185947957</v>
          </cell>
          <cell r="Z171">
            <v>0.65600877000000002</v>
          </cell>
          <cell r="AA171">
            <v>1.1345497499999999</v>
          </cell>
          <cell r="AB171">
            <v>0.87002001760199665</v>
          </cell>
          <cell r="AC171">
            <v>0.90846325570362163</v>
          </cell>
          <cell r="AD171">
            <v>0.8416976698075469</v>
          </cell>
          <cell r="AE171">
            <v>0.83495356000334453</v>
          </cell>
        </row>
        <row r="172">
          <cell r="H172">
            <v>1.9601639052244866</v>
          </cell>
          <cell r="I172">
            <v>1.8139548177464644</v>
          </cell>
          <cell r="J172">
            <v>1.5990745699068862</v>
          </cell>
          <cell r="K172">
            <v>1.2830229881440107</v>
          </cell>
          <cell r="L172">
            <v>0.979871173680254</v>
          </cell>
          <cell r="M172">
            <v>1.241660719000097</v>
          </cell>
          <cell r="N172">
            <v>1.8848305823635303</v>
          </cell>
          <cell r="O172">
            <v>2.4988567954738619</v>
          </cell>
          <cell r="P172">
            <v>2.288456066580165</v>
          </cell>
          <cell r="Q172">
            <v>1.2544054066975698</v>
          </cell>
          <cell r="R172">
            <v>1.5651299718837426</v>
          </cell>
          <cell r="S172">
            <v>2.1687149616138099</v>
          </cell>
          <cell r="T172">
            <v>2.726992850636329</v>
          </cell>
          <cell r="U172">
            <v>2.3639545922978495</v>
          </cell>
          <cell r="V172">
            <v>2.12134434059036</v>
          </cell>
          <cell r="W172">
            <v>1.7332075021200439</v>
          </cell>
          <cell r="X172">
            <v>1.6498023915828299</v>
          </cell>
          <cell r="Y172">
            <v>1.7728331175696301</v>
          </cell>
          <cell r="Z172">
            <v>3.0494837200000005</v>
          </cell>
          <cell r="AA172">
            <v>3.9300753599999996</v>
          </cell>
          <cell r="AB172">
            <v>3.2949268651724135</v>
          </cell>
          <cell r="AC172">
            <v>3.0804508752407767</v>
          </cell>
          <cell r="AD172">
            <v>2.9901146137661283</v>
          </cell>
          <cell r="AE172">
            <v>3.1209850609635708</v>
          </cell>
        </row>
        <row r="173">
          <cell r="H173">
            <v>3.620390059325949</v>
          </cell>
          <cell r="I173">
            <v>3.3503443118873304</v>
          </cell>
          <cell r="J173">
            <v>2.9534640759282804</v>
          </cell>
          <cell r="K173">
            <v>2.3697220726198811</v>
          </cell>
          <cell r="L173">
            <v>1.8098057244890269</v>
          </cell>
          <cell r="M173">
            <v>2.2933266509713843</v>
          </cell>
          <cell r="N173">
            <v>3.4812506677195292</v>
          </cell>
          <cell r="O173">
            <v>4.6153468482405211</v>
          </cell>
          <cell r="P173">
            <v>4.2267402091062101</v>
          </cell>
          <cell r="Q173">
            <v>2.3168658767096826</v>
          </cell>
          <cell r="R173">
            <v>2.8907689691960035</v>
          </cell>
          <cell r="S173">
            <v>4.0055803841765441</v>
          </cell>
          <cell r="T173">
            <v>5.0367103393662491</v>
          </cell>
          <cell r="U173">
            <v>4.366184727635269</v>
          </cell>
          <cell r="V173">
            <v>3.9180876367586932</v>
          </cell>
          <cell r="W173">
            <v>3.2012053658879802</v>
          </cell>
          <cell r="X173">
            <v>3.0471575169907066</v>
          </cell>
          <cell r="Y173">
            <v>3.2743932171110264</v>
          </cell>
          <cell r="Z173">
            <v>1.21717136</v>
          </cell>
          <cell r="AA173">
            <v>1.5786711799999997</v>
          </cell>
          <cell r="AB173">
            <v>1.3199722007364803</v>
          </cell>
          <cell r="AC173">
            <v>1.2300279538780112</v>
          </cell>
          <cell r="AD173">
            <v>1.196371930895225</v>
          </cell>
          <cell r="AE173">
            <v>1.248350009064233</v>
          </cell>
        </row>
        <row r="174">
          <cell r="H174">
            <v>0.90509751483148726</v>
          </cell>
          <cell r="I174">
            <v>0.8375860779718326</v>
          </cell>
          <cell r="J174">
            <v>0.7383660189820701</v>
          </cell>
          <cell r="K174">
            <v>0.59243051815497028</v>
          </cell>
          <cell r="L174">
            <v>0.45245143112225672</v>
          </cell>
          <cell r="M174">
            <v>0.57333166274284608</v>
          </cell>
          <cell r="N174">
            <v>0.87031266692988229</v>
          </cell>
          <cell r="O174">
            <v>1.1538367120601303</v>
          </cell>
          <cell r="P174">
            <v>1.0566850522765525</v>
          </cell>
          <cell r="Q174">
            <v>0.57921646917742065</v>
          </cell>
          <cell r="R174">
            <v>0.72269224229900086</v>
          </cell>
          <cell r="S174">
            <v>1.001395096044136</v>
          </cell>
          <cell r="T174">
            <v>1.2591775848415623</v>
          </cell>
          <cell r="U174">
            <v>1.0915461819088172</v>
          </cell>
          <cell r="V174">
            <v>0.9795219091896733</v>
          </cell>
          <cell r="W174">
            <v>0.80030134147199505</v>
          </cell>
          <cell r="X174">
            <v>0.76178937924767665</v>
          </cell>
          <cell r="Y174">
            <v>0.81859830427775659</v>
          </cell>
          <cell r="Z174">
            <v>4.4185782000000007</v>
          </cell>
          <cell r="AA174">
            <v>5.8084251000000009</v>
          </cell>
          <cell r="AB174">
            <v>4.8341193729503171</v>
          </cell>
          <cell r="AC174">
            <v>4.4973948910402894</v>
          </cell>
          <cell r="AD174">
            <v>4.3749492047650769</v>
          </cell>
          <cell r="AE174">
            <v>4.5648201170153557</v>
          </cell>
        </row>
        <row r="175">
          <cell r="H175">
            <v>1.7474878206180771</v>
          </cell>
          <cell r="I175">
            <v>1.6171422923943721</v>
          </cell>
          <cell r="J175">
            <v>1.4255763651827631</v>
          </cell>
          <cell r="K175">
            <v>1.1438161060811387</v>
          </cell>
          <cell r="L175">
            <v>0.87355600070846262</v>
          </cell>
          <cell r="M175">
            <v>1.1069416072856728</v>
          </cell>
          <cell r="N175">
            <v>1.6803280979870585</v>
          </cell>
          <cell r="O175">
            <v>2.2277329992254882</v>
          </cell>
          <cell r="P175">
            <v>2.0401605670370717</v>
          </cell>
          <cell r="Q175">
            <v>1.1183035074153274</v>
          </cell>
          <cell r="R175">
            <v>1.3953147266212531</v>
          </cell>
          <cell r="S175">
            <v>1.9334112681655102</v>
          </cell>
          <cell r="T175">
            <v>2.4311164901558593</v>
          </cell>
          <cell r="U175">
            <v>2.1074675681580644</v>
          </cell>
          <cell r="V175">
            <v>1.8911803184612741</v>
          </cell>
          <cell r="W175">
            <v>1.5451559905199812</v>
          </cell>
          <cell r="X175">
            <v>1.4708002621787872</v>
          </cell>
          <cell r="Y175">
            <v>1.580482261041587</v>
          </cell>
          <cell r="Z175">
            <v>1.38987072</v>
          </cell>
          <cell r="AA175">
            <v>1.8173303599999999</v>
          </cell>
          <cell r="AB175">
            <v>1.5136049433773811</v>
          </cell>
          <cell r="AC175">
            <v>1.4027949732052674</v>
          </cell>
          <cell r="AD175">
            <v>1.3671049082637361</v>
          </cell>
          <cell r="AE175">
            <v>1.4256651163527188</v>
          </cell>
        </row>
        <row r="176">
          <cell r="H176">
            <v>2.3326221600000001</v>
          </cell>
          <cell r="I176">
            <v>2.1343561800000002</v>
          </cell>
          <cell r="J176">
            <v>2.7849274200000003</v>
          </cell>
          <cell r="K176">
            <v>3.7213380599999999</v>
          </cell>
          <cell r="L176">
            <v>3.8396688000000001</v>
          </cell>
          <cell r="M176">
            <v>4.5304399799999997</v>
          </cell>
          <cell r="N176">
            <v>3.8655843599999997</v>
          </cell>
          <cell r="O176">
            <v>3.7622019600000001</v>
          </cell>
          <cell r="P176">
            <v>4.9317826799999995</v>
          </cell>
          <cell r="Q176">
            <v>3.5256144000000003</v>
          </cell>
          <cell r="R176">
            <v>4.1166087600000001</v>
          </cell>
          <cell r="S176">
            <v>3.6865428600000003</v>
          </cell>
          <cell r="T176">
            <v>4.4936060400000004</v>
          </cell>
          <cell r="U176">
            <v>4.0552175400000001</v>
          </cell>
          <cell r="V176">
            <v>4.7025844800000005</v>
          </cell>
          <cell r="W176">
            <v>5.7826820000000012</v>
          </cell>
          <cell r="X176">
            <v>6.4745300000000006</v>
          </cell>
          <cell r="Y176">
            <v>4.3306040000000001</v>
          </cell>
          <cell r="Z176">
            <v>5.0644289999999996</v>
          </cell>
          <cell r="AA176">
            <v>4.8802399999999997</v>
          </cell>
          <cell r="AB176">
            <v>5.314560624425317</v>
          </cell>
          <cell r="AC176">
            <v>5.8392883922912757</v>
          </cell>
          <cell r="AD176">
            <v>5.5907307068579604</v>
          </cell>
          <cell r="AE176">
            <v>5.3970025110934667</v>
          </cell>
        </row>
        <row r="177">
          <cell r="H177">
            <v>1.2016538399999999</v>
          </cell>
          <cell r="I177">
            <v>1.0995168200000001</v>
          </cell>
          <cell r="J177">
            <v>1.4346595800000002</v>
          </cell>
          <cell r="K177">
            <v>1.91705294</v>
          </cell>
          <cell r="L177">
            <v>1.9780112000000001</v>
          </cell>
          <cell r="M177">
            <v>2.3338630200000003</v>
          </cell>
          <cell r="N177">
            <v>1.99136164</v>
          </cell>
          <cell r="O177">
            <v>1.93810404</v>
          </cell>
          <cell r="P177">
            <v>2.5406153199999997</v>
          </cell>
          <cell r="Q177">
            <v>1.8162256000000001</v>
          </cell>
          <cell r="R177">
            <v>2.12067724</v>
          </cell>
          <cell r="S177">
            <v>1.8991281399999997</v>
          </cell>
          <cell r="T177">
            <v>2.3148879600000005</v>
          </cell>
          <cell r="U177">
            <v>2.0890514600000003</v>
          </cell>
          <cell r="V177">
            <v>2.4225435200000001</v>
          </cell>
          <cell r="W177">
            <v>2.7598760000000002</v>
          </cell>
          <cell r="X177">
            <v>3.2231519999999998</v>
          </cell>
          <cell r="Y177">
            <v>1.711967</v>
          </cell>
          <cell r="Z177">
            <v>2.2422549999999997</v>
          </cell>
          <cell r="AA177">
            <v>1.9980939999999998</v>
          </cell>
          <cell r="AB177">
            <v>2.2146394799898173</v>
          </cell>
          <cell r="AC177">
            <v>2.4529568455976025</v>
          </cell>
          <cell r="AD177">
            <v>2.3252751304701671</v>
          </cell>
          <cell r="AE177">
            <v>2.2545756506342292</v>
          </cell>
        </row>
        <row r="178">
          <cell r="H178">
            <v>7.7681670999999994</v>
          </cell>
          <cell r="I178">
            <v>6.1909778999999991</v>
          </cell>
          <cell r="J178">
            <v>6.2494579999999997</v>
          </cell>
          <cell r="K178">
            <v>6.6152219000000008</v>
          </cell>
          <cell r="L178">
            <v>5.5810154000000001</v>
          </cell>
          <cell r="M178">
            <v>5.2429889000000003</v>
          </cell>
          <cell r="N178">
            <v>4.4018980000000001</v>
          </cell>
          <cell r="O178">
            <v>6.0446849999999994</v>
          </cell>
          <cell r="P178">
            <v>9.751614</v>
          </cell>
          <cell r="Q178">
            <v>11.116424999999998</v>
          </cell>
          <cell r="R178">
            <v>11.370925</v>
          </cell>
          <cell r="S178">
            <v>11.869458999999999</v>
          </cell>
          <cell r="T178">
            <v>10.888947</v>
          </cell>
          <cell r="U178">
            <v>9.4940550000000012</v>
          </cell>
          <cell r="V178">
            <v>10.433181000000001</v>
          </cell>
          <cell r="W178">
            <v>5.9005559999999999</v>
          </cell>
          <cell r="X178">
            <v>6.8123880000000003</v>
          </cell>
          <cell r="Y178">
            <v>6.1123589999999997</v>
          </cell>
          <cell r="Z178">
            <v>9.229140000000001</v>
          </cell>
          <cell r="AA178">
            <v>8.458632999999999</v>
          </cell>
          <cell r="AB178">
            <v>8.0452519383000087</v>
          </cell>
          <cell r="AC178">
            <v>7.6519041966999959</v>
          </cell>
          <cell r="AD178">
            <v>7.4193123636000031</v>
          </cell>
          <cell r="AE178">
            <v>7.7886886725999984</v>
          </cell>
        </row>
        <row r="179">
          <cell r="H179">
            <v>0.94562667569891845</v>
          </cell>
          <cell r="I179">
            <v>0.87797440847584418</v>
          </cell>
          <cell r="J179">
            <v>0.76896588931383225</v>
          </cell>
          <cell r="K179">
            <v>0.63948110135578418</v>
          </cell>
          <cell r="L179">
            <v>0.43394926096228958</v>
          </cell>
          <cell r="M179">
            <v>0.70856563684818685</v>
          </cell>
          <cell r="N179">
            <v>0.99833300111063006</v>
          </cell>
          <cell r="O179">
            <v>1.2788148464054281</v>
          </cell>
          <cell r="P179">
            <v>1.1413744588863326</v>
          </cell>
          <cell r="Q179">
            <v>0.71823731071012475</v>
          </cell>
          <cell r="R179">
            <v>0.84101134433644587</v>
          </cell>
          <cell r="S179">
            <v>1.2251082266483837</v>
          </cell>
          <cell r="T179">
            <v>1.5651012636603874</v>
          </cell>
          <cell r="U179">
            <v>1.2759510039866273</v>
          </cell>
          <cell r="V179">
            <v>1.107505460703968</v>
          </cell>
          <cell r="W179">
            <v>0.63798485303363595</v>
          </cell>
          <cell r="X179">
            <v>0.62624539967892912</v>
          </cell>
          <cell r="Y179">
            <v>0.67166554183832972</v>
          </cell>
          <cell r="Z179">
            <v>0.492732</v>
          </cell>
          <cell r="AA179">
            <v>0.49918399999999996</v>
          </cell>
          <cell r="AB179">
            <v>0.51242220696340901</v>
          </cell>
          <cell r="AC179">
            <v>0.56820095103565071</v>
          </cell>
          <cell r="AD179">
            <v>0.49314781500982674</v>
          </cell>
          <cell r="AE179">
            <v>0.5050087559041242</v>
          </cell>
        </row>
        <row r="180">
          <cell r="H180">
            <v>0.38265402430108175</v>
          </cell>
          <cell r="I180">
            <v>0.35527809152415585</v>
          </cell>
          <cell r="J180">
            <v>0.31116708068616789</v>
          </cell>
          <cell r="K180">
            <v>0.25877021364421587</v>
          </cell>
          <cell r="L180">
            <v>0.17560040903771046</v>
          </cell>
          <cell r="M180">
            <v>0.28672572315181322</v>
          </cell>
          <cell r="N180">
            <v>0.4039819838893699</v>
          </cell>
          <cell r="O180">
            <v>0.51748079859457219</v>
          </cell>
          <cell r="P180">
            <v>0.46186464611366751</v>
          </cell>
          <cell r="Q180">
            <v>0.29063942928987535</v>
          </cell>
          <cell r="R180">
            <v>0.34032074566355414</v>
          </cell>
          <cell r="S180">
            <v>0.49574806335161636</v>
          </cell>
          <cell r="T180">
            <v>0.63332847133961268</v>
          </cell>
          <cell r="U180">
            <v>0.51632192601337268</v>
          </cell>
          <cell r="V180">
            <v>0.44815933429603194</v>
          </cell>
          <cell r="W180">
            <v>0.25816474696636388</v>
          </cell>
          <cell r="X180">
            <v>0.25341430032107087</v>
          </cell>
          <cell r="Y180">
            <v>0.27179385816167018</v>
          </cell>
          <cell r="Z180">
            <v>0.492732</v>
          </cell>
          <cell r="AA180">
            <v>0.49918399999999996</v>
          </cell>
          <cell r="AB180">
            <v>0.51242220696340901</v>
          </cell>
          <cell r="AC180">
            <v>0.56820095103565071</v>
          </cell>
          <cell r="AD180">
            <v>0.49314781500982674</v>
          </cell>
          <cell r="AE180">
            <v>0.5050087559041242</v>
          </cell>
        </row>
        <row r="181">
          <cell r="H181">
            <v>0.40274807407407415</v>
          </cell>
          <cell r="I181">
            <v>0.37036307407407404</v>
          </cell>
          <cell r="J181">
            <v>0.48768807407407411</v>
          </cell>
          <cell r="K181">
            <v>0.46379207407407413</v>
          </cell>
          <cell r="L181">
            <v>0.53812807407407393</v>
          </cell>
          <cell r="M181">
            <v>0.42164107407407414</v>
          </cell>
          <cell r="N181">
            <v>0.43037807407407414</v>
          </cell>
          <cell r="O181">
            <v>0.50291507407407388</v>
          </cell>
          <cell r="P181">
            <v>0.48163407407407416</v>
          </cell>
          <cell r="Q181">
            <v>0.45580907407407417</v>
          </cell>
          <cell r="R181">
            <v>0.6205150740740738</v>
          </cell>
          <cell r="S181">
            <v>0.56234507407407419</v>
          </cell>
          <cell r="T181">
            <v>0.58473807407407419</v>
          </cell>
          <cell r="U181">
            <v>0.5404590740740739</v>
          </cell>
          <cell r="V181">
            <v>0.42069407407407394</v>
          </cell>
          <cell r="W181">
            <v>1.2428048860740741</v>
          </cell>
          <cell r="X181">
            <v>1.1604115330740739</v>
          </cell>
          <cell r="Y181">
            <v>1.2477731920740742</v>
          </cell>
          <cell r="Z181">
            <v>8.7690780740740752</v>
          </cell>
          <cell r="AA181">
            <v>11.037976074074074</v>
          </cell>
          <cell r="AB181">
            <v>9.3237041313177169</v>
          </cell>
          <cell r="AC181">
            <v>8.7162296123734357</v>
          </cell>
          <cell r="AD181">
            <v>8.4335868012343536</v>
          </cell>
          <cell r="AE181">
            <v>8.7947699601225242</v>
          </cell>
        </row>
        <row r="182">
          <cell r="H182">
            <v>1.2680339999999999</v>
          </cell>
          <cell r="I182">
            <v>3.2701959999999999</v>
          </cell>
          <cell r="J182">
            <v>2.1934979999999999</v>
          </cell>
          <cell r="K182">
            <v>2.1689530000000001</v>
          </cell>
          <cell r="L182">
            <v>1.452771</v>
          </cell>
          <cell r="M182">
            <v>0.90405199999999997</v>
          </cell>
          <cell r="N182">
            <v>1.359175</v>
          </cell>
          <cell r="O182">
            <v>1.5139029999999998</v>
          </cell>
          <cell r="P182">
            <v>2.30301</v>
          </cell>
          <cell r="Q182">
            <v>2.7516340000000001</v>
          </cell>
          <cell r="R182">
            <v>4.7814439999999996</v>
          </cell>
          <cell r="S182">
            <v>4.4062680000000007</v>
          </cell>
          <cell r="T182">
            <v>3.36571</v>
          </cell>
          <cell r="U182">
            <v>3.4345909999999997</v>
          </cell>
          <cell r="V182">
            <v>2.0285880000000001</v>
          </cell>
          <cell r="W182">
            <v>0.95992100000000002</v>
          </cell>
          <cell r="X182">
            <v>1.6628509999999999</v>
          </cell>
          <cell r="Y182">
            <v>1.8797829999999998</v>
          </cell>
          <cell r="Z182">
            <v>2.3661449999999999</v>
          </cell>
          <cell r="AA182">
            <v>3.0826709999999999</v>
          </cell>
          <cell r="AB182">
            <v>3.0169681880581578</v>
          </cell>
          <cell r="AC182">
            <v>2.5401827085011996</v>
          </cell>
          <cell r="AD182">
            <v>2.2922556070064219</v>
          </cell>
          <cell r="AE182">
            <v>2.6029925645564869</v>
          </cell>
        </row>
        <row r="183">
          <cell r="H183">
            <v>0.75905672000000002</v>
          </cell>
          <cell r="I183">
            <v>0.75352307799999996</v>
          </cell>
          <cell r="J183">
            <v>1.0492427340000001</v>
          </cell>
          <cell r="K183">
            <v>0.82287268399999991</v>
          </cell>
          <cell r="L183">
            <v>0.67738382599999991</v>
          </cell>
          <cell r="M183">
            <v>1.2262085980000001</v>
          </cell>
          <cell r="N183">
            <v>0.94672238399999986</v>
          </cell>
          <cell r="O183">
            <v>0.94664478799999996</v>
          </cell>
          <cell r="P183">
            <v>0.89970378400000006</v>
          </cell>
          <cell r="Q183">
            <v>0.77038129399999988</v>
          </cell>
          <cell r="R183">
            <v>1.1871685080000001</v>
          </cell>
          <cell r="S183">
            <v>1.3819149399999999</v>
          </cell>
          <cell r="T183">
            <v>2.1635749979999996</v>
          </cell>
          <cell r="U183">
            <v>1.9397220020000001</v>
          </cell>
          <cell r="V183">
            <v>1.5831111979999999</v>
          </cell>
          <cell r="W183">
            <v>1.026218284</v>
          </cell>
          <cell r="X183">
            <v>1.045345602</v>
          </cell>
          <cell r="Y183">
            <v>1.134643912</v>
          </cell>
          <cell r="Z183">
            <v>7.6951280000000004</v>
          </cell>
          <cell r="AA183">
            <v>4.5313210000000002</v>
          </cell>
          <cell r="AB183">
            <v>4.4960725606</v>
          </cell>
          <cell r="AC183">
            <v>4.5696217040999993</v>
          </cell>
          <cell r="AD183">
            <v>4.8413475147999998</v>
          </cell>
          <cell r="AE183">
            <v>5.1556288689000001</v>
          </cell>
        </row>
        <row r="184">
          <cell r="H184">
            <v>1.5868732800000001</v>
          </cell>
          <cell r="I184">
            <v>1.5850439220000003</v>
          </cell>
          <cell r="J184">
            <v>2.1840582660000001</v>
          </cell>
          <cell r="K184">
            <v>1.6983533159999999</v>
          </cell>
          <cell r="L184">
            <v>1.4102051739999999</v>
          </cell>
          <cell r="M184">
            <v>2.5247384019999997</v>
          </cell>
          <cell r="N184">
            <v>1.9978036160000001</v>
          </cell>
          <cell r="O184">
            <v>1.9580872119999999</v>
          </cell>
          <cell r="P184">
            <v>1.839522216</v>
          </cell>
          <cell r="Q184">
            <v>1.601259706</v>
          </cell>
          <cell r="R184">
            <v>2.454743492</v>
          </cell>
          <cell r="S184">
            <v>2.82329506</v>
          </cell>
          <cell r="T184">
            <v>4.3995720020000002</v>
          </cell>
          <cell r="U184">
            <v>3.9502809980000002</v>
          </cell>
          <cell r="V184">
            <v>3.2548358020000001</v>
          </cell>
          <cell r="W184">
            <v>3.1835925159999996</v>
          </cell>
          <cell r="X184">
            <v>3.2696349979999999</v>
          </cell>
          <cell r="Y184">
            <v>3.3710648879999998</v>
          </cell>
          <cell r="Z184">
            <v>7.6951280000000004</v>
          </cell>
          <cell r="AA184">
            <v>4.5313210000000002</v>
          </cell>
          <cell r="AB184">
            <v>4.4960725606</v>
          </cell>
          <cell r="AC184">
            <v>4.5696217040999993</v>
          </cell>
          <cell r="AD184">
            <v>4.8413475147999998</v>
          </cell>
          <cell r="AE184">
            <v>5.1556288689000001</v>
          </cell>
        </row>
        <row r="185">
          <cell r="H185">
            <v>2.0197172999999999</v>
          </cell>
          <cell r="I185">
            <v>2.4033025800000001</v>
          </cell>
          <cell r="J185">
            <v>1.6100873399999998</v>
          </cell>
          <cell r="K185">
            <v>2.2882799</v>
          </cell>
          <cell r="L185">
            <v>2.8939977200000002</v>
          </cell>
          <cell r="M185">
            <v>2.6208346827820002</v>
          </cell>
          <cell r="N185">
            <v>2.808180909576</v>
          </cell>
          <cell r="O185">
            <v>2.4410076620000001</v>
          </cell>
          <cell r="P185">
            <v>3.4118360120000002</v>
          </cell>
          <cell r="Q185">
            <v>4.6980795400000002</v>
          </cell>
          <cell r="R185">
            <v>5.0203619890400004</v>
          </cell>
          <cell r="S185">
            <v>6.1223928520000008</v>
          </cell>
          <cell r="T185">
            <v>6.8415446340000008</v>
          </cell>
          <cell r="U185">
            <v>6.7605348059999999</v>
          </cell>
          <cell r="V185">
            <v>5.2803142400000009</v>
          </cell>
          <cell r="W185">
            <v>4.7062230000000014</v>
          </cell>
          <cell r="X185">
            <v>4.0795029999999999</v>
          </cell>
          <cell r="Y185">
            <v>5.6370279999999999</v>
          </cell>
          <cell r="Z185">
            <v>3.2726250000000001</v>
          </cell>
          <cell r="AA185">
            <v>4.1234289999999998</v>
          </cell>
          <cell r="AB185">
            <v>4.1990751697822688</v>
          </cell>
          <cell r="AC185">
            <v>3.9559845486033547</v>
          </cell>
          <cell r="AD185">
            <v>4.2245626971251937</v>
          </cell>
          <cell r="AE185">
            <v>4.3471217789162413</v>
          </cell>
        </row>
        <row r="186">
          <cell r="H186">
            <v>3.9206276999999998</v>
          </cell>
          <cell r="I186">
            <v>5.0675564199999998</v>
          </cell>
          <cell r="J186">
            <v>3.3396976600000001</v>
          </cell>
          <cell r="K186">
            <v>4.6083171000000016</v>
          </cell>
          <cell r="L186">
            <v>5.7593702800000006</v>
          </cell>
          <cell r="M186">
            <v>5.3036676835180003</v>
          </cell>
          <cell r="N186">
            <v>5.8835187068239998</v>
          </cell>
          <cell r="O186">
            <v>5.0332471999999999</v>
          </cell>
          <cell r="P186">
            <v>6.8259360000000013</v>
          </cell>
          <cell r="Q186">
            <v>9.5154594599999989</v>
          </cell>
          <cell r="R186">
            <v>10.112064566960001</v>
          </cell>
          <cell r="S186">
            <v>12.42666404</v>
          </cell>
          <cell r="T186">
            <v>13.837188780000002</v>
          </cell>
          <cell r="U186">
            <v>13.824212319999997</v>
          </cell>
          <cell r="V186">
            <v>10.725069760000002</v>
          </cell>
          <cell r="W186">
            <v>7.2359570000000009</v>
          </cell>
          <cell r="X186">
            <v>9.5127849999999992</v>
          </cell>
          <cell r="Y186">
            <v>8.7675900000000002</v>
          </cell>
          <cell r="Z186">
            <v>3.607186</v>
          </cell>
          <cell r="AA186">
            <v>4.0182390000000003</v>
          </cell>
          <cell r="AB186">
            <v>4.2711939641417151</v>
          </cell>
          <cell r="AC186">
            <v>4.5946027044206739</v>
          </cell>
          <cell r="AD186">
            <v>4.429112704129059</v>
          </cell>
          <cell r="AE186">
            <v>4.328169119778071</v>
          </cell>
        </row>
        <row r="207">
          <cell r="G207" t="str">
            <v>Base</v>
          </cell>
          <cell r="H207">
            <v>42.389799174074071</v>
          </cell>
          <cell r="I207">
            <v>36.465809974074077</v>
          </cell>
          <cell r="J207">
            <v>35.569335074074075</v>
          </cell>
          <cell r="K207">
            <v>38.272286974074078</v>
          </cell>
          <cell r="L207">
            <v>34.157084474074075</v>
          </cell>
          <cell r="M207">
            <v>35.53257534037408</v>
          </cell>
          <cell r="N207">
            <v>36.773434690474069</v>
          </cell>
          <cell r="O207">
            <v>42.359566936074067</v>
          </cell>
          <cell r="P207">
            <v>51.593021086074074</v>
          </cell>
          <cell r="Q207">
            <v>51.05823207407407</v>
          </cell>
          <cell r="R207">
            <v>58.828523630074066</v>
          </cell>
          <cell r="S207">
            <v>69.276658966074081</v>
          </cell>
          <cell r="T207">
            <v>78.406612488074074</v>
          </cell>
          <cell r="U207">
            <v>74.656716200074086</v>
          </cell>
          <cell r="V207">
            <v>62.619136074074078</v>
          </cell>
          <cell r="W207">
            <v>48.797968286074081</v>
          </cell>
          <cell r="X207">
            <v>52.20252758307408</v>
          </cell>
          <cell r="Y207">
            <v>51.00957789207407</v>
          </cell>
          <cell r="Z207">
            <v>67.083563074074078</v>
          </cell>
          <cell r="AA207">
            <v>72.079969074074057</v>
          </cell>
          <cell r="AB207">
            <v>65.729459982444979</v>
          </cell>
          <cell r="AC207">
            <v>64.942320409137878</v>
          </cell>
          <cell r="AD207">
            <v>63.362334928324181</v>
          </cell>
          <cell r="AE207">
            <v>65.142943044759335</v>
          </cell>
        </row>
        <row r="208">
          <cell r="G208" t="str">
            <v>Low</v>
          </cell>
          <cell r="H208">
            <v>42.389799174074071</v>
          </cell>
          <cell r="I208">
            <v>36.465809974074077</v>
          </cell>
          <cell r="J208">
            <v>35.569335074074075</v>
          </cell>
          <cell r="K208">
            <v>38.272286974074078</v>
          </cell>
          <cell r="L208">
            <v>34.157084474074075</v>
          </cell>
          <cell r="M208">
            <v>35.53257534037408</v>
          </cell>
          <cell r="N208">
            <v>36.773434690474069</v>
          </cell>
          <cell r="O208">
            <v>42.359566936074067</v>
          </cell>
          <cell r="P208">
            <v>51.593021086074074</v>
          </cell>
          <cell r="Q208">
            <v>51.05823207407407</v>
          </cell>
          <cell r="R208">
            <v>58.828523630074066</v>
          </cell>
          <cell r="S208">
            <v>69.276658966074081</v>
          </cell>
          <cell r="T208">
            <v>78.406612488074074</v>
          </cell>
          <cell r="U208">
            <v>74.656716200074086</v>
          </cell>
          <cell r="V208">
            <v>62.619136074074078</v>
          </cell>
          <cell r="W208">
            <v>48.797968286074081</v>
          </cell>
          <cell r="X208">
            <v>52.20252758307408</v>
          </cell>
          <cell r="Y208">
            <v>51.00957789207407</v>
          </cell>
          <cell r="Z208">
            <v>67.083563074074078</v>
          </cell>
          <cell r="AA208">
            <v>72.079969074074057</v>
          </cell>
          <cell r="AB208">
            <v>65.729459982444979</v>
          </cell>
          <cell r="AC208">
            <v>64.942320409137878</v>
          </cell>
          <cell r="AD208">
            <v>63.362334928324181</v>
          </cell>
          <cell r="AE208">
            <v>65.142943044759335</v>
          </cell>
        </row>
        <row r="209">
          <cell r="G209" t="str">
            <v>High</v>
          </cell>
          <cell r="H209">
            <v>42.389799174074071</v>
          </cell>
          <cell r="I209">
            <v>36.465809974074077</v>
          </cell>
          <cell r="J209">
            <v>35.569335074074075</v>
          </cell>
          <cell r="K209">
            <v>38.272286974074078</v>
          </cell>
          <cell r="L209">
            <v>34.157084474074075</v>
          </cell>
          <cell r="M209">
            <v>35.53257534037408</v>
          </cell>
          <cell r="N209">
            <v>36.773434690474069</v>
          </cell>
          <cell r="O209">
            <v>42.359566936074067</v>
          </cell>
          <cell r="P209">
            <v>51.593021086074074</v>
          </cell>
          <cell r="Q209">
            <v>51.05823207407407</v>
          </cell>
          <cell r="R209">
            <v>58.828523630074066</v>
          </cell>
          <cell r="S209">
            <v>69.276658966074081</v>
          </cell>
          <cell r="T209">
            <v>78.406612488074074</v>
          </cell>
          <cell r="U209">
            <v>74.656716200074086</v>
          </cell>
          <cell r="V209">
            <v>62.619136074074078</v>
          </cell>
          <cell r="W209">
            <v>48.797968286074081</v>
          </cell>
          <cell r="X209">
            <v>52.20252758307408</v>
          </cell>
          <cell r="Y209">
            <v>51.00957789207407</v>
          </cell>
          <cell r="Z209">
            <v>67.083563074074078</v>
          </cell>
          <cell r="AA209">
            <v>72.079969074074057</v>
          </cell>
          <cell r="AB209">
            <v>65.729459982444979</v>
          </cell>
          <cell r="AC209">
            <v>64.942320409137878</v>
          </cell>
          <cell r="AD209">
            <v>63.362334928324181</v>
          </cell>
          <cell r="AE209">
            <v>65.142943044759335</v>
          </cell>
        </row>
        <row r="210">
          <cell r="G210" t="str">
            <v>Base</v>
          </cell>
        </row>
        <row r="211">
          <cell r="G211" t="str">
            <v>Low</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row>
        <row r="212">
          <cell r="G212" t="str">
            <v>High</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4">
          <cell r="G214">
            <v>1986</v>
          </cell>
          <cell r="H214">
            <v>1987</v>
          </cell>
          <cell r="I214">
            <v>1988</v>
          </cell>
          <cell r="J214">
            <v>1989</v>
          </cell>
          <cell r="K214">
            <v>1990</v>
          </cell>
          <cell r="L214">
            <v>1991</v>
          </cell>
          <cell r="M214">
            <v>1992</v>
          </cell>
          <cell r="N214">
            <v>1993</v>
          </cell>
          <cell r="O214">
            <v>1994</v>
          </cell>
          <cell r="P214">
            <v>1995</v>
          </cell>
          <cell r="Q214">
            <v>1996</v>
          </cell>
          <cell r="R214">
            <v>1997</v>
          </cell>
          <cell r="S214">
            <v>1998</v>
          </cell>
          <cell r="T214">
            <v>1999</v>
          </cell>
          <cell r="U214">
            <v>2000</v>
          </cell>
          <cell r="V214">
            <v>2001</v>
          </cell>
          <cell r="W214">
            <v>2002</v>
          </cell>
          <cell r="X214">
            <v>2003</v>
          </cell>
          <cell r="Y214">
            <v>2004</v>
          </cell>
          <cell r="Z214">
            <v>2005</v>
          </cell>
          <cell r="AA214">
            <v>2006</v>
          </cell>
          <cell r="AB214">
            <v>2007</v>
          </cell>
          <cell r="AC214">
            <v>2008</v>
          </cell>
          <cell r="AD214">
            <v>2009</v>
          </cell>
          <cell r="AE214">
            <v>2010</v>
          </cell>
        </row>
        <row r="216">
          <cell r="G216">
            <v>208998.69198523989</v>
          </cell>
          <cell r="H216">
            <v>200145.98024940802</v>
          </cell>
          <cell r="I216">
            <v>204298.48758186327</v>
          </cell>
          <cell r="J216">
            <v>212514.47308934119</v>
          </cell>
          <cell r="K216">
            <v>218248.8879770175</v>
          </cell>
          <cell r="L216">
            <v>230735.79972918943</v>
          </cell>
          <cell r="M216">
            <v>231528.43027437758</v>
          </cell>
          <cell r="N216">
            <v>244878.83743148466</v>
          </cell>
          <cell r="O216">
            <v>242786.25970780815</v>
          </cell>
          <cell r="P216">
            <v>255559.09058324914</v>
          </cell>
          <cell r="Q216">
            <v>268008.32621918456</v>
          </cell>
          <cell r="R216">
            <v>265489.37581064156</v>
          </cell>
          <cell r="S216">
            <v>272482.6174634418</v>
          </cell>
          <cell r="T216">
            <v>284410.89610058442</v>
          </cell>
          <cell r="U216">
            <v>300017.95217937022</v>
          </cell>
          <cell r="V216">
            <v>317942.85702325829</v>
          </cell>
          <cell r="W216">
            <v>335695.10260296741</v>
          </cell>
          <cell r="X216">
            <v>348922.95366756298</v>
          </cell>
          <cell r="Y216">
            <v>353537.99027757213</v>
          </cell>
          <cell r="Z216">
            <v>354596.7797693297</v>
          </cell>
          <cell r="AA216">
            <v>359853.55392939574</v>
          </cell>
          <cell r="AB216">
            <v>355546.86718435638</v>
          </cell>
          <cell r="AC216">
            <v>351120.83370566339</v>
          </cell>
          <cell r="AD216">
            <v>353655.16843746061</v>
          </cell>
          <cell r="AE216">
            <v>360684.15806895884</v>
          </cell>
        </row>
        <row r="217">
          <cell r="G217">
            <v>73536.576809621445</v>
          </cell>
          <cell r="H217">
            <v>90173.965820167112</v>
          </cell>
          <cell r="I217">
            <v>92044.840537701777</v>
          </cell>
          <cell r="J217">
            <v>95746.478689050549</v>
          </cell>
          <cell r="K217">
            <v>98330.06758469365</v>
          </cell>
          <cell r="L217">
            <v>103955.93302619121</v>
          </cell>
          <cell r="M217">
            <v>104313.04556775086</v>
          </cell>
          <cell r="N217">
            <v>110327.95107407245</v>
          </cell>
          <cell r="O217">
            <v>109385.15905848605</v>
          </cell>
          <cell r="P217">
            <v>115139.84278160419</v>
          </cell>
          <cell r="Q217">
            <v>120748.73358881973</v>
          </cell>
          <cell r="R217">
            <v>119613.84320651177</v>
          </cell>
          <cell r="S217">
            <v>122764.58514490072</v>
          </cell>
          <cell r="T217">
            <v>128138.76347603065</v>
          </cell>
          <cell r="U217">
            <v>135170.38179605946</v>
          </cell>
          <cell r="V217">
            <v>143246.28596714657</v>
          </cell>
          <cell r="W217">
            <v>151244.40006437257</v>
          </cell>
          <cell r="X217">
            <v>157204.08902883093</v>
          </cell>
          <cell r="Y217">
            <v>159283.35213974226</v>
          </cell>
          <cell r="Z217">
            <v>162515.65727255808</v>
          </cell>
          <cell r="AA217">
            <v>167612.08530117007</v>
          </cell>
          <cell r="AB217">
            <v>168423.08861424751</v>
          </cell>
          <cell r="AC217">
            <v>169187.35438208625</v>
          </cell>
          <cell r="AD217">
            <v>173048.3572794295</v>
          </cell>
          <cell r="AE217">
            <v>179117.10252840212</v>
          </cell>
        </row>
        <row r="218">
          <cell r="G218">
            <v>104499.34599261994</v>
          </cell>
          <cell r="H218">
            <v>105807.50910078075</v>
          </cell>
          <cell r="I218">
            <v>108002.7390865257</v>
          </cell>
          <cell r="J218">
            <v>112346.13364419344</v>
          </cell>
          <cell r="K218">
            <v>115377.64171974598</v>
          </cell>
          <cell r="L218">
            <v>121978.86862029215</v>
          </cell>
          <cell r="M218">
            <v>122397.89409119615</v>
          </cell>
          <cell r="N218">
            <v>129455.60928994505</v>
          </cell>
          <cell r="O218">
            <v>128349.36455664544</v>
          </cell>
          <cell r="P218">
            <v>135101.74308261863</v>
          </cell>
          <cell r="Q218">
            <v>141683.05244094582</v>
          </cell>
          <cell r="R218">
            <v>140351.40507064035</v>
          </cell>
          <cell r="S218">
            <v>144048.39403289961</v>
          </cell>
          <cell r="T218">
            <v>150354.29859757473</v>
          </cell>
          <cell r="U218">
            <v>158604.99504441186</v>
          </cell>
          <cell r="V218">
            <v>168081.02613950011</v>
          </cell>
          <cell r="W218">
            <v>177465.78062417047</v>
          </cell>
          <cell r="X218">
            <v>184458.70633847601</v>
          </cell>
          <cell r="Y218">
            <v>186898.45320476568</v>
          </cell>
          <cell r="Z218">
            <v>186028.83658052023</v>
          </cell>
          <cell r="AA218">
            <v>187392.62346713556</v>
          </cell>
          <cell r="AB218">
            <v>183688.58010542323</v>
          </cell>
          <cell r="AC218">
            <v>179917.79537687683</v>
          </cell>
          <cell r="AD218">
            <v>179846.95356055681</v>
          </cell>
          <cell r="AE218">
            <v>182057.43147324634</v>
          </cell>
        </row>
        <row r="219">
          <cell r="G219">
            <v>13423.836588687245</v>
          </cell>
          <cell r="H219">
            <v>21791.875763514865</v>
          </cell>
          <cell r="I219">
            <v>22224.659925521173</v>
          </cell>
          <cell r="J219">
            <v>22732.952835002077</v>
          </cell>
          <cell r="K219">
            <v>23080.895311996119</v>
          </cell>
          <cell r="L219">
            <v>24394.967985397427</v>
          </cell>
          <cell r="M219">
            <v>24342.77819338522</v>
          </cell>
          <cell r="N219">
            <v>25847.114822320538</v>
          </cell>
          <cell r="O219">
            <v>25597.201842348808</v>
          </cell>
          <cell r="P219">
            <v>26685.15216798272</v>
          </cell>
          <cell r="Q219">
            <v>27183.979842094126</v>
          </cell>
          <cell r="R219">
            <v>26370.318525564584</v>
          </cell>
          <cell r="S219">
            <v>26408.046610476242</v>
          </cell>
          <cell r="T219">
            <v>27113.984701041256</v>
          </cell>
          <cell r="U219">
            <v>28084.473978898819</v>
          </cell>
          <cell r="V219">
            <v>29362.800335296797</v>
          </cell>
          <cell r="W219">
            <v>30805.387561284086</v>
          </cell>
          <cell r="X219">
            <v>32039.384416567875</v>
          </cell>
          <cell r="Y219">
            <v>32288.612309161115</v>
          </cell>
          <cell r="Z219">
            <v>32756.354184115167</v>
          </cell>
          <cell r="AA219">
            <v>33718.918515821199</v>
          </cell>
          <cell r="AB219">
            <v>33600.302576498187</v>
          </cell>
          <cell r="AC219">
            <v>33338.384168395656</v>
          </cell>
          <cell r="AD219">
            <v>33752.759044080267</v>
          </cell>
          <cell r="AE219">
            <v>34616.681984882525</v>
          </cell>
        </row>
        <row r="220">
          <cell r="G220">
            <v>42956.277083799177</v>
          </cell>
          <cell r="H220">
            <v>40249.231290308788</v>
          </cell>
          <cell r="I220">
            <v>41048.576423532184</v>
          </cell>
          <cell r="J220">
            <v>41987.384954699257</v>
          </cell>
          <cell r="K220">
            <v>42630.028909915964</v>
          </cell>
          <cell r="L220">
            <v>45057.099233644389</v>
          </cell>
          <cell r="M220">
            <v>44960.705557740206</v>
          </cell>
          <cell r="N220">
            <v>47739.190235863898</v>
          </cell>
          <cell r="O220">
            <v>47277.605127611147</v>
          </cell>
          <cell r="P220">
            <v>49287.03124420641</v>
          </cell>
          <cell r="Q220">
            <v>50208.35764342035</v>
          </cell>
          <cell r="R220">
            <v>48705.538754566136</v>
          </cell>
          <cell r="S220">
            <v>48775.221898515229</v>
          </cell>
          <cell r="T220">
            <v>50079.077784632274</v>
          </cell>
          <cell r="U220">
            <v>51871.555303921945</v>
          </cell>
          <cell r="V220">
            <v>54232.602775994215</v>
          </cell>
          <cell r="W220">
            <v>56897.037336162713</v>
          </cell>
          <cell r="X220">
            <v>59176.208958597657</v>
          </cell>
          <cell r="Y220">
            <v>59636.528721881943</v>
          </cell>
          <cell r="Z220">
            <v>59267.380594230824</v>
          </cell>
          <cell r="AA220">
            <v>59661.108667141169</v>
          </cell>
          <cell r="AB220">
            <v>58346.611071043306</v>
          </cell>
          <cell r="AC220">
            <v>56953.433458145395</v>
          </cell>
          <cell r="AD220">
            <v>56761.820168837978</v>
          </cell>
          <cell r="AE220">
            <v>57298.25438694148</v>
          </cell>
        </row>
        <row r="221">
          <cell r="G221">
            <v>10739.069270949794</v>
          </cell>
          <cell r="H221">
            <v>10062.307822577197</v>
          </cell>
          <cell r="I221">
            <v>10262.144105883046</v>
          </cell>
          <cell r="J221">
            <v>10496.846238674814</v>
          </cell>
          <cell r="K221">
            <v>10657.507227478991</v>
          </cell>
          <cell r="L221">
            <v>11264.274808411097</v>
          </cell>
          <cell r="M221">
            <v>11240.176389435052</v>
          </cell>
          <cell r="N221">
            <v>11934.797558965975</v>
          </cell>
          <cell r="O221">
            <v>11819.401281902787</v>
          </cell>
          <cell r="P221">
            <v>12321.757811051602</v>
          </cell>
          <cell r="Q221">
            <v>12552.089410855087</v>
          </cell>
          <cell r="R221">
            <v>12176.384688641534</v>
          </cell>
          <cell r="S221">
            <v>12193.805474628807</v>
          </cell>
          <cell r="T221">
            <v>12519.769446158069</v>
          </cell>
          <cell r="U221">
            <v>12967.888825980486</v>
          </cell>
          <cell r="V221">
            <v>13558.150693998554</v>
          </cell>
          <cell r="W221">
            <v>14224.259334040678</v>
          </cell>
          <cell r="X221">
            <v>14794.052239649414</v>
          </cell>
          <cell r="Y221">
            <v>14909.132180470486</v>
          </cell>
          <cell r="Z221">
            <v>16089.783930114661</v>
          </cell>
          <cell r="AA221">
            <v>17617.092653342384</v>
          </cell>
          <cell r="AB221">
            <v>18419.311769849035</v>
          </cell>
          <cell r="AC221">
            <v>19009.848165719726</v>
          </cell>
          <cell r="AD221">
            <v>19949.851202602753</v>
          </cell>
          <cell r="AE221">
            <v>21177.433659989274</v>
          </cell>
        </row>
        <row r="222">
          <cell r="G222">
            <v>22373.060981145409</v>
          </cell>
          <cell r="H222">
            <v>19427.476132820269</v>
          </cell>
          <cell r="I222">
            <v>19813.303588395116</v>
          </cell>
          <cell r="J222">
            <v>20266.447157796101</v>
          </cell>
          <cell r="K222">
            <v>20576.638177640001</v>
          </cell>
          <cell r="L222">
            <v>21748.135105042526</v>
          </cell>
          <cell r="M222">
            <v>21701.60786022446</v>
          </cell>
          <cell r="N222">
            <v>23042.725268910268</v>
          </cell>
          <cell r="O222">
            <v>22819.927630635757</v>
          </cell>
          <cell r="P222">
            <v>23789.836288996135</v>
          </cell>
          <cell r="Q222">
            <v>24234.541592860558</v>
          </cell>
          <cell r="R222">
            <v>23509.161823876082</v>
          </cell>
          <cell r="S222">
            <v>23542.796444278309</v>
          </cell>
          <cell r="T222">
            <v>24172.140863938701</v>
          </cell>
          <cell r="U222">
            <v>25037.332896388816</v>
          </cell>
          <cell r="V222">
            <v>26176.96195119722</v>
          </cell>
          <cell r="W222">
            <v>27463.02971362921</v>
          </cell>
          <cell r="X222">
            <v>28563.138979768595</v>
          </cell>
          <cell r="Y222">
            <v>28785.325862051341</v>
          </cell>
          <cell r="Z222">
            <v>28924.071606197242</v>
          </cell>
          <cell r="AA222">
            <v>29469.866159102188</v>
          </cell>
          <cell r="AB222">
            <v>29116.933433380244</v>
          </cell>
          <cell r="AC222">
            <v>28678.217716061263</v>
          </cell>
          <cell r="AD222">
            <v>28831.690819149815</v>
          </cell>
          <cell r="AE222">
            <v>29362.860829323748</v>
          </cell>
        </row>
        <row r="223">
          <cell r="G223">
            <v>4115.706901028545</v>
          </cell>
          <cell r="H223">
            <v>4205.010520242442</v>
          </cell>
          <cell r="I223">
            <v>4292.0902136220993</v>
          </cell>
          <cell r="J223">
            <v>4385.1340717390349</v>
          </cell>
          <cell r="K223">
            <v>4578.7455890095252</v>
          </cell>
          <cell r="L223">
            <v>4925.2542379471824</v>
          </cell>
          <cell r="M223">
            <v>5059.9086971479355</v>
          </cell>
          <cell r="N223">
            <v>5491.2305796720329</v>
          </cell>
          <cell r="O223">
            <v>5593.5954805401325</v>
          </cell>
          <cell r="P223">
            <v>5926.3175733184044</v>
          </cell>
          <cell r="Q223">
            <v>6182.9348882424329</v>
          </cell>
          <cell r="R223">
            <v>6169.7723192810736</v>
          </cell>
          <cell r="S223">
            <v>6245.6036993975076</v>
          </cell>
          <cell r="T223">
            <v>6577.8422959626059</v>
          </cell>
          <cell r="U223">
            <v>6928.8339007962168</v>
          </cell>
          <cell r="V223">
            <v>7490.3140941843267</v>
          </cell>
          <cell r="W223">
            <v>8257.6043067687824</v>
          </cell>
          <cell r="X223">
            <v>8802.0048065065639</v>
          </cell>
          <cell r="Y223">
            <v>9009.5800347258555</v>
          </cell>
          <cell r="Z223">
            <v>9145.9892087019052</v>
          </cell>
          <cell r="AA223">
            <v>9211.6710302419669</v>
          </cell>
          <cell r="AB223">
            <v>9178.9855009367984</v>
          </cell>
          <cell r="AC223">
            <v>9148.5358510380192</v>
          </cell>
          <cell r="AD223">
            <v>9307.2672479613648</v>
          </cell>
          <cell r="AE223">
            <v>9585.7986641014031</v>
          </cell>
        </row>
        <row r="224">
          <cell r="G224">
            <v>7052.2389172900575</v>
          </cell>
          <cell r="H224">
            <v>7205.2601294462738</v>
          </cell>
          <cell r="I224">
            <v>7354.4706581173587</v>
          </cell>
          <cell r="J224">
            <v>7513.9007470440247</v>
          </cell>
          <cell r="K224">
            <v>7845.6529125321231</v>
          </cell>
          <cell r="L224">
            <v>8439.3933896795734</v>
          </cell>
          <cell r="M224">
            <v>8670.1229922479361</v>
          </cell>
          <cell r="N224">
            <v>9409.1904328995261</v>
          </cell>
          <cell r="O224">
            <v>9584.5920722840365</v>
          </cell>
          <cell r="P224">
            <v>10154.709368719003</v>
          </cell>
          <cell r="Q224">
            <v>10594.421587950512</v>
          </cell>
          <cell r="R224">
            <v>10571.867605533151</v>
          </cell>
          <cell r="S224">
            <v>10701.80421736411</v>
          </cell>
          <cell r="T224">
            <v>11271.093045957972</v>
          </cell>
          <cell r="U224">
            <v>11872.515040957445</v>
          </cell>
          <cell r="V224">
            <v>12834.607961157768</v>
          </cell>
          <cell r="W224">
            <v>14047.589314524124</v>
          </cell>
          <cell r="X224">
            <v>15152.652396838437</v>
          </cell>
          <cell r="Y224">
            <v>15479.510456527292</v>
          </cell>
          <cell r="Z224">
            <v>15798.174448709171</v>
          </cell>
          <cell r="AA224">
            <v>16024.318633545427</v>
          </cell>
          <cell r="AB224">
            <v>15915.266706434264</v>
          </cell>
          <cell r="AC224">
            <v>15890.102655033168</v>
          </cell>
          <cell r="AD224">
            <v>16206.894670169306</v>
          </cell>
          <cell r="AE224">
            <v>16751.236087215875</v>
          </cell>
        </row>
        <row r="225">
          <cell r="G225">
            <v>50887.549088008323</v>
          </cell>
          <cell r="H225">
            <v>52096.128378848516</v>
          </cell>
          <cell r="I225">
            <v>53891.473390088919</v>
          </cell>
          <cell r="J225">
            <v>55301.704088136066</v>
          </cell>
          <cell r="K225">
            <v>56320.720929326286</v>
          </cell>
          <cell r="L225">
            <v>59598.948196798665</v>
          </cell>
          <cell r="M225">
            <v>59875.038133999398</v>
          </cell>
          <cell r="N225">
            <v>63090.538108352572</v>
          </cell>
          <cell r="O225">
            <v>62290.990920621967</v>
          </cell>
          <cell r="P225">
            <v>65911.63038498332</v>
          </cell>
          <cell r="Q225">
            <v>68983.639135362406</v>
          </cell>
          <cell r="R225">
            <v>69732.96582170199</v>
          </cell>
          <cell r="S225">
            <v>71331.440918664593</v>
          </cell>
          <cell r="T225">
            <v>74031.11753504441</v>
          </cell>
          <cell r="U225">
            <v>76942.356081206293</v>
          </cell>
          <cell r="V225">
            <v>81143.432123224557</v>
          </cell>
          <cell r="W225">
            <v>85690.254182846576</v>
          </cell>
          <cell r="X225">
            <v>88772.478710730531</v>
          </cell>
          <cell r="Y225">
            <v>89611.133454044131</v>
          </cell>
          <cell r="Z225">
            <v>90910.782716700836</v>
          </cell>
          <cell r="AA225">
            <v>92712.944275381815</v>
          </cell>
          <cell r="AB225">
            <v>92106.864078517261</v>
          </cell>
          <cell r="AC225">
            <v>91226.675126907721</v>
          </cell>
          <cell r="AD225">
            <v>92126.824590314762</v>
          </cell>
          <cell r="AE225">
            <v>94226.839366206506</v>
          </cell>
        </row>
        <row r="226">
          <cell r="G226">
            <v>19812.879259651741</v>
          </cell>
          <cell r="H226">
            <v>18032.884427272984</v>
          </cell>
          <cell r="I226">
            <v>18390.850686182566</v>
          </cell>
          <cell r="J226">
            <v>18811.272058336421</v>
          </cell>
          <cell r="K226">
            <v>19099.063705396456</v>
          </cell>
          <cell r="L226">
            <v>20186.310587606091</v>
          </cell>
          <cell r="M226">
            <v>20143.040724556799</v>
          </cell>
          <cell r="N226">
            <v>21387.69116528075</v>
          </cell>
          <cell r="O226">
            <v>21180.748251774428</v>
          </cell>
          <cell r="P226">
            <v>22080.758751653964</v>
          </cell>
          <cell r="Q226">
            <v>22493.41427857352</v>
          </cell>
          <cell r="R226">
            <v>21820.012288958882</v>
          </cell>
          <cell r="S226">
            <v>21851.072681430713</v>
          </cell>
          <cell r="T226">
            <v>22435.037007354465</v>
          </cell>
          <cell r="U226">
            <v>23237.856100070774</v>
          </cell>
          <cell r="V226">
            <v>24295.423566588957</v>
          </cell>
          <cell r="W226">
            <v>25676.409631101869</v>
          </cell>
          <cell r="X226">
            <v>26947.489232296917</v>
          </cell>
          <cell r="Y226">
            <v>27352.311253779546</v>
          </cell>
          <cell r="Z226">
            <v>27335.965576247774</v>
          </cell>
          <cell r="AA226">
            <v>27602.57300118457</v>
          </cell>
          <cell r="AB226">
            <v>27114.80587866436</v>
          </cell>
          <cell r="AC226">
            <v>26610.841990217854</v>
          </cell>
          <cell r="AD226">
            <v>26693.236756604154</v>
          </cell>
          <cell r="AE226">
            <v>27154.544217813003</v>
          </cell>
        </row>
        <row r="227">
          <cell r="G227">
            <v>7419.0906995658279</v>
          </cell>
          <cell r="H227">
            <v>10929.866269561855</v>
          </cell>
          <cell r="I227">
            <v>11146.832299299163</v>
          </cell>
          <cell r="J227">
            <v>11401.652840795985</v>
          </cell>
          <cell r="K227">
            <v>11576.085512870666</v>
          </cell>
          <cell r="L227">
            <v>12235.073988756241</v>
          </cell>
          <cell r="M227">
            <v>12208.847800786238</v>
          </cell>
          <cell r="N227">
            <v>12963.239752020037</v>
          </cell>
          <cell r="O227">
            <v>12837.810102693569</v>
          </cell>
          <cell r="P227">
            <v>13383.313205347922</v>
          </cell>
          <cell r="Q227">
            <v>13633.426809902779</v>
          </cell>
          <cell r="R227">
            <v>13225.27282201311</v>
          </cell>
          <cell r="S227">
            <v>13244.098758449756</v>
          </cell>
          <cell r="T227">
            <v>13598.043908726899</v>
          </cell>
          <cell r="U227">
            <v>14084.638571795298</v>
          </cell>
          <cell r="V227">
            <v>14725.638131610645</v>
          </cell>
          <cell r="W227">
            <v>15562.664125213003</v>
          </cell>
          <cell r="X227">
            <v>16333.074988492226</v>
          </cell>
          <cell r="Y227">
            <v>16578.44064674971</v>
          </cell>
          <cell r="Z227">
            <v>16857.311575218704</v>
          </cell>
          <cell r="AA227">
            <v>17266.656645919924</v>
          </cell>
          <cell r="AB227">
            <v>17209.046241024487</v>
          </cell>
          <cell r="AC227">
            <v>17136.3703707032</v>
          </cell>
          <cell r="AD227">
            <v>17456.408368183093</v>
          </cell>
          <cell r="AE227">
            <v>18058.866872371669</v>
          </cell>
        </row>
        <row r="228">
          <cell r="G228">
            <v>83364.422267462985</v>
          </cell>
          <cell r="H228">
            <v>83832.227579195271</v>
          </cell>
          <cell r="I228">
            <v>84473.651357137482</v>
          </cell>
          <cell r="J228">
            <v>85669.000717749455</v>
          </cell>
          <cell r="K228">
            <v>86953.915160136385</v>
          </cell>
          <cell r="L228">
            <v>91285.461447874812</v>
          </cell>
          <cell r="M228">
            <v>90938.245242666802</v>
          </cell>
          <cell r="N228">
            <v>95719.927133708654</v>
          </cell>
          <cell r="O228">
            <v>93952.396537730761</v>
          </cell>
          <cell r="P228">
            <v>96705.968870619268</v>
          </cell>
          <cell r="Q228">
            <v>98084.385907262404</v>
          </cell>
          <cell r="R228">
            <v>94854.133820205563</v>
          </cell>
          <cell r="S228">
            <v>94531.289301758676</v>
          </cell>
          <cell r="T228">
            <v>96314.095346684699</v>
          </cell>
          <cell r="U228">
            <v>98468.71184276056</v>
          </cell>
          <cell r="V228">
            <v>101998.44637128555</v>
          </cell>
          <cell r="W228">
            <v>108335.20040286546</v>
          </cell>
          <cell r="X228">
            <v>114395.71234984108</v>
          </cell>
          <cell r="Y228">
            <v>116727.38959742447</v>
          </cell>
          <cell r="Z228">
            <v>141998.01843454241</v>
          </cell>
          <cell r="AA228">
            <v>171946.05794425026</v>
          </cell>
          <cell r="AB228">
            <v>192464.78312542022</v>
          </cell>
          <cell r="AC228">
            <v>208908.64373695463</v>
          </cell>
          <cell r="AD228">
            <v>228706.45614921703</v>
          </cell>
          <cell r="AE228">
            <v>252084.95499626573</v>
          </cell>
        </row>
        <row r="229">
          <cell r="G229">
            <v>12778.134917081974</v>
          </cell>
          <cell r="H229">
            <v>12894.186073617273</v>
          </cell>
          <cell r="I229">
            <v>13178.009408971293</v>
          </cell>
          <cell r="J229">
            <v>13341.082749817862</v>
          </cell>
          <cell r="K229">
            <v>13581.568601140933</v>
          </cell>
          <cell r="L229">
            <v>14287.410756019724</v>
          </cell>
          <cell r="M229">
            <v>14217.523844548945</v>
          </cell>
          <cell r="N229">
            <v>14955.493690163396</v>
          </cell>
          <cell r="O229">
            <v>14749.068526871995</v>
          </cell>
          <cell r="P229">
            <v>15217.615920965041</v>
          </cell>
          <cell r="Q229">
            <v>15615.500853886677</v>
          </cell>
          <cell r="R229">
            <v>15768.602167633129</v>
          </cell>
          <cell r="S229">
            <v>16113.909210513591</v>
          </cell>
          <cell r="T229">
            <v>16679.827859739111</v>
          </cell>
          <cell r="U229">
            <v>17277.728711114269</v>
          </cell>
          <cell r="V229">
            <v>17914.590049087761</v>
          </cell>
          <cell r="W229">
            <v>18631.873619577422</v>
          </cell>
          <cell r="X229">
            <v>19246.310352174143</v>
          </cell>
          <cell r="Y229">
            <v>19226.799168199374</v>
          </cell>
          <cell r="Z229">
            <v>19109.077435323827</v>
          </cell>
          <cell r="AA229">
            <v>19277.963444280296</v>
          </cell>
          <cell r="AB229">
            <v>18940.524142835653</v>
          </cell>
          <cell r="AC229">
            <v>18579.144573461443</v>
          </cell>
          <cell r="AD229">
            <v>18559.369474301344</v>
          </cell>
          <cell r="AE229">
            <v>18786.218095097855</v>
          </cell>
        </row>
        <row r="230">
          <cell r="G230">
            <v>19927.728810231933</v>
          </cell>
          <cell r="H230">
            <v>20387.498878375507</v>
          </cell>
          <cell r="I230">
            <v>21039.067675030969</v>
          </cell>
          <cell r="J230">
            <v>21751.96518935723</v>
          </cell>
          <cell r="K230">
            <v>22543.066584433152</v>
          </cell>
          <cell r="L230">
            <v>23942.959888780144</v>
          </cell>
          <cell r="M230">
            <v>24443.241717863308</v>
          </cell>
          <cell r="N230">
            <v>25857.012921133639</v>
          </cell>
          <cell r="O230">
            <v>26019.551101581019</v>
          </cell>
          <cell r="P230">
            <v>27043.216886545717</v>
          </cell>
          <cell r="Q230">
            <v>27714.128414291805</v>
          </cell>
          <cell r="R230">
            <v>27458.778506721221</v>
          </cell>
          <cell r="S230">
            <v>28235.725930746761</v>
          </cell>
          <cell r="T230">
            <v>30700.328022192367</v>
          </cell>
          <cell r="U230">
            <v>33048.146988518049</v>
          </cell>
          <cell r="V230">
            <v>35494.528422093819</v>
          </cell>
          <cell r="W230">
            <v>37620.955907392017</v>
          </cell>
          <cell r="X230">
            <v>39513.733368011992</v>
          </cell>
          <cell r="Y230">
            <v>40010.808440145935</v>
          </cell>
          <cell r="Z230">
            <v>48908.818659119788</v>
          </cell>
          <cell r="AA230">
            <v>52282.519633483942</v>
          </cell>
          <cell r="AB230">
            <v>55374.912449867224</v>
          </cell>
          <cell r="AC230">
            <v>58076.99156480789</v>
          </cell>
          <cell r="AD230">
            <v>62210.734014487818</v>
          </cell>
          <cell r="AE230">
            <v>67374.994373915324</v>
          </cell>
        </row>
        <row r="231">
          <cell r="G231">
            <v>45108.374295171176</v>
          </cell>
          <cell r="H231">
            <v>46149.56065856183</v>
          </cell>
          <cell r="I231">
            <v>47625.090696060222</v>
          </cell>
          <cell r="J231">
            <v>49239.504556032982</v>
          </cell>
          <cell r="K231">
            <v>51031.017404918923</v>
          </cell>
          <cell r="L231">
            <v>54200.373325811925</v>
          </cell>
          <cell r="M231">
            <v>55333.543476117171</v>
          </cell>
          <cell r="N231">
            <v>58534.252384181593</v>
          </cell>
          <cell r="O231">
            <v>58902.884869384878</v>
          </cell>
          <cell r="P231">
            <v>61220.727174027903</v>
          </cell>
          <cell r="Q231">
            <v>62739.911562789377</v>
          </cell>
          <cell r="R231">
            <v>62162.601935177241</v>
          </cell>
          <cell r="S231">
            <v>63922.405058420525</v>
          </cell>
          <cell r="T231">
            <v>69503.539738679581</v>
          </cell>
          <cell r="U231">
            <v>74820.119795511695</v>
          </cell>
          <cell r="V231">
            <v>80359.598457471366</v>
          </cell>
          <cell r="W231">
            <v>86541.70128799032</v>
          </cell>
          <cell r="X231">
            <v>92483.477913026232</v>
          </cell>
          <cell r="Y231">
            <v>94848.756057148668</v>
          </cell>
          <cell r="Z231">
            <v>104876.15733776866</v>
          </cell>
          <cell r="AA231">
            <v>108880.94517899094</v>
          </cell>
          <cell r="AB231">
            <v>111269.29774283603</v>
          </cell>
          <cell r="AC231">
            <v>113174.32196937493</v>
          </cell>
          <cell r="AD231">
            <v>117725.13831993856</v>
          </cell>
          <cell r="AE231">
            <v>124056.03016699647</v>
          </cell>
        </row>
        <row r="232">
          <cell r="G232">
            <v>14732.614363471273</v>
          </cell>
          <cell r="H232">
            <v>15190.025849992297</v>
          </cell>
          <cell r="I232">
            <v>15978.652657210951</v>
          </cell>
          <cell r="J232">
            <v>16358.081684185232</v>
          </cell>
          <cell r="K232">
            <v>16802.815184019466</v>
          </cell>
          <cell r="L232">
            <v>17995.075095351578</v>
          </cell>
          <cell r="M232">
            <v>18068.872042573646</v>
          </cell>
          <cell r="N232">
            <v>19587.401185481136</v>
          </cell>
          <cell r="O232">
            <v>19396.744558816688</v>
          </cell>
          <cell r="P232">
            <v>20469.625724466405</v>
          </cell>
          <cell r="Q232">
            <v>22021.466826109994</v>
          </cell>
          <cell r="R232">
            <v>22443.493824552352</v>
          </cell>
          <cell r="S232">
            <v>23154.520006260926</v>
          </cell>
          <cell r="T232">
            <v>24297.299686122278</v>
          </cell>
          <cell r="U232">
            <v>25604.628317990238</v>
          </cell>
          <cell r="V232">
            <v>27252.115344501475</v>
          </cell>
          <cell r="W232">
            <v>29326.592850202847</v>
          </cell>
          <cell r="X232">
            <v>31071.045803116915</v>
          </cell>
          <cell r="Y232">
            <v>31809.338088577882</v>
          </cell>
          <cell r="Z232">
            <v>32253.678455315665</v>
          </cell>
          <cell r="AA232">
            <v>33031.407872308417</v>
          </cell>
          <cell r="AB232">
            <v>33044.701825989607</v>
          </cell>
          <cell r="AC232">
            <v>33079.38765057132</v>
          </cell>
          <cell r="AD232">
            <v>33840.932034592515</v>
          </cell>
          <cell r="AE232">
            <v>35028.551814055783</v>
          </cell>
        </row>
        <row r="233">
          <cell r="G233">
            <v>30607.73667734694</v>
          </cell>
          <cell r="H233">
            <v>31558.031715771514</v>
          </cell>
          <cell r="I233">
            <v>33196.443002222775</v>
          </cell>
          <cell r="J233">
            <v>33984.725615128584</v>
          </cell>
          <cell r="K233">
            <v>34908.681507727801</v>
          </cell>
          <cell r="L233">
            <v>37385.660577205868</v>
          </cell>
          <cell r="M233">
            <v>37538.977393382476</v>
          </cell>
          <cell r="N233">
            <v>40693.796965544178</v>
          </cell>
          <cell r="O233">
            <v>40297.698372262203</v>
          </cell>
          <cell r="P233">
            <v>42526.662179644067</v>
          </cell>
          <cell r="Q233">
            <v>45750.688997447731</v>
          </cell>
          <cell r="R233">
            <v>46627.471007780034</v>
          </cell>
          <cell r="S233">
            <v>48104.663147852298</v>
          </cell>
          <cell r="T233">
            <v>50478.844583575272</v>
          </cell>
          <cell r="U233">
            <v>53194.884624247505</v>
          </cell>
          <cell r="V233">
            <v>56617.620592401901</v>
          </cell>
          <cell r="W233">
            <v>59923.157134890702</v>
          </cell>
          <cell r="X233">
            <v>63973.486449511773</v>
          </cell>
          <cell r="Y233">
            <v>66181.538107032015</v>
          </cell>
          <cell r="Z233">
            <v>66453.563269918333</v>
          </cell>
          <cell r="AA233">
            <v>66959.267579956038</v>
          </cell>
          <cell r="AB233">
            <v>66094.364426773463</v>
          </cell>
          <cell r="AC233">
            <v>65334.982685483985</v>
          </cell>
          <cell r="AD233">
            <v>65811.632936669848</v>
          </cell>
          <cell r="AE233">
            <v>67051.855449590992</v>
          </cell>
        </row>
        <row r="236">
          <cell r="G236">
            <v>365235.87759901345</v>
          </cell>
          <cell r="H236">
            <v>354859.62782446295</v>
          </cell>
          <cell r="I236">
            <v>359099.12116031331</v>
          </cell>
          <cell r="J236">
            <v>363684.89253116085</v>
          </cell>
          <cell r="K236">
            <v>371183.65691280959</v>
          </cell>
          <cell r="L236">
            <v>393810.14448577375</v>
          </cell>
          <cell r="M236">
            <v>392919.76472724194</v>
          </cell>
          <cell r="N236">
            <v>416337.28299488511</v>
          </cell>
          <cell r="O236">
            <v>415847.40765335562</v>
          </cell>
          <cell r="P236">
            <v>440930.75205977412</v>
          </cell>
          <cell r="Q236">
            <v>462610.57949277834</v>
          </cell>
          <cell r="R236">
            <v>464545.80548638868</v>
          </cell>
          <cell r="S236">
            <v>474100.778496566</v>
          </cell>
          <cell r="T236">
            <v>490120.37038982578</v>
          </cell>
          <cell r="U236">
            <v>507824.3128671766</v>
          </cell>
          <cell r="V236">
            <v>523265.66056981642</v>
          </cell>
          <cell r="W236">
            <v>547621.81359517598</v>
          </cell>
          <cell r="X236">
            <v>577195.13074333861</v>
          </cell>
          <cell r="Y236">
            <v>597901.31757310289</v>
          </cell>
          <cell r="Z236">
            <v>606724.96847552957</v>
          </cell>
          <cell r="AA236">
            <v>621130.50828699535</v>
          </cell>
          <cell r="AB236">
            <v>615303.10013566166</v>
          </cell>
          <cell r="AC236">
            <v>604685.27239587845</v>
          </cell>
          <cell r="AD236">
            <v>611946.42316720472</v>
          </cell>
          <cell r="AE236">
            <v>621775.7724142184</v>
          </cell>
        </row>
        <row r="237">
          <cell r="G237">
            <v>128508.91989594916</v>
          </cell>
          <cell r="H237">
            <v>159878.80401357694</v>
          </cell>
          <cell r="I237">
            <v>161788.86949021256</v>
          </cell>
          <cell r="J237">
            <v>163854.9474116308</v>
          </cell>
          <cell r="K237">
            <v>167233.44805501943</v>
          </cell>
          <cell r="L237">
            <v>177427.60791020317</v>
          </cell>
          <cell r="M237">
            <v>177026.45534239855</v>
          </cell>
          <cell r="N237">
            <v>187577.00694092782</v>
          </cell>
          <cell r="O237">
            <v>187356.29802512456</v>
          </cell>
          <cell r="P237">
            <v>198657.37256252611</v>
          </cell>
          <cell r="Q237">
            <v>208425.02323177626</v>
          </cell>
          <cell r="R237">
            <v>209296.92184490184</v>
          </cell>
          <cell r="S237">
            <v>213601.82873615521</v>
          </cell>
          <cell r="T237">
            <v>220819.31134577713</v>
          </cell>
          <cell r="U237">
            <v>228795.66291599342</v>
          </cell>
          <cell r="V237">
            <v>235752.62282205813</v>
          </cell>
          <cell r="W237">
            <v>246726.06784295075</v>
          </cell>
          <cell r="X237">
            <v>260050.0590936582</v>
          </cell>
          <cell r="Y237">
            <v>269379.04477264325</v>
          </cell>
          <cell r="Z237">
            <v>274246.47257606586</v>
          </cell>
          <cell r="AA237">
            <v>283323.60322947107</v>
          </cell>
          <cell r="AB237">
            <v>282176.62280447973</v>
          </cell>
          <cell r="AC237">
            <v>278788.25314832455</v>
          </cell>
          <cell r="AD237">
            <v>283474.80692722125</v>
          </cell>
          <cell r="AE237">
            <v>289306.68472038873</v>
          </cell>
        </row>
        <row r="238">
          <cell r="G238">
            <v>182617.93879950672</v>
          </cell>
          <cell r="H238">
            <v>187597.13911690007</v>
          </cell>
          <cell r="I238">
            <v>189838.35439964873</v>
          </cell>
          <cell r="J238">
            <v>192262.63014803207</v>
          </cell>
          <cell r="K238">
            <v>196226.86455117722</v>
          </cell>
          <cell r="L238">
            <v>208188.39526396897</v>
          </cell>
          <cell r="M238">
            <v>207717.6945070184</v>
          </cell>
          <cell r="N238">
            <v>220097.40492705166</v>
          </cell>
          <cell r="O238">
            <v>219838.43150379052</v>
          </cell>
          <cell r="P238">
            <v>233098.78371397682</v>
          </cell>
          <cell r="Q238">
            <v>244559.86095151352</v>
          </cell>
          <cell r="R238">
            <v>245582.9214280509</v>
          </cell>
          <cell r="S238">
            <v>250634.17398117352</v>
          </cell>
          <cell r="T238">
            <v>259102.95818021009</v>
          </cell>
          <cell r="U238">
            <v>268462.17714857374</v>
          </cell>
          <cell r="V238">
            <v>276625.27158364275</v>
          </cell>
          <cell r="W238">
            <v>289501.19284710946</v>
          </cell>
          <cell r="X238">
            <v>305135.17669927207</v>
          </cell>
          <cell r="Y238">
            <v>316081.53719425993</v>
          </cell>
          <cell r="Z238">
            <v>318864.90587520832</v>
          </cell>
          <cell r="AA238">
            <v>321024.71413024032</v>
          </cell>
          <cell r="AB238">
            <v>314825.8482508192</v>
          </cell>
          <cell r="AC238">
            <v>306269.79725356057</v>
          </cell>
          <cell r="AD238">
            <v>307123.92753089877</v>
          </cell>
          <cell r="AE238">
            <v>309360.53101240424</v>
          </cell>
        </row>
        <row r="239">
          <cell r="G239">
            <v>22826.038376498713</v>
          </cell>
          <cell r="H239">
            <v>37085.098831852469</v>
          </cell>
          <cell r="I239">
            <v>37893.103890682374</v>
          </cell>
          <cell r="J239">
            <v>38462.381555532207</v>
          </cell>
          <cell r="K239">
            <v>38969.129623895285</v>
          </cell>
          <cell r="L239">
            <v>41122.671401230393</v>
          </cell>
          <cell r="M239">
            <v>41185.78757641455</v>
          </cell>
          <cell r="N239">
            <v>44212.728429698531</v>
          </cell>
          <cell r="O239">
            <v>44951.843483761288</v>
          </cell>
          <cell r="P239">
            <v>48023.926933948365</v>
          </cell>
          <cell r="Q239">
            <v>50150.466781839837</v>
          </cell>
          <cell r="R239">
            <v>50124.859380140115</v>
          </cell>
          <cell r="S239">
            <v>50689.163852827936</v>
          </cell>
          <cell r="T239">
            <v>51823.573400304151</v>
          </cell>
          <cell r="U239">
            <v>52861.045289321017</v>
          </cell>
          <cell r="V239">
            <v>54320.35492645581</v>
          </cell>
          <cell r="W239">
            <v>56926.871894878575</v>
          </cell>
          <cell r="X239">
            <v>59891.068626553875</v>
          </cell>
          <cell r="Y239">
            <v>62046.543913457623</v>
          </cell>
          <cell r="Z239">
            <v>63939.99342109407</v>
          </cell>
          <cell r="AA239">
            <v>65822.79068051881</v>
          </cell>
          <cell r="AB239">
            <v>65849.37613974858</v>
          </cell>
          <cell r="AC239">
            <v>65246.726750042319</v>
          </cell>
          <cell r="AD239">
            <v>66564.13506297869</v>
          </cell>
          <cell r="AE239">
            <v>68260.473116669134</v>
          </cell>
        </row>
        <row r="240">
          <cell r="G240">
            <v>73043.322804795869</v>
          </cell>
          <cell r="H240">
            <v>68495.559377511716</v>
          </cell>
          <cell r="I240">
            <v>69987.931252677838</v>
          </cell>
          <cell r="J240">
            <v>71039.377610467272</v>
          </cell>
          <cell r="K240">
            <v>71975.332845840443</v>
          </cell>
          <cell r="L240">
            <v>75952.888611573333</v>
          </cell>
          <cell r="M240">
            <v>76069.463135066151</v>
          </cell>
          <cell r="N240">
            <v>81660.172435542656</v>
          </cell>
          <cell r="O240">
            <v>83025.305620219151</v>
          </cell>
          <cell r="P240">
            <v>88699.392544701768</v>
          </cell>
          <cell r="Q240">
            <v>92627.076196842638</v>
          </cell>
          <cell r="R240">
            <v>92579.779752748451</v>
          </cell>
          <cell r="S240">
            <v>93622.040707511944</v>
          </cell>
          <cell r="T240">
            <v>95717.276232429431</v>
          </cell>
          <cell r="U240">
            <v>97633.469518009108</v>
          </cell>
          <cell r="V240">
            <v>100328.79009282413</v>
          </cell>
          <cell r="W240">
            <v>105142.983485933</v>
          </cell>
          <cell r="X240">
            <v>110617.80543966891</v>
          </cell>
          <cell r="Y240">
            <v>114598.93236534574</v>
          </cell>
          <cell r="Z240">
            <v>115858.64768204739</v>
          </cell>
          <cell r="AA240">
            <v>116478.30055393775</v>
          </cell>
          <cell r="AB240">
            <v>114286.39036749169</v>
          </cell>
          <cell r="AC240">
            <v>111201.59592874881</v>
          </cell>
          <cell r="AD240">
            <v>111549.77156105102</v>
          </cell>
          <cell r="AE240">
            <v>112441.44112659105</v>
          </cell>
        </row>
        <row r="241">
          <cell r="G241">
            <v>18260.830701198967</v>
          </cell>
          <cell r="H241">
            <v>17123.889844377929</v>
          </cell>
          <cell r="I241">
            <v>17496.982813169459</v>
          </cell>
          <cell r="J241">
            <v>17759.844402616818</v>
          </cell>
          <cell r="K241">
            <v>17993.833211460111</v>
          </cell>
          <cell r="L241">
            <v>18988.222152893333</v>
          </cell>
          <cell r="M241">
            <v>19017.365783766538</v>
          </cell>
          <cell r="N241">
            <v>20415.043108885664</v>
          </cell>
          <cell r="O241">
            <v>20756.326405054788</v>
          </cell>
          <cell r="P241">
            <v>22174.848136175442</v>
          </cell>
          <cell r="Q241">
            <v>23156.769049210659</v>
          </cell>
          <cell r="R241">
            <v>23144.944938187113</v>
          </cell>
          <cell r="S241">
            <v>23405.510176877986</v>
          </cell>
          <cell r="T241">
            <v>23929.319058107358</v>
          </cell>
          <cell r="U241">
            <v>24408.367379502277</v>
          </cell>
          <cell r="V241">
            <v>25082.197523206032</v>
          </cell>
          <cell r="W241">
            <v>26285.74587148325</v>
          </cell>
          <cell r="X241">
            <v>27654.451359917228</v>
          </cell>
          <cell r="Y241">
            <v>28649.733091336435</v>
          </cell>
          <cell r="Z241">
            <v>30793.004144602553</v>
          </cell>
          <cell r="AA241">
            <v>33283.211347743643</v>
          </cell>
          <cell r="AB241">
            <v>34566.484046841208</v>
          </cell>
          <cell r="AC241">
            <v>35406.47476373057</v>
          </cell>
          <cell r="AD241">
            <v>37197.32778087561</v>
          </cell>
          <cell r="AE241">
            <v>39251.843081514526</v>
          </cell>
        </row>
        <row r="242">
          <cell r="G242">
            <v>38043.397294164519</v>
          </cell>
          <cell r="H242">
            <v>33061.397754723999</v>
          </cell>
          <cell r="I242">
            <v>33781.73496506628</v>
          </cell>
          <cell r="J242">
            <v>34289.246496741514</v>
          </cell>
          <cell r="K242">
            <v>34741.012838946874</v>
          </cell>
          <cell r="L242">
            <v>36660.897200175481</v>
          </cell>
          <cell r="M242">
            <v>36717.165325062553</v>
          </cell>
          <cell r="N242">
            <v>39415.685719579902</v>
          </cell>
          <cell r="O242">
            <v>40074.60743095701</v>
          </cell>
          <cell r="P242">
            <v>42813.372489743997</v>
          </cell>
          <cell r="Q242">
            <v>44709.184607467789</v>
          </cell>
          <cell r="R242">
            <v>44686.35558665546</v>
          </cell>
          <cell r="S242">
            <v>45189.43351320739</v>
          </cell>
          <cell r="T242">
            <v>46200.760608112003</v>
          </cell>
          <cell r="U242">
            <v>47125.667696472541</v>
          </cell>
          <cell r="V242">
            <v>48426.643502937863</v>
          </cell>
          <cell r="W242">
            <v>50750.35563966936</v>
          </cell>
          <cell r="X242">
            <v>53392.939595384662</v>
          </cell>
          <cell r="Y242">
            <v>55314.547682069737</v>
          </cell>
          <cell r="Z242">
            <v>56206.338067598081</v>
          </cell>
          <cell r="AA242">
            <v>56867.860447024854</v>
          </cell>
          <cell r="AB242">
            <v>56094.0735060183</v>
          </cell>
          <cell r="AC242">
            <v>54855.157088644417</v>
          </cell>
          <cell r="AD242">
            <v>55287.638953758076</v>
          </cell>
          <cell r="AE242">
            <v>56002.286494712542</v>
          </cell>
        </row>
        <row r="243">
          <cell r="G243">
            <v>4628.0563230687512</v>
          </cell>
          <cell r="H243">
            <v>4701.4044369701423</v>
          </cell>
          <cell r="I243">
            <v>4765.7538702829233</v>
          </cell>
          <cell r="J243">
            <v>4856.2183556535629</v>
          </cell>
          <cell r="K243">
            <v>4946.6084717631393</v>
          </cell>
          <cell r="L243">
            <v>5278.2857012813538</v>
          </cell>
          <cell r="M243">
            <v>5357.0931278130192</v>
          </cell>
          <cell r="N243">
            <v>5747.3914872416699</v>
          </cell>
          <cell r="O243">
            <v>5732.4673645938337</v>
          </cell>
          <cell r="P243">
            <v>6142.1880301032079</v>
          </cell>
          <cell r="Q243">
            <v>6440.7376439136387</v>
          </cell>
          <cell r="R243">
            <v>6446.5319933809833</v>
          </cell>
          <cell r="S243">
            <v>6508.8716791976822</v>
          </cell>
          <cell r="T243">
            <v>6604.0308077340533</v>
          </cell>
          <cell r="U243">
            <v>6726.1553145885591</v>
          </cell>
          <cell r="V243">
            <v>6888.1269957209943</v>
          </cell>
          <cell r="W243">
            <v>7236.5674433278036</v>
          </cell>
          <cell r="X243">
            <v>7730.2118587169389</v>
          </cell>
          <cell r="Y243">
            <v>8038.0237502793789</v>
          </cell>
          <cell r="Z243">
            <v>8252.3093205514033</v>
          </cell>
          <cell r="AA243">
            <v>8409.382277396091</v>
          </cell>
          <cell r="AB243">
            <v>8362.9356517854412</v>
          </cell>
          <cell r="AC243">
            <v>8292.2030909308778</v>
          </cell>
          <cell r="AD243">
            <v>8458.0331189855751</v>
          </cell>
          <cell r="AE243">
            <v>8650.3301626552002</v>
          </cell>
        </row>
        <row r="244">
          <cell r="G244">
            <v>15523.354711945038</v>
          </cell>
          <cell r="H244">
            <v>15769.377817555918</v>
          </cell>
          <cell r="I244">
            <v>15985.217688356061</v>
          </cell>
          <cell r="J244">
            <v>16288.652261578984</v>
          </cell>
          <cell r="K244">
            <v>16591.837386580326</v>
          </cell>
          <cell r="L244">
            <v>17704.344003671897</v>
          </cell>
          <cell r="M244">
            <v>17968.678651002941</v>
          </cell>
          <cell r="N244">
            <v>19277.81135250035</v>
          </cell>
          <cell r="O244">
            <v>19227.753091871116</v>
          </cell>
          <cell r="P244">
            <v>20602.031791076501</v>
          </cell>
          <cell r="Q244">
            <v>21603.422273554581</v>
          </cell>
          <cell r="R244">
            <v>21622.857590635365</v>
          </cell>
          <cell r="S244">
            <v>21831.956397566515</v>
          </cell>
          <cell r="T244">
            <v>22151.137670055909</v>
          </cell>
          <cell r="U244">
            <v>22560.765796117001</v>
          </cell>
          <cell r="V244">
            <v>23104.048695889851</v>
          </cell>
          <cell r="W244">
            <v>24222.842301479006</v>
          </cell>
          <cell r="X244">
            <v>25741.472768522566</v>
          </cell>
          <cell r="Y244">
            <v>26592.666617849558</v>
          </cell>
          <cell r="Z244">
            <v>27217.575877861957</v>
          </cell>
          <cell r="AA244">
            <v>27703.370878767415</v>
          </cell>
          <cell r="AB244">
            <v>27506.937031022229</v>
          </cell>
          <cell r="AC244">
            <v>27126.465394959287</v>
          </cell>
          <cell r="AD244">
            <v>27532.444745598816</v>
          </cell>
          <cell r="AE244">
            <v>28038.123006593294</v>
          </cell>
        </row>
        <row r="245">
          <cell r="G245">
            <v>42989.038650593269</v>
          </cell>
          <cell r="H245">
            <v>46177.524094383676</v>
          </cell>
          <cell r="I245">
            <v>48049.097799709365</v>
          </cell>
          <cell r="J245">
            <v>50221.351556134323</v>
          </cell>
          <cell r="K245">
            <v>53009.132948004757</v>
          </cell>
          <cell r="L245">
            <v>57640.128982233764</v>
          </cell>
          <cell r="M245">
            <v>59025.056673692248</v>
          </cell>
          <cell r="N245">
            <v>64140.796106645364</v>
          </cell>
          <cell r="O245">
            <v>65738.378600449563</v>
          </cell>
          <cell r="P245">
            <v>72214.596280012745</v>
          </cell>
          <cell r="Q245">
            <v>79060.97595669709</v>
          </cell>
          <cell r="R245">
            <v>81293.356899375809</v>
          </cell>
          <cell r="S245">
            <v>84841.963710676544</v>
          </cell>
          <cell r="T245">
            <v>88452.881885079623</v>
          </cell>
          <cell r="U245">
            <v>92105.077335115246</v>
          </cell>
          <cell r="V245">
            <v>97065.846332970599</v>
          </cell>
          <cell r="W245">
            <v>102052.43951083547</v>
          </cell>
          <cell r="X245">
            <v>109775.5245398815</v>
          </cell>
          <cell r="Y245">
            <v>114575.40812346498</v>
          </cell>
          <cell r="Z245">
            <v>118916.91832645051</v>
          </cell>
          <cell r="AA245">
            <v>122334.77011979968</v>
          </cell>
          <cell r="AB245">
            <v>122593.4152380662</v>
          </cell>
          <cell r="AC245">
            <v>121709.85508655623</v>
          </cell>
          <cell r="AD245">
            <v>124569.45637297981</v>
          </cell>
          <cell r="AE245">
            <v>128234.69570832193</v>
          </cell>
        </row>
        <row r="246">
          <cell r="G246">
            <v>33299.04878638684</v>
          </cell>
          <cell r="H246">
            <v>30330.448544332252</v>
          </cell>
          <cell r="I246">
            <v>30989.602297357953</v>
          </cell>
          <cell r="J246">
            <v>31454.007198291205</v>
          </cell>
          <cell r="K246">
            <v>31867.401752508187</v>
          </cell>
          <cell r="L246">
            <v>33627.757716878958</v>
          </cell>
          <cell r="M246">
            <v>33678.283068356512</v>
          </cell>
          <cell r="N246">
            <v>36151.728628515026</v>
          </cell>
          <cell r="O246">
            <v>36753.502636978956</v>
          </cell>
          <cell r="P246">
            <v>39263.465870843895</v>
          </cell>
          <cell r="Q246">
            <v>41001.093157340103</v>
          </cell>
          <cell r="R246">
            <v>40978.97325122216</v>
          </cell>
          <cell r="S246">
            <v>41438.624077021566</v>
          </cell>
          <cell r="T246">
            <v>42363.69971619008</v>
          </cell>
          <cell r="U246">
            <v>43210.133146248801</v>
          </cell>
          <cell r="V246">
            <v>44401.32382270151</v>
          </cell>
          <cell r="W246">
            <v>46342.560297745775</v>
          </cell>
          <cell r="X246">
            <v>48642.611386782039</v>
          </cell>
          <cell r="Y246">
            <v>50263.175879098308</v>
          </cell>
          <cell r="Z246">
            <v>50977.817961385736</v>
          </cell>
          <cell r="AA246">
            <v>51339.024248911577</v>
          </cell>
          <cell r="AB246">
            <v>50538.39378639061</v>
          </cell>
          <cell r="AC246">
            <v>49436.659552163255</v>
          </cell>
          <cell r="AD246">
            <v>49738.779482392318</v>
          </cell>
          <cell r="AE246">
            <v>50267.876249741275</v>
          </cell>
        </row>
        <row r="247">
          <cell r="G247">
            <v>10691.658369472056</v>
          </cell>
          <cell r="H247">
            <v>15762.991449869804</v>
          </cell>
          <cell r="I247">
            <v>16105.559247965732</v>
          </cell>
          <cell r="J247">
            <v>16346.914415265306</v>
          </cell>
          <cell r="K247">
            <v>16561.759072574627</v>
          </cell>
          <cell r="L247">
            <v>17476.631003154402</v>
          </cell>
          <cell r="M247">
            <v>17502.889457004119</v>
          </cell>
          <cell r="N247">
            <v>18788.360100786689</v>
          </cell>
          <cell r="O247">
            <v>19101.107158790332</v>
          </cell>
          <cell r="P247">
            <v>20405.55634743558</v>
          </cell>
          <cell r="Q247">
            <v>21308.615991280461</v>
          </cell>
          <cell r="R247">
            <v>21297.120088392661</v>
          </cell>
          <cell r="S247">
            <v>21536.004522508803</v>
          </cell>
          <cell r="T247">
            <v>22016.774181070974</v>
          </cell>
          <cell r="U247">
            <v>22456.672816311991</v>
          </cell>
          <cell r="V247">
            <v>23075.744717627389</v>
          </cell>
          <cell r="W247">
            <v>24084.621784300914</v>
          </cell>
          <cell r="X247">
            <v>25279.97785026049</v>
          </cell>
          <cell r="Y247">
            <v>26122.198966740394</v>
          </cell>
          <cell r="Z247">
            <v>26801.516390175642</v>
          </cell>
          <cell r="AA247">
            <v>27292.56324226594</v>
          </cell>
          <cell r="AB247">
            <v>27183.612671531475</v>
          </cell>
          <cell r="AC247">
            <v>26965.245592442159</v>
          </cell>
          <cell r="AD247">
            <v>27407.916763462723</v>
          </cell>
          <cell r="AE247">
            <v>27972.689694185861</v>
          </cell>
        </row>
        <row r="248">
          <cell r="G248">
            <v>112714.25036667172</v>
          </cell>
          <cell r="H248">
            <v>114141.16481280299</v>
          </cell>
          <cell r="I248">
            <v>115190.36661142894</v>
          </cell>
          <cell r="J248">
            <v>116520.75449208662</v>
          </cell>
          <cell r="K248">
            <v>117639.50338136432</v>
          </cell>
          <cell r="L248">
            <v>125133.03018357205</v>
          </cell>
          <cell r="M248">
            <v>125028.1219180683</v>
          </cell>
          <cell r="N248">
            <v>132782.30628235237</v>
          </cell>
          <cell r="O248">
            <v>132776.26779086614</v>
          </cell>
          <cell r="P248">
            <v>140250.1217333712</v>
          </cell>
          <cell r="Q248">
            <v>146590.53423395441</v>
          </cell>
          <cell r="R248">
            <v>146845.81875868811</v>
          </cell>
          <cell r="S248">
            <v>147443.91759888123</v>
          </cell>
          <cell r="T248">
            <v>149119.28301449967</v>
          </cell>
          <cell r="U248">
            <v>151298.35382192422</v>
          </cell>
          <cell r="V248">
            <v>153935.93009441264</v>
          </cell>
          <cell r="W248">
            <v>164146.30188532348</v>
          </cell>
          <cell r="X248">
            <v>174886.41228830878</v>
          </cell>
          <cell r="Y248">
            <v>184122.16950487869</v>
          </cell>
          <cell r="Z248">
            <v>222578.6043170327</v>
          </cell>
          <cell r="AA248">
            <v>270108.4559566789</v>
          </cell>
          <cell r="AB248">
            <v>303077.22933959612</v>
          </cell>
          <cell r="AC248">
            <v>330226.38848079956</v>
          </cell>
          <cell r="AD248">
            <v>364736.77247703593</v>
          </cell>
          <cell r="AE248">
            <v>402666.75528648176</v>
          </cell>
        </row>
        <row r="249">
          <cell r="G249">
            <v>14752.415649731582</v>
          </cell>
          <cell r="H249">
            <v>14949.486256197217</v>
          </cell>
          <cell r="I249">
            <v>15653.173296422536</v>
          </cell>
          <cell r="J249">
            <v>16126.238339946436</v>
          </cell>
          <cell r="K249">
            <v>16429.953298851924</v>
          </cell>
          <cell r="L249">
            <v>17486.291276105734</v>
          </cell>
          <cell r="M249">
            <v>17416.657106211544</v>
          </cell>
          <cell r="N249">
            <v>18528.371104601782</v>
          </cell>
          <cell r="O249">
            <v>18478.233325586072</v>
          </cell>
          <cell r="P249">
            <v>19711.765341966311</v>
          </cell>
          <cell r="Q249">
            <v>20744.547614122177</v>
          </cell>
          <cell r="R249">
            <v>21201.557636324564</v>
          </cell>
          <cell r="S249">
            <v>21869.370611957627</v>
          </cell>
          <cell r="T249">
            <v>22409.704663340748</v>
          </cell>
          <cell r="U249">
            <v>23146.437011872487</v>
          </cell>
          <cell r="V249">
            <v>23754.6214532173</v>
          </cell>
          <cell r="W249">
            <v>24638.42210750085</v>
          </cell>
          <cell r="X249">
            <v>25998.629422016213</v>
          </cell>
          <cell r="Y249">
            <v>27022.019736324251</v>
          </cell>
          <cell r="Z249">
            <v>27815.476693020497</v>
          </cell>
          <cell r="AA249">
            <v>28513.040758287032</v>
          </cell>
          <cell r="AB249">
            <v>28522.892788035613</v>
          </cell>
          <cell r="AC249">
            <v>28160.258081621505</v>
          </cell>
          <cell r="AD249">
            <v>28635.095426973003</v>
          </cell>
          <cell r="AE249">
            <v>29323.666041989127</v>
          </cell>
        </row>
        <row r="250">
          <cell r="G250">
            <v>34875.560548544068</v>
          </cell>
          <cell r="H250">
            <v>35490.215717743871</v>
          </cell>
          <cell r="I250">
            <v>36041.055471905849</v>
          </cell>
          <cell r="J250">
            <v>36987.832605266187</v>
          </cell>
          <cell r="K250">
            <v>37609.896544160554</v>
          </cell>
          <cell r="L250">
            <v>39880.544867932578</v>
          </cell>
          <cell r="M250">
            <v>40403.524766928334</v>
          </cell>
          <cell r="N250">
            <v>43318.517315310317</v>
          </cell>
          <cell r="O250">
            <v>43477.324084102991</v>
          </cell>
          <cell r="P250">
            <v>46102.792950617768</v>
          </cell>
          <cell r="Q250">
            <v>48157.744443856565</v>
          </cell>
          <cell r="R250">
            <v>48381.995246132137</v>
          </cell>
          <cell r="S250">
            <v>49049.199908716473</v>
          </cell>
          <cell r="T250">
            <v>50428.752236485008</v>
          </cell>
          <cell r="U250">
            <v>51749.10969971741</v>
          </cell>
          <cell r="V250">
            <v>53283.685692529973</v>
          </cell>
          <cell r="W250">
            <v>55740.603359634508</v>
          </cell>
          <cell r="X250">
            <v>58846.279199835903</v>
          </cell>
          <cell r="Y250">
            <v>60989.003348343955</v>
          </cell>
          <cell r="Z250">
            <v>66855.58838065021</v>
          </cell>
          <cell r="AA250">
            <v>70982.670891079164</v>
          </cell>
          <cell r="AB250">
            <v>72875.175932513535</v>
          </cell>
          <cell r="AC250">
            <v>74055.453637505809</v>
          </cell>
          <cell r="AD250">
            <v>77727.363212703494</v>
          </cell>
          <cell r="AE250">
            <v>81944.81933887284</v>
          </cell>
        </row>
        <row r="251">
          <cell r="G251">
            <v>95092.731567875642</v>
          </cell>
          <cell r="H251">
            <v>96766.415545228316</v>
          </cell>
          <cell r="I251">
            <v>98266.332436564364</v>
          </cell>
          <cell r="J251">
            <v>100844.37260873445</v>
          </cell>
          <cell r="K251">
            <v>102538.23040020447</v>
          </cell>
          <cell r="L251">
            <v>108726.98855621848</v>
          </cell>
          <cell r="M251">
            <v>110149.4485241012</v>
          </cell>
          <cell r="N251">
            <v>118093.70785323142</v>
          </cell>
          <cell r="O251">
            <v>118524.17778565657</v>
          </cell>
          <cell r="P251">
            <v>125679.56328821628</v>
          </cell>
          <cell r="Q251">
            <v>131279.82577985615</v>
          </cell>
          <cell r="R251">
            <v>131888.41597728548</v>
          </cell>
          <cell r="S251">
            <v>133704.03605860649</v>
          </cell>
          <cell r="T251">
            <v>137459.9244662337</v>
          </cell>
          <cell r="U251">
            <v>141055.35189563283</v>
          </cell>
          <cell r="V251">
            <v>145235.13322236884</v>
          </cell>
          <cell r="W251">
            <v>153068.71128711573</v>
          </cell>
          <cell r="X251">
            <v>162786.7828709142</v>
          </cell>
          <cell r="Y251">
            <v>169902.61285857085</v>
          </cell>
          <cell r="Z251">
            <v>177924.99831106921</v>
          </cell>
          <cell r="AA251">
            <v>183099.6511936677</v>
          </cell>
          <cell r="AB251">
            <v>183290.58023238834</v>
          </cell>
          <cell r="AC251">
            <v>181910.0452579376</v>
          </cell>
          <cell r="AD251">
            <v>186440.59700101402</v>
          </cell>
          <cell r="AE251">
            <v>192071.4052546951</v>
          </cell>
        </row>
        <row r="252">
          <cell r="G252">
            <v>20269.095261833754</v>
          </cell>
          <cell r="H252">
            <v>20530.532236312658</v>
          </cell>
          <cell r="I252">
            <v>20719.297673345118</v>
          </cell>
          <cell r="J252">
            <v>20905.426610008475</v>
          </cell>
          <cell r="K252">
            <v>21238.400627835614</v>
          </cell>
          <cell r="L252">
            <v>22707.133589089823</v>
          </cell>
          <cell r="M252">
            <v>22914.0953188536</v>
          </cell>
          <cell r="N252">
            <v>24446.984147439664</v>
          </cell>
          <cell r="O252">
            <v>24508.760457259279</v>
          </cell>
          <cell r="P252">
            <v>26182.572155659302</v>
          </cell>
          <cell r="Q252">
            <v>27665.032170520342</v>
          </cell>
          <cell r="R252">
            <v>27944.373484518161</v>
          </cell>
          <cell r="S252">
            <v>28737.453154020208</v>
          </cell>
          <cell r="T252">
            <v>29887.275798005736</v>
          </cell>
          <cell r="U252">
            <v>31124.852838925988</v>
          </cell>
          <cell r="V252">
            <v>32286.30287308092</v>
          </cell>
          <cell r="W252">
            <v>34084.157085432591</v>
          </cell>
          <cell r="X252">
            <v>36026.430975225201</v>
          </cell>
          <cell r="Y252">
            <v>37766.179529638641</v>
          </cell>
          <cell r="Z252">
            <v>38453.867170200647</v>
          </cell>
          <cell r="AA252">
            <v>38998.349356101215</v>
          </cell>
          <cell r="AB252">
            <v>38753.276478936947</v>
          </cell>
          <cell r="AC252">
            <v>38078.707519783769</v>
          </cell>
          <cell r="AD252">
            <v>38623.220290712226</v>
          </cell>
          <cell r="AE252">
            <v>39376.63752481604</v>
          </cell>
        </row>
        <row r="253">
          <cell r="G253">
            <v>111590.53378044043</v>
          </cell>
          <cell r="H253">
            <v>113029.8625297102</v>
          </cell>
          <cell r="I253">
            <v>114069.10160800362</v>
          </cell>
          <cell r="J253">
            <v>115093.82555971152</v>
          </cell>
          <cell r="K253">
            <v>116926.99807700257</v>
          </cell>
          <cell r="L253">
            <v>125013.03709404237</v>
          </cell>
          <cell r="M253">
            <v>126152.45499099954</v>
          </cell>
          <cell r="N253">
            <v>134591.7010648037</v>
          </cell>
          <cell r="O253">
            <v>134931.80758158234</v>
          </cell>
          <cell r="P253">
            <v>144146.89776985085</v>
          </cell>
          <cell r="Q253">
            <v>152308.51042347541</v>
          </cell>
          <cell r="R253">
            <v>153846.41065697235</v>
          </cell>
          <cell r="S253">
            <v>158212.67281652676</v>
          </cell>
          <cell r="T253">
            <v>164542.96634653877</v>
          </cell>
          <cell r="U253">
            <v>171356.38750849618</v>
          </cell>
          <cell r="V253">
            <v>177750.69507853885</v>
          </cell>
          <cell r="W253">
            <v>186860.74176010364</v>
          </cell>
          <cell r="X253">
            <v>198849.0352817431</v>
          </cell>
          <cell r="Y253">
            <v>207459.88509259641</v>
          </cell>
          <cell r="Z253">
            <v>210238.94541030767</v>
          </cell>
          <cell r="AA253">
            <v>212559.78193989891</v>
          </cell>
          <cell r="AB253">
            <v>209370.44418938732</v>
          </cell>
          <cell r="AC253">
            <v>204710.6763606098</v>
          </cell>
          <cell r="AD253">
            <v>206356.08182021734</v>
          </cell>
          <cell r="AE253">
            <v>208941.43593905578</v>
          </cell>
        </row>
        <row r="256">
          <cell r="G256">
            <v>41700.08658172701</v>
          </cell>
          <cell r="H256">
            <v>42703.510343600574</v>
          </cell>
          <cell r="I256">
            <v>44257.002746285623</v>
          </cell>
          <cell r="J256">
            <v>46606.120598262525</v>
          </cell>
          <cell r="K256">
            <v>48934.561178675896</v>
          </cell>
          <cell r="L256">
            <v>49695.768483822583</v>
          </cell>
          <cell r="M256">
            <v>49546.517070036483</v>
          </cell>
          <cell r="N256">
            <v>52273.811962574538</v>
          </cell>
          <cell r="O256">
            <v>52585.807956194207</v>
          </cell>
          <cell r="P256">
            <v>56289.490101634299</v>
          </cell>
          <cell r="Q256">
            <v>59687.816054859606</v>
          </cell>
          <cell r="R256">
            <v>62488.410252297035</v>
          </cell>
          <cell r="S256">
            <v>66288.542174939212</v>
          </cell>
          <cell r="T256">
            <v>70860.892025420588</v>
          </cell>
          <cell r="U256">
            <v>78425.921481403377</v>
          </cell>
          <cell r="V256">
            <v>82710.375879353072</v>
          </cell>
          <cell r="W256">
            <v>87029.28237334211</v>
          </cell>
          <cell r="X256">
            <v>91919.753724823735</v>
          </cell>
          <cell r="Y256">
            <v>97412.530517584542</v>
          </cell>
          <cell r="Z256">
            <v>101803.61807623306</v>
          </cell>
          <cell r="AA256">
            <v>106254.40114189948</v>
          </cell>
          <cell r="AB256">
            <v>108563.77406324894</v>
          </cell>
          <cell r="AC256">
            <v>110216.79388037193</v>
          </cell>
          <cell r="AD256">
            <v>113386.61374144799</v>
          </cell>
          <cell r="AE256">
            <v>117712.63216067546</v>
          </cell>
        </row>
        <row r="257">
          <cell r="G257">
            <v>14672.252686163205</v>
          </cell>
          <cell r="H257">
            <v>19239.68134321988</v>
          </cell>
          <cell r="I257">
            <v>19939.593330695461</v>
          </cell>
          <cell r="J257">
            <v>20997.967186756636</v>
          </cell>
          <cell r="K257">
            <v>22047.02508465117</v>
          </cell>
          <cell r="L257">
            <v>22389.980168889302</v>
          </cell>
          <cell r="M257">
            <v>22322.736290852939</v>
          </cell>
          <cell r="N257">
            <v>23551.49440088233</v>
          </cell>
          <cell r="O257">
            <v>23692.06138119155</v>
          </cell>
          <cell r="P257">
            <v>25360.721959712802</v>
          </cell>
          <cell r="Q257">
            <v>26891.807060548002</v>
          </cell>
          <cell r="R257">
            <v>28153.589511143226</v>
          </cell>
          <cell r="S257">
            <v>29865.70466667843</v>
          </cell>
          <cell r="T257">
            <v>31925.735643175518</v>
          </cell>
          <cell r="U257">
            <v>35334.09141800685</v>
          </cell>
          <cell r="V257">
            <v>37264.413695563177</v>
          </cell>
          <cell r="W257">
            <v>39210.258054186605</v>
          </cell>
          <cell r="X257">
            <v>41413.615803083063</v>
          </cell>
          <cell r="Y257">
            <v>43888.336834956921</v>
          </cell>
          <cell r="Z257">
            <v>49736.807319184532</v>
          </cell>
          <cell r="AA257">
            <v>56142.539444000598</v>
          </cell>
          <cell r="AB257">
            <v>60827.935304007333</v>
          </cell>
          <cell r="AC257">
            <v>65095.991258090726</v>
          </cell>
          <cell r="AD257">
            <v>69834.495854563807</v>
          </cell>
          <cell r="AE257">
            <v>75291.428799324145</v>
          </cell>
        </row>
        <row r="258">
          <cell r="G258">
            <v>20850.043290863505</v>
          </cell>
          <cell r="H258">
            <v>22575.282569679115</v>
          </cell>
          <cell r="I258">
            <v>23396.538941304792</v>
          </cell>
          <cell r="J258">
            <v>24638.404044926261</v>
          </cell>
          <cell r="K258">
            <v>25869.338074156876</v>
          </cell>
          <cell r="L258">
            <v>26271.751596359642</v>
          </cell>
          <cell r="M258">
            <v>26192.849585423435</v>
          </cell>
          <cell r="N258">
            <v>27634.638617624529</v>
          </cell>
          <cell r="O258">
            <v>27799.575824423198</v>
          </cell>
          <cell r="P258">
            <v>29757.533620136724</v>
          </cell>
          <cell r="Q258">
            <v>31554.064351232275</v>
          </cell>
          <cell r="R258">
            <v>33034.603184256543</v>
          </cell>
          <cell r="S258">
            <v>35043.549316914716</v>
          </cell>
          <cell r="T258">
            <v>37460.729755981731</v>
          </cell>
          <cell r="U258">
            <v>41459.995302130206</v>
          </cell>
          <cell r="V258">
            <v>43724.979325981389</v>
          </cell>
          <cell r="W258">
            <v>46008.176508351571</v>
          </cell>
          <cell r="X258">
            <v>48593.532413997003</v>
          </cell>
          <cell r="Y258">
            <v>51497.298104241556</v>
          </cell>
          <cell r="Z258">
            <v>52757.518908787002</v>
          </cell>
          <cell r="AA258">
            <v>53903.877954527678</v>
          </cell>
          <cell r="AB258">
            <v>54125.33752447724</v>
          </cell>
          <cell r="AC258">
            <v>54033.163247066717</v>
          </cell>
          <cell r="AD258">
            <v>54801.231162971046</v>
          </cell>
          <cell r="AE258">
            <v>56126.369631058922</v>
          </cell>
        </row>
        <row r="259">
          <cell r="G259">
            <v>3084.9199261436966</v>
          </cell>
          <cell r="H259">
            <v>5192.3238248352354</v>
          </cell>
          <cell r="I259">
            <v>5441.9087153135188</v>
          </cell>
          <cell r="J259">
            <v>5708.9913981860245</v>
          </cell>
          <cell r="K259">
            <v>5939.2683798155113</v>
          </cell>
          <cell r="L259">
            <v>5907.767503560216</v>
          </cell>
          <cell r="M259">
            <v>5893.8371432833674</v>
          </cell>
          <cell r="N259">
            <v>6195.5678689534261</v>
          </cell>
          <cell r="O259">
            <v>6123.6377703355965</v>
          </cell>
          <cell r="P259">
            <v>6556.9250028957049</v>
          </cell>
          <cell r="Q259">
            <v>6960.5527448298462</v>
          </cell>
          <cell r="R259">
            <v>7163.8361106454095</v>
          </cell>
          <cell r="S259">
            <v>7643.6281214589717</v>
          </cell>
          <cell r="T259">
            <v>8227.1598087030998</v>
          </cell>
          <cell r="U259">
            <v>8657.9336583136501</v>
          </cell>
          <cell r="V259">
            <v>9040.8792984394131</v>
          </cell>
          <cell r="W259">
            <v>9412.5989064156402</v>
          </cell>
          <cell r="X259">
            <v>9908.961078993003</v>
          </cell>
          <cell r="Y259">
            <v>10279.707681731243</v>
          </cell>
          <cell r="Z259">
            <v>10839.759702525946</v>
          </cell>
          <cell r="AA259">
            <v>11663.103603960732</v>
          </cell>
          <cell r="AB259">
            <v>12117.020713681366</v>
          </cell>
          <cell r="AC259">
            <v>12408.832497687614</v>
          </cell>
          <cell r="AD259">
            <v>12917.727582640358</v>
          </cell>
          <cell r="AE259">
            <v>13578.615297081387</v>
          </cell>
        </row>
        <row r="260">
          <cell r="G260">
            <v>9871.7437636598297</v>
          </cell>
          <cell r="H260">
            <v>9590.1355545478818</v>
          </cell>
          <cell r="I260">
            <v>10051.114686975101</v>
          </cell>
          <cell r="J260">
            <v>10544.41195028686</v>
          </cell>
          <cell r="K260">
            <v>10969.729696910446</v>
          </cell>
          <cell r="L260">
            <v>10911.548103549427</v>
          </cell>
          <cell r="M260">
            <v>10885.818960320785</v>
          </cell>
          <cell r="N260">
            <v>11443.110581137555</v>
          </cell>
          <cell r="O260">
            <v>11310.256887980453</v>
          </cell>
          <cell r="P260">
            <v>12110.53118413112</v>
          </cell>
          <cell r="Q260">
            <v>12856.024895484399</v>
          </cell>
          <cell r="R260">
            <v>13231.48588365146</v>
          </cell>
          <cell r="S260">
            <v>14117.653730056369</v>
          </cell>
          <cell r="T260">
            <v>15195.427029610313</v>
          </cell>
          <cell r="U260">
            <v>15991.059149348286</v>
          </cell>
          <cell r="V260">
            <v>16698.353363407765</v>
          </cell>
          <cell r="W260">
            <v>17384.91328321179</v>
          </cell>
          <cell r="X260">
            <v>18301.685942189361</v>
          </cell>
          <cell r="Y260">
            <v>18986.448737537681</v>
          </cell>
          <cell r="Z260">
            <v>19186.457357777792</v>
          </cell>
          <cell r="AA260">
            <v>19421.389500806956</v>
          </cell>
          <cell r="AB260">
            <v>19309.143644282176</v>
          </cell>
          <cell r="AC260">
            <v>19047.886232108558</v>
          </cell>
          <cell r="AD260">
            <v>19147.291907871771</v>
          </cell>
          <cell r="AE260">
            <v>19450.207372063909</v>
          </cell>
        </row>
        <row r="261">
          <cell r="G261">
            <v>2467.9359409149574</v>
          </cell>
          <cell r="H261">
            <v>2397.5338886369705</v>
          </cell>
          <cell r="I261">
            <v>2512.7786717437752</v>
          </cell>
          <cell r="J261">
            <v>2636.1029875717149</v>
          </cell>
          <cell r="K261">
            <v>2742.4324242276116</v>
          </cell>
          <cell r="L261">
            <v>2727.8870258873567</v>
          </cell>
          <cell r="M261">
            <v>2721.4547400801962</v>
          </cell>
          <cell r="N261">
            <v>2860.7776452843887</v>
          </cell>
          <cell r="O261">
            <v>2827.5642219951133</v>
          </cell>
          <cell r="P261">
            <v>3027.6327960327799</v>
          </cell>
          <cell r="Q261">
            <v>3214.0062238710998</v>
          </cell>
          <cell r="R261">
            <v>3307.8714709128649</v>
          </cell>
          <cell r="S261">
            <v>3529.4134325140922</v>
          </cell>
          <cell r="T261">
            <v>3798.8567574025783</v>
          </cell>
          <cell r="U261">
            <v>3997.7647873370715</v>
          </cell>
          <cell r="V261">
            <v>4174.5883408519412</v>
          </cell>
          <cell r="W261">
            <v>4346.2283208029476</v>
          </cell>
          <cell r="X261">
            <v>4575.4214855473401</v>
          </cell>
          <cell r="Y261">
            <v>4746.6121843844203</v>
          </cell>
          <cell r="Z261">
            <v>5696.4113678519134</v>
          </cell>
          <cell r="AA261">
            <v>7141.6915145381108</v>
          </cell>
          <cell r="AB261">
            <v>8138.7616941484803</v>
          </cell>
          <cell r="AC261">
            <v>8936.3970229625047</v>
          </cell>
          <cell r="AD261">
            <v>9867.6418435425585</v>
          </cell>
          <cell r="AE261">
            <v>10933.03441460919</v>
          </cell>
        </row>
        <row r="262">
          <cell r="G262">
            <v>5141.5332102394941</v>
          </cell>
          <cell r="H262">
            <v>4628.9611906538521</v>
          </cell>
          <cell r="I262">
            <v>4851.4663368605652</v>
          </cell>
          <cell r="J262">
            <v>5089.5707801541757</v>
          </cell>
          <cell r="K262">
            <v>5294.8629088856933</v>
          </cell>
          <cell r="L262">
            <v>5266.7798503984886</v>
          </cell>
          <cell r="M262">
            <v>5254.3609221365559</v>
          </cell>
          <cell r="N262">
            <v>5523.3541256178196</v>
          </cell>
          <cell r="O262">
            <v>5459.2283803495338</v>
          </cell>
          <cell r="P262">
            <v>5845.504323759169</v>
          </cell>
          <cell r="Q262">
            <v>6205.3388055662963</v>
          </cell>
          <cell r="R262">
            <v>6386.5661024010788</v>
          </cell>
          <cell r="S262">
            <v>6814.3010959349658</v>
          </cell>
          <cell r="T262">
            <v>7334.5201009303946</v>
          </cell>
          <cell r="U262">
            <v>7718.5553612618451</v>
          </cell>
          <cell r="V262">
            <v>8059.9517313791303</v>
          </cell>
          <cell r="W262">
            <v>8391.3400841041475</v>
          </cell>
          <cell r="X262">
            <v>8833.8473912138234</v>
          </cell>
          <cell r="Y262">
            <v>9164.3683089257556</v>
          </cell>
          <cell r="Z262">
            <v>9427.4013538185536</v>
          </cell>
          <cell r="AA262">
            <v>9797.3565548521656</v>
          </cell>
          <cell r="AB262">
            <v>9932.861944815053</v>
          </cell>
          <cell r="AC262">
            <v>9966.4333527343661</v>
          </cell>
          <cell r="AD262">
            <v>10182.127978430055</v>
          </cell>
          <cell r="AE262">
            <v>10511.460426461397</v>
          </cell>
        </row>
        <row r="263">
          <cell r="G263">
            <v>38695.862157504649</v>
          </cell>
          <cell r="H263">
            <v>39188.4671848789</v>
          </cell>
          <cell r="I263">
            <v>39741.214823901777</v>
          </cell>
          <cell r="J263">
            <v>40107.89074653374</v>
          </cell>
          <cell r="K263">
            <v>41756.080499778414</v>
          </cell>
          <cell r="L263">
            <v>42655.293736363157</v>
          </cell>
          <cell r="M263">
            <v>41788.422279535007</v>
          </cell>
          <cell r="N263">
            <v>42758.588014985733</v>
          </cell>
          <cell r="O263">
            <v>42675.647914828987</v>
          </cell>
          <cell r="P263">
            <v>44698.188170030255</v>
          </cell>
          <cell r="Q263">
            <v>46622.423951739962</v>
          </cell>
          <cell r="R263">
            <v>47476.187309589091</v>
          </cell>
          <cell r="S263">
            <v>47987.913010357173</v>
          </cell>
          <cell r="T263">
            <v>48926.548887985504</v>
          </cell>
          <cell r="U263">
            <v>49631.181693389517</v>
          </cell>
          <cell r="V263">
            <v>51502.693953272537</v>
          </cell>
          <cell r="W263">
            <v>53982.101264314697</v>
          </cell>
          <cell r="X263">
            <v>56987.497434832425</v>
          </cell>
          <cell r="Y263">
            <v>57959.733733594301</v>
          </cell>
          <cell r="Z263">
            <v>59424.072963241932</v>
          </cell>
          <cell r="AA263">
            <v>62248.204735016327</v>
          </cell>
          <cell r="AB263">
            <v>63461.255420553018</v>
          </cell>
          <cell r="AC263">
            <v>63503.996144116907</v>
          </cell>
          <cell r="AD263">
            <v>64899.250469511047</v>
          </cell>
          <cell r="AE263">
            <v>67021.594229596027</v>
          </cell>
        </row>
        <row r="264">
          <cell r="G264">
            <v>15817.337232070206</v>
          </cell>
          <cell r="H264">
            <v>16018.694674591499</v>
          </cell>
          <cell r="I264">
            <v>16244.636036876404</v>
          </cell>
          <cell r="J264">
            <v>16394.518644467444</v>
          </cell>
          <cell r="K264">
            <v>17068.233395760493</v>
          </cell>
          <cell r="L264">
            <v>17435.796184482177</v>
          </cell>
          <cell r="M264">
            <v>17081.453435541836</v>
          </cell>
          <cell r="N264">
            <v>17478.018798168017</v>
          </cell>
          <cell r="O264">
            <v>17444.116167212251</v>
          </cell>
          <cell r="P264">
            <v>18270.850590436661</v>
          </cell>
          <cell r="Q264">
            <v>19057.402034863284</v>
          </cell>
          <cell r="R264">
            <v>19406.386711636154</v>
          </cell>
          <cell r="S264">
            <v>19615.559928824609</v>
          </cell>
          <cell r="T264">
            <v>19999.237133227925</v>
          </cell>
          <cell r="U264">
            <v>20287.263141344494</v>
          </cell>
          <cell r="V264">
            <v>21052.263296348981</v>
          </cell>
          <cell r="W264">
            <v>22167.22763662495</v>
          </cell>
          <cell r="X264">
            <v>23362.862099979786</v>
          </cell>
          <cell r="Y264">
            <v>23744.685317019321</v>
          </cell>
          <cell r="Z264">
            <v>23996.322284808713</v>
          </cell>
          <cell r="AA264">
            <v>23948.878801276289</v>
          </cell>
          <cell r="AB264">
            <v>23807.88839224822</v>
          </cell>
          <cell r="AC264">
            <v>23579.111074955865</v>
          </cell>
          <cell r="AD264">
            <v>23808.133708016674</v>
          </cell>
          <cell r="AE264">
            <v>24242.268569309461</v>
          </cell>
        </row>
        <row r="265">
          <cell r="G265">
            <v>5322.184838687871</v>
          </cell>
          <cell r="H265">
            <v>5545.0304646425429</v>
          </cell>
          <cell r="I265">
            <v>5646.0717363855647</v>
          </cell>
          <cell r="J265">
            <v>5772.714861515663</v>
          </cell>
          <cell r="K265">
            <v>5942.4333319450498</v>
          </cell>
          <cell r="L265">
            <v>6101.6843781988837</v>
          </cell>
          <cell r="M265">
            <v>5984.6208573422091</v>
          </cell>
          <cell r="N265">
            <v>6060.5218777927839</v>
          </cell>
          <cell r="O265">
            <v>5984.088884824102</v>
          </cell>
          <cell r="P265">
            <v>6250.5787353942815</v>
          </cell>
          <cell r="Q265">
            <v>6572.719636686692</v>
          </cell>
          <cell r="R265">
            <v>6621.4012106557939</v>
          </cell>
          <cell r="S265">
            <v>7007.3620811741166</v>
          </cell>
          <cell r="T265">
            <v>7493.6319939120322</v>
          </cell>
          <cell r="U265">
            <v>7852.5601573598751</v>
          </cell>
          <cell r="V265">
            <v>8244.2529789954897</v>
          </cell>
          <cell r="W265">
            <v>8590.1003647840844</v>
          </cell>
          <cell r="X265">
            <v>8791.169223543573</v>
          </cell>
          <cell r="Y265">
            <v>9001.664162895453</v>
          </cell>
          <cell r="Z265">
            <v>9312.348144124393</v>
          </cell>
          <cell r="AA265">
            <v>9600.2460714418157</v>
          </cell>
          <cell r="AB265">
            <v>9649.7064927956617</v>
          </cell>
          <cell r="AC265">
            <v>9594.2324440334487</v>
          </cell>
          <cell r="AD265">
            <v>9674.6836717986062</v>
          </cell>
          <cell r="AE265">
            <v>9849.4812135498341</v>
          </cell>
        </row>
        <row r="266">
          <cell r="G266">
            <v>40188.47897715179</v>
          </cell>
          <cell r="H266">
            <v>37894.786608260598</v>
          </cell>
          <cell r="I266">
            <v>39692.417744606828</v>
          </cell>
          <cell r="J266">
            <v>41616.076447625463</v>
          </cell>
          <cell r="K266">
            <v>43274.642682815946</v>
          </cell>
          <cell r="L266">
            <v>43037.119273569937</v>
          </cell>
          <cell r="M266">
            <v>42915.311055033781</v>
          </cell>
          <cell r="N266">
            <v>45084.536114695635</v>
          </cell>
          <cell r="O266">
            <v>44539.564838901228</v>
          </cell>
          <cell r="P266">
            <v>47662.286009123229</v>
          </cell>
          <cell r="Q266">
            <v>50573.227173981133</v>
          </cell>
          <cell r="R266">
            <v>52028.353540521784</v>
          </cell>
          <cell r="S266">
            <v>55480.383681701147</v>
          </cell>
          <cell r="T266">
            <v>59679.121785217372</v>
          </cell>
          <cell r="U266">
            <v>62780.458365300248</v>
          </cell>
          <cell r="V266">
            <v>65538.345071305797</v>
          </cell>
          <cell r="W266">
            <v>66650.46253738238</v>
          </cell>
          <cell r="X266">
            <v>67942.572302651621</v>
          </cell>
          <cell r="Y266">
            <v>68392.695694490918</v>
          </cell>
          <cell r="Z266">
            <v>68988.233738220995</v>
          </cell>
          <cell r="AA266">
            <v>69484.825010124769</v>
          </cell>
          <cell r="AB266">
            <v>68888.699697287899</v>
          </cell>
          <cell r="AC266">
            <v>67780.569700880937</v>
          </cell>
          <cell r="AD266">
            <v>67936.197356717166</v>
          </cell>
          <cell r="AE266">
            <v>68764.752407722292</v>
          </cell>
        </row>
        <row r="267">
          <cell r="G267">
            <v>1188.7545350603505</v>
          </cell>
          <cell r="H267">
            <v>1814.3315151782574</v>
          </cell>
          <cell r="I267">
            <v>1900.3987322087844</v>
          </cell>
          <cell r="J267">
            <v>1992.499913445489</v>
          </cell>
          <cell r="K267">
            <v>2071.9089630760959</v>
          </cell>
          <cell r="L267">
            <v>2060.5367864375899</v>
          </cell>
          <cell r="M267">
            <v>2054.7048367295088</v>
          </cell>
          <cell r="N267">
            <v>2158.5632758848569</v>
          </cell>
          <cell r="O267">
            <v>2132.4710703590135</v>
          </cell>
          <cell r="P267">
            <v>2281.9811201401903</v>
          </cell>
          <cell r="Q267">
            <v>2421.3515393175903</v>
          </cell>
          <cell r="R267">
            <v>2491.0202684932815</v>
          </cell>
          <cell r="S267">
            <v>2656.2970159581087</v>
          </cell>
          <cell r="T267">
            <v>2857.3247442295396</v>
          </cell>
          <cell r="U267">
            <v>3005.8109398265065</v>
          </cell>
          <cell r="V267">
            <v>3137.8533977435613</v>
          </cell>
          <cell r="W267">
            <v>3191.0995022312723</v>
          </cell>
          <cell r="X267">
            <v>3252.9633013979505</v>
          </cell>
          <cell r="Y267">
            <v>3274.5143676165139</v>
          </cell>
          <cell r="Z267">
            <v>3365.3187326417874</v>
          </cell>
          <cell r="AA267">
            <v>3474.0116701583424</v>
          </cell>
          <cell r="AB267">
            <v>3512.953897458478</v>
          </cell>
          <cell r="AC267">
            <v>3516.3128897770621</v>
          </cell>
          <cell r="AD267">
            <v>3581.1158402421911</v>
          </cell>
          <cell r="AE267">
            <v>3680.4791879235472</v>
          </cell>
        </row>
        <row r="268">
          <cell r="G268">
            <v>3849.7950827751201</v>
          </cell>
          <cell r="H268">
            <v>3906.2891171259025</v>
          </cell>
          <cell r="I268">
            <v>3961.8719573742533</v>
          </cell>
          <cell r="J268">
            <v>4034.5396870432041</v>
          </cell>
          <cell r="K268">
            <v>4138.6436132460585</v>
          </cell>
          <cell r="L268">
            <v>4100.6830786251285</v>
          </cell>
          <cell r="M268">
            <v>4035.3829999262734</v>
          </cell>
          <cell r="N268">
            <v>4110.6521986094058</v>
          </cell>
          <cell r="O268">
            <v>4006.1320247028834</v>
          </cell>
          <cell r="P268">
            <v>4254.9883579236111</v>
          </cell>
          <cell r="Q268">
            <v>4437.9947273019006</v>
          </cell>
          <cell r="R268">
            <v>4680.7221218276991</v>
          </cell>
          <cell r="S268">
            <v>4828.4799985370428</v>
          </cell>
          <cell r="T268">
            <v>5017.4618558662078</v>
          </cell>
          <cell r="U268">
            <v>5345.4511655331662</v>
          </cell>
          <cell r="V268">
            <v>5516.9923667331486</v>
          </cell>
          <cell r="W268">
            <v>5867.6518045882958</v>
          </cell>
          <cell r="X268">
            <v>6329.7630600932562</v>
          </cell>
          <cell r="Y268">
            <v>6722.9459400846354</v>
          </cell>
          <cell r="Z268">
            <v>6861.7784227451157</v>
          </cell>
          <cell r="AA268">
            <v>6955.8284829545846</v>
          </cell>
          <cell r="AB268">
            <v>6957.0865987713378</v>
          </cell>
          <cell r="AC268">
            <v>6912.3452832716694</v>
          </cell>
          <cell r="AD268">
            <v>6996.4987096325658</v>
          </cell>
          <cell r="AE268">
            <v>7149.722042615902</v>
          </cell>
        </row>
        <row r="269">
          <cell r="G269">
            <v>534.44742790618818</v>
          </cell>
          <cell r="H269">
            <v>549.59350482299533</v>
          </cell>
          <cell r="I269">
            <v>558.80354351382152</v>
          </cell>
          <cell r="J269">
            <v>563.62274980553275</v>
          </cell>
          <cell r="K269">
            <v>587.5147936961863</v>
          </cell>
          <cell r="L269">
            <v>579.97784016970309</v>
          </cell>
          <cell r="M269">
            <v>560.90805620046797</v>
          </cell>
          <cell r="N269">
            <v>573.68000690966471</v>
          </cell>
          <cell r="O269">
            <v>553.53475886949707</v>
          </cell>
          <cell r="P269">
            <v>576.68826299924194</v>
          </cell>
          <cell r="Q269">
            <v>617.12387357911405</v>
          </cell>
          <cell r="R269">
            <v>611.47974591985735</v>
          </cell>
          <cell r="S269">
            <v>612.49116303855203</v>
          </cell>
          <cell r="T269">
            <v>617.39099685506926</v>
          </cell>
          <cell r="U269">
            <v>625.42155541820807</v>
          </cell>
          <cell r="V269">
            <v>634.89317973156528</v>
          </cell>
          <cell r="W269">
            <v>649.66639439859387</v>
          </cell>
          <cell r="X269">
            <v>664.18689457805033</v>
          </cell>
          <cell r="Y269">
            <v>675.222447049018</v>
          </cell>
          <cell r="Z269">
            <v>689.29368563316996</v>
          </cell>
          <cell r="AA269">
            <v>708.88049415932687</v>
          </cell>
          <cell r="AB269">
            <v>715.26417571277989</v>
          </cell>
          <cell r="AC269">
            <v>712.08311568624777</v>
          </cell>
          <cell r="AD269">
            <v>720.56979461845128</v>
          </cell>
          <cell r="AE269">
            <v>738.00039313122193</v>
          </cell>
        </row>
        <row r="270">
          <cell r="G270">
            <v>3115.2089672205038</v>
          </cell>
          <cell r="H270">
            <v>3197.5651166446492</v>
          </cell>
          <cell r="I270">
            <v>3229.0497286223444</v>
          </cell>
          <cell r="J270">
            <v>3272.3257565644481</v>
          </cell>
          <cell r="K270">
            <v>3286.9654885929872</v>
          </cell>
          <cell r="L270">
            <v>3293.264126133221</v>
          </cell>
          <cell r="M270">
            <v>3300.0809674539782</v>
          </cell>
          <cell r="N270">
            <v>3451.930911696365</v>
          </cell>
          <cell r="O270">
            <v>3297.3681869148945</v>
          </cell>
          <cell r="P270">
            <v>3489.5232829070401</v>
          </cell>
          <cell r="Q270">
            <v>3673.2929341504673</v>
          </cell>
          <cell r="R270">
            <v>3717.6174958107317</v>
          </cell>
          <cell r="S270">
            <v>3800.0880835238581</v>
          </cell>
          <cell r="T270">
            <v>3887.0650904153217</v>
          </cell>
          <cell r="U270">
            <v>4056.124578585614</v>
          </cell>
          <cell r="V270">
            <v>4194.5406633190933</v>
          </cell>
          <cell r="W270">
            <v>4344.0884180067906</v>
          </cell>
          <cell r="X270">
            <v>4474.3387921523226</v>
          </cell>
          <cell r="Y270">
            <v>4678.5785905776456</v>
          </cell>
          <cell r="Z270">
            <v>5141.8087527319158</v>
          </cell>
          <cell r="AA270">
            <v>5563.8893544924167</v>
          </cell>
          <cell r="AB270">
            <v>5764.1241758474371</v>
          </cell>
          <cell r="AC270">
            <v>5987.6855187118917</v>
          </cell>
          <cell r="AD270">
            <v>6250.8438285058528</v>
          </cell>
          <cell r="AE270">
            <v>6624.8401927575715</v>
          </cell>
        </row>
        <row r="271">
          <cell r="G271">
            <v>11420.491920913755</v>
          </cell>
          <cell r="H271">
            <v>11592.720625003223</v>
          </cell>
          <cell r="I271">
            <v>11658.563357544677</v>
          </cell>
          <cell r="J271">
            <v>11749.065090113814</v>
          </cell>
          <cell r="K271">
            <v>11779.680679758576</v>
          </cell>
          <cell r="L271">
            <v>11687.872839212228</v>
          </cell>
          <cell r="M271">
            <v>11490.221763086443</v>
          </cell>
          <cell r="N271">
            <v>11768.452142521628</v>
          </cell>
          <cell r="O271">
            <v>11179.822225067792</v>
          </cell>
          <cell r="P271">
            <v>11601.176974790342</v>
          </cell>
          <cell r="Q271">
            <v>12023.171597635273</v>
          </cell>
          <cell r="R271">
            <v>12026.872322236679</v>
          </cell>
          <cell r="S271">
            <v>12163.184919060364</v>
          </cell>
          <cell r="T271">
            <v>12304.230792458153</v>
          </cell>
          <cell r="U271">
            <v>12644.901097631564</v>
          </cell>
          <cell r="V271">
            <v>12931.671530017473</v>
          </cell>
          <cell r="W271">
            <v>13317.881753484435</v>
          </cell>
          <cell r="X271">
            <v>13653.779577349764</v>
          </cell>
          <cell r="Y271">
            <v>14138.492855194008</v>
          </cell>
          <cell r="Z271">
            <v>14622.668209005438</v>
          </cell>
          <cell r="AA271">
            <v>15006.014751748147</v>
          </cell>
          <cell r="AB271">
            <v>15029.928175957646</v>
          </cell>
          <cell r="AC271">
            <v>15034.086030244467</v>
          </cell>
          <cell r="AD271">
            <v>15245.007781740544</v>
          </cell>
          <cell r="AE271">
            <v>15663.703138796815</v>
          </cell>
        </row>
        <row r="272">
          <cell r="G272">
            <v>3691.5192148666688</v>
          </cell>
          <cell r="H272">
            <v>3753.6667501636275</v>
          </cell>
          <cell r="I272">
            <v>3908.1283727573941</v>
          </cell>
          <cell r="J272">
            <v>3990.3782404125386</v>
          </cell>
          <cell r="K272">
            <v>4054.2488327687715</v>
          </cell>
          <cell r="L272">
            <v>4020.6948301558132</v>
          </cell>
          <cell r="M272">
            <v>3920.8513231352058</v>
          </cell>
          <cell r="N272">
            <v>4041.18327816493</v>
          </cell>
          <cell r="O272">
            <v>3904.2872844354733</v>
          </cell>
          <cell r="P272">
            <v>3990.4226943218055</v>
          </cell>
          <cell r="Q272">
            <v>4159.7894375329506</v>
          </cell>
          <cell r="R272">
            <v>4196.5362378426089</v>
          </cell>
          <cell r="S272">
            <v>4339.6995561507783</v>
          </cell>
          <cell r="T272">
            <v>4479.5142833859791</v>
          </cell>
          <cell r="U272">
            <v>4693.9937824858698</v>
          </cell>
          <cell r="V272">
            <v>4845.6041433523815</v>
          </cell>
          <cell r="W272">
            <v>4995.1928652936713</v>
          </cell>
          <cell r="X272">
            <v>5242.7236629585241</v>
          </cell>
          <cell r="Y272">
            <v>5545.2672924388035</v>
          </cell>
          <cell r="Z272">
            <v>5673.8896302172889</v>
          </cell>
          <cell r="AA272">
            <v>5924.0874725941449</v>
          </cell>
          <cell r="AB272">
            <v>5934.4464396809926</v>
          </cell>
          <cell r="AC272">
            <v>5912.4372921907834</v>
          </cell>
          <cell r="AD272">
            <v>6006.6769874874071</v>
          </cell>
          <cell r="AE272">
            <v>6164.8604393322439</v>
          </cell>
        </row>
        <row r="273">
          <cell r="G273">
            <v>17497.207948601801</v>
          </cell>
          <cell r="H273">
            <v>17791.777280438058</v>
          </cell>
          <cell r="I273">
            <v>18901.054967077107</v>
          </cell>
          <cell r="J273">
            <v>19491.738538742164</v>
          </cell>
          <cell r="K273">
            <v>19950.42997123814</v>
          </cell>
          <cell r="L273">
            <v>19905.594194185171</v>
          </cell>
          <cell r="M273">
            <v>19584.467713881531</v>
          </cell>
          <cell r="N273">
            <v>20522.118178496305</v>
          </cell>
          <cell r="O273">
            <v>20034.834221414225</v>
          </cell>
          <cell r="P273">
            <v>20616.976813630718</v>
          </cell>
          <cell r="Q273">
            <v>21762.89295682016</v>
          </cell>
          <cell r="R273">
            <v>22193.060520158731</v>
          </cell>
          <cell r="S273">
            <v>23288.74802317745</v>
          </cell>
          <cell r="T273">
            <v>24369.151315222582</v>
          </cell>
          <cell r="U273">
            <v>25933.512365323673</v>
          </cell>
          <cell r="V273">
            <v>27027.347784204048</v>
          </cell>
          <cell r="W273">
            <v>28045.729928476008</v>
          </cell>
          <cell r="X273">
            <v>28851.325810615399</v>
          </cell>
          <cell r="Y273">
            <v>28873.897229677121</v>
          </cell>
          <cell r="Z273">
            <v>29028.51577124407</v>
          </cell>
          <cell r="AA273">
            <v>28959.754956209981</v>
          </cell>
          <cell r="AB273">
            <v>28706.819769662256</v>
          </cell>
          <cell r="AC273">
            <v>28180.95717693547</v>
          </cell>
          <cell r="AD273">
            <v>28203.027422428651</v>
          </cell>
          <cell r="AE273">
            <v>28506.77394470897</v>
          </cell>
        </row>
        <row r="276">
          <cell r="G276">
            <v>53708.756626847957</v>
          </cell>
          <cell r="H276">
            <v>50349.464058565485</v>
          </cell>
          <cell r="I276">
            <v>50585.765733522334</v>
          </cell>
          <cell r="J276">
            <v>50756.917170227302</v>
          </cell>
          <cell r="K276">
            <v>50890.56319950617</v>
          </cell>
          <cell r="L276">
            <v>50409.683971895211</v>
          </cell>
          <cell r="M276">
            <v>49748.857660934671</v>
          </cell>
          <cell r="N276">
            <v>51074.418525560905</v>
          </cell>
          <cell r="O276">
            <v>50637.294229816769</v>
          </cell>
          <cell r="P276">
            <v>51882.363343747689</v>
          </cell>
          <cell r="Q276">
            <v>53040.286432316985</v>
          </cell>
          <cell r="R276">
            <v>53738.485192411041</v>
          </cell>
          <cell r="S276">
            <v>55949.769545049654</v>
          </cell>
          <cell r="T276">
            <v>57329.270888827872</v>
          </cell>
          <cell r="U276">
            <v>59883.340093594605</v>
          </cell>
          <cell r="V276">
            <v>62238.988957004687</v>
          </cell>
          <cell r="W276">
            <v>64365.633187934131</v>
          </cell>
          <cell r="X276">
            <v>65570.953790492698</v>
          </cell>
          <cell r="Y276">
            <v>67305.727422033131</v>
          </cell>
          <cell r="Z276">
            <v>68196.039917622096</v>
          </cell>
          <cell r="AA276">
            <v>68883.240349581378</v>
          </cell>
          <cell r="AB276">
            <v>68252.643635550878</v>
          </cell>
          <cell r="AC276">
            <v>68712.851087571893</v>
          </cell>
          <cell r="AD276">
            <v>69589.365365579099</v>
          </cell>
          <cell r="AE276">
            <v>71181.30416701932</v>
          </cell>
        </row>
        <row r="277">
          <cell r="G277">
            <v>18897.525479816875</v>
          </cell>
          <cell r="H277">
            <v>22684.496812891877</v>
          </cell>
          <cell r="I277">
            <v>22790.96040079034</v>
          </cell>
          <cell r="J277">
            <v>22868.071136585651</v>
          </cell>
          <cell r="K277">
            <v>22928.284149413474</v>
          </cell>
          <cell r="L277">
            <v>22711.628351579398</v>
          </cell>
          <cell r="M277">
            <v>22413.899018702621</v>
          </cell>
          <cell r="N277">
            <v>23011.11850794945</v>
          </cell>
          <cell r="O277">
            <v>22814.176099940669</v>
          </cell>
          <cell r="P277">
            <v>23375.130757053677</v>
          </cell>
          <cell r="Q277">
            <v>23896.822558612297</v>
          </cell>
          <cell r="R277">
            <v>24211.389711297299</v>
          </cell>
          <cell r="S277">
            <v>25207.663927671896</v>
          </cell>
          <cell r="T277">
            <v>25829.18581318625</v>
          </cell>
          <cell r="U277">
            <v>26979.898652314874</v>
          </cell>
          <cell r="V277">
            <v>28041.214996658913</v>
          </cell>
          <cell r="W277">
            <v>28999.35536976318</v>
          </cell>
          <cell r="X277">
            <v>29542.401693661457</v>
          </cell>
          <cell r="Y277">
            <v>30323.988303401613</v>
          </cell>
          <cell r="Z277">
            <v>31006.105312805237</v>
          </cell>
          <cell r="AA277">
            <v>31737.357087980727</v>
          </cell>
          <cell r="AB277">
            <v>31853.529467166318</v>
          </cell>
          <cell r="AC277">
            <v>32575.680823859493</v>
          </cell>
          <cell r="AD277">
            <v>33518.523530953906</v>
          </cell>
          <cell r="AE277">
            <v>34882.341931854091</v>
          </cell>
        </row>
        <row r="278">
          <cell r="G278">
            <v>26854.378313423978</v>
          </cell>
          <cell r="H278">
            <v>26617.32886145165</v>
          </cell>
          <cell r="I278">
            <v>26742.250139372747</v>
          </cell>
          <cell r="J278">
            <v>26832.72963426046</v>
          </cell>
          <cell r="K278">
            <v>26903.381832428946</v>
          </cell>
          <cell r="L278">
            <v>26649.16421992223</v>
          </cell>
          <cell r="M278">
            <v>26299.817279134986</v>
          </cell>
          <cell r="N278">
            <v>27000.577259789123</v>
          </cell>
          <cell r="O278">
            <v>26769.490765608803</v>
          </cell>
          <cell r="P278">
            <v>27427.698646872188</v>
          </cell>
          <cell r="Q278">
            <v>28039.836635250114</v>
          </cell>
          <cell r="R278">
            <v>28408.940584131567</v>
          </cell>
          <cell r="S278">
            <v>29577.939776494393</v>
          </cell>
          <cell r="T278">
            <v>30307.215482179141</v>
          </cell>
          <cell r="U278">
            <v>31657.428463177443</v>
          </cell>
          <cell r="V278">
            <v>32902.746196978107</v>
          </cell>
          <cell r="W278">
            <v>34027.00024663622</v>
          </cell>
          <cell r="X278">
            <v>34664.19501050633</v>
          </cell>
          <cell r="Y278">
            <v>35581.286008678158</v>
          </cell>
          <cell r="Z278">
            <v>36083.497426165137</v>
          </cell>
          <cell r="AA278">
            <v>36494.12300096816</v>
          </cell>
          <cell r="AB278">
            <v>36205.695140698299</v>
          </cell>
          <cell r="AC278">
            <v>36506.780251500866</v>
          </cell>
          <cell r="AD278">
            <v>37031.665828922414</v>
          </cell>
          <cell r="AE278">
            <v>37945.836580810574</v>
          </cell>
        </row>
        <row r="279">
          <cell r="G279">
            <v>2899.3137186553386</v>
          </cell>
          <cell r="H279">
            <v>4653.2063275829678</v>
          </cell>
          <cell r="I279">
            <v>4722.1827958588665</v>
          </cell>
          <cell r="J279">
            <v>4803.0505198635774</v>
          </cell>
          <cell r="K279">
            <v>4864.1054718609148</v>
          </cell>
          <cell r="L279">
            <v>4847.1465088239911</v>
          </cell>
          <cell r="M279">
            <v>4921.2901977497777</v>
          </cell>
          <cell r="N279">
            <v>5132.826898850004</v>
          </cell>
          <cell r="O279">
            <v>5165.3941277993135</v>
          </cell>
          <cell r="P279">
            <v>5307.180926289423</v>
          </cell>
          <cell r="Q279">
            <v>5413.9324826064094</v>
          </cell>
          <cell r="R279">
            <v>5527.7892431994651</v>
          </cell>
          <cell r="S279">
            <v>5793.8879649185292</v>
          </cell>
          <cell r="T279">
            <v>6012.6273752844645</v>
          </cell>
          <cell r="U279">
            <v>6396.3583829453282</v>
          </cell>
          <cell r="V279">
            <v>6644.3243452930392</v>
          </cell>
          <cell r="W279">
            <v>6897.2765527024421</v>
          </cell>
          <cell r="X279">
            <v>7099.8649378566442</v>
          </cell>
          <cell r="Y279">
            <v>7280.7841604239902</v>
          </cell>
          <cell r="Z279">
            <v>7440.8024860006608</v>
          </cell>
          <cell r="AA279">
            <v>7753.3183815559305</v>
          </cell>
          <cell r="AB279">
            <v>7831.6449985303652</v>
          </cell>
          <cell r="AC279">
            <v>8006.5157584517292</v>
          </cell>
          <cell r="AD279">
            <v>8228.1687845852503</v>
          </cell>
          <cell r="AE279">
            <v>8541.3880336494094</v>
          </cell>
        </row>
        <row r="280">
          <cell r="G280">
            <v>9277.8038996970827</v>
          </cell>
          <cell r="H280">
            <v>8594.3945235766678</v>
          </cell>
          <cell r="I280">
            <v>8721.7929107257623</v>
          </cell>
          <cell r="J280">
            <v>8871.1542489927488</v>
          </cell>
          <cell r="K280">
            <v>8983.9217276176933</v>
          </cell>
          <cell r="L280">
            <v>8952.5988055744328</v>
          </cell>
          <cell r="M280">
            <v>9089.5409631323892</v>
          </cell>
          <cell r="N280">
            <v>9480.2457239968408</v>
          </cell>
          <cell r="O280">
            <v>9540.3968530088641</v>
          </cell>
          <cell r="P280">
            <v>9802.2747064011619</v>
          </cell>
          <cell r="Q280">
            <v>9999.4430514959204</v>
          </cell>
          <cell r="R280">
            <v>10209.734590453189</v>
          </cell>
          <cell r="S280">
            <v>10701.214493916017</v>
          </cell>
          <cell r="T280">
            <v>11105.222538733551</v>
          </cell>
          <cell r="U280">
            <v>11813.967313539215</v>
          </cell>
          <cell r="V280">
            <v>12271.956312694891</v>
          </cell>
          <cell r="W280">
            <v>12739.154823364681</v>
          </cell>
          <cell r="X280">
            <v>13113.332193834716</v>
          </cell>
          <cell r="Y280">
            <v>13447.486982206243</v>
          </cell>
          <cell r="Z280">
            <v>13640.857864027112</v>
          </cell>
          <cell r="AA280">
            <v>13872.69083053642</v>
          </cell>
          <cell r="AB280">
            <v>13796.657277388424</v>
          </cell>
          <cell r="AC280">
            <v>13921.166336675924</v>
          </cell>
          <cell r="AD280">
            <v>14127.797044953708</v>
          </cell>
          <cell r="AE280">
            <v>14478.709794728822</v>
          </cell>
        </row>
        <row r="281">
          <cell r="G281">
            <v>2319.4509749242707</v>
          </cell>
          <cell r="H281">
            <v>2148.5986308941669</v>
          </cell>
          <cell r="I281">
            <v>2180.4482276814406</v>
          </cell>
          <cell r="J281">
            <v>2217.7885622481872</v>
          </cell>
          <cell r="K281">
            <v>2245.9804319044233</v>
          </cell>
          <cell r="L281">
            <v>2238.1497013936082</v>
          </cell>
          <cell r="M281">
            <v>2272.3852407830973</v>
          </cell>
          <cell r="N281">
            <v>2370.0614309992102</v>
          </cell>
          <cell r="O281">
            <v>2385.099213252216</v>
          </cell>
          <cell r="P281">
            <v>2450.5686766002905</v>
          </cell>
          <cell r="Q281">
            <v>2499.8607628739801</v>
          </cell>
          <cell r="R281">
            <v>2552.4336476132971</v>
          </cell>
          <cell r="S281">
            <v>2675.3036234790043</v>
          </cell>
          <cell r="T281">
            <v>2776.3056346833878</v>
          </cell>
          <cell r="U281">
            <v>2953.4918283848037</v>
          </cell>
          <cell r="V281">
            <v>3067.9890781737226</v>
          </cell>
          <cell r="W281">
            <v>3184.7887058411702</v>
          </cell>
          <cell r="X281">
            <v>3278.3330484586791</v>
          </cell>
          <cell r="Y281">
            <v>3361.8717455515607</v>
          </cell>
          <cell r="Z281">
            <v>3632.5223696265007</v>
          </cell>
          <cell r="AA281">
            <v>4441.9015054216325</v>
          </cell>
          <cell r="AB281">
            <v>4903.0609251577835</v>
          </cell>
          <cell r="AC281">
            <v>5365.9975567944002</v>
          </cell>
          <cell r="AD281">
            <v>5858.7859645388498</v>
          </cell>
          <cell r="AE281">
            <v>6441.6862271514865</v>
          </cell>
        </row>
        <row r="282">
          <cell r="G282">
            <v>4832.1895310922318</v>
          </cell>
          <cell r="H282">
            <v>4148.337474535304</v>
          </cell>
          <cell r="I282">
            <v>4209.8300557934908</v>
          </cell>
          <cell r="J282">
            <v>4281.9237018415006</v>
          </cell>
          <cell r="K282">
            <v>4336.3542444708164</v>
          </cell>
          <cell r="L282">
            <v>4321.2353142230195</v>
          </cell>
          <cell r="M282">
            <v>4387.3344771696347</v>
          </cell>
          <cell r="N282">
            <v>4575.9196295648571</v>
          </cell>
          <cell r="O282">
            <v>4604.9533424031115</v>
          </cell>
          <cell r="P282">
            <v>4731.3563961607624</v>
          </cell>
          <cell r="Q282">
            <v>4826.5255011518029</v>
          </cell>
          <cell r="R282">
            <v>4928.0289019138954</v>
          </cell>
          <cell r="S282">
            <v>5165.2561429862953</v>
          </cell>
          <cell r="T282">
            <v>5360.2625169353532</v>
          </cell>
          <cell r="U282">
            <v>5702.3590428909547</v>
          </cell>
          <cell r="V282">
            <v>5923.4209132659416</v>
          </cell>
          <cell r="W282">
            <v>6148.928025435609</v>
          </cell>
          <cell r="X282">
            <v>6329.5357464083654</v>
          </cell>
          <cell r="Y282">
            <v>6490.8253901516618</v>
          </cell>
          <cell r="Z282">
            <v>6641.7124607483611</v>
          </cell>
          <cell r="AA282">
            <v>6948.1408095370089</v>
          </cell>
          <cell r="AB282">
            <v>7035.7465017183213</v>
          </cell>
          <cell r="AC282">
            <v>7207.6309870677396</v>
          </cell>
          <cell r="AD282">
            <v>7421.5670118882181</v>
          </cell>
          <cell r="AE282">
            <v>7719.1351981849666</v>
          </cell>
        </row>
        <row r="283">
          <cell r="G283">
            <v>52715.95523740026</v>
          </cell>
          <cell r="H283">
            <v>52972.193082349717</v>
          </cell>
          <cell r="I283">
            <v>53212.466582069668</v>
          </cell>
          <cell r="J283">
            <v>53938.137008894228</v>
          </cell>
          <cell r="K283">
            <v>54658.14918677666</v>
          </cell>
          <cell r="L283">
            <v>54742.833531026023</v>
          </cell>
          <cell r="M283">
            <v>54443.844986943564</v>
          </cell>
          <cell r="N283">
            <v>55849.634953873981</v>
          </cell>
          <cell r="O283">
            <v>55878.248310892755</v>
          </cell>
          <cell r="P283">
            <v>57396.258918086387</v>
          </cell>
          <cell r="Q283">
            <v>58035.309287294032</v>
          </cell>
          <cell r="R283">
            <v>59654.398509755512</v>
          </cell>
          <cell r="S283">
            <v>62104.8709686109</v>
          </cell>
          <cell r="T283">
            <v>63526.574546607473</v>
          </cell>
          <cell r="U283">
            <v>65957.962889180169</v>
          </cell>
          <cell r="V283">
            <v>68171.241513705259</v>
          </cell>
          <cell r="W283">
            <v>70617.724740144578</v>
          </cell>
          <cell r="X283">
            <v>71464.039108899116</v>
          </cell>
          <cell r="Y283">
            <v>72789.143125892486</v>
          </cell>
          <cell r="Z283">
            <v>75215.745131270101</v>
          </cell>
          <cell r="AA283">
            <v>76186.560911929831</v>
          </cell>
          <cell r="AB283">
            <v>76853.980700327316</v>
          </cell>
          <cell r="AC283">
            <v>77917.122126248083</v>
          </cell>
          <cell r="AD283">
            <v>79216.483772401363</v>
          </cell>
          <cell r="AE283">
            <v>81328.70406933871</v>
          </cell>
        </row>
        <row r="284">
          <cell r="G284">
            <v>12325.222891105739</v>
          </cell>
          <cell r="H284">
            <v>12411.478571584297</v>
          </cell>
          <cell r="I284">
            <v>12492.3602782791</v>
          </cell>
          <cell r="J284">
            <v>12736.637997994008</v>
          </cell>
          <cell r="K284">
            <v>12979.011018139992</v>
          </cell>
          <cell r="L284">
            <v>13082.905311561863</v>
          </cell>
          <cell r="M284">
            <v>13062.787028174751</v>
          </cell>
          <cell r="N284">
            <v>13424.845554871805</v>
          </cell>
          <cell r="O284">
            <v>13548.59001540821</v>
          </cell>
          <cell r="P284">
            <v>13980.657672693853</v>
          </cell>
          <cell r="Q284">
            <v>14151.634240852109</v>
          </cell>
          <cell r="R284">
            <v>14662.608287554143</v>
          </cell>
          <cell r="S284">
            <v>15342.221667490938</v>
          </cell>
          <cell r="T284">
            <v>15752.539658883021</v>
          </cell>
          <cell r="U284">
            <v>16413.182641424464</v>
          </cell>
          <cell r="V284">
            <v>17008.725904970168</v>
          </cell>
          <cell r="W284">
            <v>17714.846912884725</v>
          </cell>
          <cell r="X284">
            <v>18311.517709238116</v>
          </cell>
          <cell r="Y284">
            <v>18790.104072193208</v>
          </cell>
          <cell r="Z284">
            <v>19448.410032238226</v>
          </cell>
          <cell r="AA284">
            <v>20279.403781524616</v>
          </cell>
          <cell r="AB284">
            <v>20865.767577195416</v>
          </cell>
          <cell r="AC284">
            <v>21460.307798955622</v>
          </cell>
          <cell r="AD284">
            <v>22071.159594989709</v>
          </cell>
          <cell r="AE284">
            <v>22914.833275438461</v>
          </cell>
        </row>
        <row r="285">
          <cell r="G285">
            <v>4064.3381986614581</v>
          </cell>
          <cell r="H285">
            <v>4110.6155283892722</v>
          </cell>
          <cell r="I285">
            <v>4130.4447133594185</v>
          </cell>
          <cell r="J285">
            <v>4205.0534065292159</v>
          </cell>
          <cell r="K285">
            <v>4217.0450784455206</v>
          </cell>
          <cell r="L285">
            <v>4170.9267556090681</v>
          </cell>
          <cell r="M285">
            <v>4134.7945018280743</v>
          </cell>
          <cell r="N285">
            <v>4282.9160340500976</v>
          </cell>
          <cell r="O285">
            <v>4275.4670964137213</v>
          </cell>
          <cell r="P285">
            <v>4429.7057135800214</v>
          </cell>
          <cell r="Q285">
            <v>4571.3057004235488</v>
          </cell>
          <cell r="R285">
            <v>4650.7392960571424</v>
          </cell>
          <cell r="S285">
            <v>4871.7140546202527</v>
          </cell>
          <cell r="T285">
            <v>5071.655054028929</v>
          </cell>
          <cell r="U285">
            <v>5305.9233944586949</v>
          </cell>
          <cell r="V285">
            <v>5510.6914731726365</v>
          </cell>
          <cell r="W285">
            <v>5667.2540484688725</v>
          </cell>
          <cell r="X285">
            <v>5754.0571342942558</v>
          </cell>
          <cell r="Y285">
            <v>5912.2142025016201</v>
          </cell>
          <cell r="Z285">
            <v>6003.5111888109896</v>
          </cell>
          <cell r="AA285">
            <v>6134.9943818498568</v>
          </cell>
          <cell r="AB285">
            <v>6108.7349988576152</v>
          </cell>
          <cell r="AC285">
            <v>6173.6786485485254</v>
          </cell>
          <cell r="AD285">
            <v>6269.9374728963212</v>
          </cell>
          <cell r="AE285">
            <v>6430.4101834982612</v>
          </cell>
        </row>
        <row r="286">
          <cell r="G286">
            <v>23923.707463310635</v>
          </cell>
          <cell r="H286">
            <v>21647.641659652782</v>
          </cell>
          <cell r="I286">
            <v>22128.313168026249</v>
          </cell>
          <cell r="J286">
            <v>22691.850441645358</v>
          </cell>
          <cell r="K286">
            <v>23117.319831479061</v>
          </cell>
          <cell r="L286">
            <v>23149.057701051199</v>
          </cell>
          <cell r="M286">
            <v>23825.879336971771</v>
          </cell>
          <cell r="N286">
            <v>25078.936527734691</v>
          </cell>
          <cell r="O286">
            <v>25532.814116989506</v>
          </cell>
          <cell r="P286">
            <v>26363.909867431343</v>
          </cell>
          <cell r="Q286">
            <v>27020.037905563124</v>
          </cell>
          <cell r="R286">
            <v>27745.751550098303</v>
          </cell>
          <cell r="S286">
            <v>29311.199170970409</v>
          </cell>
          <cell r="T286">
            <v>30699.76709413149</v>
          </cell>
          <cell r="U286">
            <v>33060.000699184602</v>
          </cell>
          <cell r="V286">
            <v>34490.685630520056</v>
          </cell>
          <cell r="W286">
            <v>35472.814235427039</v>
          </cell>
          <cell r="X286">
            <v>35945.792596740102</v>
          </cell>
          <cell r="Y286">
            <v>36599.196670922705</v>
          </cell>
          <cell r="Z286">
            <v>37338.175449304828</v>
          </cell>
          <cell r="AA286">
            <v>37764.39848142652</v>
          </cell>
          <cell r="AB286">
            <v>37576.372594239103</v>
          </cell>
          <cell r="AC286">
            <v>37973.19540543147</v>
          </cell>
          <cell r="AD286">
            <v>38602.990098158494</v>
          </cell>
          <cell r="AE286">
            <v>39622.564281848492</v>
          </cell>
        </row>
        <row r="287">
          <cell r="G287">
            <v>996.27006530550568</v>
          </cell>
          <cell r="H287">
            <v>1459.1695219378896</v>
          </cell>
          <cell r="I287">
            <v>1491.5694122404775</v>
          </cell>
          <cell r="J287">
            <v>1529.5549086316887</v>
          </cell>
          <cell r="K287">
            <v>1558.2338740323387</v>
          </cell>
          <cell r="L287">
            <v>1560.3731801377803</v>
          </cell>
          <cell r="M287">
            <v>1605.9946625352893</v>
          </cell>
          <cell r="N287">
            <v>1690.4575749741171</v>
          </cell>
          <cell r="O287">
            <v>1721.0514084892775</v>
          </cell>
          <cell r="P287">
            <v>1777.0718105230519</v>
          </cell>
          <cell r="Q287">
            <v>1821.2984311768487</v>
          </cell>
          <cell r="R287">
            <v>1870.2155025331188</v>
          </cell>
          <cell r="S287">
            <v>1975.7352396241201</v>
          </cell>
          <cell r="T287">
            <v>2069.3323170551284</v>
          </cell>
          <cell r="U287">
            <v>2228.4249792163846</v>
          </cell>
          <cell r="V287">
            <v>2324.8609734979896</v>
          </cell>
          <cell r="W287">
            <v>2391.0618165013484</v>
          </cell>
          <cell r="X287">
            <v>2422.9431465887023</v>
          </cell>
          <cell r="Y287">
            <v>2466.986157164506</v>
          </cell>
          <cell r="Z287">
            <v>2548.1271595340168</v>
          </cell>
          <cell r="AA287">
            <v>2591.155501135403</v>
          </cell>
          <cell r="AB287">
            <v>2602.4683840851649</v>
          </cell>
          <cell r="AC287">
            <v>2654.8483583836405</v>
          </cell>
          <cell r="AD287">
            <v>2724.2999372452</v>
          </cell>
          <cell r="AE287">
            <v>2822.2253817942296</v>
          </cell>
        </row>
        <row r="288">
          <cell r="G288">
            <v>6892.3787896395215</v>
          </cell>
          <cell r="H288">
            <v>6928.1609750366788</v>
          </cell>
          <cell r="I288">
            <v>6982.6206747894967</v>
          </cell>
          <cell r="J288">
            <v>7002.6744270450472</v>
          </cell>
          <cell r="K288">
            <v>7017.2232277010353</v>
          </cell>
          <cell r="L288">
            <v>6982.0498196612562</v>
          </cell>
          <cell r="M288">
            <v>6901.8684594309616</v>
          </cell>
          <cell r="N288">
            <v>7198.137989982336</v>
          </cell>
          <cell r="O288">
            <v>7124.1508540068598</v>
          </cell>
          <cell r="P288">
            <v>7324.0058826836794</v>
          </cell>
          <cell r="Q288">
            <v>7473.4110288347356</v>
          </cell>
          <cell r="R288">
            <v>7621.4968117202607</v>
          </cell>
          <cell r="S288">
            <v>7927.3463352318622</v>
          </cell>
          <cell r="T288">
            <v>8076.0865137607298</v>
          </cell>
          <cell r="U288">
            <v>8366.4477846220634</v>
          </cell>
          <cell r="V288">
            <v>8638.4901170356188</v>
          </cell>
          <cell r="W288">
            <v>8983.0887739326063</v>
          </cell>
          <cell r="X288">
            <v>9271.6822999805772</v>
          </cell>
          <cell r="Y288">
            <v>9518.2206653226694</v>
          </cell>
          <cell r="Z288">
            <v>10391.498689374765</v>
          </cell>
          <cell r="AA288">
            <v>13044.720292089158</v>
          </cell>
          <cell r="AB288">
            <v>14581.489120295437</v>
          </cell>
          <cell r="AC288">
            <v>16100.012982795835</v>
          </cell>
          <cell r="AD288">
            <v>17707.540694802836</v>
          </cell>
          <cell r="AE288">
            <v>19596.207526869926</v>
          </cell>
        </row>
        <row r="289">
          <cell r="G289">
            <v>1781.7556093565017</v>
          </cell>
          <cell r="H289">
            <v>1783.0538360074877</v>
          </cell>
          <cell r="I289">
            <v>1788.8878421921647</v>
          </cell>
          <cell r="J289">
            <v>1807.4316475648882</v>
          </cell>
          <cell r="K289">
            <v>1812.4722930184073</v>
          </cell>
          <cell r="L289">
            <v>1793.6088525783809</v>
          </cell>
          <cell r="M289">
            <v>1774.6486729597157</v>
          </cell>
          <cell r="N289">
            <v>1823.0509687537462</v>
          </cell>
          <cell r="O289">
            <v>1794.2995981969964</v>
          </cell>
          <cell r="P289">
            <v>1840.40380825741</v>
          </cell>
          <cell r="Q289">
            <v>1872.8279339126823</v>
          </cell>
          <cell r="R289">
            <v>1897.4249208326673</v>
          </cell>
          <cell r="S289">
            <v>1968.2360718720968</v>
          </cell>
          <cell r="T289">
            <v>2005.124253123417</v>
          </cell>
          <cell r="U289">
            <v>2074.6913217054471</v>
          </cell>
          <cell r="V289">
            <v>2157.0993395020882</v>
          </cell>
          <cell r="W289">
            <v>2230.5387643737845</v>
          </cell>
          <cell r="X289">
            <v>2244.3283016341893</v>
          </cell>
          <cell r="Y289">
            <v>2286.2415552117754</v>
          </cell>
          <cell r="Z289">
            <v>2326.3694648036135</v>
          </cell>
          <cell r="AA289">
            <v>2374.7982364656368</v>
          </cell>
          <cell r="AB289">
            <v>2372.028004997203</v>
          </cell>
          <cell r="AC289">
            <v>2401.8374704377493</v>
          </cell>
          <cell r="AD289">
            <v>2445.1309775396853</v>
          </cell>
          <cell r="AE289">
            <v>2516.1911582055527</v>
          </cell>
        </row>
        <row r="290">
          <cell r="G290">
            <v>2766.2306421587773</v>
          </cell>
          <cell r="H290">
            <v>2818.4580776956645</v>
          </cell>
          <cell r="I290">
            <v>2891.2487001949826</v>
          </cell>
          <cell r="J290">
            <v>2928.2449547405686</v>
          </cell>
          <cell r="K290">
            <v>2963.6022730245368</v>
          </cell>
          <cell r="L290">
            <v>2967.139006534268</v>
          </cell>
          <cell r="M290">
            <v>2966.3889493279867</v>
          </cell>
          <cell r="N290">
            <v>3122.6086524580405</v>
          </cell>
          <cell r="O290">
            <v>3102.4778216604896</v>
          </cell>
          <cell r="P290">
            <v>3203.2341197678347</v>
          </cell>
          <cell r="Q290">
            <v>3308.1437877260823</v>
          </cell>
          <cell r="R290">
            <v>3416.7948674728191</v>
          </cell>
          <cell r="S290">
            <v>3565.1526112071565</v>
          </cell>
          <cell r="T290">
            <v>3680.8949130500373</v>
          </cell>
          <cell r="U290">
            <v>3890.9266215566536</v>
          </cell>
          <cell r="V290">
            <v>4108.0317271811991</v>
          </cell>
          <cell r="W290">
            <v>4297.4681162204697</v>
          </cell>
          <cell r="X290">
            <v>4366.5805978291328</v>
          </cell>
          <cell r="Y290">
            <v>4487.4959667609901</v>
          </cell>
          <cell r="Z290">
            <v>4926.8541427762138</v>
          </cell>
          <cell r="AA290">
            <v>5327.6338130134527</v>
          </cell>
          <cell r="AB290">
            <v>5467.5606581810716</v>
          </cell>
          <cell r="AC290">
            <v>5692.4167839611218</v>
          </cell>
          <cell r="AD290">
            <v>6015.7371534228814</v>
          </cell>
          <cell r="AE290">
            <v>6447.6555798742547</v>
          </cell>
        </row>
        <row r="291">
          <cell r="G291">
            <v>4846.9173570763787</v>
          </cell>
          <cell r="H291">
            <v>5008.2207596646458</v>
          </cell>
          <cell r="I291">
            <v>5233.033158836829</v>
          </cell>
          <cell r="J291">
            <v>5347.2953599171369</v>
          </cell>
          <cell r="K291">
            <v>5456.4957387404911</v>
          </cell>
          <cell r="L291">
            <v>5518.8324925047837</v>
          </cell>
          <cell r="M291">
            <v>5571.4355115558528</v>
          </cell>
          <cell r="N291">
            <v>5978.1045452741855</v>
          </cell>
          <cell r="O291">
            <v>5993.7545762651171</v>
          </cell>
          <cell r="P291">
            <v>6251.1086086014566</v>
          </cell>
          <cell r="Q291">
            <v>6545.0150556943636</v>
          </cell>
          <cell r="R291">
            <v>6857.360364281305</v>
          </cell>
          <cell r="S291">
            <v>7216.4853030157956</v>
          </cell>
          <cell r="T291">
            <v>7527.399842884297</v>
          </cell>
          <cell r="U291">
            <v>8068.4471852160214</v>
          </cell>
          <cell r="V291">
            <v>8637.0155147854675</v>
          </cell>
          <cell r="W291">
            <v>9132.2699067393223</v>
          </cell>
          <cell r="X291">
            <v>9334.210585621915</v>
          </cell>
          <cell r="Y291">
            <v>9652.3734184585046</v>
          </cell>
          <cell r="Z291">
            <v>10129.531809913426</v>
          </cell>
          <cell r="AA291">
            <v>10549.414687247838</v>
          </cell>
          <cell r="AB291">
            <v>10617.785206666567</v>
          </cell>
          <cell r="AC291">
            <v>10850.415661333316</v>
          </cell>
          <cell r="AD291">
            <v>11208.394192480373</v>
          </cell>
          <cell r="AE291">
            <v>11723.25428099248</v>
          </cell>
        </row>
        <row r="292">
          <cell r="G292">
            <v>8982.682049718147</v>
          </cell>
          <cell r="H292">
            <v>9133.9571886090871</v>
          </cell>
          <cell r="I292">
            <v>9228.0551391407607</v>
          </cell>
          <cell r="J292">
            <v>9325.9303391624871</v>
          </cell>
          <cell r="K292">
            <v>9435.3594788008522</v>
          </cell>
          <cell r="L292">
            <v>9402.5029670648019</v>
          </cell>
          <cell r="M292">
            <v>9317.0133829133265</v>
          </cell>
          <cell r="N292">
            <v>9594.8534284338602</v>
          </cell>
          <cell r="O292">
            <v>9549.1543135264837</v>
          </cell>
          <cell r="P292">
            <v>9905.9247494187312</v>
          </cell>
          <cell r="Q292">
            <v>10179.873946420012</v>
          </cell>
          <cell r="R292">
            <v>10570.47967384969</v>
          </cell>
          <cell r="S292">
            <v>11214.050773343295</v>
          </cell>
          <cell r="T292">
            <v>11613.829592872014</v>
          </cell>
          <cell r="U292">
            <v>12097.143965452469</v>
          </cell>
          <cell r="V292">
            <v>12642.748453845543</v>
          </cell>
          <cell r="W292">
            <v>13013.240075139931</v>
          </cell>
          <cell r="X292">
            <v>13291.521251566393</v>
          </cell>
          <cell r="Y292">
            <v>13704.521907588638</v>
          </cell>
          <cell r="Z292">
            <v>14204.638505637235</v>
          </cell>
          <cell r="AA292">
            <v>14704.160551185496</v>
          </cell>
          <cell r="AB292">
            <v>14715.028570659057</v>
          </cell>
          <cell r="AC292">
            <v>14928.119440779048</v>
          </cell>
          <cell r="AD292">
            <v>15215.031073933886</v>
          </cell>
          <cell r="AE292">
            <v>15656.809695717346</v>
          </cell>
        </row>
        <row r="293">
          <cell r="G293">
            <v>11026.806939503975</v>
          </cell>
          <cell r="H293">
            <v>11212.506682861736</v>
          </cell>
          <cell r="I293">
            <v>11328.017832891619</v>
          </cell>
          <cell r="J293">
            <v>11448.165794138758</v>
          </cell>
          <cell r="K293">
            <v>11582.496942638683</v>
          </cell>
          <cell r="L293">
            <v>11542.163508858694</v>
          </cell>
          <cell r="M293">
            <v>11437.219669751494</v>
          </cell>
          <cell r="N293">
            <v>11778.285792882729</v>
          </cell>
          <cell r="O293">
            <v>11722.187256320849</v>
          </cell>
          <cell r="P293">
            <v>12160.145395831078</v>
          </cell>
          <cell r="Q293">
            <v>12496.43525779497</v>
          </cell>
          <cell r="R293">
            <v>12975.92834482533</v>
          </cell>
          <cell r="S293">
            <v>13765.952329497366</v>
          </cell>
          <cell r="T293">
            <v>14256.705963773478</v>
          </cell>
          <cell r="U293">
            <v>14850.004741135788</v>
          </cell>
          <cell r="V293">
            <v>15519.768551714615</v>
          </cell>
          <cell r="W293">
            <v>15983.555698489869</v>
          </cell>
          <cell r="X293">
            <v>16194.710846388716</v>
          </cell>
          <cell r="Y293">
            <v>16576.532245536484</v>
          </cell>
          <cell r="Z293">
            <v>16934.510115706671</v>
          </cell>
          <cell r="AA293">
            <v>17217.490214471542</v>
          </cell>
          <cell r="AB293">
            <v>17241.166059223928</v>
          </cell>
          <cell r="AC293">
            <v>17506.071071606191</v>
          </cell>
          <cell r="AD293">
            <v>17889.73979428424</v>
          </cell>
          <cell r="AE293">
            <v>18472.572870047712</v>
          </cell>
        </row>
      </sheetData>
      <sheetData sheetId="8">
        <row r="20">
          <cell r="H20">
            <v>0.54056403834827815</v>
          </cell>
          <cell r="I20">
            <v>0.48200277076100684</v>
          </cell>
          <cell r="J20">
            <v>0.56609879065860214</v>
          </cell>
          <cell r="K20">
            <v>0.38751242004584513</v>
          </cell>
          <cell r="L20">
            <v>0.37711808922827855</v>
          </cell>
          <cell r="M20">
            <v>0.25636734424005708</v>
          </cell>
          <cell r="N20">
            <v>0.44466162759752242</v>
          </cell>
          <cell r="O20">
            <v>0.45536974953410997</v>
          </cell>
          <cell r="P20">
            <v>0.70573583862289258</v>
          </cell>
          <cell r="Q20">
            <v>0.32030228474056088</v>
          </cell>
          <cell r="R20">
            <v>0.45656607817537698</v>
          </cell>
          <cell r="S20">
            <v>0.54274096423648555</v>
          </cell>
          <cell r="T20">
            <v>0.5468986965635122</v>
          </cell>
          <cell r="U20">
            <v>0.68988938711233838</v>
          </cell>
          <cell r="V20">
            <v>0.53901469469811258</v>
          </cell>
          <cell r="W20">
            <v>0.3806850435515966</v>
          </cell>
          <cell r="X20">
            <v>0.49257182617893736</v>
          </cell>
          <cell r="Y20">
            <v>0.47062937090000179</v>
          </cell>
          <cell r="Z20">
            <v>0.56590400000000007</v>
          </cell>
          <cell r="AA20">
            <v>0.63572800000000007</v>
          </cell>
          <cell r="AB20">
            <v>0.55195677698180112</v>
          </cell>
          <cell r="AC20">
            <v>0.49509450059010646</v>
          </cell>
          <cell r="AD20">
            <v>0.48926806425812347</v>
          </cell>
          <cell r="AE20">
            <v>0.50707539425908554</v>
          </cell>
        </row>
        <row r="21">
          <cell r="H21">
            <v>0.40814400000000001</v>
          </cell>
          <cell r="I21">
            <v>0.39798</v>
          </cell>
          <cell r="J21">
            <v>0.425238</v>
          </cell>
          <cell r="K21">
            <v>0.88486200000000004</v>
          </cell>
          <cell r="L21">
            <v>0.683562</v>
          </cell>
          <cell r="M21">
            <v>0.85707600000000006</v>
          </cell>
          <cell r="N21">
            <v>0.88373999999999997</v>
          </cell>
          <cell r="O21">
            <v>1.075866</v>
          </cell>
          <cell r="P21">
            <v>1.041018</v>
          </cell>
          <cell r="Q21">
            <v>0.91416599999999992</v>
          </cell>
          <cell r="R21">
            <v>1.1944680000000001</v>
          </cell>
          <cell r="S21">
            <v>0.82579200000000008</v>
          </cell>
          <cell r="T21">
            <v>1.2765060000000001</v>
          </cell>
          <cell r="U21">
            <v>1.201794</v>
          </cell>
          <cell r="V21">
            <v>1.6133040000000001</v>
          </cell>
          <cell r="W21">
            <v>2.0698000000000003</v>
          </cell>
          <cell r="X21">
            <v>1.415</v>
          </cell>
          <cell r="Y21">
            <v>1.1031</v>
          </cell>
          <cell r="Z21">
            <v>1.0355000000000001</v>
          </cell>
          <cell r="AA21">
            <v>0.28970000000000001</v>
          </cell>
          <cell r="AB21">
            <v>0.96416996977002289</v>
          </cell>
          <cell r="AC21">
            <v>1.0474829794917409</v>
          </cell>
          <cell r="AD21">
            <v>1.0602062008599469</v>
          </cell>
          <cell r="AE21">
            <v>1.0741061198150028</v>
          </cell>
        </row>
        <row r="22">
          <cell r="H22">
            <v>0.210256</v>
          </cell>
          <cell r="I22">
            <v>0.20502000000000001</v>
          </cell>
          <cell r="J22">
            <v>0.21906200000000001</v>
          </cell>
          <cell r="K22">
            <v>0.45583800000000002</v>
          </cell>
          <cell r="L22">
            <v>0.35213800000000001</v>
          </cell>
          <cell r="M22">
            <v>0.44152400000000003</v>
          </cell>
          <cell r="N22">
            <v>0.45526000000000005</v>
          </cell>
          <cell r="O22">
            <v>0.554234</v>
          </cell>
          <cell r="P22">
            <v>0.53628200000000004</v>
          </cell>
          <cell r="Q22">
            <v>0.47093400000000002</v>
          </cell>
          <cell r="R22">
            <v>0.61533199999999999</v>
          </cell>
          <cell r="S22">
            <v>0.42540800000000006</v>
          </cell>
          <cell r="T22">
            <v>0.65759400000000001</v>
          </cell>
          <cell r="U22">
            <v>0.61910600000000016</v>
          </cell>
          <cell r="V22">
            <v>0.83109600000000017</v>
          </cell>
          <cell r="W22">
            <v>0.93820000000000003</v>
          </cell>
          <cell r="X22">
            <v>0.94359999999999999</v>
          </cell>
          <cell r="Y22">
            <v>0.53320000000000001</v>
          </cell>
          <cell r="Z22">
            <v>0.64049999999999996</v>
          </cell>
          <cell r="AA22">
            <v>0.29170000000000001</v>
          </cell>
          <cell r="AB22">
            <v>0.43694662123493522</v>
          </cell>
          <cell r="AC22">
            <v>0.58273476357135601</v>
          </cell>
          <cell r="AD22">
            <v>0.6086834810811409</v>
          </cell>
          <cell r="AE22">
            <v>0.64149366754371639</v>
          </cell>
        </row>
        <row r="23">
          <cell r="H23">
            <v>1.9095</v>
          </cell>
          <cell r="I23">
            <v>2.8365629999999999</v>
          </cell>
          <cell r="J23">
            <v>2.2281</v>
          </cell>
          <cell r="K23">
            <v>1.61</v>
          </cell>
          <cell r="L23">
            <v>1.4142000000000001</v>
          </cell>
          <cell r="M23">
            <v>1.5080250000000002</v>
          </cell>
          <cell r="N23">
            <v>0.83910000000000007</v>
          </cell>
          <cell r="O23">
            <v>1.2907</v>
          </cell>
          <cell r="P23">
            <v>3.8820000000000001</v>
          </cell>
          <cell r="Q23">
            <v>3.8363</v>
          </cell>
          <cell r="R23">
            <v>5.9918000000000005</v>
          </cell>
          <cell r="S23">
            <v>4.3921000000000001</v>
          </cell>
          <cell r="T23">
            <v>3.3323</v>
          </cell>
          <cell r="U23">
            <v>3.0750000000000002</v>
          </cell>
          <cell r="V23">
            <v>3.1429999999999998</v>
          </cell>
          <cell r="W23">
            <v>2.3030999999999997</v>
          </cell>
          <cell r="X23">
            <v>1.4487000000000001</v>
          </cell>
          <cell r="Y23">
            <v>2.0606</v>
          </cell>
          <cell r="Z23">
            <v>3.4781999999999997</v>
          </cell>
          <cell r="AA23">
            <v>2.6520000000000001</v>
          </cell>
          <cell r="AB23">
            <v>2.9438208100000005</v>
          </cell>
          <cell r="AC23">
            <v>2.7560084900000006</v>
          </cell>
          <cell r="AD23">
            <v>2.603018580000001</v>
          </cell>
          <cell r="AE23">
            <v>2.6672277900000001</v>
          </cell>
        </row>
        <row r="24">
          <cell r="H24">
            <v>0.14913168675370994</v>
          </cell>
          <cell r="I24">
            <v>0.1329757089339306</v>
          </cell>
          <cell r="J24">
            <v>0.15617625578296401</v>
          </cell>
          <cell r="K24">
            <v>0.1069075571805157</v>
          </cell>
          <cell r="L24">
            <v>0.10403995227613426</v>
          </cell>
          <cell r="M24">
            <v>7.0727040207687705E-2</v>
          </cell>
          <cell r="N24">
            <v>0.12267397357932248</v>
          </cell>
          <cell r="O24">
            <v>0.12562814768836453</v>
          </cell>
          <cell r="P24">
            <v>0.19469955185691878</v>
          </cell>
          <cell r="Q24">
            <v>8.8365515657279348E-2</v>
          </cell>
          <cell r="R24">
            <v>0.12595819278113293</v>
          </cell>
          <cell r="S24">
            <v>0.14973226061104264</v>
          </cell>
          <cell r="T24">
            <v>0.15087930257279522</v>
          </cell>
          <cell r="U24">
            <v>0.19032780702155982</v>
          </cell>
          <cell r="V24">
            <v>0.14870425130569837</v>
          </cell>
          <cell r="W24">
            <v>0.16880282991010148</v>
          </cell>
          <cell r="X24">
            <v>0.21751936506571806</v>
          </cell>
          <cell r="Y24">
            <v>0.19732937621560423</v>
          </cell>
          <cell r="Z24">
            <v>0.10970000000000001</v>
          </cell>
          <cell r="AA24">
            <v>9.4200000000000006E-2</v>
          </cell>
          <cell r="AB24">
            <v>9.8923323863743931E-2</v>
          </cell>
          <cell r="AC24">
            <v>0.10283212131183471</v>
          </cell>
          <cell r="AD24">
            <v>0.11325872838672849</v>
          </cell>
          <cell r="AE24">
            <v>0.12860505588071519</v>
          </cell>
        </row>
        <row r="25">
          <cell r="H25">
            <v>6.0347113246290073E-2</v>
          </cell>
          <cell r="I25">
            <v>5.3809491066069394E-2</v>
          </cell>
          <cell r="J25">
            <v>6.3197744217035973E-2</v>
          </cell>
          <cell r="K25">
            <v>4.326084281948428E-2</v>
          </cell>
          <cell r="L25">
            <v>4.2100447723865751E-2</v>
          </cell>
          <cell r="M25">
            <v>2.8620159792312291E-2</v>
          </cell>
          <cell r="N25">
            <v>4.9640826420677527E-2</v>
          </cell>
          <cell r="O25">
            <v>5.0836252311635494E-2</v>
          </cell>
          <cell r="P25">
            <v>7.8786448143081236E-2</v>
          </cell>
          <cell r="Q25">
            <v>3.5757684342720655E-2</v>
          </cell>
          <cell r="R25">
            <v>5.0969807218867055E-2</v>
          </cell>
          <cell r="S25">
            <v>6.059013938895734E-2</v>
          </cell>
          <cell r="T25">
            <v>6.1054297427204751E-2</v>
          </cell>
          <cell r="U25">
            <v>7.7017392978440125E-2</v>
          </cell>
          <cell r="V25">
            <v>6.0174148694301641E-2</v>
          </cell>
          <cell r="W25">
            <v>6.8307170089898533E-2</v>
          </cell>
          <cell r="X25">
            <v>8.8020634934281985E-2</v>
          </cell>
          <cell r="Y25">
            <v>7.9850623784395738E-2</v>
          </cell>
          <cell r="Z25">
            <v>0.10970000000000001</v>
          </cell>
          <cell r="AA25">
            <v>9.4200000000000006E-2</v>
          </cell>
          <cell r="AB25">
            <v>9.8923323863743931E-2</v>
          </cell>
          <cell r="AC25">
            <v>0.10283212131183471</v>
          </cell>
          <cell r="AD25">
            <v>0.11325872838672849</v>
          </cell>
          <cell r="AE25">
            <v>0.12860505588071519</v>
          </cell>
        </row>
        <row r="26">
          <cell r="H26">
            <v>6.7900000000000002E-2</v>
          </cell>
          <cell r="I26">
            <v>9.3099999999999988E-2</v>
          </cell>
          <cell r="J26">
            <v>0.17349999999999999</v>
          </cell>
          <cell r="K26">
            <v>0.1865</v>
          </cell>
          <cell r="L26">
            <v>9.8900000000000002E-2</v>
          </cell>
          <cell r="M26">
            <v>0.1036</v>
          </cell>
          <cell r="N26">
            <v>0.1033</v>
          </cell>
          <cell r="O26">
            <v>0.10299999999999999</v>
          </cell>
          <cell r="P26">
            <v>0.16839999999999999</v>
          </cell>
          <cell r="Q26">
            <v>9.3099999999999988E-2</v>
          </cell>
          <cell r="R26">
            <v>0.1729</v>
          </cell>
          <cell r="S26">
            <v>0.18819999999999998</v>
          </cell>
          <cell r="T26">
            <v>0.14849999999999999</v>
          </cell>
          <cell r="U26">
            <v>0.13639999999999999</v>
          </cell>
          <cell r="V26">
            <v>0.11509999999999999</v>
          </cell>
          <cell r="W26">
            <v>0.34855169999999996</v>
          </cell>
          <cell r="X26">
            <v>0.44914379999999998</v>
          </cell>
          <cell r="Y26">
            <v>0.4074546</v>
          </cell>
          <cell r="Z26">
            <v>3.5369000000000002</v>
          </cell>
          <cell r="AA26">
            <v>3.9733000000000001</v>
          </cell>
          <cell r="AB26">
            <v>3.449729856136257</v>
          </cell>
          <cell r="AC26">
            <v>3.0943406286881654</v>
          </cell>
          <cell r="AD26">
            <v>3.0579254016132715</v>
          </cell>
          <cell r="AE26">
            <v>3.1692212141192844</v>
          </cell>
        </row>
        <row r="27">
          <cell r="H27">
            <v>0.34329999999999999</v>
          </cell>
          <cell r="I27">
            <v>0.83960000000000001</v>
          </cell>
          <cell r="J27">
            <v>0.4824</v>
          </cell>
          <cell r="K27">
            <v>0.71140000000000003</v>
          </cell>
          <cell r="L27">
            <v>0.39800000000000002</v>
          </cell>
          <cell r="M27">
            <v>0.2858</v>
          </cell>
          <cell r="N27">
            <v>0.30269999999999997</v>
          </cell>
          <cell r="O27">
            <v>0.52510000000000001</v>
          </cell>
          <cell r="P27">
            <v>0.63970000000000005</v>
          </cell>
          <cell r="Q27">
            <v>0.7984</v>
          </cell>
          <cell r="R27">
            <v>2.4916999999999998</v>
          </cell>
          <cell r="S27">
            <v>1.8120000000000001</v>
          </cell>
          <cell r="T27">
            <v>1.2810999999999999</v>
          </cell>
          <cell r="U27">
            <v>1.1297999999999999</v>
          </cell>
          <cell r="V27">
            <v>0.46079999999999999</v>
          </cell>
          <cell r="W27">
            <v>0.1757</v>
          </cell>
          <cell r="X27">
            <v>0.44230000000000003</v>
          </cell>
          <cell r="Y27">
            <v>0.30010000000000003</v>
          </cell>
          <cell r="Z27">
            <v>0.32750000000000001</v>
          </cell>
          <cell r="AA27">
            <v>0.47720000000000001</v>
          </cell>
          <cell r="AB27">
            <v>0.55912742999999965</v>
          </cell>
          <cell r="AC27">
            <v>0.54529235000000031</v>
          </cell>
          <cell r="AD27">
            <v>0.40671768999999997</v>
          </cell>
          <cell r="AE27">
            <v>0.44228138999999994</v>
          </cell>
        </row>
        <row r="28">
          <cell r="H28">
            <v>0.20303249999999998</v>
          </cell>
          <cell r="I28">
            <v>0.28772999999999999</v>
          </cell>
          <cell r="J28">
            <v>0.3148125</v>
          </cell>
          <cell r="K28">
            <v>0.34934699999999996</v>
          </cell>
          <cell r="L28">
            <v>0.195408</v>
          </cell>
          <cell r="M28">
            <v>0.33637499999999998</v>
          </cell>
          <cell r="N28">
            <v>0.13727549999999999</v>
          </cell>
          <cell r="O28">
            <v>0.35469449999999997</v>
          </cell>
          <cell r="P28">
            <v>0.25029750000000001</v>
          </cell>
          <cell r="Q28">
            <v>0.1968915</v>
          </cell>
          <cell r="R28">
            <v>0.43252649999999998</v>
          </cell>
          <cell r="S28">
            <v>0.54820499999999994</v>
          </cell>
          <cell r="T28">
            <v>0.97724699999999987</v>
          </cell>
          <cell r="U28">
            <v>0.84756149999999986</v>
          </cell>
          <cell r="V28">
            <v>0.64639199999999997</v>
          </cell>
          <cell r="W28">
            <v>0.33719399999999999</v>
          </cell>
          <cell r="X28">
            <v>0.39087360000000004</v>
          </cell>
          <cell r="Y28">
            <v>0.30558060000000004</v>
          </cell>
          <cell r="Z28">
            <v>3.7835000000000001</v>
          </cell>
          <cell r="AA28">
            <v>1.3673</v>
          </cell>
          <cell r="AB28">
            <v>1.8872418900000005</v>
          </cell>
          <cell r="AC28">
            <v>1.84246679</v>
          </cell>
          <cell r="AD28">
            <v>1.9964261199999997</v>
          </cell>
          <cell r="AE28">
            <v>2.11022474</v>
          </cell>
        </row>
        <row r="29">
          <cell r="H29">
            <v>0.38546750000000002</v>
          </cell>
          <cell r="I29">
            <v>0.54627000000000003</v>
          </cell>
          <cell r="J29">
            <v>0.59768750000000004</v>
          </cell>
          <cell r="K29">
            <v>0.66325300000000009</v>
          </cell>
          <cell r="L29">
            <v>0.37099200000000004</v>
          </cell>
          <cell r="M29">
            <v>0.638625</v>
          </cell>
          <cell r="N29">
            <v>0.26062450000000004</v>
          </cell>
          <cell r="O29">
            <v>0.67340549999999999</v>
          </cell>
          <cell r="P29">
            <v>0.47520250000000003</v>
          </cell>
          <cell r="Q29">
            <v>0.37380850000000004</v>
          </cell>
          <cell r="R29">
            <v>0.82117350000000011</v>
          </cell>
          <cell r="S29">
            <v>1.0407950000000001</v>
          </cell>
          <cell r="T29">
            <v>1.855353</v>
          </cell>
          <cell r="U29">
            <v>1.6091385</v>
          </cell>
          <cell r="V29">
            <v>1.2272080000000001</v>
          </cell>
          <cell r="W29">
            <v>1.1038060000000001</v>
          </cell>
          <cell r="X29">
            <v>1.2795264000000002</v>
          </cell>
          <cell r="Y29">
            <v>1.0003194000000002</v>
          </cell>
          <cell r="Z29">
            <v>3.7835000000000001</v>
          </cell>
          <cell r="AA29">
            <v>1.3673</v>
          </cell>
          <cell r="AB29">
            <v>1.8872418900000005</v>
          </cell>
          <cell r="AC29">
            <v>1.84246679</v>
          </cell>
          <cell r="AD29">
            <v>1.9964261199999997</v>
          </cell>
          <cell r="AE29">
            <v>2.11022474</v>
          </cell>
        </row>
        <row r="30">
          <cell r="H30">
            <v>0.66609400000000007</v>
          </cell>
          <cell r="I30">
            <v>1.1484180000000002</v>
          </cell>
          <cell r="J30">
            <v>0.55253399999999997</v>
          </cell>
          <cell r="K30">
            <v>0.6476320000000001</v>
          </cell>
          <cell r="L30">
            <v>0.68836400000000009</v>
          </cell>
          <cell r="M30">
            <v>0.40613802400000004</v>
          </cell>
          <cell r="N30">
            <v>0.97611110000000012</v>
          </cell>
          <cell r="O30">
            <v>0.44944599999999996</v>
          </cell>
          <cell r="P30">
            <v>1.0394595600000001</v>
          </cell>
          <cell r="Q30">
            <v>1.9108285600000001</v>
          </cell>
          <cell r="R30">
            <v>2.0233162</v>
          </cell>
          <cell r="S30">
            <v>1.5876980000000001</v>
          </cell>
          <cell r="T30">
            <v>1.3800260000000002</v>
          </cell>
          <cell r="U30">
            <v>1.4298360000000001</v>
          </cell>
          <cell r="V30">
            <v>1.3088299999999999</v>
          </cell>
          <cell r="W30">
            <v>1.4430000000000001</v>
          </cell>
          <cell r="X30">
            <v>1.3551</v>
          </cell>
          <cell r="Y30">
            <v>1.248</v>
          </cell>
          <cell r="Z30">
            <v>1.1154000000000002</v>
          </cell>
          <cell r="AA30">
            <v>1.0509999999999999</v>
          </cell>
          <cell r="AB30">
            <v>1.2799544001277074</v>
          </cell>
          <cell r="AC30">
            <v>1.4046792195590034</v>
          </cell>
          <cell r="AD30">
            <v>1.4878548079657998</v>
          </cell>
          <cell r="AE30">
            <v>1.4917427808967407</v>
          </cell>
        </row>
        <row r="31">
          <cell r="H31">
            <v>1.2930060000000001</v>
          </cell>
          <cell r="I31">
            <v>2.229282</v>
          </cell>
          <cell r="J31">
            <v>1.0725660000000001</v>
          </cell>
          <cell r="K31">
            <v>1.2571680000000001</v>
          </cell>
          <cell r="L31">
            <v>1.3362360000000002</v>
          </cell>
          <cell r="M31">
            <v>0.78838557600000003</v>
          </cell>
          <cell r="N31">
            <v>1.8948039000000001</v>
          </cell>
          <cell r="O31">
            <v>0.87245399999999995</v>
          </cell>
          <cell r="P31">
            <v>2.0177744400000002</v>
          </cell>
          <cell r="Q31">
            <v>3.7092554399999997</v>
          </cell>
          <cell r="R31">
            <v>3.9276137999999996</v>
          </cell>
          <cell r="S31">
            <v>3.0820020000000001</v>
          </cell>
          <cell r="T31">
            <v>2.6788740000000009</v>
          </cell>
          <cell r="U31">
            <v>2.7755639999999997</v>
          </cell>
          <cell r="V31">
            <v>2.5406699999999995</v>
          </cell>
          <cell r="W31">
            <v>1.5496500000000002</v>
          </cell>
          <cell r="X31">
            <v>3.1783999999999999</v>
          </cell>
          <cell r="Y31">
            <v>3.2438500000000001</v>
          </cell>
          <cell r="Z31">
            <v>1.3588</v>
          </cell>
          <cell r="AA31">
            <v>0.66200000000000003</v>
          </cell>
          <cell r="AB31">
            <v>1.2854712808283151</v>
          </cell>
          <cell r="AC31">
            <v>1.5350817518422488</v>
          </cell>
          <cell r="AD31">
            <v>1.3825302212329729</v>
          </cell>
          <cell r="AE31">
            <v>1.2973344781524432</v>
          </cell>
        </row>
        <row r="53">
          <cell r="H53">
            <v>4.6720565328458212</v>
          </cell>
          <cell r="I53">
            <v>1.5093528080297529</v>
          </cell>
          <cell r="J53">
            <v>1.6326353993862486</v>
          </cell>
          <cell r="K53">
            <v>2.6697249363466713</v>
          </cell>
          <cell r="L53">
            <v>1.9057770751539596</v>
          </cell>
          <cell r="M53">
            <v>1.3124038157725313</v>
          </cell>
          <cell r="N53">
            <v>1.0072288765130091</v>
          </cell>
          <cell r="O53">
            <v>1.7837576251023464</v>
          </cell>
          <cell r="P53">
            <v>1.8651544507889506</v>
          </cell>
          <cell r="Q53">
            <v>2.2166108874593542</v>
          </cell>
          <cell r="R53">
            <v>2.5878733797903091</v>
          </cell>
          <cell r="S53">
            <v>4.1569475087148886</v>
          </cell>
          <cell r="T53">
            <v>5.6567509684797317</v>
          </cell>
          <cell r="U53">
            <v>5.4289813283833865</v>
          </cell>
          <cell r="V53">
            <v>3.5235074071425996</v>
          </cell>
          <cell r="W53">
            <v>2.4352050691170355</v>
          </cell>
          <cell r="X53">
            <v>2.1414388221232086</v>
          </cell>
          <cell r="Y53">
            <v>2.302555021843534</v>
          </cell>
          <cell r="Z53">
            <v>1.4488319999999999</v>
          </cell>
          <cell r="AA53">
            <v>4.2056000000000004</v>
          </cell>
          <cell r="AB53">
            <v>2.5994797107084047</v>
          </cell>
          <cell r="AC53">
            <v>2.6698126381317313</v>
          </cell>
          <cell r="AD53">
            <v>2.4533274635786939</v>
          </cell>
          <cell r="AE53">
            <v>2.3671787571438605</v>
          </cell>
        </row>
        <row r="54">
          <cell r="H54">
            <v>2.1049529227503614</v>
          </cell>
          <cell r="I54">
            <v>0.68002529130110145</v>
          </cell>
          <cell r="J54">
            <v>0.7355691506648977</v>
          </cell>
          <cell r="K54">
            <v>1.2028204856244402</v>
          </cell>
          <cell r="L54">
            <v>0.85863066858321024</v>
          </cell>
          <cell r="M54">
            <v>0.59129169957975791</v>
          </cell>
          <cell r="N54">
            <v>0.45379788377757357</v>
          </cell>
          <cell r="O54">
            <v>0.80365590613912508</v>
          </cell>
          <cell r="P54">
            <v>0.84032851164530364</v>
          </cell>
          <cell r="Q54">
            <v>0.99867403858570003</v>
          </cell>
          <cell r="R54">
            <v>1.1659430052271653</v>
          </cell>
          <cell r="S54">
            <v>1.8728751988922039</v>
          </cell>
          <cell r="T54">
            <v>2.5485981174802896</v>
          </cell>
          <cell r="U54">
            <v>2.4459785609179971</v>
          </cell>
          <cell r="V54">
            <v>1.587484475595518</v>
          </cell>
          <cell r="W54">
            <v>1.0971596751232116</v>
          </cell>
          <cell r="X54">
            <v>0.96480594269985731</v>
          </cell>
          <cell r="Y54">
            <v>1.0373953930028383</v>
          </cell>
          <cell r="Z54">
            <v>0.90551999999999988</v>
          </cell>
          <cell r="AA54">
            <v>2.6284999999999998</v>
          </cell>
          <cell r="AB54">
            <v>1.6246748191927527</v>
          </cell>
          <cell r="AC54">
            <v>1.668632898832332</v>
          </cell>
          <cell r="AD54">
            <v>1.5333296647366834</v>
          </cell>
          <cell r="AE54">
            <v>1.4794867232149127</v>
          </cell>
        </row>
        <row r="55">
          <cell r="H55">
            <v>2.4698905444038184</v>
          </cell>
          <cell r="I55">
            <v>0.79792190066914614</v>
          </cell>
          <cell r="J55">
            <v>0.86309544994885412</v>
          </cell>
          <cell r="K55">
            <v>1.4113545780288896</v>
          </cell>
          <cell r="L55">
            <v>1.0074922562628299</v>
          </cell>
          <cell r="M55">
            <v>0.69380448464771105</v>
          </cell>
          <cell r="N55">
            <v>0.53247323970941751</v>
          </cell>
          <cell r="O55">
            <v>0.94298646875852898</v>
          </cell>
          <cell r="P55">
            <v>0.98601703756574599</v>
          </cell>
          <cell r="Q55">
            <v>1.1718150739549462</v>
          </cell>
          <cell r="R55">
            <v>1.368083614982526</v>
          </cell>
          <cell r="S55">
            <v>2.1975772923929076</v>
          </cell>
          <cell r="T55">
            <v>2.9904509140399775</v>
          </cell>
          <cell r="U55">
            <v>2.8700401106986155</v>
          </cell>
          <cell r="V55">
            <v>1.8627081172618836</v>
          </cell>
          <cell r="W55">
            <v>1.2873752557597529</v>
          </cell>
          <cell r="X55">
            <v>1.1320752351769341</v>
          </cell>
          <cell r="Y55">
            <v>1.2172495851536278</v>
          </cell>
          <cell r="Z55">
            <v>0.23284799999999997</v>
          </cell>
          <cell r="AA55">
            <v>0.67589999999999995</v>
          </cell>
          <cell r="AB55">
            <v>0.41777352493527931</v>
          </cell>
          <cell r="AC55">
            <v>0.42907703112831391</v>
          </cell>
          <cell r="AD55">
            <v>0.39428477093229003</v>
          </cell>
          <cell r="AE55">
            <v>0.38043944311240613</v>
          </cell>
        </row>
        <row r="56">
          <cell r="H56">
            <v>1.1645465043915073</v>
          </cell>
          <cell r="I56">
            <v>1.1001820295846425</v>
          </cell>
          <cell r="J56">
            <v>0.77513011814390298</v>
          </cell>
          <cell r="K56">
            <v>0.68998963836582305</v>
          </cell>
          <cell r="L56">
            <v>0.47628477138962716</v>
          </cell>
          <cell r="M56">
            <v>0.72979317264235954</v>
          </cell>
          <cell r="N56">
            <v>1.1207523315363412</v>
          </cell>
          <cell r="O56">
            <v>1.7296949802124721</v>
          </cell>
          <cell r="P56">
            <v>1.2091017784188862</v>
          </cell>
          <cell r="Q56">
            <v>0.64730626181604856</v>
          </cell>
          <cell r="R56">
            <v>0.79226517966966792</v>
          </cell>
          <cell r="S56">
            <v>1.1545493376429821</v>
          </cell>
          <cell r="T56">
            <v>1.6151595389454148</v>
          </cell>
          <cell r="U56">
            <v>1.1894365697530624</v>
          </cell>
          <cell r="V56">
            <v>1.2257225823958589</v>
          </cell>
          <cell r="W56">
            <v>1.0573849449768578</v>
          </cell>
          <cell r="X56">
            <v>0.72875294390060763</v>
          </cell>
          <cell r="Y56">
            <v>0.92132453975849626</v>
          </cell>
          <cell r="Z56">
            <v>1.6346550000000002</v>
          </cell>
          <cell r="AA56">
            <v>2.0905169999999997</v>
          </cell>
          <cell r="AB56">
            <v>1.7691131441651935</v>
          </cell>
          <cell r="AC56">
            <v>1.7050112905317358</v>
          </cell>
          <cell r="AD56">
            <v>1.6258923167686812</v>
          </cell>
          <cell r="AE56">
            <v>1.7031142550524103</v>
          </cell>
        </row>
        <row r="57">
          <cell r="H57">
            <v>2.1508979819924536</v>
          </cell>
          <cell r="I57">
            <v>2.0320178699041631</v>
          </cell>
          <cell r="J57">
            <v>1.4316524077056443</v>
          </cell>
          <cell r="K57">
            <v>1.2743993607470525</v>
          </cell>
          <cell r="L57">
            <v>0.87969003365045617</v>
          </cell>
          <cell r="M57">
            <v>1.3479158250777785</v>
          </cell>
          <cell r="N57">
            <v>2.0700108747262438</v>
          </cell>
          <cell r="O57">
            <v>3.1947177964742988</v>
          </cell>
          <cell r="P57">
            <v>2.2331908304370804</v>
          </cell>
          <cell r="Q57">
            <v>1.195563875741235</v>
          </cell>
          <cell r="R57">
            <v>1.4633005807224375</v>
          </cell>
          <cell r="S57">
            <v>2.1324333816489229</v>
          </cell>
          <cell r="T57">
            <v>2.983172745624953</v>
          </cell>
          <cell r="U57">
            <v>2.1968695178271713</v>
          </cell>
          <cell r="V57">
            <v>2.2638891783333217</v>
          </cell>
          <cell r="W57">
            <v>1.9529723680105797</v>
          </cell>
          <cell r="X57">
            <v>1.3459945399311508</v>
          </cell>
          <cell r="Y57">
            <v>1.701671067538973</v>
          </cell>
          <cell r="Z57">
            <v>0.59441999999999995</v>
          </cell>
          <cell r="AA57">
            <v>0.76018799999999986</v>
          </cell>
          <cell r="AB57">
            <v>0.64331387060552492</v>
          </cell>
          <cell r="AC57">
            <v>0.62000410564790387</v>
          </cell>
          <cell r="AD57">
            <v>0.59123356973406582</v>
          </cell>
          <cell r="AE57">
            <v>0.61931427456451282</v>
          </cell>
        </row>
        <row r="58">
          <cell r="H58">
            <v>0.53772449549811341</v>
          </cell>
          <cell r="I58">
            <v>0.50800446747604078</v>
          </cell>
          <cell r="J58">
            <v>0.35791310192641107</v>
          </cell>
          <cell r="K58">
            <v>0.31859984018676313</v>
          </cell>
          <cell r="L58">
            <v>0.21992250841261404</v>
          </cell>
          <cell r="M58">
            <v>0.33697895626944463</v>
          </cell>
          <cell r="N58">
            <v>0.51750271868156095</v>
          </cell>
          <cell r="O58">
            <v>0.79867944911857469</v>
          </cell>
          <cell r="P58">
            <v>0.55829770760927011</v>
          </cell>
          <cell r="Q58">
            <v>0.29889096893530875</v>
          </cell>
          <cell r="R58">
            <v>0.36582514518060938</v>
          </cell>
          <cell r="S58">
            <v>0.53310834541223073</v>
          </cell>
          <cell r="T58">
            <v>0.74579318640623826</v>
          </cell>
          <cell r="U58">
            <v>0.54921737945679283</v>
          </cell>
          <cell r="V58">
            <v>0.56597229458333043</v>
          </cell>
          <cell r="W58">
            <v>0.48824309200264493</v>
          </cell>
          <cell r="X58">
            <v>0.3364986349827877</v>
          </cell>
          <cell r="Y58">
            <v>0.42541776688474325</v>
          </cell>
          <cell r="Z58">
            <v>2.1300050000000001</v>
          </cell>
          <cell r="AA58">
            <v>2.7240069999999998</v>
          </cell>
          <cell r="AB58">
            <v>2.305208036336464</v>
          </cell>
          <cell r="AC58">
            <v>2.2216813785716556</v>
          </cell>
          <cell r="AD58">
            <v>2.118586958213736</v>
          </cell>
          <cell r="AE58">
            <v>2.2192094838561709</v>
          </cell>
        </row>
        <row r="59">
          <cell r="H59">
            <v>1.0381942181179253</v>
          </cell>
          <cell r="I59">
            <v>0.980813233035153</v>
          </cell>
          <cell r="J59">
            <v>0.69102917222404159</v>
          </cell>
          <cell r="K59">
            <v>0.61512636070036175</v>
          </cell>
          <cell r="L59">
            <v>0.42460828654730265</v>
          </cell>
          <cell r="M59">
            <v>0.65061124601041742</v>
          </cell>
          <cell r="N59">
            <v>0.99915167505585367</v>
          </cell>
          <cell r="O59">
            <v>1.542024574194655</v>
          </cell>
          <cell r="P59">
            <v>1.077915283534763</v>
          </cell>
          <cell r="Q59">
            <v>0.57707409350740779</v>
          </cell>
          <cell r="R59">
            <v>0.70630509442728517</v>
          </cell>
          <cell r="S59">
            <v>1.029281735295865</v>
          </cell>
          <cell r="T59">
            <v>1.4399161290233935</v>
          </cell>
          <cell r="U59">
            <v>1.0603837329629731</v>
          </cell>
          <cell r="V59">
            <v>1.092732744687489</v>
          </cell>
          <cell r="W59">
            <v>0.94265959500991836</v>
          </cell>
          <cell r="X59">
            <v>0.64968388118545384</v>
          </cell>
          <cell r="Y59">
            <v>0.82136162581778727</v>
          </cell>
          <cell r="Z59">
            <v>0.59441999999999995</v>
          </cell>
          <cell r="AA59">
            <v>0.76018799999999986</v>
          </cell>
          <cell r="AB59">
            <v>0.64331387060552492</v>
          </cell>
          <cell r="AC59">
            <v>0.62000410564790387</v>
          </cell>
          <cell r="AD59">
            <v>0.59123356973406582</v>
          </cell>
          <cell r="AE59">
            <v>0.61931427456451282</v>
          </cell>
        </row>
        <row r="60">
          <cell r="H60">
            <v>1.6924380000000001</v>
          </cell>
          <cell r="I60">
            <v>1.484802</v>
          </cell>
          <cell r="J60">
            <v>2.0873819999999998</v>
          </cell>
          <cell r="K60">
            <v>2.0856660000000002</v>
          </cell>
          <cell r="L60">
            <v>2.3110560000000002</v>
          </cell>
          <cell r="M60">
            <v>3.1661519999999999</v>
          </cell>
          <cell r="N60">
            <v>2.39778</v>
          </cell>
          <cell r="O60">
            <v>1.4201721599999999</v>
          </cell>
          <cell r="P60">
            <v>2.9824739999999998</v>
          </cell>
          <cell r="Q60">
            <v>1.9324140000000003</v>
          </cell>
          <cell r="R60">
            <v>1.907796</v>
          </cell>
          <cell r="S60">
            <v>2.3078220000000003</v>
          </cell>
          <cell r="T60">
            <v>2.4817980000000004</v>
          </cell>
          <cell r="U60">
            <v>2.3626019999999999</v>
          </cell>
          <cell r="V60">
            <v>2.16249</v>
          </cell>
          <cell r="W60">
            <v>2.6243000000000003</v>
          </cell>
          <cell r="X60">
            <v>3.7761</v>
          </cell>
          <cell r="Y60">
            <v>2.5621999999999998</v>
          </cell>
          <cell r="Z60">
            <v>3.0191999999999997</v>
          </cell>
          <cell r="AA60">
            <v>2.9931000000000001</v>
          </cell>
          <cell r="AB60">
            <v>2.8918301090794269</v>
          </cell>
          <cell r="AC60">
            <v>3.782360064278282</v>
          </cell>
          <cell r="AD60">
            <v>3.4705377413257055</v>
          </cell>
          <cell r="AE60">
            <v>3.2160116321090824</v>
          </cell>
        </row>
        <row r="61">
          <cell r="H61">
            <v>0.87186200000000003</v>
          </cell>
          <cell r="I61">
            <v>0.76489800000000008</v>
          </cell>
          <cell r="J61">
            <v>1.075318</v>
          </cell>
          <cell r="K61">
            <v>1.0744339999999999</v>
          </cell>
          <cell r="L61">
            <v>1.190544</v>
          </cell>
          <cell r="M61">
            <v>1.6310480000000001</v>
          </cell>
          <cell r="N61">
            <v>1.23522</v>
          </cell>
          <cell r="O61">
            <v>0.73160384000000001</v>
          </cell>
          <cell r="P61">
            <v>1.5364259999999998</v>
          </cell>
          <cell r="Q61">
            <v>0.99548600000000009</v>
          </cell>
          <cell r="R61">
            <v>0.98280400000000012</v>
          </cell>
          <cell r="S61">
            <v>1.1888779999999999</v>
          </cell>
          <cell r="T61">
            <v>1.2785020000000002</v>
          </cell>
          <cell r="U61">
            <v>1.217098</v>
          </cell>
          <cell r="V61">
            <v>1.1140099999999999</v>
          </cell>
          <cell r="W61">
            <v>1.2012</v>
          </cell>
          <cell r="X61">
            <v>1.5534000000000001</v>
          </cell>
          <cell r="Y61">
            <v>0.81710000000000005</v>
          </cell>
          <cell r="Z61">
            <v>1.2970999999999999</v>
          </cell>
          <cell r="AA61">
            <v>1.4250999999999998</v>
          </cell>
          <cell r="AB61">
            <v>1.3376018689940781</v>
          </cell>
          <cell r="AC61">
            <v>1.4693053926132156</v>
          </cell>
          <cell r="AD61">
            <v>1.3354667382339562</v>
          </cell>
          <cell r="AE61">
            <v>1.249250206816515</v>
          </cell>
        </row>
        <row r="62">
          <cell r="H62">
            <v>5.2438000000000002</v>
          </cell>
          <cell r="I62">
            <v>3.0779999999999998</v>
          </cell>
          <cell r="J62">
            <v>3.5724999999999998</v>
          </cell>
          <cell r="K62">
            <v>4.5848000000000004</v>
          </cell>
          <cell r="L62">
            <v>3.4581999999999997</v>
          </cell>
          <cell r="M62">
            <v>3.2988000000000004</v>
          </cell>
          <cell r="N62">
            <v>3.1168</v>
          </cell>
          <cell r="O62">
            <v>3.8371</v>
          </cell>
          <cell r="P62">
            <v>5.0454999999999997</v>
          </cell>
          <cell r="Q62">
            <v>6.3580129999999997</v>
          </cell>
          <cell r="R62">
            <v>4.7816999999999998</v>
          </cell>
          <cell r="S62">
            <v>6.0843999999999996</v>
          </cell>
          <cell r="T62">
            <v>5.7608000000000006</v>
          </cell>
          <cell r="U62">
            <v>5.1916000000000002</v>
          </cell>
          <cell r="V62">
            <v>6.0718000000000005</v>
          </cell>
          <cell r="W62">
            <v>2.7429000000000001</v>
          </cell>
          <cell r="X62">
            <v>4.8205</v>
          </cell>
          <cell r="Y62">
            <v>3.1579999999999999</v>
          </cell>
          <cell r="Z62">
            <v>4.7521000000000004</v>
          </cell>
          <cell r="AA62">
            <v>4.5863000000000005</v>
          </cell>
          <cell r="AB62">
            <v>4.2521218800000069</v>
          </cell>
          <cell r="AC62">
            <v>4.1643903399999962</v>
          </cell>
          <cell r="AD62">
            <v>4.2213762000000035</v>
          </cell>
          <cell r="AE62">
            <v>4.5285378099999987</v>
          </cell>
        </row>
        <row r="63">
          <cell r="H63">
            <v>0.5481317139383739</v>
          </cell>
          <cell r="I63">
            <v>0.5178364790468617</v>
          </cell>
          <cell r="J63">
            <v>0.36484021769957081</v>
          </cell>
          <cell r="K63">
            <v>0.32476607988686124</v>
          </cell>
          <cell r="L63">
            <v>0.22417892894792907</v>
          </cell>
          <cell r="M63">
            <v>0.34350090875073974</v>
          </cell>
          <cell r="N63">
            <v>0.52751856114705731</v>
          </cell>
          <cell r="O63">
            <v>0.81413723755914813</v>
          </cell>
          <cell r="P63">
            <v>0.56910310376739748</v>
          </cell>
          <cell r="Q63">
            <v>0.30467575952895537</v>
          </cell>
          <cell r="R63">
            <v>0.37290539208903378</v>
          </cell>
          <cell r="S63">
            <v>0.54342622203767876</v>
          </cell>
          <cell r="T63">
            <v>0.76022740442525871</v>
          </cell>
          <cell r="U63">
            <v>0.55984703327961061</v>
          </cell>
          <cell r="V63">
            <v>0.57692622610435551</v>
          </cell>
          <cell r="W63">
            <v>0.37201976634398637</v>
          </cell>
          <cell r="X63">
            <v>0.26963174813441793</v>
          </cell>
          <cell r="Y63">
            <v>0.34990048025184839</v>
          </cell>
          <cell r="Z63">
            <v>0.25180000000000002</v>
          </cell>
          <cell r="AA63">
            <v>0.24840000000000001</v>
          </cell>
          <cell r="AB63">
            <v>0.2696633082872934</v>
          </cell>
          <cell r="AC63">
            <v>0.33187896960079466</v>
          </cell>
          <cell r="AD63">
            <v>0.24932755554944439</v>
          </cell>
          <cell r="AE63">
            <v>0.2462404319623952</v>
          </cell>
        </row>
        <row r="64">
          <cell r="H64">
            <v>0.22180508606162622</v>
          </cell>
          <cell r="I64">
            <v>0.20954592095313826</v>
          </cell>
          <cell r="J64">
            <v>0.14763498230042921</v>
          </cell>
          <cell r="K64">
            <v>0.13141872011313882</v>
          </cell>
          <cell r="L64">
            <v>9.0715471052070965E-2</v>
          </cell>
          <cell r="M64">
            <v>0.13899989124926035</v>
          </cell>
          <cell r="N64">
            <v>0.21346383885294262</v>
          </cell>
          <cell r="O64">
            <v>0.32944596244085222</v>
          </cell>
          <cell r="P64">
            <v>0.23029129623260253</v>
          </cell>
          <cell r="Q64">
            <v>0.12328904047104472</v>
          </cell>
          <cell r="R64">
            <v>0.15089860791096629</v>
          </cell>
          <cell r="S64">
            <v>0.2199009779623213</v>
          </cell>
          <cell r="T64">
            <v>0.30763099557474127</v>
          </cell>
          <cell r="U64">
            <v>0.22654576672038956</v>
          </cell>
          <cell r="V64">
            <v>0.23345697389564446</v>
          </cell>
          <cell r="W64">
            <v>0.15054023365601354</v>
          </cell>
          <cell r="X64">
            <v>0.1091082518655821</v>
          </cell>
          <cell r="Y64">
            <v>0.14158951974815162</v>
          </cell>
          <cell r="Z64">
            <v>0.25180000000000002</v>
          </cell>
          <cell r="AA64">
            <v>0.24840000000000001</v>
          </cell>
          <cell r="AB64">
            <v>0.2696633082872934</v>
          </cell>
          <cell r="AC64">
            <v>0.33187896960079466</v>
          </cell>
          <cell r="AD64">
            <v>0.24932755554944439</v>
          </cell>
          <cell r="AE64">
            <v>0.2462404319623952</v>
          </cell>
        </row>
        <row r="65">
          <cell r="H65">
            <v>0.23799999999999999</v>
          </cell>
          <cell r="I65">
            <v>0.17499999999999999</v>
          </cell>
          <cell r="J65">
            <v>0.22190000000000001</v>
          </cell>
          <cell r="K65">
            <v>0.18659999999999999</v>
          </cell>
          <cell r="L65">
            <v>0.33439999999999998</v>
          </cell>
          <cell r="M65">
            <v>0.22409999999999999</v>
          </cell>
          <cell r="N65">
            <v>0.1966</v>
          </cell>
          <cell r="O65">
            <v>0.28989999999999999</v>
          </cell>
          <cell r="P65">
            <v>0.19939999999999999</v>
          </cell>
          <cell r="Q65">
            <v>0.25030000000000002</v>
          </cell>
          <cell r="R65">
            <v>0.33189999999999997</v>
          </cell>
          <cell r="S65">
            <v>0.25900000000000001</v>
          </cell>
          <cell r="T65">
            <v>0.33539999999999998</v>
          </cell>
          <cell r="U65">
            <v>0.30019999999999997</v>
          </cell>
          <cell r="V65">
            <v>0.20430000000000001</v>
          </cell>
          <cell r="W65">
            <v>0.76816319999999993</v>
          </cell>
          <cell r="X65">
            <v>0.55674780000000001</v>
          </cell>
          <cell r="Y65">
            <v>0.72249029999999992</v>
          </cell>
          <cell r="Z65">
            <v>4.9535</v>
          </cell>
          <cell r="AA65">
            <v>6.3348999999999993</v>
          </cell>
          <cell r="AB65">
            <v>5.3609489217127075</v>
          </cell>
          <cell r="AC65">
            <v>5.1667008803991994</v>
          </cell>
          <cell r="AD65">
            <v>4.9269464144505486</v>
          </cell>
          <cell r="AE65">
            <v>5.1609522880376071</v>
          </cell>
        </row>
        <row r="66">
          <cell r="H66">
            <v>0.61850000000000005</v>
          </cell>
          <cell r="I66">
            <v>2.2084999999999999</v>
          </cell>
          <cell r="J66">
            <v>1.4847000000000001</v>
          </cell>
          <cell r="K66">
            <v>0.95320000000000005</v>
          </cell>
          <cell r="L66">
            <v>0.90810000000000002</v>
          </cell>
          <cell r="M66">
            <v>0.42230000000000001</v>
          </cell>
          <cell r="N66">
            <v>0.60639999999999994</v>
          </cell>
          <cell r="O66">
            <v>0.6167999999999999</v>
          </cell>
          <cell r="P66">
            <v>1.0635999999999999</v>
          </cell>
          <cell r="Q66">
            <v>1.0459000000000001</v>
          </cell>
          <cell r="R66">
            <v>2.0405000000000002</v>
          </cell>
          <cell r="S66">
            <v>2.3144</v>
          </cell>
          <cell r="T66">
            <v>1.7478</v>
          </cell>
          <cell r="U66">
            <v>1.9861</v>
          </cell>
          <cell r="V66">
            <v>1.1522000000000001</v>
          </cell>
          <cell r="W66">
            <v>0.38150000000000001</v>
          </cell>
          <cell r="X66">
            <v>0.92549999999999999</v>
          </cell>
          <cell r="Y66">
            <v>1.1422999999999999</v>
          </cell>
          <cell r="Z66">
            <v>1.5630999999999999</v>
          </cell>
          <cell r="AA66">
            <v>1.7925</v>
          </cell>
          <cell r="AB66">
            <v>1.7621433593581584</v>
          </cell>
          <cell r="AC66">
            <v>1.4336343163011998</v>
          </cell>
          <cell r="AD66">
            <v>1.3691762784064214</v>
          </cell>
          <cell r="AE66">
            <v>1.5800612145564872</v>
          </cell>
        </row>
        <row r="67">
          <cell r="H67">
            <v>0.43003140000000001</v>
          </cell>
          <cell r="I67">
            <v>0.38538420000000001</v>
          </cell>
          <cell r="J67">
            <v>0.66239400000000004</v>
          </cell>
          <cell r="K67">
            <v>0.43521479999999996</v>
          </cell>
          <cell r="L67">
            <v>0.36477779999999993</v>
          </cell>
          <cell r="M67">
            <v>0.67629059999999996</v>
          </cell>
          <cell r="N67">
            <v>0.52988339999999989</v>
          </cell>
          <cell r="O67">
            <v>0.50167679999999992</v>
          </cell>
          <cell r="P67">
            <v>0.38506620000000003</v>
          </cell>
          <cell r="Q67">
            <v>0.32744460000000003</v>
          </cell>
          <cell r="R67">
            <v>0.54336660000000003</v>
          </cell>
          <cell r="S67">
            <v>0.64827480000000004</v>
          </cell>
          <cell r="T67">
            <v>0.97781820000000008</v>
          </cell>
          <cell r="U67">
            <v>0.78724080000000007</v>
          </cell>
          <cell r="V67">
            <v>0.68166479999999996</v>
          </cell>
          <cell r="W67">
            <v>0.47345219999999999</v>
          </cell>
          <cell r="X67">
            <v>0.48302279999999997</v>
          </cell>
          <cell r="Y67">
            <v>0.4790682</v>
          </cell>
          <cell r="Z67">
            <v>3.056</v>
          </cell>
          <cell r="AA67">
            <v>2.3259000000000003</v>
          </cell>
          <cell r="AB67">
            <v>2.0441822700000003</v>
          </cell>
          <cell r="AC67">
            <v>2.0585218499999991</v>
          </cell>
          <cell r="AD67">
            <v>2.2333007499999997</v>
          </cell>
          <cell r="AE67">
            <v>2.33822785</v>
          </cell>
        </row>
        <row r="68">
          <cell r="H68">
            <v>0.92226859999999999</v>
          </cell>
          <cell r="I68">
            <v>0.82651580000000013</v>
          </cell>
          <cell r="J68">
            <v>1.420606</v>
          </cell>
          <cell r="K68">
            <v>0.93338520000000003</v>
          </cell>
          <cell r="L68">
            <v>0.78232219999999997</v>
          </cell>
          <cell r="M68">
            <v>1.4504094000000001</v>
          </cell>
          <cell r="N68">
            <v>1.1364166</v>
          </cell>
          <cell r="O68">
            <v>1.0759231999999999</v>
          </cell>
          <cell r="P68">
            <v>0.82583380000000006</v>
          </cell>
          <cell r="Q68">
            <v>0.70225540000000009</v>
          </cell>
          <cell r="R68">
            <v>1.1653334000000002</v>
          </cell>
          <cell r="S68">
            <v>1.3903251999999999</v>
          </cell>
          <cell r="T68">
            <v>2.0970818000000002</v>
          </cell>
          <cell r="U68">
            <v>1.6883592000000001</v>
          </cell>
          <cell r="V68">
            <v>1.4619352000000001</v>
          </cell>
          <cell r="W68">
            <v>1.5498478</v>
          </cell>
          <cell r="X68">
            <v>1.5811771999999999</v>
          </cell>
          <cell r="Y68">
            <v>1.5682318</v>
          </cell>
          <cell r="Z68">
            <v>3.056</v>
          </cell>
          <cell r="AA68">
            <v>2.3259000000000003</v>
          </cell>
          <cell r="AB68">
            <v>2.0441822700000003</v>
          </cell>
          <cell r="AC68">
            <v>2.0585218499999991</v>
          </cell>
          <cell r="AD68">
            <v>2.2333007499999997</v>
          </cell>
          <cell r="AE68">
            <v>2.33822785</v>
          </cell>
        </row>
        <row r="69">
          <cell r="H69">
            <v>1.112582</v>
          </cell>
          <cell r="I69">
            <v>0.80331799999999998</v>
          </cell>
          <cell r="J69">
            <v>0.79209799999999997</v>
          </cell>
          <cell r="K69">
            <v>1.4170180000000003</v>
          </cell>
          <cell r="L69">
            <v>2.0118140000000002</v>
          </cell>
          <cell r="M69">
            <v>1.9682630600000002</v>
          </cell>
          <cell r="N69">
            <v>1.356931568</v>
          </cell>
          <cell r="O69">
            <v>1.6115660000000003</v>
          </cell>
          <cell r="P69">
            <v>2.0560044800000004</v>
          </cell>
          <cell r="Q69">
            <v>2.2904100000000001</v>
          </cell>
          <cell r="R69">
            <v>2.4596072599999999</v>
          </cell>
          <cell r="S69">
            <v>3.8090502600000002</v>
          </cell>
          <cell r="T69">
            <v>4.7729200000000009</v>
          </cell>
          <cell r="U69">
            <v>4.5525319999999994</v>
          </cell>
          <cell r="V69">
            <v>3.3850400000000009</v>
          </cell>
          <cell r="W69">
            <v>2.8653000000000004</v>
          </cell>
          <cell r="X69">
            <v>1.9470999999999998</v>
          </cell>
          <cell r="Y69">
            <v>3.2425000000000002</v>
          </cell>
          <cell r="Z69">
            <v>1.5354000000000001</v>
          </cell>
          <cell r="AA69">
            <v>1.9370000000000001</v>
          </cell>
          <cell r="AB69">
            <v>2.3703669220352253</v>
          </cell>
          <cell r="AC69">
            <v>1.9890497993605087</v>
          </cell>
          <cell r="AD69">
            <v>2.1600621794832904</v>
          </cell>
          <cell r="AE69">
            <v>2.2621435716444833</v>
          </cell>
        </row>
        <row r="70">
          <cell r="H70">
            <v>2.1597179999999998</v>
          </cell>
          <cell r="I70">
            <v>1.559382</v>
          </cell>
          <cell r="J70">
            <v>1.5376019999999999</v>
          </cell>
          <cell r="K70">
            <v>2.7506820000000007</v>
          </cell>
          <cell r="L70">
            <v>3.9052860000000007</v>
          </cell>
          <cell r="M70">
            <v>3.8207459400000001</v>
          </cell>
          <cell r="N70">
            <v>2.634043632</v>
          </cell>
          <cell r="O70">
            <v>3.1283340000000002</v>
          </cell>
          <cell r="P70">
            <v>3.991067520000001</v>
          </cell>
          <cell r="Q70">
            <v>4.446089999999999</v>
          </cell>
          <cell r="R70">
            <v>4.7745317399999996</v>
          </cell>
          <cell r="S70">
            <v>7.3940387400000001</v>
          </cell>
          <cell r="T70">
            <v>9.2650800000000011</v>
          </cell>
          <cell r="U70">
            <v>8.8372679999999981</v>
          </cell>
          <cell r="V70">
            <v>6.5709600000000021</v>
          </cell>
          <cell r="W70">
            <v>4.5552000000000001</v>
          </cell>
          <cell r="X70">
            <v>5.4093999999999998</v>
          </cell>
          <cell r="Y70">
            <v>5.1186000000000007</v>
          </cell>
          <cell r="Z70">
            <v>1.7812999999999999</v>
          </cell>
          <cell r="AA70">
            <v>2.95</v>
          </cell>
          <cell r="AB70">
            <v>2.2861592609503698</v>
          </cell>
          <cell r="AC70">
            <v>2.5053125556405771</v>
          </cell>
          <cell r="AD70">
            <v>2.4712945670254456</v>
          </cell>
          <cell r="AE70">
            <v>2.4438312461536253</v>
          </cell>
        </row>
        <row r="92">
          <cell r="H92">
            <v>0.41436087365353341</v>
          </cell>
          <cell r="I92">
            <v>0.17461665398690543</v>
          </cell>
          <cell r="J92">
            <v>0.26404705837256015</v>
          </cell>
          <cell r="K92">
            <v>0.26172287837157698</v>
          </cell>
          <cell r="L92">
            <v>0.20771095617481719</v>
          </cell>
          <cell r="M92">
            <v>0.24565572097347629</v>
          </cell>
          <cell r="N92">
            <v>0.38202445624855086</v>
          </cell>
          <cell r="O92">
            <v>0.43265115974822654</v>
          </cell>
          <cell r="P92">
            <v>0.44386785453557986</v>
          </cell>
          <cell r="Q92">
            <v>0.36903936363436263</v>
          </cell>
          <cell r="R92">
            <v>0.5218289358729048</v>
          </cell>
          <cell r="S92">
            <v>0.56649361241353691</v>
          </cell>
          <cell r="T92">
            <v>0.68866463942173628</v>
          </cell>
          <cell r="U92">
            <v>1.031127510001379</v>
          </cell>
          <cell r="V92">
            <v>0.57467876806917317</v>
          </cell>
          <cell r="W92">
            <v>0.49454508368745087</v>
          </cell>
          <cell r="X92">
            <v>0.57525981306941887</v>
          </cell>
          <cell r="Y92">
            <v>0.81019904321227521</v>
          </cell>
          <cell r="Z92">
            <v>0.6358950000000001</v>
          </cell>
          <cell r="AA92">
            <v>0.73733399999999993</v>
          </cell>
          <cell r="AB92">
            <v>0.6518964294875611</v>
          </cell>
          <cell r="AC92">
            <v>0.67716166468748484</v>
          </cell>
          <cell r="AD92">
            <v>0.61357820737900048</v>
          </cell>
          <cell r="AE92">
            <v>0.62155831420158214</v>
          </cell>
        </row>
        <row r="93">
          <cell r="H93">
            <v>0.18668655354200558</v>
          </cell>
          <cell r="I93">
            <v>7.8671958180852486E-2</v>
          </cell>
          <cell r="J93">
            <v>0.11896402009639327</v>
          </cell>
          <cell r="K93">
            <v>0.11791688176412496</v>
          </cell>
          <cell r="L93">
            <v>9.3582297477281418E-2</v>
          </cell>
          <cell r="M93">
            <v>0.11067796894540068</v>
          </cell>
          <cell r="N93">
            <v>0.17211767239740325</v>
          </cell>
          <cell r="O93">
            <v>0.19492707693942124</v>
          </cell>
          <cell r="P93">
            <v>0.19998065758645517</v>
          </cell>
          <cell r="Q93">
            <v>0.1662673560627739</v>
          </cell>
          <cell r="R93">
            <v>0.23510531947101979</v>
          </cell>
          <cell r="S93">
            <v>0.25522858655200176</v>
          </cell>
          <cell r="T93">
            <v>0.31027164062645235</v>
          </cell>
          <cell r="U93">
            <v>0.46456519749850622</v>
          </cell>
          <cell r="V93">
            <v>0.25891633459172925</v>
          </cell>
          <cell r="W93">
            <v>0.22281282600526162</v>
          </cell>
          <cell r="X93">
            <v>0.25917811917479627</v>
          </cell>
          <cell r="Y93">
            <v>0.3650278698533686</v>
          </cell>
          <cell r="Z93">
            <v>0.79894500000000002</v>
          </cell>
          <cell r="AA93">
            <v>0.92639399999999994</v>
          </cell>
          <cell r="AB93">
            <v>0.81904936012539731</v>
          </cell>
          <cell r="AC93">
            <v>0.85079286076119875</v>
          </cell>
          <cell r="AD93">
            <v>0.77090595286079544</v>
          </cell>
          <cell r="AE93">
            <v>0.78093224091993652</v>
          </cell>
        </row>
        <row r="94">
          <cell r="H94">
            <v>0.21905257280446114</v>
          </cell>
          <cell r="I94">
            <v>9.2311387832242131E-2</v>
          </cell>
          <cell r="J94">
            <v>0.13958892153104671</v>
          </cell>
          <cell r="K94">
            <v>0.1383602398642981</v>
          </cell>
          <cell r="L94">
            <v>0.10980674634790144</v>
          </cell>
          <cell r="M94">
            <v>0.12986631008112301</v>
          </cell>
          <cell r="N94">
            <v>0.20195787135404591</v>
          </cell>
          <cell r="O94">
            <v>0.22872176331235222</v>
          </cell>
          <cell r="P94">
            <v>0.234651487877965</v>
          </cell>
          <cell r="Q94">
            <v>0.19509328030286358</v>
          </cell>
          <cell r="R94">
            <v>0.27586574465607538</v>
          </cell>
          <cell r="S94">
            <v>0.29947780103446142</v>
          </cell>
          <cell r="T94">
            <v>0.36406371995181136</v>
          </cell>
          <cell r="U94">
            <v>0.54510729250011491</v>
          </cell>
          <cell r="V94">
            <v>0.30380489733909782</v>
          </cell>
          <cell r="W94">
            <v>0.2614420903072876</v>
          </cell>
          <cell r="X94">
            <v>0.30411206775578492</v>
          </cell>
          <cell r="Y94">
            <v>0.42831308693435627</v>
          </cell>
          <cell r="Z94">
            <v>0.19566</v>
          </cell>
          <cell r="AA94">
            <v>0.22687199999999996</v>
          </cell>
          <cell r="AB94">
            <v>0.20058351676540342</v>
          </cell>
          <cell r="AC94">
            <v>0.20835743528845685</v>
          </cell>
          <cell r="AD94">
            <v>0.188793294578154</v>
          </cell>
          <cell r="AE94">
            <v>0.19124871206202526</v>
          </cell>
        </row>
        <row r="95">
          <cell r="H95">
            <v>0.16229015911096059</v>
          </cell>
          <cell r="I95">
            <v>0.13689095496788101</v>
          </cell>
          <cell r="J95">
            <v>0.1464880483900218</v>
          </cell>
          <cell r="K95">
            <v>0.12630105877793252</v>
          </cell>
          <cell r="L95">
            <v>5.3578256036020636E-2</v>
          </cell>
          <cell r="M95">
            <v>0.14473409683356164</v>
          </cell>
          <cell r="N95">
            <v>0.20832311411164292</v>
          </cell>
          <cell r="O95">
            <v>0.18181528021117813</v>
          </cell>
          <cell r="P95">
            <v>0.25346254662129836</v>
          </cell>
          <cell r="Q95">
            <v>0.21457777154883126</v>
          </cell>
          <cell r="R95">
            <v>0.21891301030159141</v>
          </cell>
          <cell r="S95">
            <v>0.34506514866435284</v>
          </cell>
          <cell r="T95">
            <v>0.4237613147259075</v>
          </cell>
          <cell r="U95">
            <v>0.29486242203887825</v>
          </cell>
          <cell r="V95">
            <v>0.25132802067051191</v>
          </cell>
          <cell r="W95">
            <v>0.19929265632196788</v>
          </cell>
          <cell r="X95">
            <v>0.28278808334118855</v>
          </cell>
          <cell r="Y95">
            <v>0.28374874501219671</v>
          </cell>
          <cell r="Z95">
            <v>0.38990000000000008</v>
          </cell>
          <cell r="AA95">
            <v>0.61124000000000001</v>
          </cell>
          <cell r="AB95">
            <v>0.48311013099802608</v>
          </cell>
          <cell r="AC95">
            <v>0.44265568341819511</v>
          </cell>
          <cell r="AD95">
            <v>0.44279982054836869</v>
          </cell>
          <cell r="AE95">
            <v>0.46242683685728003</v>
          </cell>
        </row>
        <row r="96">
          <cell r="H96">
            <v>0.29974721869213228</v>
          </cell>
          <cell r="I96">
            <v>0.25283531201468296</v>
          </cell>
          <cell r="J96">
            <v>0.27056098359313285</v>
          </cell>
          <cell r="K96">
            <v>0.23327595027294512</v>
          </cell>
          <cell r="L96">
            <v>9.8958145812104853E-2</v>
          </cell>
          <cell r="M96">
            <v>0.26732146430465759</v>
          </cell>
          <cell r="N96">
            <v>0.38476931926324892</v>
          </cell>
          <cell r="O96">
            <v>0.33580979190346144</v>
          </cell>
          <cell r="P96">
            <v>0.46814109868740644</v>
          </cell>
          <cell r="Q96">
            <v>0.39632156729196283</v>
          </cell>
          <cell r="R96">
            <v>0.40432868100498676</v>
          </cell>
          <cell r="S96">
            <v>0.63732957775343879</v>
          </cell>
          <cell r="T96">
            <v>0.78268008469672801</v>
          </cell>
          <cell r="U96">
            <v>0.54460597849651282</v>
          </cell>
          <cell r="V96">
            <v>0.46419866483633754</v>
          </cell>
          <cell r="W96">
            <v>0.36809021425281468</v>
          </cell>
          <cell r="X96">
            <v>0.52230487618688526</v>
          </cell>
          <cell r="Y96">
            <v>0.52407920228013871</v>
          </cell>
          <cell r="Z96">
            <v>0.18102500000000002</v>
          </cell>
          <cell r="AA96">
            <v>0.28378999999999999</v>
          </cell>
          <cell r="AB96">
            <v>0.22430113224908352</v>
          </cell>
          <cell r="AC96">
            <v>0.20551871015844772</v>
          </cell>
          <cell r="AD96">
            <v>0.20558563096888544</v>
          </cell>
          <cell r="AE96">
            <v>0.21469817425516571</v>
          </cell>
        </row>
        <row r="97">
          <cell r="H97">
            <v>7.4936804673033069E-2</v>
          </cell>
          <cell r="I97">
            <v>6.3208828003670739E-2</v>
          </cell>
          <cell r="J97">
            <v>6.7640245898283213E-2</v>
          </cell>
          <cell r="K97">
            <v>5.831898756823628E-2</v>
          </cell>
          <cell r="L97">
            <v>2.4739536453026213E-2</v>
          </cell>
          <cell r="M97">
            <v>6.6830366076164396E-2</v>
          </cell>
          <cell r="N97">
            <v>9.619232981581223E-2</v>
          </cell>
          <cell r="O97">
            <v>8.395244797586536E-2</v>
          </cell>
          <cell r="P97">
            <v>0.11703527467185161</v>
          </cell>
          <cell r="Q97">
            <v>9.9080391822990707E-2</v>
          </cell>
          <cell r="R97">
            <v>0.10108217025124669</v>
          </cell>
          <cell r="S97">
            <v>0.1593323944383597</v>
          </cell>
          <cell r="T97">
            <v>0.195670021174182</v>
          </cell>
          <cell r="U97">
            <v>0.13615149462412821</v>
          </cell>
          <cell r="V97">
            <v>0.11604966620908438</v>
          </cell>
          <cell r="W97">
            <v>9.2022553563203671E-2</v>
          </cell>
          <cell r="X97">
            <v>0.13057621904672131</v>
          </cell>
          <cell r="Y97">
            <v>0.13101980057003468</v>
          </cell>
          <cell r="Z97">
            <v>0.6266250000000001</v>
          </cell>
          <cell r="AA97">
            <v>0.98234999999999995</v>
          </cell>
          <cell r="AB97">
            <v>0.77642699624682754</v>
          </cell>
          <cell r="AC97">
            <v>0.71141091977924209</v>
          </cell>
          <cell r="AD97">
            <v>0.71164256873844955</v>
          </cell>
          <cell r="AE97">
            <v>0.74318598780634293</v>
          </cell>
        </row>
        <row r="98">
          <cell r="H98">
            <v>0.14468181752387402</v>
          </cell>
          <cell r="I98">
            <v>0.12203840501376527</v>
          </cell>
          <cell r="J98">
            <v>0.13059422211856206</v>
          </cell>
          <cell r="K98">
            <v>0.11259750338088605</v>
          </cell>
          <cell r="L98">
            <v>4.7765061698848296E-2</v>
          </cell>
          <cell r="M98">
            <v>0.12903057278561647</v>
          </cell>
          <cell r="N98">
            <v>0.18572023680929586</v>
          </cell>
          <cell r="O98">
            <v>0.1620884799094951</v>
          </cell>
          <cell r="P98">
            <v>0.22596208001944354</v>
          </cell>
          <cell r="Q98">
            <v>0.19129626933621519</v>
          </cell>
          <cell r="R98">
            <v>0.19516113844217509</v>
          </cell>
          <cell r="S98">
            <v>0.30762587914384881</v>
          </cell>
          <cell r="T98">
            <v>0.37778357940318252</v>
          </cell>
          <cell r="U98">
            <v>0.26287010484048079</v>
          </cell>
          <cell r="V98">
            <v>0.2240591482840664</v>
          </cell>
          <cell r="W98">
            <v>0.17766957586201376</v>
          </cell>
          <cell r="X98">
            <v>0.25210582142520493</v>
          </cell>
          <cell r="Y98">
            <v>0.25296225213763002</v>
          </cell>
          <cell r="Z98">
            <v>0.19495000000000004</v>
          </cell>
          <cell r="AA98">
            <v>0.30562</v>
          </cell>
          <cell r="AB98">
            <v>0.24155506549901304</v>
          </cell>
          <cell r="AC98">
            <v>0.22132784170909756</v>
          </cell>
          <cell r="AD98">
            <v>0.22139991027418435</v>
          </cell>
          <cell r="AE98">
            <v>0.23121341842864002</v>
          </cell>
        </row>
        <row r="99">
          <cell r="H99">
            <v>0.18433800000000003</v>
          </cell>
          <cell r="I99">
            <v>0.206844</v>
          </cell>
          <cell r="J99">
            <v>0.137214</v>
          </cell>
          <cell r="K99">
            <v>0.61676999999999993</v>
          </cell>
          <cell r="L99">
            <v>0.68554199999999998</v>
          </cell>
          <cell r="M99">
            <v>0.40642800000000001</v>
          </cell>
          <cell r="N99">
            <v>0.53598599999999996</v>
          </cell>
          <cell r="O99">
            <v>1.033296</v>
          </cell>
          <cell r="P99">
            <v>0.77985599999999999</v>
          </cell>
          <cell r="Q99">
            <v>0.64818600000000004</v>
          </cell>
          <cell r="R99">
            <v>0.78117599999999998</v>
          </cell>
          <cell r="S99">
            <v>0.39857400000000004</v>
          </cell>
          <cell r="T99">
            <v>0.61709999999999998</v>
          </cell>
          <cell r="U99">
            <v>0.37732200000000005</v>
          </cell>
          <cell r="V99">
            <v>0.84011400000000014</v>
          </cell>
          <cell r="W99">
            <v>0.93320000000000003</v>
          </cell>
          <cell r="X99">
            <v>1.1757</v>
          </cell>
          <cell r="Y99">
            <v>0.60420000000000007</v>
          </cell>
          <cell r="Z99">
            <v>0.75339999999999996</v>
          </cell>
          <cell r="AA99">
            <v>1.5335999999999999</v>
          </cell>
          <cell r="AB99">
            <v>1.2076663465344608</v>
          </cell>
          <cell r="AC99">
            <v>0.88413198109065294</v>
          </cell>
          <cell r="AD99">
            <v>0.97240838928959727</v>
          </cell>
          <cell r="AE99">
            <v>1.0165069098294888</v>
          </cell>
        </row>
        <row r="100">
          <cell r="H100">
            <v>9.4962000000000019E-2</v>
          </cell>
          <cell r="I100">
            <v>0.106556</v>
          </cell>
          <cell r="J100">
            <v>7.0686000000000013E-2</v>
          </cell>
          <cell r="K100">
            <v>0.31773000000000001</v>
          </cell>
          <cell r="L100">
            <v>0.35315800000000003</v>
          </cell>
          <cell r="M100">
            <v>0.20937199999999997</v>
          </cell>
          <cell r="N100">
            <v>0.27611400000000003</v>
          </cell>
          <cell r="O100">
            <v>0.532304</v>
          </cell>
          <cell r="P100">
            <v>0.40174399999999999</v>
          </cell>
          <cell r="Q100">
            <v>0.33391400000000004</v>
          </cell>
          <cell r="R100">
            <v>0.402424</v>
          </cell>
          <cell r="S100">
            <v>0.20532599999999998</v>
          </cell>
          <cell r="T100">
            <v>0.31790000000000002</v>
          </cell>
          <cell r="U100">
            <v>0.19437800000000005</v>
          </cell>
          <cell r="V100">
            <v>0.43278600000000006</v>
          </cell>
          <cell r="W100">
            <v>0.53679999999999994</v>
          </cell>
          <cell r="X100">
            <v>0.58729999999999993</v>
          </cell>
          <cell r="Y100">
            <v>0.3029</v>
          </cell>
          <cell r="Z100">
            <v>0.19550000000000001</v>
          </cell>
          <cell r="AA100">
            <v>0.11359999999999999</v>
          </cell>
          <cell r="AB100">
            <v>0.23634605624237559</v>
          </cell>
          <cell r="AC100">
            <v>0.27313452288332429</v>
          </cell>
          <cell r="AD100">
            <v>0.28219361090513184</v>
          </cell>
          <cell r="AE100">
            <v>0.26393138211722167</v>
          </cell>
        </row>
        <row r="101">
          <cell r="H101">
            <v>0.51962010000000003</v>
          </cell>
          <cell r="I101">
            <v>0.2356029</v>
          </cell>
          <cell r="J101">
            <v>0.29530000000000001</v>
          </cell>
          <cell r="K101">
            <v>0.39574090000000001</v>
          </cell>
          <cell r="L101">
            <v>0.68245239999999996</v>
          </cell>
          <cell r="M101">
            <v>0.37956290000000004</v>
          </cell>
          <cell r="N101">
            <v>0.31980000000000003</v>
          </cell>
          <cell r="O101">
            <v>0.7399</v>
          </cell>
          <cell r="P101">
            <v>0.63590000000000002</v>
          </cell>
          <cell r="Q101">
            <v>0.7046</v>
          </cell>
          <cell r="R101">
            <v>0.49339999999999995</v>
          </cell>
          <cell r="S101">
            <v>1.1999000000000002</v>
          </cell>
          <cell r="T101">
            <v>1.5182</v>
          </cell>
          <cell r="U101">
            <v>1.0499000000000001</v>
          </cell>
          <cell r="V101">
            <v>1.0911</v>
          </cell>
          <cell r="W101">
            <v>0.79139999999999999</v>
          </cell>
          <cell r="X101">
            <v>0.41299999999999998</v>
          </cell>
          <cell r="Y101">
            <v>0.74629999999999996</v>
          </cell>
          <cell r="Z101">
            <v>0.95779999999999998</v>
          </cell>
          <cell r="AA101">
            <v>1.0682</v>
          </cell>
          <cell r="AB101">
            <v>0.76954163000000042</v>
          </cell>
          <cell r="AC101">
            <v>0.65636095000000005</v>
          </cell>
          <cell r="AD101">
            <v>0.53005643999999963</v>
          </cell>
          <cell r="AE101">
            <v>0.52549197000000003</v>
          </cell>
        </row>
        <row r="102">
          <cell r="H102">
            <v>0.21296593880742018</v>
          </cell>
          <cell r="I102">
            <v>0.17963572713639753</v>
          </cell>
          <cell r="J102">
            <v>0.19222955304466666</v>
          </cell>
          <cell r="K102">
            <v>0.16573909165141087</v>
          </cell>
          <cell r="L102">
            <v>7.0308290156854247E-2</v>
          </cell>
          <cell r="M102">
            <v>0.18992792279246576</v>
          </cell>
          <cell r="N102">
            <v>0.27337287618122147</v>
          </cell>
          <cell r="O102">
            <v>0.23858786048286421</v>
          </cell>
          <cell r="P102">
            <v>0.33260728493597691</v>
          </cell>
          <cell r="Q102">
            <v>0.28158057651454166</v>
          </cell>
          <cell r="R102">
            <v>0.28726951166620807</v>
          </cell>
          <cell r="S102">
            <v>0.45281318188111136</v>
          </cell>
          <cell r="T102">
            <v>0.55608255432891829</v>
          </cell>
          <cell r="U102">
            <v>0.38693444428509655</v>
          </cell>
          <cell r="V102">
            <v>0.32980624434603434</v>
          </cell>
          <cell r="W102">
            <v>7.7976356796648869E-2</v>
          </cell>
          <cell r="X102">
            <v>0.10613982502339432</v>
          </cell>
          <cell r="Y102">
            <v>0.10925090581588365</v>
          </cell>
          <cell r="Z102">
            <v>0.1041</v>
          </cell>
          <cell r="AA102">
            <v>0.14449999999999999</v>
          </cell>
          <cell r="AB102">
            <v>0.12252214500704957</v>
          </cell>
          <cell r="AC102">
            <v>0.11151282493501802</v>
          </cell>
          <cell r="AD102">
            <v>0.10818632947011167</v>
          </cell>
          <cell r="AE102">
            <v>0.10758392265257145</v>
          </cell>
        </row>
        <row r="103">
          <cell r="H103">
            <v>8.6178061192579855E-2</v>
          </cell>
          <cell r="I103">
            <v>7.2690772863602482E-2</v>
          </cell>
          <cell r="J103">
            <v>7.7786946955333336E-2</v>
          </cell>
          <cell r="K103">
            <v>6.7067408348589097E-2</v>
          </cell>
          <cell r="L103">
            <v>2.8450709843145752E-2</v>
          </cell>
          <cell r="M103">
            <v>7.6855577207534248E-2</v>
          </cell>
          <cell r="N103">
            <v>0.11062212381877858</v>
          </cell>
          <cell r="O103">
            <v>9.6546139517135726E-2</v>
          </cell>
          <cell r="P103">
            <v>0.13459171506402304</v>
          </cell>
          <cell r="Q103">
            <v>0.11394342348545834</v>
          </cell>
          <cell r="R103">
            <v>0.11624548833379195</v>
          </cell>
          <cell r="S103">
            <v>0.18323381811888867</v>
          </cell>
          <cell r="T103">
            <v>0.22502244567108176</v>
          </cell>
          <cell r="U103">
            <v>0.15657555571490342</v>
          </cell>
          <cell r="V103">
            <v>0.13345825565396569</v>
          </cell>
          <cell r="W103">
            <v>3.1553643203351134E-2</v>
          </cell>
          <cell r="X103">
            <v>4.2950174976605679E-2</v>
          </cell>
          <cell r="Y103">
            <v>4.4209094184116358E-2</v>
          </cell>
          <cell r="Z103">
            <v>0.1041</v>
          </cell>
          <cell r="AA103">
            <v>0.14449999999999999</v>
          </cell>
          <cell r="AB103">
            <v>0.12252214500704957</v>
          </cell>
          <cell r="AC103">
            <v>0.11151282493501802</v>
          </cell>
          <cell r="AD103">
            <v>0.10818632947011167</v>
          </cell>
          <cell r="AE103">
            <v>0.10758392265257145</v>
          </cell>
        </row>
        <row r="104">
          <cell r="H104">
            <v>8.6474074074074148E-2</v>
          </cell>
          <cell r="I104">
            <v>8.6474074074074037E-2</v>
          </cell>
          <cell r="J104">
            <v>8.6474074074074148E-2</v>
          </cell>
          <cell r="K104">
            <v>8.6474074074074148E-2</v>
          </cell>
          <cell r="L104">
            <v>8.6474074074073926E-2</v>
          </cell>
          <cell r="M104">
            <v>8.6474074074074148E-2</v>
          </cell>
          <cell r="N104">
            <v>8.6474074074074148E-2</v>
          </cell>
          <cell r="O104">
            <v>8.6474074074073926E-2</v>
          </cell>
          <cell r="P104">
            <v>8.6474074074074148E-2</v>
          </cell>
          <cell r="Q104">
            <v>8.6474074074074148E-2</v>
          </cell>
          <cell r="R104">
            <v>8.6474074074073926E-2</v>
          </cell>
          <cell r="S104">
            <v>8.6474074074074148E-2</v>
          </cell>
          <cell r="T104">
            <v>8.6474074074074148E-2</v>
          </cell>
          <cell r="U104">
            <v>8.6474074074073926E-2</v>
          </cell>
          <cell r="V104">
            <v>8.6474074074073926E-2</v>
          </cell>
          <cell r="W104">
            <v>8.647407407407437E-2</v>
          </cell>
          <cell r="X104">
            <v>8.6474074074073926E-2</v>
          </cell>
          <cell r="Y104">
            <v>8.647407407407437E-2</v>
          </cell>
          <cell r="Z104">
            <v>8.6474074074073926E-2</v>
          </cell>
          <cell r="AA104">
            <v>8.6474074074073926E-2</v>
          </cell>
          <cell r="AB104">
            <v>8.6474074074073926E-2</v>
          </cell>
          <cell r="AC104">
            <v>8.647407407407437E-2</v>
          </cell>
          <cell r="AD104">
            <v>8.6474074074073926E-2</v>
          </cell>
          <cell r="AE104">
            <v>8.647407407407437E-2</v>
          </cell>
        </row>
        <row r="105">
          <cell r="H105">
            <v>0.29699999999999999</v>
          </cell>
          <cell r="I105">
            <v>0.18059999999999998</v>
          </cell>
          <cell r="J105">
            <v>9.4500000000000001E-2</v>
          </cell>
          <cell r="K105">
            <v>0.46850000000000003</v>
          </cell>
          <cell r="L105">
            <v>0.1009</v>
          </cell>
          <cell r="M105">
            <v>0.13689999999999999</v>
          </cell>
          <cell r="N105">
            <v>0.37169999999999997</v>
          </cell>
          <cell r="O105">
            <v>0.29910000000000003</v>
          </cell>
          <cell r="P105">
            <v>0.4612</v>
          </cell>
          <cell r="Q105">
            <v>0.78410000000000002</v>
          </cell>
          <cell r="R105">
            <v>0.1585</v>
          </cell>
          <cell r="S105">
            <v>0.14169999999999999</v>
          </cell>
          <cell r="T105">
            <v>0.24959999999999999</v>
          </cell>
          <cell r="U105">
            <v>0.2296</v>
          </cell>
          <cell r="V105">
            <v>0.22839999999999999</v>
          </cell>
          <cell r="W105">
            <v>0.24010000000000001</v>
          </cell>
          <cell r="X105">
            <v>0.247</v>
          </cell>
          <cell r="Y105">
            <v>0.36219999999999997</v>
          </cell>
          <cell r="Z105">
            <v>0.39089999999999997</v>
          </cell>
          <cell r="AA105">
            <v>0.62470000000000003</v>
          </cell>
          <cell r="AB105">
            <v>0.54312269999999974</v>
          </cell>
          <cell r="AC105">
            <v>0.43204304999999998</v>
          </cell>
          <cell r="AD105">
            <v>0.39338529000000044</v>
          </cell>
          <cell r="AE105">
            <v>0.43886131999999956</v>
          </cell>
        </row>
        <row r="106">
          <cell r="H106">
            <v>9.4114999999999976E-2</v>
          </cell>
          <cell r="I106">
            <v>3.5979999999999998E-2</v>
          </cell>
          <cell r="J106">
            <v>4.9454999999999999E-2</v>
          </cell>
          <cell r="K106">
            <v>1.6729999999999998E-2</v>
          </cell>
          <cell r="L106">
            <v>8.9494999999999991E-2</v>
          </cell>
          <cell r="M106">
            <v>0.18592000000000003</v>
          </cell>
          <cell r="N106">
            <v>0.22197</v>
          </cell>
          <cell r="O106">
            <v>6.1249999999999999E-2</v>
          </cell>
          <cell r="P106">
            <v>0.23075499999999996</v>
          </cell>
          <cell r="Q106">
            <v>0.19785499999999995</v>
          </cell>
          <cell r="R106">
            <v>0.15771000000000002</v>
          </cell>
          <cell r="S106">
            <v>0.15168999999999996</v>
          </cell>
          <cell r="T106">
            <v>0.16621499999999997</v>
          </cell>
          <cell r="U106">
            <v>0.24384500000000001</v>
          </cell>
          <cell r="V106">
            <v>0.190085</v>
          </cell>
          <cell r="W106">
            <v>0.16197999999999999</v>
          </cell>
          <cell r="X106">
            <v>0.14038499999999998</v>
          </cell>
          <cell r="Y106">
            <v>0.31633</v>
          </cell>
          <cell r="Z106">
            <v>0.6502</v>
          </cell>
          <cell r="AA106">
            <v>0.64700000000000002</v>
          </cell>
          <cell r="AB106">
            <v>0.45748749999999927</v>
          </cell>
          <cell r="AC106">
            <v>0.5602725700000003</v>
          </cell>
          <cell r="AD106">
            <v>0.47068721000000047</v>
          </cell>
          <cell r="AE106">
            <v>0.54478340999999997</v>
          </cell>
        </row>
        <row r="107">
          <cell r="H107">
            <v>0.174785</v>
          </cell>
          <cell r="I107">
            <v>6.6820000000000004E-2</v>
          </cell>
          <cell r="J107">
            <v>9.184500000000001E-2</v>
          </cell>
          <cell r="K107">
            <v>3.107E-2</v>
          </cell>
          <cell r="L107">
            <v>0.16620499999999999</v>
          </cell>
          <cell r="M107">
            <v>0.34528000000000003</v>
          </cell>
          <cell r="N107">
            <v>0.41223000000000004</v>
          </cell>
          <cell r="O107">
            <v>0.11375</v>
          </cell>
          <cell r="P107">
            <v>0.42854499999999995</v>
          </cell>
          <cell r="Q107">
            <v>0.36744499999999997</v>
          </cell>
          <cell r="R107">
            <v>0.29289000000000004</v>
          </cell>
          <cell r="S107">
            <v>0.28170999999999996</v>
          </cell>
          <cell r="T107">
            <v>0.30868499999999999</v>
          </cell>
          <cell r="U107">
            <v>0.45285500000000001</v>
          </cell>
          <cell r="V107">
            <v>0.35301500000000002</v>
          </cell>
          <cell r="W107">
            <v>0.35450480000000001</v>
          </cell>
          <cell r="X107">
            <v>0.30724260000000003</v>
          </cell>
          <cell r="Y107">
            <v>0.6923108</v>
          </cell>
          <cell r="Z107">
            <v>0.6502</v>
          </cell>
          <cell r="AA107">
            <v>0.64700000000000002</v>
          </cell>
          <cell r="AB107">
            <v>0.45748749999999927</v>
          </cell>
          <cell r="AC107">
            <v>0.5602725700000003</v>
          </cell>
          <cell r="AD107">
            <v>0.47068721000000047</v>
          </cell>
          <cell r="AE107">
            <v>0.54478340999999997</v>
          </cell>
        </row>
        <row r="108">
          <cell r="H108">
            <v>0.16187400000000002</v>
          </cell>
          <cell r="I108">
            <v>0.40232200000000001</v>
          </cell>
          <cell r="J108">
            <v>0.21423400000000004</v>
          </cell>
          <cell r="K108">
            <v>0.16636200000000001</v>
          </cell>
          <cell r="L108">
            <v>0.14161000000000001</v>
          </cell>
          <cell r="M108">
            <v>0.21616506400000002</v>
          </cell>
          <cell r="N108">
            <v>0.43234400000000001</v>
          </cell>
          <cell r="O108">
            <v>0.29482056200000006</v>
          </cell>
          <cell r="P108">
            <v>0.20296021200000003</v>
          </cell>
          <cell r="Q108">
            <v>0.39565800000000001</v>
          </cell>
          <cell r="R108">
            <v>0.36665600000000004</v>
          </cell>
          <cell r="S108">
            <v>0.54201909199999998</v>
          </cell>
          <cell r="T108">
            <v>0.55654331400000001</v>
          </cell>
          <cell r="U108">
            <v>0.70082122600000007</v>
          </cell>
          <cell r="V108">
            <v>0.47504799999999997</v>
          </cell>
          <cell r="W108">
            <v>0.35580000000000001</v>
          </cell>
          <cell r="X108">
            <v>0.66449999999999998</v>
          </cell>
          <cell r="Y108">
            <v>1.038</v>
          </cell>
          <cell r="Z108">
            <v>0.46650000000000003</v>
          </cell>
          <cell r="AA108">
            <v>0.95889999999999997</v>
          </cell>
          <cell r="AB108">
            <v>0.46645769387703823</v>
          </cell>
          <cell r="AC108">
            <v>0.49047162329837557</v>
          </cell>
          <cell r="AD108">
            <v>0.51237945405876495</v>
          </cell>
          <cell r="AE108">
            <v>0.52849590625857834</v>
          </cell>
        </row>
        <row r="109">
          <cell r="H109">
            <v>0.31422600000000006</v>
          </cell>
          <cell r="I109">
            <v>1.1833</v>
          </cell>
          <cell r="J109">
            <v>0.63009999999999999</v>
          </cell>
          <cell r="K109">
            <v>0.48930000000000001</v>
          </cell>
          <cell r="L109">
            <v>0.41649999999999998</v>
          </cell>
          <cell r="M109">
            <v>0.63577960000000011</v>
          </cell>
          <cell r="N109">
            <v>1.2715999999999998</v>
          </cell>
          <cell r="O109">
            <v>0.86711930000000004</v>
          </cell>
          <cell r="P109">
            <v>0.59694180000000008</v>
          </cell>
          <cell r="Q109">
            <v>1.1637</v>
          </cell>
          <cell r="R109">
            <v>1.0784</v>
          </cell>
          <cell r="S109">
            <v>1.5941737999999999</v>
          </cell>
          <cell r="T109">
            <v>1.6368920999999999</v>
          </cell>
          <cell r="U109">
            <v>2.0612388999999998</v>
          </cell>
          <cell r="V109">
            <v>1.3971999999999998</v>
          </cell>
          <cell r="W109">
            <v>1.0427</v>
          </cell>
          <cell r="X109">
            <v>0.80215000000000003</v>
          </cell>
          <cell r="Y109">
            <v>0.2843</v>
          </cell>
          <cell r="Z109">
            <v>0.34749999999999998</v>
          </cell>
          <cell r="AA109">
            <v>0.2964</v>
          </cell>
          <cell r="AB109">
            <v>0.53927991626881955</v>
          </cell>
          <cell r="AC109">
            <v>0.4102555079683779</v>
          </cell>
          <cell r="AD109">
            <v>0.42249327104785911</v>
          </cell>
          <cell r="AE109">
            <v>0.42234898958167211</v>
          </cell>
        </row>
        <row r="131">
          <cell r="H131">
            <v>2.7637531750820971E-2</v>
          </cell>
          <cell r="I131">
            <v>6.7805425246072637E-2</v>
          </cell>
          <cell r="J131">
            <v>4.9110933933817151E-2</v>
          </cell>
          <cell r="K131">
            <v>3.8348970016221416E-2</v>
          </cell>
          <cell r="L131">
            <v>6.6037027419237657E-2</v>
          </cell>
          <cell r="M131">
            <v>2.9153301316679522E-2</v>
          </cell>
          <cell r="N131">
            <v>7.9577902207574089E-2</v>
          </cell>
          <cell r="O131">
            <v>0.19129011921134953</v>
          </cell>
          <cell r="P131">
            <v>0.14137077484240779</v>
          </cell>
          <cell r="Q131">
            <v>0.21059091834994842</v>
          </cell>
          <cell r="R131">
            <v>0.10413336917448265</v>
          </cell>
          <cell r="S131">
            <v>0.21539085530850052</v>
          </cell>
          <cell r="T131">
            <v>0.19139117051574009</v>
          </cell>
          <cell r="U131">
            <v>0.25454823575984653</v>
          </cell>
          <cell r="V131">
            <v>0.21195511095922112</v>
          </cell>
          <cell r="W131">
            <v>0.19125980382003235</v>
          </cell>
          <cell r="X131">
            <v>0.26220792463265175</v>
          </cell>
          <cell r="Y131">
            <v>0.21725019930928702</v>
          </cell>
          <cell r="Z131">
            <v>2.7993000000000001E-2</v>
          </cell>
          <cell r="AA131">
            <v>4.1474999999999998E-2</v>
          </cell>
          <cell r="AB131">
            <v>4.0846333382852616E-2</v>
          </cell>
          <cell r="AC131">
            <v>5.0886648139373152E-2</v>
          </cell>
          <cell r="AD131">
            <v>5.2535476840249826E-2</v>
          </cell>
          <cell r="AE131">
            <v>5.8530607733513491E-2</v>
          </cell>
        </row>
        <row r="132">
          <cell r="H132">
            <v>1.245184060327729E-2</v>
          </cell>
          <cell r="I132">
            <v>3.0549122650087968E-2</v>
          </cell>
          <cell r="J132">
            <v>2.2126488238364762E-2</v>
          </cell>
          <cell r="K132">
            <v>1.7277782482426805E-2</v>
          </cell>
          <cell r="L132">
            <v>2.9752386962492529E-2</v>
          </cell>
          <cell r="M132">
            <v>1.3134756906930521E-2</v>
          </cell>
          <cell r="N132">
            <v>3.585310594179475E-2</v>
          </cell>
          <cell r="O132">
            <v>8.6184037521038065E-2</v>
          </cell>
          <cell r="P132">
            <v>6.3693327254058227E-2</v>
          </cell>
          <cell r="Q132">
            <v>9.4879838454222556E-2</v>
          </cell>
          <cell r="R132">
            <v>4.6916350060977136E-2</v>
          </cell>
          <cell r="S132">
            <v>9.7042406749124469E-2</v>
          </cell>
          <cell r="T132">
            <v>8.6229565274614936E-2</v>
          </cell>
          <cell r="U132">
            <v>0.11468441126016633</v>
          </cell>
          <cell r="V132">
            <v>9.5494463127510462E-2</v>
          </cell>
          <cell r="W132">
            <v>8.6170379194964994E-2</v>
          </cell>
          <cell r="X132">
            <v>0.11813541498129401</v>
          </cell>
          <cell r="Y132">
            <v>9.78801174149391E-2</v>
          </cell>
          <cell r="Z132">
            <v>8.2645999999999997E-2</v>
          </cell>
          <cell r="AA132">
            <v>0.12245</v>
          </cell>
          <cell r="AB132">
            <v>0.12059393665413629</v>
          </cell>
          <cell r="AC132">
            <v>0.15023677069719693</v>
          </cell>
          <cell r="AD132">
            <v>0.15510474114740425</v>
          </cell>
          <cell r="AE132">
            <v>0.17280465140370652</v>
          </cell>
        </row>
        <row r="133">
          <cell r="H133">
            <v>1.461062764590175E-2</v>
          </cell>
          <cell r="I133">
            <v>3.5845452103839388E-2</v>
          </cell>
          <cell r="J133">
            <v>2.5962577827818099E-2</v>
          </cell>
          <cell r="K133">
            <v>2.0273247501351788E-2</v>
          </cell>
          <cell r="L133">
            <v>3.4910585618269804E-2</v>
          </cell>
          <cell r="M133">
            <v>1.5411941776389961E-2</v>
          </cell>
          <cell r="N133">
            <v>4.2068991850631177E-2</v>
          </cell>
          <cell r="O133">
            <v>0.10112584326761248</v>
          </cell>
          <cell r="P133">
            <v>7.4735897903533979E-2</v>
          </cell>
          <cell r="Q133">
            <v>0.11132924319582904</v>
          </cell>
          <cell r="R133">
            <v>5.5050280764540223E-2</v>
          </cell>
          <cell r="S133">
            <v>0.11386673794237505</v>
          </cell>
          <cell r="T133">
            <v>0.10117926420964501</v>
          </cell>
          <cell r="U133">
            <v>0.13456735297998723</v>
          </cell>
          <cell r="V133">
            <v>0.11205042591326843</v>
          </cell>
          <cell r="W133">
            <v>0.10110981698500271</v>
          </cell>
          <cell r="X133">
            <v>0.13861666038605433</v>
          </cell>
          <cell r="Y133">
            <v>0.11484968327577393</v>
          </cell>
          <cell r="Z133">
            <v>2.2661000000000001E-2</v>
          </cell>
          <cell r="AA133">
            <v>3.3575000000000001E-2</v>
          </cell>
          <cell r="AB133">
            <v>3.3066079405166406E-2</v>
          </cell>
          <cell r="AC133">
            <v>4.1193953255683029E-2</v>
          </cell>
          <cell r="AD133">
            <v>4.2528719346868915E-2</v>
          </cell>
          <cell r="AE133">
            <v>4.7381920546177597E-2</v>
          </cell>
        </row>
        <row r="134">
          <cell r="H134">
            <v>4.7323598598832305E-2</v>
          </cell>
          <cell r="I134">
            <v>6.3539377139690933E-2</v>
          </cell>
          <cell r="J134">
            <v>7.4493301011168897E-2</v>
          </cell>
          <cell r="K134">
            <v>5.6242276796304551E-2</v>
          </cell>
          <cell r="L134">
            <v>4.7356692024425905E-2</v>
          </cell>
          <cell r="M134">
            <v>0.13958806915375851</v>
          </cell>
          <cell r="N134">
            <v>9.9958692005435654E-2</v>
          </cell>
          <cell r="O134">
            <v>0.13430966777158107</v>
          </cell>
          <cell r="P134">
            <v>6.0114207590754469E-2</v>
          </cell>
          <cell r="Q134">
            <v>5.8310615895903861E-2</v>
          </cell>
          <cell r="R134">
            <v>7.3368124540986873E-2</v>
          </cell>
          <cell r="S134">
            <v>0.10579968162270412</v>
          </cell>
          <cell r="T134">
            <v>0.13090104493544141</v>
          </cell>
          <cell r="U134">
            <v>0.18562102415444087</v>
          </cell>
          <cell r="V134">
            <v>6.9612020736114513E-2</v>
          </cell>
          <cell r="W134">
            <v>8.6866670950193486E-2</v>
          </cell>
          <cell r="X134">
            <v>0.15042390425477303</v>
          </cell>
          <cell r="Y134">
            <v>6.9917599237908579E-2</v>
          </cell>
          <cell r="Z134">
            <v>6.0696E-2</v>
          </cell>
          <cell r="AA134">
            <v>0.20314799999999997</v>
          </cell>
          <cell r="AB134">
            <v>0.13470040401937183</v>
          </cell>
          <cell r="AC134">
            <v>0.11643600922484103</v>
          </cell>
          <cell r="AD134">
            <v>0.11439186666203939</v>
          </cell>
          <cell r="AE134">
            <v>0.11940706859733403</v>
          </cell>
        </row>
        <row r="135">
          <cell r="H135">
            <v>8.7405897783390932E-2</v>
          </cell>
          <cell r="I135">
            <v>0.11735617045042701</v>
          </cell>
          <cell r="J135">
            <v>0.13758788525203705</v>
          </cell>
          <cell r="K135">
            <v>0.10387854775026077</v>
          </cell>
          <cell r="L135">
            <v>8.746702078883388E-2</v>
          </cell>
          <cell r="M135">
            <v>0.25781683695828184</v>
          </cell>
          <cell r="N135">
            <v>0.18462203794037227</v>
          </cell>
          <cell r="O135">
            <v>0.24806771759013438</v>
          </cell>
          <cell r="P135">
            <v>0.11102993938708366</v>
          </cell>
          <cell r="Q135">
            <v>0.10769873559044393</v>
          </cell>
          <cell r="R135">
            <v>0.1355097030669774</v>
          </cell>
          <cell r="S135">
            <v>0.19541024840104954</v>
          </cell>
          <cell r="T135">
            <v>0.24177204802951249</v>
          </cell>
          <cell r="U135">
            <v>0.34283893752939848</v>
          </cell>
          <cell r="V135">
            <v>0.12857224194920477</v>
          </cell>
          <cell r="W135">
            <v>0.16044129327991158</v>
          </cell>
          <cell r="X135">
            <v>0.27783044376924665</v>
          </cell>
          <cell r="Y135">
            <v>0.12913664034838468</v>
          </cell>
          <cell r="Z135">
            <v>3.0348E-2</v>
          </cell>
          <cell r="AA135">
            <v>0.10157399999999998</v>
          </cell>
          <cell r="AB135">
            <v>6.7350202009685917E-2</v>
          </cell>
          <cell r="AC135">
            <v>5.8218004612420514E-2</v>
          </cell>
          <cell r="AD135">
            <v>5.7195933331019695E-2</v>
          </cell>
          <cell r="AE135">
            <v>5.9703534298667017E-2</v>
          </cell>
        </row>
        <row r="136">
          <cell r="H136">
            <v>2.1851474445847733E-2</v>
          </cell>
          <cell r="I136">
            <v>2.9339042612606753E-2</v>
          </cell>
          <cell r="J136">
            <v>3.4396971313009263E-2</v>
          </cell>
          <cell r="K136">
            <v>2.5969636937565193E-2</v>
          </cell>
          <cell r="L136">
            <v>2.186675519720847E-2</v>
          </cell>
          <cell r="M136">
            <v>6.4454209239570459E-2</v>
          </cell>
          <cell r="N136">
            <v>4.6155509485093067E-2</v>
          </cell>
          <cell r="O136">
            <v>6.2016929397533595E-2</v>
          </cell>
          <cell r="P136">
            <v>2.7757484846770916E-2</v>
          </cell>
          <cell r="Q136">
            <v>2.6924683897610983E-2</v>
          </cell>
          <cell r="R136">
            <v>3.3877425766744351E-2</v>
          </cell>
          <cell r="S136">
            <v>4.8852562100262384E-2</v>
          </cell>
          <cell r="T136">
            <v>6.0443012007378123E-2</v>
          </cell>
          <cell r="U136">
            <v>8.570973438234962E-2</v>
          </cell>
          <cell r="V136">
            <v>3.2143060487301194E-2</v>
          </cell>
          <cell r="W136">
            <v>4.0110323319977895E-2</v>
          </cell>
          <cell r="X136">
            <v>6.9457610942311662E-2</v>
          </cell>
          <cell r="Y136">
            <v>3.228416008709617E-2</v>
          </cell>
          <cell r="Z136">
            <v>0.18546000000000001</v>
          </cell>
          <cell r="AA136">
            <v>0.62073</v>
          </cell>
          <cell r="AB136">
            <v>0.41158456783696956</v>
          </cell>
          <cell r="AC136">
            <v>0.35577669485368096</v>
          </cell>
          <cell r="AD136">
            <v>0.34953070368956485</v>
          </cell>
          <cell r="AE136">
            <v>0.36485493182518736</v>
          </cell>
        </row>
        <row r="137">
          <cell r="H137">
            <v>4.2189029171929009E-2</v>
          </cell>
          <cell r="I137">
            <v>5.6645409797275316E-2</v>
          </cell>
          <cell r="J137">
            <v>6.6410842423784755E-2</v>
          </cell>
          <cell r="K137">
            <v>5.0140038515869477E-2</v>
          </cell>
          <cell r="L137">
            <v>4.2218531989531759E-2</v>
          </cell>
          <cell r="M137">
            <v>0.12444288464838921</v>
          </cell>
          <cell r="N137">
            <v>8.9113260569099004E-2</v>
          </cell>
          <cell r="O137">
            <v>0.11973718524075097</v>
          </cell>
          <cell r="P137">
            <v>5.3591868175390939E-2</v>
          </cell>
          <cell r="Q137">
            <v>5.1983964616041198E-2</v>
          </cell>
          <cell r="R137">
            <v>6.5407746625291335E-2</v>
          </cell>
          <cell r="S137">
            <v>9.432050787598395E-2</v>
          </cell>
          <cell r="T137">
            <v>0.11669839502766798</v>
          </cell>
          <cell r="U137">
            <v>0.16548130393381105</v>
          </cell>
          <cell r="V137">
            <v>6.2059176827379478E-2</v>
          </cell>
          <cell r="W137">
            <v>7.7441712449917086E-2</v>
          </cell>
          <cell r="X137">
            <v>0.13410304103366871</v>
          </cell>
          <cell r="Y137">
            <v>6.2331600326610628E-2</v>
          </cell>
          <cell r="Z137">
            <v>6.0696E-2</v>
          </cell>
          <cell r="AA137">
            <v>0.20314799999999997</v>
          </cell>
          <cell r="AB137">
            <v>0.13470040401937183</v>
          </cell>
          <cell r="AC137">
            <v>0.11643600922484103</v>
          </cell>
          <cell r="AD137">
            <v>0.11439186666203939</v>
          </cell>
          <cell r="AE137">
            <v>0.11940706859733403</v>
          </cell>
        </row>
        <row r="138">
          <cell r="H138">
            <v>8.3687999999999999E-2</v>
          </cell>
          <cell r="I138">
            <v>7.8474000000000002E-2</v>
          </cell>
          <cell r="J138">
            <v>0.23700600000000002</v>
          </cell>
          <cell r="K138">
            <v>0.23515800000000001</v>
          </cell>
          <cell r="L138">
            <v>0.27984000000000003</v>
          </cell>
          <cell r="M138">
            <v>0.176814</v>
          </cell>
          <cell r="N138">
            <v>8.4347999999999992E-2</v>
          </cell>
          <cell r="O138">
            <v>0.40854000000000001</v>
          </cell>
          <cell r="P138">
            <v>0.225324</v>
          </cell>
          <cell r="Q138">
            <v>5.4120000000000001E-2</v>
          </cell>
          <cell r="R138">
            <v>0.40906799999999999</v>
          </cell>
          <cell r="S138">
            <v>0.27079799999999998</v>
          </cell>
          <cell r="T138">
            <v>0.207372</v>
          </cell>
          <cell r="U138">
            <v>0.19912200000000002</v>
          </cell>
          <cell r="V138">
            <v>0.15206400000000003</v>
          </cell>
          <cell r="W138">
            <v>0.27260000000000001</v>
          </cell>
          <cell r="X138">
            <v>0.189</v>
          </cell>
          <cell r="Y138">
            <v>0.1072</v>
          </cell>
          <cell r="Z138">
            <v>0.44969999999999999</v>
          </cell>
          <cell r="AA138">
            <v>0.112</v>
          </cell>
          <cell r="AB138">
            <v>0.4401652614761517</v>
          </cell>
          <cell r="AC138">
            <v>0.21984801303614007</v>
          </cell>
          <cell r="AD138">
            <v>0.15364627260124672</v>
          </cell>
          <cell r="AE138">
            <v>0.15855763042086438</v>
          </cell>
        </row>
        <row r="139">
          <cell r="H139">
            <v>4.3112000000000004E-2</v>
          </cell>
          <cell r="I139">
            <v>4.0426000000000004E-2</v>
          </cell>
          <cell r="J139">
            <v>0.12209400000000002</v>
          </cell>
          <cell r="K139">
            <v>0.12114200000000001</v>
          </cell>
          <cell r="L139">
            <v>0.14416000000000001</v>
          </cell>
          <cell r="M139">
            <v>9.1086E-2</v>
          </cell>
          <cell r="N139">
            <v>4.3452000000000005E-2</v>
          </cell>
          <cell r="O139">
            <v>0.21046000000000001</v>
          </cell>
          <cell r="P139">
            <v>0.11607600000000001</v>
          </cell>
          <cell r="Q139">
            <v>2.7880000000000002E-2</v>
          </cell>
          <cell r="R139">
            <v>0.210732</v>
          </cell>
          <cell r="S139">
            <v>0.13950200000000001</v>
          </cell>
          <cell r="T139">
            <v>0.10682800000000001</v>
          </cell>
          <cell r="U139">
            <v>0.102578</v>
          </cell>
          <cell r="V139">
            <v>7.8336000000000017E-2</v>
          </cell>
          <cell r="W139">
            <v>0.14680000000000001</v>
          </cell>
          <cell r="X139">
            <v>0.24359999999999998</v>
          </cell>
          <cell r="Y139">
            <v>0.1031</v>
          </cell>
          <cell r="Z139">
            <v>0.1915</v>
          </cell>
          <cell r="AA139">
            <v>0.29419999999999996</v>
          </cell>
          <cell r="AB139">
            <v>0.35744725178671727</v>
          </cell>
          <cell r="AC139">
            <v>0.22417923952580085</v>
          </cell>
          <cell r="AD139">
            <v>0.17356368464901417</v>
          </cell>
          <cell r="AE139">
            <v>0.17526384939785247</v>
          </cell>
        </row>
        <row r="140">
          <cell r="H140">
            <v>0.1671</v>
          </cell>
          <cell r="I140">
            <v>7.1599999999999997E-2</v>
          </cell>
          <cell r="J140">
            <v>0.26939999999999997</v>
          </cell>
          <cell r="K140">
            <v>4.3299999999999998E-2</v>
          </cell>
          <cell r="L140">
            <v>4.5899999999999996E-2</v>
          </cell>
          <cell r="M140">
            <v>9.9299999999999999E-2</v>
          </cell>
          <cell r="N140">
            <v>0.22140000000000001</v>
          </cell>
          <cell r="O140">
            <v>0.3105</v>
          </cell>
          <cell r="P140">
            <v>0.33019999999999999</v>
          </cell>
          <cell r="Q140">
            <v>0.38160000000000005</v>
          </cell>
          <cell r="R140">
            <v>0.1825</v>
          </cell>
          <cell r="S140">
            <v>0.3387</v>
          </cell>
          <cell r="T140">
            <v>0.48710000000000003</v>
          </cell>
          <cell r="U140">
            <v>0.3115</v>
          </cell>
          <cell r="V140">
            <v>0.2233</v>
          </cell>
          <cell r="W140">
            <v>0.1108</v>
          </cell>
          <cell r="X140">
            <v>0.22839999999999999</v>
          </cell>
          <cell r="Y140">
            <v>0.25869999999999999</v>
          </cell>
          <cell r="Z140">
            <v>7.1999999999999995E-2</v>
          </cell>
          <cell r="AA140">
            <v>0.26689999999999997</v>
          </cell>
          <cell r="AB140">
            <v>0.13994319</v>
          </cell>
          <cell r="AC140">
            <v>0.13183231000000001</v>
          </cell>
          <cell r="AD140">
            <v>0.11379148000000006</v>
          </cell>
          <cell r="AE140">
            <v>0.11830017999999998</v>
          </cell>
        </row>
        <row r="141">
          <cell r="H141">
            <v>6.2100589823534016E-2</v>
          </cell>
          <cell r="I141">
            <v>8.3379812909919804E-2</v>
          </cell>
          <cell r="J141">
            <v>9.7754145239702855E-2</v>
          </cell>
          <cell r="K141">
            <v>7.3804162521046185E-2</v>
          </cell>
          <cell r="L141">
            <v>6.2144016809424593E-2</v>
          </cell>
          <cell r="M141">
            <v>0.18317502648648007</v>
          </cell>
          <cell r="N141">
            <v>0.13117121088250666</v>
          </cell>
          <cell r="O141">
            <v>0.17624842223693205</v>
          </cell>
          <cell r="P141">
            <v>7.8885119870244436E-2</v>
          </cell>
          <cell r="Q141">
            <v>7.6518349139207631E-2</v>
          </cell>
          <cell r="R141">
            <v>9.6277627719423012E-2</v>
          </cell>
          <cell r="S141">
            <v>0.13883607389219457</v>
          </cell>
          <cell r="T141">
            <v>0.17177544269020198</v>
          </cell>
          <cell r="U141">
            <v>0.24358196386028133</v>
          </cell>
          <cell r="V141">
            <v>9.1348664820841821E-2</v>
          </cell>
          <cell r="W141">
            <v>3.3659473654209432E-2</v>
          </cell>
          <cell r="X141">
            <v>5.7814844658594489E-2</v>
          </cell>
          <cell r="Y141">
            <v>2.6639964131567617E-2</v>
          </cell>
          <cell r="Z141">
            <v>4.7600000000000003E-2</v>
          </cell>
          <cell r="AA141">
            <v>2.12E-2</v>
          </cell>
          <cell r="AB141">
            <v>3.7391982114600208E-2</v>
          </cell>
          <cell r="AC141">
            <v>3.8556202084216395E-2</v>
          </cell>
          <cell r="AD141">
            <v>3.9254739655337212E-2</v>
          </cell>
          <cell r="AE141">
            <v>3.9612886681477867E-2</v>
          </cell>
        </row>
        <row r="142">
          <cell r="H142">
            <v>2.5129410176465982E-2</v>
          </cell>
          <cell r="I142">
            <v>3.3740187090080198E-2</v>
          </cell>
          <cell r="J142">
            <v>3.9556854760297154E-2</v>
          </cell>
          <cell r="K142">
            <v>2.9865337478953799E-2</v>
          </cell>
          <cell r="L142">
            <v>2.5146983190575397E-2</v>
          </cell>
          <cell r="M142">
            <v>7.4122973513519944E-2</v>
          </cell>
          <cell r="N142">
            <v>5.3079289117493357E-2</v>
          </cell>
          <cell r="O142">
            <v>7.1320077763067966E-2</v>
          </cell>
          <cell r="P142">
            <v>3.1921380129755567E-2</v>
          </cell>
          <cell r="Q142">
            <v>3.0963650860792346E-2</v>
          </cell>
          <cell r="R142">
            <v>3.8959372280576977E-2</v>
          </cell>
          <cell r="S142">
            <v>5.6180926107805416E-2</v>
          </cell>
          <cell r="T142">
            <v>6.9510057309798035E-2</v>
          </cell>
          <cell r="U142">
            <v>9.8567036139718664E-2</v>
          </cell>
          <cell r="V142">
            <v>3.6964835179158176E-2</v>
          </cell>
          <cell r="W142">
            <v>1.3620526345790574E-2</v>
          </cell>
          <cell r="X142">
            <v>2.3395155341405505E-2</v>
          </cell>
          <cell r="Y142">
            <v>1.0780035868432387E-2</v>
          </cell>
          <cell r="Z142">
            <v>4.7600000000000003E-2</v>
          </cell>
          <cell r="AA142">
            <v>2.12E-2</v>
          </cell>
          <cell r="AB142">
            <v>3.7391982114600208E-2</v>
          </cell>
          <cell r="AC142">
            <v>3.8556202084216395E-2</v>
          </cell>
          <cell r="AD142">
            <v>3.9254739655337212E-2</v>
          </cell>
          <cell r="AE142">
            <v>3.9612886681477867E-2</v>
          </cell>
        </row>
        <row r="143">
          <cell r="H143">
            <v>1.8200000000000001E-2</v>
          </cell>
          <cell r="I143">
            <v>2.7699999999999999E-2</v>
          </cell>
          <cell r="J143">
            <v>1.0199999999999999E-2</v>
          </cell>
          <cell r="K143">
            <v>7.4000000000000003E-3</v>
          </cell>
          <cell r="L143">
            <v>3.2199999999999999E-2</v>
          </cell>
          <cell r="M143">
            <v>1.3099999999999999E-2</v>
          </cell>
          <cell r="N143">
            <v>7.7200000000000005E-2</v>
          </cell>
          <cell r="O143">
            <v>4.1299999999999996E-2</v>
          </cell>
          <cell r="P143">
            <v>4.8000000000000001E-2</v>
          </cell>
          <cell r="Q143">
            <v>4.5499999999999999E-2</v>
          </cell>
          <cell r="R143">
            <v>5.1299999999999998E-2</v>
          </cell>
          <cell r="S143">
            <v>5.0299999999999997E-2</v>
          </cell>
          <cell r="T143">
            <v>2.52E-2</v>
          </cell>
          <cell r="U143">
            <v>3.0499999999999999E-2</v>
          </cell>
          <cell r="V143">
            <v>2.5999999999999999E-2</v>
          </cell>
          <cell r="W143">
            <v>6.9501599999999997E-2</v>
          </cell>
          <cell r="X143">
            <v>0.11937869999999999</v>
          </cell>
          <cell r="Y143">
            <v>5.5007399999999998E-2</v>
          </cell>
          <cell r="Z143">
            <v>0.3372</v>
          </cell>
          <cell r="AA143">
            <v>1.1285999999999998</v>
          </cell>
          <cell r="AB143">
            <v>0.74833557788539917</v>
          </cell>
          <cell r="AC143">
            <v>0.64686671791578354</v>
          </cell>
          <cell r="AD143">
            <v>0.63551037034466329</v>
          </cell>
          <cell r="AE143">
            <v>0.66337260331852244</v>
          </cell>
        </row>
        <row r="144">
          <cell r="H144">
            <v>1.6199999999999999E-2</v>
          </cell>
          <cell r="I144">
            <v>7.2800000000000004E-2</v>
          </cell>
          <cell r="J144">
            <v>0.23139999999999999</v>
          </cell>
          <cell r="K144">
            <v>6.2899999999999998E-2</v>
          </cell>
          <cell r="L144">
            <v>8.0299999999999996E-2</v>
          </cell>
          <cell r="M144">
            <v>0.1036</v>
          </cell>
          <cell r="N144">
            <v>0.13750000000000001</v>
          </cell>
          <cell r="O144">
            <v>0.12790000000000001</v>
          </cell>
          <cell r="P144">
            <v>0.24299999999999999</v>
          </cell>
          <cell r="Q144">
            <v>0.21619999999999998</v>
          </cell>
          <cell r="R144">
            <v>0.15919999999999998</v>
          </cell>
          <cell r="S144">
            <v>0.2424</v>
          </cell>
          <cell r="T144">
            <v>0.153</v>
          </cell>
          <cell r="U144">
            <v>0.15630000000000002</v>
          </cell>
          <cell r="V144">
            <v>0.32839999999999997</v>
          </cell>
          <cell r="W144">
            <v>0.2853</v>
          </cell>
          <cell r="X144">
            <v>8.43E-2</v>
          </cell>
          <cell r="Y144">
            <v>0.13190000000000002</v>
          </cell>
          <cell r="Z144">
            <v>0.14849999999999999</v>
          </cell>
          <cell r="AA144">
            <v>0.33030000000000004</v>
          </cell>
          <cell r="AB144">
            <v>0.26767490999999999</v>
          </cell>
          <cell r="AC144">
            <v>0.22668945999999998</v>
          </cell>
          <cell r="AD144">
            <v>0.21574797999999998</v>
          </cell>
          <cell r="AE144">
            <v>0.248752</v>
          </cell>
        </row>
        <row r="145">
          <cell r="H145">
            <v>5.5926000000000003E-2</v>
          </cell>
          <cell r="I145">
            <v>7.7945400000000012E-2</v>
          </cell>
          <cell r="J145">
            <v>3.9616200000000004E-2</v>
          </cell>
          <cell r="K145">
            <v>3.7861200000000005E-2</v>
          </cell>
          <cell r="L145">
            <v>4.8601800000000001E-2</v>
          </cell>
          <cell r="M145">
            <v>4.8461400000000002E-2</v>
          </cell>
          <cell r="N145">
            <v>0.1010412</v>
          </cell>
          <cell r="O145">
            <v>5.0918399999999996E-2</v>
          </cell>
          <cell r="P145">
            <v>5.8921200000000007E-2</v>
          </cell>
          <cell r="Q145">
            <v>8.45442E-2</v>
          </cell>
          <cell r="R145">
            <v>9.3974400000000013E-2</v>
          </cell>
          <cell r="S145">
            <v>5.9202000000000005E-2</v>
          </cell>
          <cell r="T145">
            <v>7.4201400000000001E-2</v>
          </cell>
          <cell r="U145">
            <v>0.1071486</v>
          </cell>
          <cell r="V145">
            <v>0.11398140000000001</v>
          </cell>
          <cell r="W145">
            <v>9.4021200000000013E-2</v>
          </cell>
          <cell r="X145">
            <v>5.4498600000000001E-2</v>
          </cell>
          <cell r="Y145">
            <v>5.9061600000000006E-2</v>
          </cell>
          <cell r="Z145">
            <v>0.3604</v>
          </cell>
          <cell r="AA145">
            <v>0.33529999999999999</v>
          </cell>
          <cell r="AB145">
            <v>0.18800158000000008</v>
          </cell>
          <cell r="AC145">
            <v>0.1901061300000001</v>
          </cell>
          <cell r="AD145">
            <v>0.24725164000000002</v>
          </cell>
          <cell r="AE145">
            <v>0.28489977000000005</v>
          </cell>
        </row>
        <row r="146">
          <cell r="H146">
            <v>0.18307400000000001</v>
          </cell>
          <cell r="I146">
            <v>0.25515460000000001</v>
          </cell>
          <cell r="J146">
            <v>0.12968380000000002</v>
          </cell>
          <cell r="K146">
            <v>0.12393880000000002</v>
          </cell>
          <cell r="L146">
            <v>0.1590982</v>
          </cell>
          <cell r="M146">
            <v>0.15863859999999999</v>
          </cell>
          <cell r="N146">
            <v>0.33075880000000002</v>
          </cell>
          <cell r="O146">
            <v>0.16668160000000001</v>
          </cell>
          <cell r="P146">
            <v>0.19287880000000002</v>
          </cell>
          <cell r="Q146">
            <v>0.2767558</v>
          </cell>
          <cell r="R146">
            <v>0.3076256</v>
          </cell>
          <cell r="S146">
            <v>0.193798</v>
          </cell>
          <cell r="T146">
            <v>0.24289860000000002</v>
          </cell>
          <cell r="U146">
            <v>0.35075139999999999</v>
          </cell>
          <cell r="V146">
            <v>0.37311860000000002</v>
          </cell>
          <cell r="W146">
            <v>0.30777879999999996</v>
          </cell>
          <cell r="X146">
            <v>0.17840139999999999</v>
          </cell>
          <cell r="Y146">
            <v>0.19333839999999999</v>
          </cell>
          <cell r="Z146">
            <v>0.3604</v>
          </cell>
          <cell r="AA146">
            <v>0.33529999999999999</v>
          </cell>
          <cell r="AB146">
            <v>0.18800158000000008</v>
          </cell>
          <cell r="AC146">
            <v>0.1901061300000001</v>
          </cell>
          <cell r="AD146">
            <v>0.24725164000000002</v>
          </cell>
          <cell r="AE146">
            <v>0.28489977000000005</v>
          </cell>
        </row>
        <row r="147">
          <cell r="H147">
            <v>0.13889000000000001</v>
          </cell>
          <cell r="I147">
            <v>8.6394000000000026E-2</v>
          </cell>
          <cell r="J147">
            <v>8.9862000000000011E-2</v>
          </cell>
          <cell r="K147">
            <v>0.10047000000000002</v>
          </cell>
          <cell r="L147">
            <v>9.1595999999999997E-2</v>
          </cell>
          <cell r="M147">
            <v>5.3102692600000008E-2</v>
          </cell>
          <cell r="N147">
            <v>7.5077616799999997E-2</v>
          </cell>
          <cell r="O147">
            <v>0.14943000000000001</v>
          </cell>
          <cell r="P147">
            <v>0.19896800000000001</v>
          </cell>
          <cell r="Q147">
            <v>0.17751400000000001</v>
          </cell>
          <cell r="R147">
            <v>0.29961847200000008</v>
          </cell>
          <cell r="S147">
            <v>0.32215000000000005</v>
          </cell>
          <cell r="T147">
            <v>0.23167600000000005</v>
          </cell>
          <cell r="U147">
            <v>0.13569400000000001</v>
          </cell>
          <cell r="V147">
            <v>0.19543199999999999</v>
          </cell>
          <cell r="W147">
            <v>7.3900000000000007E-2</v>
          </cell>
          <cell r="X147">
            <v>0.19789999999999999</v>
          </cell>
          <cell r="Y147">
            <v>0.19040000000000001</v>
          </cell>
          <cell r="Z147">
            <v>0.27250000000000002</v>
          </cell>
          <cell r="AA147">
            <v>0.30969999999999998</v>
          </cell>
          <cell r="AB147">
            <v>0.14437921709174992</v>
          </cell>
          <cell r="AC147">
            <v>0.12593667786924057</v>
          </cell>
          <cell r="AD147">
            <v>0.11274781687252457</v>
          </cell>
          <cell r="AE147">
            <v>0.11357810546743598</v>
          </cell>
        </row>
        <row r="148">
          <cell r="H148">
            <v>0.26961000000000002</v>
          </cell>
          <cell r="I148">
            <v>0.16770600000000002</v>
          </cell>
          <cell r="J148">
            <v>0.17443800000000001</v>
          </cell>
          <cell r="K148">
            <v>0.19503000000000001</v>
          </cell>
          <cell r="L148">
            <v>0.17780399999999999</v>
          </cell>
          <cell r="M148">
            <v>0.10308169740000001</v>
          </cell>
          <cell r="N148">
            <v>0.14573890320000002</v>
          </cell>
          <cell r="O148">
            <v>0.29006999999999999</v>
          </cell>
          <cell r="P148">
            <v>0.38623200000000002</v>
          </cell>
          <cell r="Q148">
            <v>0.344586</v>
          </cell>
          <cell r="R148">
            <v>0.58161232800000007</v>
          </cell>
          <cell r="S148">
            <v>0.62535000000000007</v>
          </cell>
          <cell r="T148">
            <v>0.44972400000000012</v>
          </cell>
          <cell r="U148">
            <v>0.26340600000000003</v>
          </cell>
          <cell r="V148">
            <v>0.37936799999999998</v>
          </cell>
          <cell r="W148">
            <v>0.15509999999999999</v>
          </cell>
          <cell r="X148">
            <v>0.2155</v>
          </cell>
          <cell r="Y148">
            <v>0.21199999999999999</v>
          </cell>
          <cell r="Z148">
            <v>0.20980000000000001</v>
          </cell>
          <cell r="AA148">
            <v>0.19269999999999998</v>
          </cell>
          <cell r="AB148">
            <v>0.28119913349861531</v>
          </cell>
          <cell r="AC148">
            <v>0.25254892801661488</v>
          </cell>
          <cell r="AD148">
            <v>0.26806078039084402</v>
          </cell>
          <cell r="AE148">
            <v>0.28886737875496393</v>
          </cell>
        </row>
        <row r="168">
          <cell r="G168" t="str">
            <v>Western MT portion of state</v>
          </cell>
        </row>
        <row r="169">
          <cell r="H169">
            <v>5.8452515664333813</v>
          </cell>
          <cell r="I169">
            <v>2.3942560490388454</v>
          </cell>
          <cell r="J169">
            <v>3.2535508684892789</v>
          </cell>
          <cell r="K169">
            <v>3.8808061249763441</v>
          </cell>
          <cell r="L169">
            <v>2.6785158945721284</v>
          </cell>
          <cell r="M169">
            <v>2.1289433230787926</v>
          </cell>
          <cell r="N169">
            <v>1.9047034050448099</v>
          </cell>
          <cell r="O169">
            <v>2.9945048391710078</v>
          </cell>
          <cell r="P169">
            <v>3.7348996623363648</v>
          </cell>
          <cell r="Q169">
            <v>4.3096744291447084</v>
          </cell>
          <cell r="R169">
            <v>4.6932151602156393</v>
          </cell>
          <cell r="S169">
            <v>6.7040926655271003</v>
          </cell>
          <cell r="T169">
            <v>8.0155996509731651</v>
          </cell>
          <cell r="U169">
            <v>8.5121404979223296</v>
          </cell>
          <cell r="V169">
            <v>5.7106188925677364</v>
          </cell>
          <cell r="W169">
            <v>3.9531865469773946</v>
          </cell>
          <cell r="X169">
            <v>3.613957014984337</v>
          </cell>
          <cell r="Y169">
            <v>4.2577960031375479</v>
          </cell>
          <cell r="Z169">
            <v>2.9053730099999999</v>
          </cell>
          <cell r="AA169">
            <v>5.76397475</v>
          </cell>
          <cell r="AB169">
            <v>4.1477159651255757</v>
          </cell>
          <cell r="AC169">
            <v>4.3042855770003277</v>
          </cell>
          <cell r="AD169">
            <v>3.9757692712668407</v>
          </cell>
          <cell r="AE169">
            <v>3.9080659306945158</v>
          </cell>
        </row>
        <row r="170">
          <cell r="H170">
            <v>2.6335253613638385</v>
          </cell>
          <cell r="I170">
            <v>1.0787104635412517</v>
          </cell>
          <cell r="J170">
            <v>1.4658579924699486</v>
          </cell>
          <cell r="K170">
            <v>1.7484621896089618</v>
          </cell>
          <cell r="L170">
            <v>1.2067811725468609</v>
          </cell>
          <cell r="M170">
            <v>0.95917620833130801</v>
          </cell>
          <cell r="N170">
            <v>0.85814693620145599</v>
          </cell>
          <cell r="O170">
            <v>1.3491471408980753</v>
          </cell>
          <cell r="P170">
            <v>1.6827253491356049</v>
          </cell>
          <cell r="Q170">
            <v>1.9416849350932321</v>
          </cell>
          <cell r="R170">
            <v>2.1144857514330568</v>
          </cell>
          <cell r="S170">
            <v>3.0204684706789751</v>
          </cell>
          <cell r="T170">
            <v>3.6113561114457378</v>
          </cell>
          <cell r="U170">
            <v>3.8350681105841429</v>
          </cell>
          <cell r="V170">
            <v>2.5728678247182866</v>
          </cell>
          <cell r="W170">
            <v>1.7810725357744892</v>
          </cell>
          <cell r="X170">
            <v>1.628235730433635</v>
          </cell>
          <cell r="Y170">
            <v>1.9183115782676574</v>
          </cell>
          <cell r="Z170">
            <v>2.52049922</v>
          </cell>
          <cell r="AA170">
            <v>4.3866505</v>
          </cell>
          <cell r="AB170">
            <v>3.3467175863389964</v>
          </cell>
          <cell r="AC170">
            <v>3.4921085643107492</v>
          </cell>
          <cell r="AD170">
            <v>3.2325006595168051</v>
          </cell>
          <cell r="AE170">
            <v>3.2055077433563333</v>
          </cell>
        </row>
        <row r="171">
          <cell r="H171">
            <v>3.0901020722027819</v>
          </cell>
          <cell r="I171">
            <v>1.2657274874199036</v>
          </cell>
          <cell r="J171">
            <v>1.7199951390407733</v>
          </cell>
          <cell r="K171">
            <v>2.0515946854146958</v>
          </cell>
          <cell r="L171">
            <v>1.4160019328810107</v>
          </cell>
          <cell r="M171">
            <v>1.1254694685898994</v>
          </cell>
          <cell r="N171">
            <v>1.0069246587537342</v>
          </cell>
          <cell r="O171">
            <v>1.5830500199309174</v>
          </cell>
          <cell r="P171">
            <v>1.9744609885280306</v>
          </cell>
          <cell r="Q171">
            <v>2.2783166357620592</v>
          </cell>
          <cell r="R171">
            <v>2.4810760883513034</v>
          </cell>
          <cell r="S171">
            <v>3.5441298637939256</v>
          </cell>
          <cell r="T171">
            <v>4.2374602375810966</v>
          </cell>
          <cell r="U171">
            <v>4.4999573914935276</v>
          </cell>
          <cell r="V171">
            <v>3.0189282827139783</v>
          </cell>
          <cell r="W171">
            <v>2.0898587172481164</v>
          </cell>
          <cell r="X171">
            <v>1.9105244545820284</v>
          </cell>
          <cell r="Y171">
            <v>2.2508910185947957</v>
          </cell>
          <cell r="Z171">
            <v>0.65600877000000002</v>
          </cell>
          <cell r="AA171">
            <v>1.1345497499999999</v>
          </cell>
          <cell r="AB171">
            <v>0.87002001760199665</v>
          </cell>
          <cell r="AC171">
            <v>0.90846325570362163</v>
          </cell>
          <cell r="AD171">
            <v>0.8416976698075469</v>
          </cell>
          <cell r="AE171">
            <v>0.83495356000334453</v>
          </cell>
        </row>
        <row r="172">
          <cell r="H172">
            <v>1.9601639052244866</v>
          </cell>
          <cell r="I172">
            <v>1.8139548177464644</v>
          </cell>
          <cell r="J172">
            <v>1.5990745699068862</v>
          </cell>
          <cell r="K172">
            <v>1.2830229881440107</v>
          </cell>
          <cell r="L172">
            <v>0.979871173680254</v>
          </cell>
          <cell r="M172">
            <v>1.241660719000097</v>
          </cell>
          <cell r="N172">
            <v>1.8848305823635303</v>
          </cell>
          <cell r="O172">
            <v>2.4988567954738619</v>
          </cell>
          <cell r="P172">
            <v>2.288456066580165</v>
          </cell>
          <cell r="Q172">
            <v>1.2544054066975698</v>
          </cell>
          <cell r="R172">
            <v>1.5651299718837426</v>
          </cell>
          <cell r="S172">
            <v>2.1687149616138099</v>
          </cell>
          <cell r="T172">
            <v>2.726992850636329</v>
          </cell>
          <cell r="U172">
            <v>2.3639545922978495</v>
          </cell>
          <cell r="V172">
            <v>2.12134434059036</v>
          </cell>
          <cell r="W172">
            <v>1.7332075021200439</v>
          </cell>
          <cell r="X172">
            <v>1.6498023915828299</v>
          </cell>
          <cell r="Y172">
            <v>1.7728331175696301</v>
          </cell>
          <cell r="Z172">
            <v>3.0494837200000005</v>
          </cell>
          <cell r="AA172">
            <v>3.9300753599999996</v>
          </cell>
          <cell r="AB172">
            <v>3.2949268651724135</v>
          </cell>
          <cell r="AC172">
            <v>3.0804508752407767</v>
          </cell>
          <cell r="AD172">
            <v>2.9901146137661283</v>
          </cell>
          <cell r="AE172">
            <v>3.1209850609635708</v>
          </cell>
        </row>
        <row r="173">
          <cell r="H173">
            <v>3.620390059325949</v>
          </cell>
          <cell r="I173">
            <v>3.3503443118873304</v>
          </cell>
          <cell r="J173">
            <v>2.9534640759282804</v>
          </cell>
          <cell r="K173">
            <v>2.3697220726198811</v>
          </cell>
          <cell r="L173">
            <v>1.8098057244890269</v>
          </cell>
          <cell r="M173">
            <v>2.2933266509713843</v>
          </cell>
          <cell r="N173">
            <v>3.4812506677195292</v>
          </cell>
          <cell r="O173">
            <v>4.6153468482405211</v>
          </cell>
          <cell r="P173">
            <v>4.2267402091062101</v>
          </cell>
          <cell r="Q173">
            <v>2.3168658767096826</v>
          </cell>
          <cell r="R173">
            <v>2.8907689691960035</v>
          </cell>
          <cell r="S173">
            <v>4.0055803841765441</v>
          </cell>
          <cell r="T173">
            <v>5.0367103393662491</v>
          </cell>
          <cell r="U173">
            <v>4.366184727635269</v>
          </cell>
          <cell r="V173">
            <v>3.9180876367586932</v>
          </cell>
          <cell r="W173">
            <v>3.2012053658879802</v>
          </cell>
          <cell r="X173">
            <v>3.0471575169907066</v>
          </cell>
          <cell r="Y173">
            <v>3.2743932171110264</v>
          </cell>
          <cell r="Z173">
            <v>1.21717136</v>
          </cell>
          <cell r="AA173">
            <v>1.5786711799999997</v>
          </cell>
          <cell r="AB173">
            <v>1.3199722007364803</v>
          </cell>
          <cell r="AC173">
            <v>1.2300279538780112</v>
          </cell>
          <cell r="AD173">
            <v>1.196371930895225</v>
          </cell>
          <cell r="AE173">
            <v>1.248350009064233</v>
          </cell>
        </row>
        <row r="174">
          <cell r="H174">
            <v>0.90509751483148726</v>
          </cell>
          <cell r="I174">
            <v>0.8375860779718326</v>
          </cell>
          <cell r="J174">
            <v>0.7383660189820701</v>
          </cell>
          <cell r="K174">
            <v>0.59243051815497028</v>
          </cell>
          <cell r="L174">
            <v>0.45245143112225672</v>
          </cell>
          <cell r="M174">
            <v>0.57333166274284608</v>
          </cell>
          <cell r="N174">
            <v>0.87031266692988229</v>
          </cell>
          <cell r="O174">
            <v>1.1538367120601303</v>
          </cell>
          <cell r="P174">
            <v>1.0566850522765525</v>
          </cell>
          <cell r="Q174">
            <v>0.57921646917742065</v>
          </cell>
          <cell r="R174">
            <v>0.72269224229900086</v>
          </cell>
          <cell r="S174">
            <v>1.001395096044136</v>
          </cell>
          <cell r="T174">
            <v>1.2591775848415623</v>
          </cell>
          <cell r="U174">
            <v>1.0915461819088172</v>
          </cell>
          <cell r="V174">
            <v>0.9795219091896733</v>
          </cell>
          <cell r="W174">
            <v>0.80030134147199505</v>
          </cell>
          <cell r="X174">
            <v>0.76178937924767665</v>
          </cell>
          <cell r="Y174">
            <v>0.81859830427775659</v>
          </cell>
          <cell r="Z174">
            <v>4.4185782000000007</v>
          </cell>
          <cell r="AA174">
            <v>5.8084251000000009</v>
          </cell>
          <cell r="AB174">
            <v>4.8341193729503171</v>
          </cell>
          <cell r="AC174">
            <v>4.4973948910402894</v>
          </cell>
          <cell r="AD174">
            <v>4.3749492047650769</v>
          </cell>
          <cell r="AE174">
            <v>4.5648201170153557</v>
          </cell>
        </row>
        <row r="175">
          <cell r="H175">
            <v>1.7474878206180771</v>
          </cell>
          <cell r="I175">
            <v>1.6171422923943721</v>
          </cell>
          <cell r="J175">
            <v>1.4255763651827631</v>
          </cell>
          <cell r="K175">
            <v>1.1438161060811387</v>
          </cell>
          <cell r="L175">
            <v>0.87355600070846262</v>
          </cell>
          <cell r="M175">
            <v>1.1069416072856728</v>
          </cell>
          <cell r="N175">
            <v>1.6803280979870585</v>
          </cell>
          <cell r="O175">
            <v>2.2277329992254882</v>
          </cell>
          <cell r="P175">
            <v>2.0401605670370717</v>
          </cell>
          <cell r="Q175">
            <v>1.1183035074153274</v>
          </cell>
          <cell r="R175">
            <v>1.3953147266212531</v>
          </cell>
          <cell r="S175">
            <v>1.9334112681655102</v>
          </cell>
          <cell r="T175">
            <v>2.4311164901558593</v>
          </cell>
          <cell r="U175">
            <v>2.1074675681580644</v>
          </cell>
          <cell r="V175">
            <v>1.8911803184612741</v>
          </cell>
          <cell r="W175">
            <v>1.5451559905199812</v>
          </cell>
          <cell r="X175">
            <v>1.4708002621787872</v>
          </cell>
          <cell r="Y175">
            <v>1.580482261041587</v>
          </cell>
          <cell r="Z175">
            <v>1.38987072</v>
          </cell>
          <cell r="AA175">
            <v>1.8173303599999999</v>
          </cell>
          <cell r="AB175">
            <v>1.5136049433773811</v>
          </cell>
          <cell r="AC175">
            <v>1.4027949732052674</v>
          </cell>
          <cell r="AD175">
            <v>1.3671049082637361</v>
          </cell>
          <cell r="AE175">
            <v>1.4256651163527188</v>
          </cell>
        </row>
        <row r="176">
          <cell r="H176">
            <v>2.3326221600000001</v>
          </cell>
          <cell r="I176">
            <v>2.1343561800000002</v>
          </cell>
          <cell r="J176">
            <v>2.7849274200000003</v>
          </cell>
          <cell r="K176">
            <v>3.7213380599999999</v>
          </cell>
          <cell r="L176">
            <v>3.8396688000000001</v>
          </cell>
          <cell r="M176">
            <v>4.5304399799999997</v>
          </cell>
          <cell r="N176">
            <v>3.8655843599999997</v>
          </cell>
          <cell r="O176">
            <v>3.7622019600000001</v>
          </cell>
          <cell r="P176">
            <v>4.9317826799999995</v>
          </cell>
          <cell r="Q176">
            <v>3.5256144000000003</v>
          </cell>
          <cell r="R176">
            <v>4.1166087600000001</v>
          </cell>
          <cell r="S176">
            <v>3.6865428600000003</v>
          </cell>
          <cell r="T176">
            <v>4.4936060400000004</v>
          </cell>
          <cell r="U176">
            <v>4.0552175400000001</v>
          </cell>
          <cell r="V176">
            <v>4.7025844800000005</v>
          </cell>
          <cell r="W176">
            <v>5.7826820000000012</v>
          </cell>
          <cell r="X176">
            <v>6.4745300000000006</v>
          </cell>
          <cell r="Y176">
            <v>4.3306040000000001</v>
          </cell>
          <cell r="Z176">
            <v>5.0644289999999996</v>
          </cell>
          <cell r="AA176">
            <v>4.8802399999999997</v>
          </cell>
          <cell r="AB176">
            <v>5.314560624425317</v>
          </cell>
          <cell r="AC176">
            <v>5.8392883922912757</v>
          </cell>
          <cell r="AD176">
            <v>5.5907307068579604</v>
          </cell>
          <cell r="AE176">
            <v>5.3970025110934667</v>
          </cell>
        </row>
        <row r="177">
          <cell r="H177">
            <v>1.2016538399999999</v>
          </cell>
          <cell r="I177">
            <v>1.0995168200000001</v>
          </cell>
          <cell r="J177">
            <v>1.4346595800000002</v>
          </cell>
          <cell r="K177">
            <v>1.91705294</v>
          </cell>
          <cell r="L177">
            <v>1.9780112000000001</v>
          </cell>
          <cell r="M177">
            <v>2.3338630200000003</v>
          </cell>
          <cell r="N177">
            <v>1.99136164</v>
          </cell>
          <cell r="O177">
            <v>1.93810404</v>
          </cell>
          <cell r="P177">
            <v>2.5406153199999997</v>
          </cell>
          <cell r="Q177">
            <v>1.8162256000000001</v>
          </cell>
          <cell r="R177">
            <v>2.12067724</v>
          </cell>
          <cell r="S177">
            <v>1.8991281399999997</v>
          </cell>
          <cell r="T177">
            <v>2.3148879600000005</v>
          </cell>
          <cell r="U177">
            <v>2.0890514600000003</v>
          </cell>
          <cell r="V177">
            <v>2.4225435200000001</v>
          </cell>
          <cell r="W177">
            <v>2.7598760000000002</v>
          </cell>
          <cell r="X177">
            <v>3.2231519999999998</v>
          </cell>
          <cell r="Y177">
            <v>1.711967</v>
          </cell>
          <cell r="Z177">
            <v>2.2422549999999997</v>
          </cell>
          <cell r="AA177">
            <v>1.9980939999999998</v>
          </cell>
          <cell r="AB177">
            <v>2.2146394799898173</v>
          </cell>
          <cell r="AC177">
            <v>2.4529568455976025</v>
          </cell>
          <cell r="AD177">
            <v>2.3252751304701671</v>
          </cell>
          <cell r="AE177">
            <v>2.2545756506342292</v>
          </cell>
        </row>
        <row r="178">
          <cell r="H178">
            <v>7.7681670999999994</v>
          </cell>
          <cell r="I178">
            <v>6.1909778999999991</v>
          </cell>
          <cell r="J178">
            <v>6.2494579999999997</v>
          </cell>
          <cell r="K178">
            <v>6.6152219000000008</v>
          </cell>
          <cell r="L178">
            <v>5.5810154000000001</v>
          </cell>
          <cell r="M178">
            <v>5.2429889000000003</v>
          </cell>
          <cell r="N178">
            <v>4.4018980000000001</v>
          </cell>
          <cell r="O178">
            <v>6.0446849999999994</v>
          </cell>
          <cell r="P178">
            <v>9.751614</v>
          </cell>
          <cell r="Q178">
            <v>11.116424999999998</v>
          </cell>
          <cell r="R178">
            <v>11.370925</v>
          </cell>
          <cell r="S178">
            <v>11.869458999999999</v>
          </cell>
          <cell r="T178">
            <v>10.888947</v>
          </cell>
          <cell r="U178">
            <v>9.4940550000000012</v>
          </cell>
          <cell r="V178">
            <v>10.433181000000001</v>
          </cell>
          <cell r="W178">
            <v>5.9005559999999999</v>
          </cell>
          <cell r="X178">
            <v>6.8123880000000003</v>
          </cell>
          <cell r="Y178">
            <v>6.1123589999999997</v>
          </cell>
          <cell r="Z178">
            <v>9.229140000000001</v>
          </cell>
          <cell r="AA178">
            <v>8.458632999999999</v>
          </cell>
          <cell r="AB178">
            <v>8.0452519383000087</v>
          </cell>
          <cell r="AC178">
            <v>7.6519041966999959</v>
          </cell>
          <cell r="AD178">
            <v>7.4193123636000031</v>
          </cell>
          <cell r="AE178">
            <v>7.7886886725999984</v>
          </cell>
        </row>
        <row r="179">
          <cell r="H179">
            <v>0.94562667569891845</v>
          </cell>
          <cell r="I179">
            <v>0.87797440847584418</v>
          </cell>
          <cell r="J179">
            <v>0.76896588931383225</v>
          </cell>
          <cell r="K179">
            <v>0.63948110135578418</v>
          </cell>
          <cell r="L179">
            <v>0.43394926096228958</v>
          </cell>
          <cell r="M179">
            <v>0.70856563684818685</v>
          </cell>
          <cell r="N179">
            <v>0.99833300111063006</v>
          </cell>
          <cell r="O179">
            <v>1.2788148464054281</v>
          </cell>
          <cell r="P179">
            <v>1.1413744588863326</v>
          </cell>
          <cell r="Q179">
            <v>0.71823731071012475</v>
          </cell>
          <cell r="R179">
            <v>0.84101134433644587</v>
          </cell>
          <cell r="S179">
            <v>1.2251082266483837</v>
          </cell>
          <cell r="T179">
            <v>1.5651012636603874</v>
          </cell>
          <cell r="U179">
            <v>1.2759510039866273</v>
          </cell>
          <cell r="V179">
            <v>1.107505460703968</v>
          </cell>
          <cell r="W179">
            <v>0.63798485303363595</v>
          </cell>
          <cell r="X179">
            <v>0.62624539967892912</v>
          </cell>
          <cell r="Y179">
            <v>0.67166554183832972</v>
          </cell>
          <cell r="Z179">
            <v>0.492732</v>
          </cell>
          <cell r="AA179">
            <v>0.49918399999999996</v>
          </cell>
          <cell r="AB179">
            <v>0.51242220696340901</v>
          </cell>
          <cell r="AC179">
            <v>0.56820095103565071</v>
          </cell>
          <cell r="AD179">
            <v>0.49314781500982674</v>
          </cell>
          <cell r="AE179">
            <v>0.5050087559041242</v>
          </cell>
        </row>
        <row r="180">
          <cell r="H180">
            <v>0.38265402430108175</v>
          </cell>
          <cell r="I180">
            <v>0.35527809152415585</v>
          </cell>
          <cell r="J180">
            <v>0.31116708068616789</v>
          </cell>
          <cell r="K180">
            <v>0.25877021364421587</v>
          </cell>
          <cell r="L180">
            <v>0.17560040903771046</v>
          </cell>
          <cell r="M180">
            <v>0.28672572315181322</v>
          </cell>
          <cell r="N180">
            <v>0.4039819838893699</v>
          </cell>
          <cell r="O180">
            <v>0.51748079859457219</v>
          </cell>
          <cell r="P180">
            <v>0.46186464611366751</v>
          </cell>
          <cell r="Q180">
            <v>0.29063942928987535</v>
          </cell>
          <cell r="R180">
            <v>0.34032074566355414</v>
          </cell>
          <cell r="S180">
            <v>0.49574806335161636</v>
          </cell>
          <cell r="T180">
            <v>0.63332847133961268</v>
          </cell>
          <cell r="U180">
            <v>0.51632192601337268</v>
          </cell>
          <cell r="V180">
            <v>0.44815933429603194</v>
          </cell>
          <cell r="W180">
            <v>0.25816474696636388</v>
          </cell>
          <cell r="X180">
            <v>0.25341430032107087</v>
          </cell>
          <cell r="Y180">
            <v>0.27179385816167018</v>
          </cell>
          <cell r="Z180">
            <v>0.492732</v>
          </cell>
          <cell r="AA180">
            <v>0.49918399999999996</v>
          </cell>
          <cell r="AB180">
            <v>0.51242220696340901</v>
          </cell>
          <cell r="AC180">
            <v>0.56820095103565071</v>
          </cell>
          <cell r="AD180">
            <v>0.49314781500982674</v>
          </cell>
          <cell r="AE180">
            <v>0.5050087559041242</v>
          </cell>
        </row>
        <row r="181">
          <cell r="H181">
            <v>0.40274807407407415</v>
          </cell>
          <cell r="I181">
            <v>0.37036307407407404</v>
          </cell>
          <cell r="J181">
            <v>0.48768807407407411</v>
          </cell>
          <cell r="K181">
            <v>0.46379207407407413</v>
          </cell>
          <cell r="L181">
            <v>0.53812807407407393</v>
          </cell>
          <cell r="M181">
            <v>0.42164107407407414</v>
          </cell>
          <cell r="N181">
            <v>0.43037807407407414</v>
          </cell>
          <cell r="O181">
            <v>0.50291507407407388</v>
          </cell>
          <cell r="P181">
            <v>0.48163407407407416</v>
          </cell>
          <cell r="Q181">
            <v>0.45580907407407417</v>
          </cell>
          <cell r="R181">
            <v>0.6205150740740738</v>
          </cell>
          <cell r="S181">
            <v>0.56234507407407419</v>
          </cell>
          <cell r="T181">
            <v>0.58473807407407419</v>
          </cell>
          <cell r="U181">
            <v>0.5404590740740739</v>
          </cell>
          <cell r="V181">
            <v>0.42069407407407394</v>
          </cell>
          <cell r="W181">
            <v>1.2428048860740741</v>
          </cell>
          <cell r="X181">
            <v>1.1604115330740739</v>
          </cell>
          <cell r="Y181">
            <v>1.2477731920740742</v>
          </cell>
          <cell r="Z181">
            <v>8.7690780740740752</v>
          </cell>
          <cell r="AA181">
            <v>11.037976074074074</v>
          </cell>
          <cell r="AB181">
            <v>9.3237041313177169</v>
          </cell>
          <cell r="AC181">
            <v>8.7162296123734357</v>
          </cell>
          <cell r="AD181">
            <v>8.4335868012343536</v>
          </cell>
          <cell r="AE181">
            <v>8.7947699601225242</v>
          </cell>
        </row>
        <row r="182">
          <cell r="H182">
            <v>1.2680339999999999</v>
          </cell>
          <cell r="I182">
            <v>3.2701959999999999</v>
          </cell>
          <cell r="J182">
            <v>2.1934979999999999</v>
          </cell>
          <cell r="K182">
            <v>2.1689530000000001</v>
          </cell>
          <cell r="L182">
            <v>1.452771</v>
          </cell>
          <cell r="M182">
            <v>0.90405199999999997</v>
          </cell>
          <cell r="N182">
            <v>1.359175</v>
          </cell>
          <cell r="O182">
            <v>1.5139029999999998</v>
          </cell>
          <cell r="P182">
            <v>2.30301</v>
          </cell>
          <cell r="Q182">
            <v>2.7516340000000001</v>
          </cell>
          <cell r="R182">
            <v>4.7814439999999996</v>
          </cell>
          <cell r="S182">
            <v>4.4062680000000007</v>
          </cell>
          <cell r="T182">
            <v>3.36571</v>
          </cell>
          <cell r="U182">
            <v>3.4345909999999997</v>
          </cell>
          <cell r="V182">
            <v>2.0285880000000001</v>
          </cell>
          <cell r="W182">
            <v>0.95992100000000002</v>
          </cell>
          <cell r="X182">
            <v>1.6628509999999999</v>
          </cell>
          <cell r="Y182">
            <v>1.8797829999999998</v>
          </cell>
          <cell r="Z182">
            <v>2.3661449999999999</v>
          </cell>
          <cell r="AA182">
            <v>3.0826709999999999</v>
          </cell>
          <cell r="AB182">
            <v>3.0169681880581578</v>
          </cell>
          <cell r="AC182">
            <v>2.5401827085011996</v>
          </cell>
          <cell r="AD182">
            <v>2.2922556070064219</v>
          </cell>
          <cell r="AE182">
            <v>2.6029925645564869</v>
          </cell>
        </row>
        <row r="183">
          <cell r="H183">
            <v>0.75905672000000002</v>
          </cell>
          <cell r="I183">
            <v>0.75352307799999996</v>
          </cell>
          <cell r="J183">
            <v>1.0492427340000001</v>
          </cell>
          <cell r="K183">
            <v>0.82287268399999991</v>
          </cell>
          <cell r="L183">
            <v>0.67738382599999991</v>
          </cell>
          <cell r="M183">
            <v>1.2262085980000001</v>
          </cell>
          <cell r="N183">
            <v>0.94672238399999986</v>
          </cell>
          <cell r="O183">
            <v>0.94664478799999996</v>
          </cell>
          <cell r="P183">
            <v>0.89970378400000006</v>
          </cell>
          <cell r="Q183">
            <v>0.77038129399999988</v>
          </cell>
          <cell r="R183">
            <v>1.1871685080000001</v>
          </cell>
          <cell r="S183">
            <v>1.3819149399999999</v>
          </cell>
          <cell r="T183">
            <v>2.1635749979999996</v>
          </cell>
          <cell r="U183">
            <v>1.9397220020000001</v>
          </cell>
          <cell r="V183">
            <v>1.5831111979999999</v>
          </cell>
          <cell r="W183">
            <v>1.026218284</v>
          </cell>
          <cell r="X183">
            <v>1.045345602</v>
          </cell>
          <cell r="Y183">
            <v>1.134643912</v>
          </cell>
          <cell r="Z183">
            <v>7.6951280000000004</v>
          </cell>
          <cell r="AA183">
            <v>4.5313210000000002</v>
          </cell>
          <cell r="AB183">
            <v>4.4960725606</v>
          </cell>
          <cell r="AC183">
            <v>4.5696217040999993</v>
          </cell>
          <cell r="AD183">
            <v>4.8413475147999998</v>
          </cell>
          <cell r="AE183">
            <v>5.1556288689000001</v>
          </cell>
        </row>
        <row r="184">
          <cell r="H184">
            <v>1.5868732800000001</v>
          </cell>
          <cell r="I184">
            <v>1.5850439220000003</v>
          </cell>
          <cell r="J184">
            <v>2.1840582660000001</v>
          </cell>
          <cell r="K184">
            <v>1.6983533159999999</v>
          </cell>
          <cell r="L184">
            <v>1.4102051739999999</v>
          </cell>
          <cell r="M184">
            <v>2.5247384019999997</v>
          </cell>
          <cell r="N184">
            <v>1.9978036160000001</v>
          </cell>
          <cell r="O184">
            <v>1.9580872119999999</v>
          </cell>
          <cell r="P184">
            <v>1.839522216</v>
          </cell>
          <cell r="Q184">
            <v>1.601259706</v>
          </cell>
          <cell r="R184">
            <v>2.454743492</v>
          </cell>
          <cell r="S184">
            <v>2.82329506</v>
          </cell>
          <cell r="T184">
            <v>4.3995720020000002</v>
          </cell>
          <cell r="U184">
            <v>3.9502809980000002</v>
          </cell>
          <cell r="V184">
            <v>3.2548358020000001</v>
          </cell>
          <cell r="W184">
            <v>3.1835925159999996</v>
          </cell>
          <cell r="X184">
            <v>3.2696349979999999</v>
          </cell>
          <cell r="Y184">
            <v>3.3710648879999998</v>
          </cell>
          <cell r="Z184">
            <v>7.6951280000000004</v>
          </cell>
          <cell r="AA184">
            <v>4.5313210000000002</v>
          </cell>
          <cell r="AB184">
            <v>4.4960725606</v>
          </cell>
          <cell r="AC184">
            <v>4.5696217040999993</v>
          </cell>
          <cell r="AD184">
            <v>4.8413475147999998</v>
          </cell>
          <cell r="AE184">
            <v>5.1556288689000001</v>
          </cell>
        </row>
        <row r="185">
          <cell r="H185">
            <v>2.0197172999999999</v>
          </cell>
          <cell r="I185">
            <v>2.4033025800000001</v>
          </cell>
          <cell r="J185">
            <v>1.6100873399999998</v>
          </cell>
          <cell r="K185">
            <v>2.2882799</v>
          </cell>
          <cell r="L185">
            <v>2.8939977200000002</v>
          </cell>
          <cell r="M185">
            <v>2.6208346827820002</v>
          </cell>
          <cell r="N185">
            <v>2.808180909576</v>
          </cell>
          <cell r="O185">
            <v>2.4410076620000001</v>
          </cell>
          <cell r="P185">
            <v>3.4118360120000002</v>
          </cell>
          <cell r="Q185">
            <v>4.6980795400000002</v>
          </cell>
          <cell r="R185">
            <v>5.0203619890400004</v>
          </cell>
          <cell r="S185">
            <v>6.1223928520000008</v>
          </cell>
          <cell r="T185">
            <v>6.8415446340000008</v>
          </cell>
          <cell r="U185">
            <v>6.7605348059999999</v>
          </cell>
          <cell r="V185">
            <v>5.2803142400000009</v>
          </cell>
          <cell r="W185">
            <v>4.7062230000000014</v>
          </cell>
          <cell r="X185">
            <v>4.0795029999999999</v>
          </cell>
          <cell r="Y185">
            <v>5.6370279999999999</v>
          </cell>
          <cell r="Z185">
            <v>3.2726250000000001</v>
          </cell>
          <cell r="AA185">
            <v>4.1234289999999998</v>
          </cell>
          <cell r="AB185">
            <v>4.1990751697822688</v>
          </cell>
          <cell r="AC185">
            <v>3.9559845486033547</v>
          </cell>
          <cell r="AD185">
            <v>4.2245626971251937</v>
          </cell>
          <cell r="AE185">
            <v>4.3471217789162413</v>
          </cell>
        </row>
        <row r="186">
          <cell r="H186">
            <v>3.9206276999999998</v>
          </cell>
          <cell r="I186">
            <v>5.0675564199999998</v>
          </cell>
          <cell r="J186">
            <v>3.3396976600000001</v>
          </cell>
          <cell r="K186">
            <v>4.6083171000000016</v>
          </cell>
          <cell r="L186">
            <v>5.7593702800000006</v>
          </cell>
          <cell r="M186">
            <v>5.3036676835180003</v>
          </cell>
          <cell r="N186">
            <v>5.8835187068239998</v>
          </cell>
          <cell r="O186">
            <v>5.0332471999999999</v>
          </cell>
          <cell r="P186">
            <v>6.8259360000000013</v>
          </cell>
          <cell r="Q186">
            <v>9.5154594599999989</v>
          </cell>
          <cell r="R186">
            <v>10.112064566960001</v>
          </cell>
          <cell r="S186">
            <v>12.42666404</v>
          </cell>
          <cell r="T186">
            <v>13.837188780000002</v>
          </cell>
          <cell r="U186">
            <v>13.824212319999997</v>
          </cell>
          <cell r="V186">
            <v>10.725069760000002</v>
          </cell>
          <cell r="W186">
            <v>7.2359570000000009</v>
          </cell>
          <cell r="X186">
            <v>9.5127849999999992</v>
          </cell>
          <cell r="Y186">
            <v>8.7675900000000002</v>
          </cell>
          <cell r="Z186">
            <v>3.607186</v>
          </cell>
          <cell r="AA186">
            <v>4.0182390000000003</v>
          </cell>
          <cell r="AB186">
            <v>4.2711939641417151</v>
          </cell>
          <cell r="AC186">
            <v>4.5946027044206739</v>
          </cell>
          <cell r="AD186">
            <v>4.429112704129059</v>
          </cell>
          <cell r="AE186">
            <v>4.328169119778071</v>
          </cell>
        </row>
        <row r="207">
          <cell r="G207" t="str">
            <v>High</v>
          </cell>
          <cell r="H207">
            <v>42.389799174074071</v>
          </cell>
          <cell r="I207">
            <v>36.465809974074077</v>
          </cell>
          <cell r="J207">
            <v>35.569335074074075</v>
          </cell>
          <cell r="K207">
            <v>38.272286974074078</v>
          </cell>
          <cell r="L207">
            <v>34.157084474074075</v>
          </cell>
          <cell r="M207">
            <v>35.53257534037408</v>
          </cell>
          <cell r="N207">
            <v>36.773434690474069</v>
          </cell>
          <cell r="O207">
            <v>42.359566936074067</v>
          </cell>
          <cell r="P207">
            <v>51.593021086074074</v>
          </cell>
          <cell r="Q207">
            <v>51.05823207407407</v>
          </cell>
          <cell r="R207">
            <v>58.828523630074066</v>
          </cell>
          <cell r="S207">
            <v>69.276658966074081</v>
          </cell>
          <cell r="T207">
            <v>78.406612488074074</v>
          </cell>
          <cell r="U207">
            <v>74.656716200074086</v>
          </cell>
          <cell r="V207">
            <v>62.619136074074078</v>
          </cell>
          <cell r="W207">
            <v>48.797968286074081</v>
          </cell>
          <cell r="X207">
            <v>52.20252758307408</v>
          </cell>
          <cell r="Y207">
            <v>51.00957789207407</v>
          </cell>
          <cell r="Z207">
            <v>67.083563074074078</v>
          </cell>
          <cell r="AA207">
            <v>72.079969074074057</v>
          </cell>
          <cell r="AB207">
            <v>65.729459982444979</v>
          </cell>
          <cell r="AC207">
            <v>64.942320409137878</v>
          </cell>
          <cell r="AD207">
            <v>63.362334928324181</v>
          </cell>
          <cell r="AE207">
            <v>65.142943044759335</v>
          </cell>
        </row>
      </sheetData>
      <sheetData sheetId="9">
        <row r="34">
          <cell r="R34">
            <v>2241.6830724899996</v>
          </cell>
          <cell r="S34">
            <v>2163.8976968000002</v>
          </cell>
          <cell r="T34">
            <v>2301.1241944899998</v>
          </cell>
          <cell r="U34">
            <v>2076.5717068700001</v>
          </cell>
          <cell r="V34">
            <v>1996.0602896399998</v>
          </cell>
          <cell r="W34">
            <v>2250.2497511900001</v>
          </cell>
          <cell r="X34">
            <v>2163.1746260100003</v>
          </cell>
          <cell r="Y34">
            <v>2140.9822397200001</v>
          </cell>
          <cell r="Z34">
            <v>2292.7090752799995</v>
          </cell>
          <cell r="AA34">
            <v>2500.0165227299999</v>
          </cell>
          <cell r="AB34">
            <v>2481.8948666900001</v>
          </cell>
          <cell r="AC34">
            <v>2045.6792533299999</v>
          </cell>
          <cell r="AD34">
            <v>2094.8695493</v>
          </cell>
          <cell r="AE34">
            <v>1953.9369025999999</v>
          </cell>
        </row>
        <row r="35">
          <cell r="R35">
            <v>256.05469590000001</v>
          </cell>
          <cell r="S35">
            <v>253.2667701</v>
          </cell>
          <cell r="T35">
            <v>300.73964699999999</v>
          </cell>
          <cell r="U35">
            <v>328.24825880000003</v>
          </cell>
          <cell r="V35">
            <v>306.030933</v>
          </cell>
          <cell r="W35">
            <v>712.26009299999998</v>
          </cell>
          <cell r="X35">
            <v>203.55615209999999</v>
          </cell>
          <cell r="Y35">
            <v>366.60731587999999</v>
          </cell>
          <cell r="Z35">
            <v>507.35561760000002</v>
          </cell>
          <cell r="AA35">
            <v>485.31207719999998</v>
          </cell>
          <cell r="AB35">
            <v>378.14491860999999</v>
          </cell>
          <cell r="AC35">
            <v>411.35808100000003</v>
          </cell>
          <cell r="AD35">
            <v>0.71504779399999996</v>
          </cell>
          <cell r="AE35">
            <v>11.82402203</v>
          </cell>
        </row>
        <row r="36">
          <cell r="R36">
            <v>8899.5570035499986</v>
          </cell>
          <cell r="S36">
            <v>8817.6527938600011</v>
          </cell>
          <cell r="T36">
            <v>9245.813338269998</v>
          </cell>
          <cell r="U36">
            <v>9011.5451928240018</v>
          </cell>
          <cell r="V36">
            <v>9024.3629158299973</v>
          </cell>
          <cell r="W36">
            <v>8728.339281479999</v>
          </cell>
          <cell r="X36">
            <v>9126.2937245939993</v>
          </cell>
          <cell r="Y36">
            <v>8944.5317642250011</v>
          </cell>
          <cell r="Z36">
            <v>8800.5436373460016</v>
          </cell>
          <cell r="AA36">
            <v>8714.2793057930012</v>
          </cell>
          <cell r="AB36">
            <v>8450.0425825519997</v>
          </cell>
          <cell r="AC36">
            <v>8358.6997653549988</v>
          </cell>
          <cell r="AD36">
            <v>8113.2350019459991</v>
          </cell>
          <cell r="AE36">
            <v>7787.2052215100011</v>
          </cell>
        </row>
        <row r="37">
          <cell r="R37">
            <v>7661.6714371359994</v>
          </cell>
          <cell r="S37">
            <v>7776.286964425999</v>
          </cell>
          <cell r="T37">
            <v>7610.5201791749996</v>
          </cell>
          <cell r="U37">
            <v>7263.6624161199998</v>
          </cell>
          <cell r="V37">
            <v>7044.5252494289998</v>
          </cell>
          <cell r="W37">
            <v>6466.0726085319993</v>
          </cell>
          <cell r="X37">
            <v>6855.5085877819974</v>
          </cell>
          <cell r="Y37">
            <v>6963.2062946820006</v>
          </cell>
          <cell r="Z37">
            <v>7246.9256291289994</v>
          </cell>
          <cell r="AA37">
            <v>6912.3675650869991</v>
          </cell>
          <cell r="AB37">
            <v>7691.2867780759989</v>
          </cell>
          <cell r="AC37">
            <v>7979.0961733929998</v>
          </cell>
          <cell r="AD37">
            <v>6385.7180026869992</v>
          </cell>
          <cell r="AE37">
            <v>7075.2106742209999</v>
          </cell>
        </row>
        <row r="38">
          <cell r="R38">
            <v>4086.4875090620003</v>
          </cell>
          <cell r="S38">
            <v>4240.3955410879998</v>
          </cell>
          <cell r="T38">
            <v>4356.9694699659995</v>
          </cell>
          <cell r="U38">
            <v>4400.4775716160002</v>
          </cell>
          <cell r="V38">
            <v>4080.6638443390002</v>
          </cell>
          <cell r="W38">
            <v>3924.871003623</v>
          </cell>
          <cell r="X38">
            <v>4080.422248201</v>
          </cell>
          <cell r="Y38">
            <v>4088.9620284799998</v>
          </cell>
          <cell r="Z38">
            <v>4163.5420287199995</v>
          </cell>
          <cell r="AA38">
            <v>4512.5430191099995</v>
          </cell>
          <cell r="AB38">
            <v>4114.052655085</v>
          </cell>
          <cell r="AC38">
            <v>4448.8855489999996</v>
          </cell>
          <cell r="AD38">
            <v>4409.0903840000001</v>
          </cell>
          <cell r="AE38">
            <v>4408.891697</v>
          </cell>
        </row>
        <row r="39">
          <cell r="R39">
            <v>26505.950918524995</v>
          </cell>
          <cell r="S39">
            <v>27057.599951766999</v>
          </cell>
          <cell r="T39">
            <v>27768.108498663994</v>
          </cell>
          <cell r="U39">
            <v>28144.485808357993</v>
          </cell>
          <cell r="V39">
            <v>26713.211992282002</v>
          </cell>
          <cell r="W39">
            <v>26647.198376786</v>
          </cell>
          <cell r="X39">
            <v>26558.064847981997</v>
          </cell>
          <cell r="Y39">
            <v>26862.425029590002</v>
          </cell>
          <cell r="Z39">
            <v>28236.490102593994</v>
          </cell>
          <cell r="AA39">
            <v>29004.628378201</v>
          </cell>
          <cell r="AB39">
            <v>30663.798993526001</v>
          </cell>
          <cell r="AC39">
            <v>30112.770027643008</v>
          </cell>
          <cell r="AD39">
            <v>29742.328145847001</v>
          </cell>
          <cell r="AE39">
            <v>30186.76773027801</v>
          </cell>
        </row>
        <row r="40">
          <cell r="R40">
            <v>3879.7012499000002</v>
          </cell>
          <cell r="S40">
            <v>3811.8713759000002</v>
          </cell>
          <cell r="T40">
            <v>3687.7944449499996</v>
          </cell>
          <cell r="U40">
            <v>4052.86802012</v>
          </cell>
          <cell r="V40">
            <v>3732.9431664399999</v>
          </cell>
          <cell r="W40">
            <v>3838.0874855900001</v>
          </cell>
          <cell r="X40">
            <v>3896.3264584699996</v>
          </cell>
          <cell r="Y40">
            <v>4023.3897939200001</v>
          </cell>
          <cell r="Z40">
            <v>4441.6666339499998</v>
          </cell>
          <cell r="AA40">
            <v>4460.4758901999994</v>
          </cell>
          <cell r="AB40">
            <v>4050.5395106700003</v>
          </cell>
          <cell r="AC40">
            <v>3608.3347951999999</v>
          </cell>
          <cell r="AD40">
            <v>2971.5261042699999</v>
          </cell>
          <cell r="AE40">
            <v>3218.6991336999999</v>
          </cell>
        </row>
        <row r="41">
          <cell r="R41">
            <v>1816.3775173840002</v>
          </cell>
          <cell r="S41">
            <v>1729.1725085159999</v>
          </cell>
          <cell r="T41">
            <v>1809.3160340530001</v>
          </cell>
          <cell r="U41">
            <v>2002.7971589010001</v>
          </cell>
          <cell r="V41">
            <v>1569.27393001</v>
          </cell>
          <cell r="W41">
            <v>1822.5725142000001</v>
          </cell>
          <cell r="X41">
            <v>1313.8137009700001</v>
          </cell>
          <cell r="Y41">
            <v>1811.0114443580001</v>
          </cell>
          <cell r="Z41">
            <v>1966.132555659</v>
          </cell>
          <cell r="AA41">
            <v>1843.8253456399998</v>
          </cell>
          <cell r="AB41">
            <v>1715.36095056</v>
          </cell>
          <cell r="AC41">
            <v>1500.40197229</v>
          </cell>
          <cell r="AD41">
            <v>1188.2826425000001</v>
          </cell>
          <cell r="AE41">
            <v>1479.3628395000001</v>
          </cell>
        </row>
        <row r="42">
          <cell r="R42">
            <v>5746.479911376</v>
          </cell>
          <cell r="S42">
            <v>5566.126728625999</v>
          </cell>
          <cell r="T42">
            <v>5531.0785744169998</v>
          </cell>
          <cell r="U42">
            <v>5509.7806142379995</v>
          </cell>
          <cell r="V42">
            <v>5673.9444785799997</v>
          </cell>
          <cell r="W42">
            <v>5348.2846288990004</v>
          </cell>
          <cell r="X42">
            <v>5709.1822707800002</v>
          </cell>
          <cell r="Y42">
            <v>5327.3116683639983</v>
          </cell>
          <cell r="Z42">
            <v>5951.8128832550001</v>
          </cell>
          <cell r="AA42">
            <v>6332.950077589001</v>
          </cell>
          <cell r="AB42">
            <v>5853.6235859630006</v>
          </cell>
          <cell r="AC42">
            <v>4927.4810865630006</v>
          </cell>
          <cell r="AD42">
            <v>3630.7389282130007</v>
          </cell>
          <cell r="AE42">
            <v>3869.402575519</v>
          </cell>
        </row>
        <row r="43">
          <cell r="R43">
            <v>3542.670451942</v>
          </cell>
          <cell r="S43">
            <v>3695.7599722179998</v>
          </cell>
          <cell r="T43">
            <v>3595.7598673529997</v>
          </cell>
          <cell r="U43">
            <v>3703.5822214660002</v>
          </cell>
          <cell r="V43">
            <v>3891.4965771289999</v>
          </cell>
          <cell r="W43">
            <v>3776.8268019760003</v>
          </cell>
          <cell r="X43">
            <v>3572.9034326199999</v>
          </cell>
          <cell r="Y43">
            <v>3426.6527044069999</v>
          </cell>
          <cell r="Z43">
            <v>3694.4458117259996</v>
          </cell>
          <cell r="AA43">
            <v>3759.6007925679996</v>
          </cell>
          <cell r="AB43">
            <v>3996.2397316549996</v>
          </cell>
          <cell r="AC43">
            <v>4240.3662453959996</v>
          </cell>
          <cell r="AD43">
            <v>4298.4174826000008</v>
          </cell>
          <cell r="AE43">
            <v>4308.9514624540006</v>
          </cell>
        </row>
        <row r="44">
          <cell r="R44">
            <v>6722.875926398</v>
          </cell>
          <cell r="S44">
            <v>6549.6763158989997</v>
          </cell>
          <cell r="T44">
            <v>9735.1093495830009</v>
          </cell>
          <cell r="U44">
            <v>10917.79018881</v>
          </cell>
          <cell r="V44">
            <v>10471.642102559999</v>
          </cell>
          <cell r="W44">
            <v>9700.2649560009995</v>
          </cell>
          <cell r="X44">
            <v>9166.7088366469998</v>
          </cell>
          <cell r="Y44">
            <v>10082.399690292999</v>
          </cell>
          <cell r="Z44">
            <v>10930.476474950001</v>
          </cell>
          <cell r="AA44">
            <v>11077.385120202998</v>
          </cell>
          <cell r="AB44">
            <v>12644.081003894002</v>
          </cell>
          <cell r="AC44">
            <v>12620.560673337999</v>
          </cell>
          <cell r="AD44">
            <v>10752.502854922999</v>
          </cell>
          <cell r="AE44">
            <v>12228.901004306003</v>
          </cell>
        </row>
        <row r="45">
          <cell r="R45">
            <v>987.87010710000004</v>
          </cell>
          <cell r="S45">
            <v>1056.3657720000001</v>
          </cell>
          <cell r="T45">
            <v>1077.3572095</v>
          </cell>
          <cell r="U45">
            <v>1157.7823619999999</v>
          </cell>
          <cell r="V45">
            <v>865.11798090000002</v>
          </cell>
          <cell r="W45">
            <v>810.12230950000003</v>
          </cell>
          <cell r="X45">
            <v>561.35247136999999</v>
          </cell>
          <cell r="Y45">
            <v>530.68944077000003</v>
          </cell>
          <cell r="Z45">
            <v>562.70049167000002</v>
          </cell>
          <cell r="AA45">
            <v>522.48133399999995</v>
          </cell>
          <cell r="AB45">
            <v>728.54446539999992</v>
          </cell>
          <cell r="AC45">
            <v>648.91529459800006</v>
          </cell>
          <cell r="AD45">
            <v>674.46126260000005</v>
          </cell>
          <cell r="AE45">
            <v>807.73480789999996</v>
          </cell>
        </row>
        <row r="46">
          <cell r="R46">
            <v>8028.1012373619997</v>
          </cell>
          <cell r="S46">
            <v>8070.8592808919984</v>
          </cell>
          <cell r="T46">
            <v>8108.7047170469987</v>
          </cell>
          <cell r="U46">
            <v>8459.6545123170017</v>
          </cell>
          <cell r="V46">
            <v>8153.1399437289983</v>
          </cell>
          <cell r="W46">
            <v>8067.6336821470004</v>
          </cell>
          <cell r="X46">
            <v>7874.9026928249996</v>
          </cell>
          <cell r="Y46">
            <v>8092.7712354900013</v>
          </cell>
          <cell r="Z46">
            <v>8903.6919559619982</v>
          </cell>
          <cell r="AA46">
            <v>9583.8892045320008</v>
          </cell>
          <cell r="AB46">
            <v>10360.924623815999</v>
          </cell>
          <cell r="AC46">
            <v>10390.091238621</v>
          </cell>
          <cell r="AD46">
            <v>8070.4875509460007</v>
          </cell>
          <cell r="AE46">
            <v>8686.678736459</v>
          </cell>
        </row>
        <row r="47">
          <cell r="R47">
            <v>41792.478669936005</v>
          </cell>
          <cell r="S47">
            <v>46010.360973889998</v>
          </cell>
          <cell r="T47">
            <v>44345.152375557009</v>
          </cell>
          <cell r="U47">
            <v>39409.983743543999</v>
          </cell>
          <cell r="V47">
            <v>38522.503463543995</v>
          </cell>
          <cell r="W47">
            <v>36928.813054537</v>
          </cell>
          <cell r="X47">
            <v>31917.853005771005</v>
          </cell>
          <cell r="Y47">
            <v>30913.049653784004</v>
          </cell>
          <cell r="Z47">
            <v>36563.309115559001</v>
          </cell>
          <cell r="AA47">
            <v>36231.182085049993</v>
          </cell>
          <cell r="AB47">
            <v>41925.344552873998</v>
          </cell>
          <cell r="AC47">
            <v>40010.464847378003</v>
          </cell>
          <cell r="AD47">
            <v>34259.478258410003</v>
          </cell>
          <cell r="AE47">
            <v>33961.319954475999</v>
          </cell>
        </row>
        <row r="48">
          <cell r="R48">
            <v>18481.578407179994</v>
          </cell>
          <cell r="S48">
            <v>21586.36417348</v>
          </cell>
          <cell r="T48">
            <v>21592.211247160001</v>
          </cell>
          <cell r="U48">
            <v>17487.501183939999</v>
          </cell>
          <cell r="V48">
            <v>19724.441197800003</v>
          </cell>
          <cell r="W48">
            <v>24393.497758800004</v>
          </cell>
          <cell r="X48">
            <v>22613.35078796</v>
          </cell>
          <cell r="Y48">
            <v>22396.87912998</v>
          </cell>
          <cell r="Z48">
            <v>23725.38254327</v>
          </cell>
          <cell r="AA48">
            <v>22484.80126941</v>
          </cell>
          <cell r="AB48">
            <v>22984.535535661998</v>
          </cell>
          <cell r="AC48">
            <v>23356.263114869998</v>
          </cell>
          <cell r="AD48">
            <v>21977.079059080002</v>
          </cell>
          <cell r="AE48">
            <v>22840.553454469999</v>
          </cell>
        </row>
        <row r="49">
          <cell r="R49">
            <v>749.90207379999993</v>
          </cell>
          <cell r="S49">
            <v>935.18946029999995</v>
          </cell>
          <cell r="T49">
            <v>917.65450629999998</v>
          </cell>
          <cell r="U49">
            <v>688.46132488000001</v>
          </cell>
          <cell r="V49">
            <v>819.13943889999996</v>
          </cell>
          <cell r="W49">
            <v>819.53012970000009</v>
          </cell>
          <cell r="X49">
            <v>287.03224672000005</v>
          </cell>
          <cell r="Y49">
            <v>244.79613380000001</v>
          </cell>
          <cell r="Z49">
            <v>275.05236581000003</v>
          </cell>
          <cell r="AA49">
            <v>316.49096226999995</v>
          </cell>
          <cell r="AB49">
            <v>282.88455316299996</v>
          </cell>
          <cell r="AC49">
            <v>239.51335706</v>
          </cell>
          <cell r="AD49">
            <v>245.71880753400001</v>
          </cell>
          <cell r="AE49">
            <v>308.6148187</v>
          </cell>
        </row>
        <row r="50">
          <cell r="R50">
            <v>40.069969979999996</v>
          </cell>
          <cell r="S50">
            <v>49.290437079999997</v>
          </cell>
          <cell r="T50">
            <v>44.181923900000001</v>
          </cell>
          <cell r="U50">
            <v>31.744433829999998</v>
          </cell>
          <cell r="V50">
            <v>54.459537689999998</v>
          </cell>
          <cell r="W50">
            <v>52.790640359999998</v>
          </cell>
          <cell r="X50">
            <v>43.922344730000006</v>
          </cell>
          <cell r="Y50">
            <v>39.602347330000001</v>
          </cell>
          <cell r="Z50">
            <v>40.60147078</v>
          </cell>
          <cell r="AA50">
            <v>38.540427280000003</v>
          </cell>
          <cell r="AB50">
            <v>36.793157460000003</v>
          </cell>
          <cell r="AC50">
            <v>28.552671589999999</v>
          </cell>
          <cell r="AD50">
            <v>33.155464689999995</v>
          </cell>
          <cell r="AE50">
            <v>33.495301169999998</v>
          </cell>
        </row>
        <row r="51">
          <cell r="R51">
            <v>6917.5240422659999</v>
          </cell>
          <cell r="S51">
            <v>7154.4176529240003</v>
          </cell>
          <cell r="T51">
            <v>6954.8331545249976</v>
          </cell>
          <cell r="U51">
            <v>7466.3359534339979</v>
          </cell>
          <cell r="V51">
            <v>6631.2142074649992</v>
          </cell>
          <cell r="W51">
            <v>6846.4082258890021</v>
          </cell>
          <cell r="X51">
            <v>7440.8036104329985</v>
          </cell>
          <cell r="Y51">
            <v>7458.7309479640007</v>
          </cell>
          <cell r="Z51">
            <v>8233.4972310660014</v>
          </cell>
          <cell r="AA51">
            <v>9313.2930892950026</v>
          </cell>
          <cell r="AB51">
            <v>9743.0205369740015</v>
          </cell>
          <cell r="AC51">
            <v>9752.3034524309987</v>
          </cell>
          <cell r="AD51">
            <v>8962.0381981580013</v>
          </cell>
          <cell r="AE51">
            <v>9637.3531107639992</v>
          </cell>
        </row>
        <row r="52">
          <cell r="R52">
            <v>4004.0712452110001</v>
          </cell>
          <cell r="S52">
            <v>4139.9692471550006</v>
          </cell>
          <cell r="T52">
            <v>4212.7945610890001</v>
          </cell>
          <cell r="U52">
            <v>4270.1149149959992</v>
          </cell>
          <cell r="V52">
            <v>4021.7182798519993</v>
          </cell>
          <cell r="W52">
            <v>4150.6466018599995</v>
          </cell>
          <cell r="X52">
            <v>4351.1031298949993</v>
          </cell>
          <cell r="Y52">
            <v>4871.9967591999994</v>
          </cell>
          <cell r="Z52">
            <v>5226.982737368</v>
          </cell>
          <cell r="AA52">
            <v>5449.5668509220013</v>
          </cell>
          <cell r="AB52">
            <v>5596.5540052040005</v>
          </cell>
          <cell r="AC52">
            <v>4880.9543222960001</v>
          </cell>
          <cell r="AD52">
            <v>3866.1307475399994</v>
          </cell>
          <cell r="AE52">
            <v>4116.998073406</v>
          </cell>
        </row>
        <row r="53">
          <cell r="R53">
            <v>33164.658018429996</v>
          </cell>
          <cell r="S53">
            <v>33170.663591147008</v>
          </cell>
          <cell r="T53">
            <v>30528.007657471997</v>
          </cell>
          <cell r="U53">
            <v>32426.967795426008</v>
          </cell>
          <cell r="V53">
            <v>30920.321995161001</v>
          </cell>
          <cell r="W53">
            <v>30918.806798735004</v>
          </cell>
          <cell r="X53">
            <v>31688.631427576969</v>
          </cell>
          <cell r="Y53">
            <v>33667.820920850994</v>
          </cell>
          <cell r="Z53">
            <v>36171.043930711028</v>
          </cell>
          <cell r="AA53">
            <v>38514.50851054598</v>
          </cell>
          <cell r="AB53">
            <v>38765.897106021977</v>
          </cell>
          <cell r="AC53">
            <v>36751.652896097214</v>
          </cell>
          <cell r="AD53">
            <v>29684.407380997109</v>
          </cell>
          <cell r="AE53">
            <v>31122.570124542992</v>
          </cell>
        </row>
        <row r="55">
          <cell r="K55">
            <v>1990</v>
          </cell>
          <cell r="L55">
            <v>1991</v>
          </cell>
          <cell r="M55">
            <v>1992</v>
          </cell>
          <cell r="N55">
            <v>1993</v>
          </cell>
          <cell r="O55">
            <v>1994</v>
          </cell>
          <cell r="P55">
            <v>1995</v>
          </cell>
          <cell r="Q55">
            <v>1996</v>
          </cell>
          <cell r="R55">
            <v>1997</v>
          </cell>
          <cell r="S55">
            <v>1998</v>
          </cell>
          <cell r="T55">
            <v>1999</v>
          </cell>
          <cell r="U55">
            <v>2000</v>
          </cell>
          <cell r="V55">
            <v>2001</v>
          </cell>
          <cell r="W55">
            <v>2002</v>
          </cell>
          <cell r="X55">
            <v>2003</v>
          </cell>
          <cell r="Y55">
            <v>2004</v>
          </cell>
          <cell r="Z55">
            <v>2005</v>
          </cell>
          <cell r="AA55">
            <v>2006</v>
          </cell>
          <cell r="AB55">
            <v>2007</v>
          </cell>
          <cell r="AC55">
            <v>2008</v>
          </cell>
          <cell r="AD55">
            <v>2009</v>
          </cell>
          <cell r="AE55">
            <v>2010</v>
          </cell>
        </row>
        <row r="56">
          <cell r="K56">
            <v>52.55</v>
          </cell>
          <cell r="L56">
            <v>55.366999999999997</v>
          </cell>
          <cell r="M56">
            <v>57.883000000000003</v>
          </cell>
          <cell r="N56">
            <v>61.042000000000002</v>
          </cell>
          <cell r="O56">
            <v>62.982999999999997</v>
          </cell>
          <cell r="P56">
            <v>63.107999999999997</v>
          </cell>
          <cell r="Q56">
            <v>66.042000000000002</v>
          </cell>
          <cell r="R56">
            <v>68.266999999999996</v>
          </cell>
          <cell r="S56">
            <v>69.266999999999996</v>
          </cell>
          <cell r="T56">
            <v>68.957999999999998</v>
          </cell>
          <cell r="U56">
            <v>70.3</v>
          </cell>
          <cell r="V56">
            <v>69</v>
          </cell>
          <cell r="W56">
            <v>65.433000000000007</v>
          </cell>
          <cell r="X56">
            <v>62.392000000000003</v>
          </cell>
          <cell r="Y56">
            <v>62.25</v>
          </cell>
          <cell r="Z56">
            <v>63.55</v>
          </cell>
          <cell r="AA56">
            <v>66.091999999999999</v>
          </cell>
          <cell r="AB56">
            <v>66.242000000000004</v>
          </cell>
          <cell r="AC56">
            <v>62.957999999999998</v>
          </cell>
          <cell r="AD56">
            <v>54.8</v>
          </cell>
          <cell r="AE56">
            <v>53.2</v>
          </cell>
        </row>
        <row r="57">
          <cell r="K57">
            <v>19.5</v>
          </cell>
          <cell r="L57">
            <v>19.132999999999999</v>
          </cell>
          <cell r="M57">
            <v>20</v>
          </cell>
          <cell r="N57">
            <v>20.399999999999999</v>
          </cell>
          <cell r="O57">
            <v>20.707999999999998</v>
          </cell>
          <cell r="P57">
            <v>21.308</v>
          </cell>
          <cell r="Q57">
            <v>22.007999999999999</v>
          </cell>
          <cell r="R57">
            <v>22.207999999999998</v>
          </cell>
          <cell r="S57">
            <v>22.183</v>
          </cell>
          <cell r="T57">
            <v>22.6</v>
          </cell>
          <cell r="U57">
            <v>22.55</v>
          </cell>
          <cell r="V57">
            <v>21.382999999999999</v>
          </cell>
          <cell r="W57">
            <v>20.016999999999999</v>
          </cell>
          <cell r="X57">
            <v>18.975000000000001</v>
          </cell>
          <cell r="Y57">
            <v>19.167000000000002</v>
          </cell>
          <cell r="Z57">
            <v>19.574999999999999</v>
          </cell>
          <cell r="AA57">
            <v>20.2</v>
          </cell>
          <cell r="AB57">
            <v>20.442</v>
          </cell>
          <cell r="AC57">
            <v>19.917000000000002</v>
          </cell>
          <cell r="AD57">
            <v>17.417000000000002</v>
          </cell>
          <cell r="AE57">
            <v>16.542000000000002</v>
          </cell>
        </row>
        <row r="58">
          <cell r="K58">
            <v>204.15700000000001</v>
          </cell>
          <cell r="L58">
            <v>196.375</v>
          </cell>
          <cell r="M58">
            <v>193.01</v>
          </cell>
          <cell r="N58">
            <v>194.80099999999999</v>
          </cell>
          <cell r="O58">
            <v>202.876</v>
          </cell>
          <cell r="P58">
            <v>210.71700000000001</v>
          </cell>
          <cell r="Q58">
            <v>217.52500000000001</v>
          </cell>
          <cell r="R58">
            <v>226.88200000000001</v>
          </cell>
          <cell r="S58">
            <v>228.47300000000001</v>
          </cell>
          <cell r="T58">
            <v>224.44900000000001</v>
          </cell>
          <cell r="U58">
            <v>225.08199999999999</v>
          </cell>
          <cell r="V58">
            <v>215.715</v>
          </cell>
          <cell r="W58">
            <v>201.59100000000001</v>
          </cell>
          <cell r="X58">
            <v>194.80799999999999</v>
          </cell>
          <cell r="Y58">
            <v>199.892</v>
          </cell>
          <cell r="Z58">
            <v>203.98400000000001</v>
          </cell>
          <cell r="AA58">
            <v>207.45</v>
          </cell>
          <cell r="AB58">
            <v>204.02500000000001</v>
          </cell>
          <cell r="AC58">
            <v>195.083</v>
          </cell>
          <cell r="AD58">
            <v>167.04900000000001</v>
          </cell>
          <cell r="AE58">
            <v>163.9</v>
          </cell>
        </row>
        <row r="59">
          <cell r="K59">
            <v>335.97500000000002</v>
          </cell>
          <cell r="L59">
            <v>328.6</v>
          </cell>
          <cell r="M59">
            <v>325.17500000000001</v>
          </cell>
          <cell r="N59">
            <v>317.25</v>
          </cell>
          <cell r="O59">
            <v>311.733</v>
          </cell>
          <cell r="P59">
            <v>311.30799999999999</v>
          </cell>
          <cell r="Q59">
            <v>324.84199999999998</v>
          </cell>
          <cell r="R59">
            <v>350.40800000000002</v>
          </cell>
          <cell r="S59">
            <v>360.625</v>
          </cell>
          <cell r="T59">
            <v>343.56700000000001</v>
          </cell>
          <cell r="U59">
            <v>331.88299999999998</v>
          </cell>
          <cell r="V59">
            <v>316.05</v>
          </cell>
          <cell r="W59">
            <v>284.94200000000001</v>
          </cell>
          <cell r="X59">
            <v>267.19200000000001</v>
          </cell>
          <cell r="Y59">
            <v>263.72500000000002</v>
          </cell>
          <cell r="Z59">
            <v>272.58300000000003</v>
          </cell>
          <cell r="AA59">
            <v>285.82499999999999</v>
          </cell>
          <cell r="AB59">
            <v>293.21699999999998</v>
          </cell>
          <cell r="AC59">
            <v>291.04199999999997</v>
          </cell>
          <cell r="AD59">
            <v>265.483</v>
          </cell>
          <cell r="AE59">
            <v>258.11700000000002</v>
          </cell>
        </row>
        <row r="60">
          <cell r="K60">
            <v>612.18200000000002</v>
          </cell>
          <cell r="L60">
            <v>599.47500000000002</v>
          </cell>
          <cell r="M60">
            <v>596.06799999999998</v>
          </cell>
          <cell r="N60">
            <v>593.49299999999994</v>
          </cell>
          <cell r="O60">
            <v>598.29999999999995</v>
          </cell>
          <cell r="P60">
            <v>606.44100000000003</v>
          </cell>
          <cell r="Q60">
            <v>630.41699999999992</v>
          </cell>
          <cell r="R60">
            <v>667.76499999999999</v>
          </cell>
          <cell r="S60">
            <v>680.548</v>
          </cell>
          <cell r="T60">
            <v>659.57400000000007</v>
          </cell>
          <cell r="U60">
            <v>649.81500000000005</v>
          </cell>
          <cell r="V60">
            <v>622.14800000000002</v>
          </cell>
          <cell r="W60">
            <v>571.98299999999995</v>
          </cell>
          <cell r="X60">
            <v>543.36699999999996</v>
          </cell>
          <cell r="Y60">
            <v>545.03399999999999</v>
          </cell>
          <cell r="Z60">
            <v>559.69200000000001</v>
          </cell>
          <cell r="AA60">
            <v>579.56700000000001</v>
          </cell>
          <cell r="AB60">
            <v>583.92599999999993</v>
          </cell>
          <cell r="AC60">
            <v>569</v>
          </cell>
          <cell r="AD60">
            <v>504.74900000000002</v>
          </cell>
          <cell r="AE60">
            <v>491.75900000000001</v>
          </cell>
        </row>
        <row r="63">
          <cell r="R63">
            <v>5561</v>
          </cell>
          <cell r="S63">
            <v>5511</v>
          </cell>
          <cell r="T63">
            <v>5838</v>
          </cell>
          <cell r="U63">
            <v>5356</v>
          </cell>
          <cell r="V63">
            <v>5261</v>
          </cell>
          <cell r="W63">
            <v>5442</v>
          </cell>
          <cell r="X63">
            <v>5246</v>
          </cell>
          <cell r="Y63">
            <v>5046</v>
          </cell>
          <cell r="Z63">
            <v>5210</v>
          </cell>
          <cell r="AA63">
            <v>5741</v>
          </cell>
          <cell r="AB63">
            <v>5611</v>
          </cell>
          <cell r="AC63">
            <v>4441</v>
          </cell>
          <cell r="AD63">
            <v>4359</v>
          </cell>
          <cell r="AE63">
            <v>4070</v>
          </cell>
        </row>
        <row r="64">
          <cell r="R64">
            <v>471</v>
          </cell>
          <cell r="S64">
            <v>472</v>
          </cell>
          <cell r="T64">
            <v>532</v>
          </cell>
          <cell r="U64">
            <v>572</v>
          </cell>
          <cell r="V64">
            <v>511</v>
          </cell>
          <cell r="W64">
            <v>1141</v>
          </cell>
          <cell r="X64">
            <v>311</v>
          </cell>
          <cell r="Y64">
            <v>528</v>
          </cell>
          <cell r="Z64">
            <v>686</v>
          </cell>
          <cell r="AA64">
            <v>622</v>
          </cell>
          <cell r="AB64">
            <v>494</v>
          </cell>
          <cell r="AC64">
            <v>528</v>
          </cell>
          <cell r="AD64">
            <v>1</v>
          </cell>
          <cell r="AE64">
            <v>21</v>
          </cell>
        </row>
        <row r="65">
          <cell r="R65">
            <v>20517</v>
          </cell>
          <cell r="S65">
            <v>20752</v>
          </cell>
          <cell r="T65">
            <v>19820</v>
          </cell>
          <cell r="U65">
            <v>18901</v>
          </cell>
          <cell r="V65">
            <v>18107</v>
          </cell>
          <cell r="W65">
            <v>15947</v>
          </cell>
          <cell r="X65">
            <v>16534</v>
          </cell>
          <cell r="Y65">
            <v>15968</v>
          </cell>
          <cell r="Z65">
            <v>14992</v>
          </cell>
          <cell r="AA65">
            <v>14275</v>
          </cell>
          <cell r="AB65">
            <v>13733</v>
          </cell>
          <cell r="AC65">
            <v>14005</v>
          </cell>
          <cell r="AD65">
            <v>13118</v>
          </cell>
          <cell r="AE65">
            <v>11896</v>
          </cell>
        </row>
        <row r="66">
          <cell r="R66">
            <v>16784</v>
          </cell>
          <cell r="S66">
            <v>16968</v>
          </cell>
          <cell r="T66">
            <v>16248</v>
          </cell>
          <cell r="U66">
            <v>15603</v>
          </cell>
          <cell r="V66">
            <v>14433</v>
          </cell>
          <cell r="W66">
            <v>12367</v>
          </cell>
          <cell r="X66">
            <v>11875</v>
          </cell>
          <cell r="Y66">
            <v>11897</v>
          </cell>
          <cell r="Z66">
            <v>12704</v>
          </cell>
          <cell r="AA66">
            <v>13455</v>
          </cell>
          <cell r="AB66">
            <v>14273</v>
          </cell>
          <cell r="AC66">
            <v>14356</v>
          </cell>
          <cell r="AD66">
            <v>12445</v>
          </cell>
          <cell r="AE66">
            <v>12051</v>
          </cell>
        </row>
        <row r="67">
          <cell r="R67">
            <v>14657</v>
          </cell>
          <cell r="S67">
            <v>14498</v>
          </cell>
          <cell r="T67">
            <v>14353</v>
          </cell>
          <cell r="U67">
            <v>13734</v>
          </cell>
          <cell r="V67">
            <v>13209</v>
          </cell>
          <cell r="W67">
            <v>12665</v>
          </cell>
          <cell r="X67">
            <v>12555</v>
          </cell>
          <cell r="Y67">
            <v>12330</v>
          </cell>
          <cell r="Z67">
            <v>11864</v>
          </cell>
          <cell r="AA67">
            <v>12741</v>
          </cell>
          <cell r="AB67">
            <v>11430</v>
          </cell>
          <cell r="AC67">
            <v>12221</v>
          </cell>
          <cell r="AD67">
            <v>12099</v>
          </cell>
          <cell r="AE67">
            <v>11904</v>
          </cell>
        </row>
        <row r="68">
          <cell r="R68">
            <v>64864</v>
          </cell>
          <cell r="S68">
            <v>63666</v>
          </cell>
          <cell r="T68">
            <v>64446</v>
          </cell>
          <cell r="U68">
            <v>64955</v>
          </cell>
          <cell r="V68">
            <v>62868</v>
          </cell>
          <cell r="W68">
            <v>60760</v>
          </cell>
          <cell r="X68">
            <v>60488</v>
          </cell>
          <cell r="Y68">
            <v>59934</v>
          </cell>
          <cell r="Z68">
            <v>58992</v>
          </cell>
          <cell r="AA68">
            <v>59320</v>
          </cell>
          <cell r="AB68">
            <v>62434</v>
          </cell>
          <cell r="AC68">
            <v>62832</v>
          </cell>
          <cell r="AD68">
            <v>62266</v>
          </cell>
          <cell r="AE68">
            <v>62860</v>
          </cell>
        </row>
        <row r="69">
          <cell r="R69">
            <v>26496</v>
          </cell>
          <cell r="S69">
            <v>25874</v>
          </cell>
          <cell r="T69">
            <v>24842</v>
          </cell>
          <cell r="U69">
            <v>25486</v>
          </cell>
          <cell r="V69">
            <v>22660</v>
          </cell>
          <cell r="W69">
            <v>22153</v>
          </cell>
          <cell r="X69">
            <v>22029</v>
          </cell>
          <cell r="Y69">
            <v>22790</v>
          </cell>
          <cell r="Z69">
            <v>23420</v>
          </cell>
          <cell r="AA69">
            <v>23046</v>
          </cell>
          <cell r="AB69">
            <v>21291</v>
          </cell>
          <cell r="AC69">
            <v>19378</v>
          </cell>
          <cell r="AD69">
            <v>15880</v>
          </cell>
          <cell r="AE69">
            <v>15041</v>
          </cell>
        </row>
        <row r="70">
          <cell r="R70">
            <v>12252</v>
          </cell>
          <cell r="S70">
            <v>11657</v>
          </cell>
          <cell r="T70">
            <v>12130</v>
          </cell>
          <cell r="U70">
            <v>12879</v>
          </cell>
          <cell r="V70">
            <v>9662</v>
          </cell>
          <cell r="W70">
            <v>10770</v>
          </cell>
          <cell r="X70">
            <v>7440</v>
          </cell>
          <cell r="Y70">
            <v>10362</v>
          </cell>
          <cell r="Z70">
            <v>10507</v>
          </cell>
          <cell r="AA70">
            <v>9746</v>
          </cell>
          <cell r="AB70">
            <v>9142</v>
          </cell>
          <cell r="AC70">
            <v>8120</v>
          </cell>
          <cell r="AD70">
            <v>6428</v>
          </cell>
          <cell r="AE70">
            <v>6879</v>
          </cell>
        </row>
        <row r="71">
          <cell r="R71">
            <v>38812</v>
          </cell>
          <cell r="S71">
            <v>37565</v>
          </cell>
          <cell r="T71">
            <v>37205</v>
          </cell>
          <cell r="U71">
            <v>34589</v>
          </cell>
          <cell r="V71">
            <v>34285</v>
          </cell>
          <cell r="W71">
            <v>31009</v>
          </cell>
          <cell r="X71">
            <v>32445</v>
          </cell>
          <cell r="Y71">
            <v>30309</v>
          </cell>
          <cell r="Z71">
            <v>31736</v>
          </cell>
          <cell r="AA71">
            <v>33173</v>
          </cell>
          <cell r="AB71">
            <v>31198</v>
          </cell>
          <cell r="AC71">
            <v>26786</v>
          </cell>
          <cell r="AD71">
            <v>19729</v>
          </cell>
          <cell r="AE71">
            <v>18380</v>
          </cell>
        </row>
        <row r="72">
          <cell r="R72">
            <v>11310</v>
          </cell>
          <cell r="S72">
            <v>11351</v>
          </cell>
          <cell r="T72">
            <v>10908</v>
          </cell>
          <cell r="U72">
            <v>11080</v>
          </cell>
          <cell r="V72">
            <v>11527</v>
          </cell>
          <cell r="W72">
            <v>10644</v>
          </cell>
          <cell r="X72">
            <v>10047</v>
          </cell>
          <cell r="Y72">
            <v>9659</v>
          </cell>
          <cell r="Z72">
            <v>9617</v>
          </cell>
          <cell r="AA72">
            <v>9655</v>
          </cell>
          <cell r="AB72">
            <v>10137</v>
          </cell>
          <cell r="AC72">
            <v>10393</v>
          </cell>
          <cell r="AD72">
            <v>10385</v>
          </cell>
          <cell r="AE72">
            <v>10513</v>
          </cell>
        </row>
        <row r="73">
          <cell r="R73">
            <v>55429</v>
          </cell>
          <cell r="S73">
            <v>57601</v>
          </cell>
          <cell r="T73">
            <v>69099</v>
          </cell>
          <cell r="U73">
            <v>73302</v>
          </cell>
          <cell r="V73">
            <v>75464</v>
          </cell>
          <cell r="W73">
            <v>63198</v>
          </cell>
          <cell r="X73">
            <v>53968</v>
          </cell>
          <cell r="Y73">
            <v>53006</v>
          </cell>
          <cell r="Z73">
            <v>54157</v>
          </cell>
          <cell r="AA73">
            <v>56045</v>
          </cell>
          <cell r="AB73">
            <v>53965</v>
          </cell>
          <cell r="AC73">
            <v>50956</v>
          </cell>
          <cell r="AD73">
            <v>45309</v>
          </cell>
          <cell r="AE73">
            <v>44491</v>
          </cell>
        </row>
        <row r="74">
          <cell r="R74">
            <v>1969</v>
          </cell>
          <cell r="S74">
            <v>1920</v>
          </cell>
          <cell r="T74">
            <v>1820</v>
          </cell>
          <cell r="U74">
            <v>1906</v>
          </cell>
          <cell r="V74">
            <v>1506</v>
          </cell>
          <cell r="W74">
            <v>1223</v>
          </cell>
          <cell r="X74">
            <v>844</v>
          </cell>
          <cell r="Y74">
            <v>782</v>
          </cell>
          <cell r="Z74">
            <v>765</v>
          </cell>
          <cell r="AA74">
            <v>714</v>
          </cell>
          <cell r="AB74">
            <v>898</v>
          </cell>
          <cell r="AC74">
            <v>895</v>
          </cell>
          <cell r="AD74">
            <v>1130</v>
          </cell>
          <cell r="AE74">
            <v>1160</v>
          </cell>
        </row>
        <row r="75">
          <cell r="R75">
            <v>41716</v>
          </cell>
          <cell r="S75">
            <v>42787</v>
          </cell>
          <cell r="T75">
            <v>41996</v>
          </cell>
          <cell r="U75">
            <v>42475</v>
          </cell>
          <cell r="V75">
            <v>40521</v>
          </cell>
          <cell r="W75">
            <v>37406</v>
          </cell>
          <cell r="X75">
            <v>36377</v>
          </cell>
          <cell r="Y75">
            <v>38029</v>
          </cell>
          <cell r="Z75">
            <v>40003</v>
          </cell>
          <cell r="AA75">
            <v>41483</v>
          </cell>
          <cell r="AB75">
            <v>43588</v>
          </cell>
          <cell r="AC75">
            <v>44269</v>
          </cell>
          <cell r="AD75">
            <v>37338</v>
          </cell>
          <cell r="AE75">
            <v>36808</v>
          </cell>
        </row>
        <row r="76">
          <cell r="R76">
            <v>136196</v>
          </cell>
          <cell r="S76">
            <v>145117</v>
          </cell>
          <cell r="T76">
            <v>133689</v>
          </cell>
          <cell r="U76">
            <v>120895</v>
          </cell>
          <cell r="V76">
            <v>116259</v>
          </cell>
          <cell r="W76">
            <v>103705</v>
          </cell>
          <cell r="X76">
            <v>94377</v>
          </cell>
          <cell r="Y76">
            <v>92283</v>
          </cell>
          <cell r="Z76">
            <v>99083</v>
          </cell>
          <cell r="AA76">
            <v>109159</v>
          </cell>
          <cell r="AB76">
            <v>114018</v>
          </cell>
          <cell r="AC76">
            <v>113610</v>
          </cell>
          <cell r="AD76">
            <v>104792</v>
          </cell>
          <cell r="AE76">
            <v>102399</v>
          </cell>
        </row>
        <row r="77">
          <cell r="R77">
            <v>4522</v>
          </cell>
          <cell r="S77">
            <v>4417</v>
          </cell>
          <cell r="T77">
            <v>4358</v>
          </cell>
          <cell r="U77">
            <v>4131</v>
          </cell>
          <cell r="V77">
            <v>4143</v>
          </cell>
          <cell r="W77">
            <v>4491</v>
          </cell>
          <cell r="X77">
            <v>4541</v>
          </cell>
          <cell r="Y77">
            <v>3992</v>
          </cell>
          <cell r="Z77">
            <v>3894</v>
          </cell>
          <cell r="AA77">
            <v>3842</v>
          </cell>
          <cell r="AB77">
            <v>3986</v>
          </cell>
          <cell r="AC77">
            <v>4010</v>
          </cell>
          <cell r="AD77">
            <v>3788</v>
          </cell>
          <cell r="AE77">
            <v>3799</v>
          </cell>
        </row>
        <row r="78">
          <cell r="R78">
            <v>7719</v>
          </cell>
          <cell r="S78">
            <v>8266</v>
          </cell>
          <cell r="T78">
            <v>8083</v>
          </cell>
          <cell r="U78">
            <v>6149</v>
          </cell>
          <cell r="V78">
            <v>7395</v>
          </cell>
          <cell r="W78">
            <v>7256</v>
          </cell>
          <cell r="X78">
            <v>3020</v>
          </cell>
          <cell r="Y78">
            <v>2667</v>
          </cell>
          <cell r="Z78">
            <v>3108</v>
          </cell>
          <cell r="AA78">
            <v>3455</v>
          </cell>
          <cell r="AB78">
            <v>3252</v>
          </cell>
          <cell r="AC78">
            <v>2718</v>
          </cell>
          <cell r="AD78">
            <v>2714</v>
          </cell>
          <cell r="AE78">
            <v>3162</v>
          </cell>
        </row>
        <row r="79">
          <cell r="R79">
            <v>415</v>
          </cell>
          <cell r="S79">
            <v>438</v>
          </cell>
          <cell r="T79">
            <v>392</v>
          </cell>
          <cell r="U79">
            <v>289</v>
          </cell>
          <cell r="V79">
            <v>493</v>
          </cell>
          <cell r="W79">
            <v>465</v>
          </cell>
          <cell r="X79">
            <v>484</v>
          </cell>
          <cell r="Y79">
            <v>457</v>
          </cell>
          <cell r="Z79">
            <v>477</v>
          </cell>
          <cell r="AA79">
            <v>441</v>
          </cell>
          <cell r="AB79">
            <v>439</v>
          </cell>
          <cell r="AC79">
            <v>321</v>
          </cell>
          <cell r="AD79">
            <v>363</v>
          </cell>
          <cell r="AE79">
            <v>338</v>
          </cell>
        </row>
        <row r="80">
          <cell r="R80">
            <v>10704</v>
          </cell>
          <cell r="S80">
            <v>11187</v>
          </cell>
          <cell r="T80">
            <v>10829</v>
          </cell>
          <cell r="U80">
            <v>11239</v>
          </cell>
          <cell r="V80">
            <v>10120</v>
          </cell>
          <cell r="W80">
            <v>9916</v>
          </cell>
          <cell r="X80">
            <v>10325</v>
          </cell>
          <cell r="Y80">
            <v>10128</v>
          </cell>
          <cell r="Z80">
            <v>10274</v>
          </cell>
          <cell r="AA80">
            <v>11333</v>
          </cell>
          <cell r="AB80">
            <v>11574</v>
          </cell>
          <cell r="AC80">
            <v>12133</v>
          </cell>
          <cell r="AD80">
            <v>11425</v>
          </cell>
          <cell r="AE80">
            <v>11543</v>
          </cell>
        </row>
        <row r="81">
          <cell r="R81">
            <v>15915</v>
          </cell>
          <cell r="S81">
            <v>16513</v>
          </cell>
          <cell r="T81">
            <v>16722</v>
          </cell>
          <cell r="U81">
            <v>17285</v>
          </cell>
          <cell r="V81">
            <v>16260</v>
          </cell>
          <cell r="W81">
            <v>15733</v>
          </cell>
          <cell r="X81">
            <v>16244</v>
          </cell>
          <cell r="Y81">
            <v>18165</v>
          </cell>
          <cell r="Z81">
            <v>18418</v>
          </cell>
          <cell r="AA81">
            <v>19210</v>
          </cell>
          <cell r="AB81">
            <v>19936</v>
          </cell>
          <cell r="AC81">
            <v>18985</v>
          </cell>
          <cell r="AD81">
            <v>16540</v>
          </cell>
          <cell r="AE81">
            <v>15951</v>
          </cell>
        </row>
        <row r="82">
          <cell r="R82">
            <v>179937</v>
          </cell>
          <cell r="S82">
            <v>182930</v>
          </cell>
          <cell r="T82">
            <v>165785</v>
          </cell>
          <cell r="U82">
            <v>166299</v>
          </cell>
          <cell r="V82">
            <v>158635</v>
          </cell>
          <cell r="W82">
            <v>148754</v>
          </cell>
          <cell r="X82">
            <v>144987</v>
          </cell>
          <cell r="Y82">
            <v>147412</v>
          </cell>
          <cell r="Z82">
            <v>150939</v>
          </cell>
          <cell r="AA82">
            <v>153451</v>
          </cell>
          <cell r="AB82">
            <v>153455</v>
          </cell>
          <cell r="AC82">
            <v>148403</v>
          </cell>
          <cell r="AD82">
            <v>125607</v>
          </cell>
          <cell r="AE82">
            <v>119972</v>
          </cell>
        </row>
        <row r="83">
          <cell r="R83">
            <v>666246</v>
          </cell>
          <cell r="S83">
            <v>679490</v>
          </cell>
          <cell r="T83">
            <v>659095</v>
          </cell>
          <cell r="U83">
            <v>647125</v>
          </cell>
          <cell r="V83">
            <v>623319</v>
          </cell>
          <cell r="W83">
            <v>575045</v>
          </cell>
          <cell r="X83">
            <v>544137</v>
          </cell>
          <cell r="Y83">
            <v>545744</v>
          </cell>
          <cell r="Z83">
            <v>560846</v>
          </cell>
          <cell r="AA83">
            <v>580907</v>
          </cell>
          <cell r="AB83">
            <v>584854</v>
          </cell>
          <cell r="AC83">
            <v>569360</v>
          </cell>
          <cell r="AD83">
            <v>505716</v>
          </cell>
          <cell r="AE83">
            <v>493238</v>
          </cell>
        </row>
        <row r="84">
          <cell r="R84">
            <v>0.99772524765448922</v>
          </cell>
          <cell r="S84">
            <v>0.99844537049554183</v>
          </cell>
          <cell r="T84">
            <v>0.99927377367816184</v>
          </cell>
          <cell r="U84">
            <v>0.99586036025638069</v>
          </cell>
          <cell r="V84">
            <v>1.0018821888039502</v>
          </cell>
          <cell r="W84">
            <v>1.0053533059548974</v>
          </cell>
          <cell r="X84">
            <v>1.0014170901066866</v>
          </cell>
          <cell r="Y84">
            <v>1.0013026710260278</v>
          </cell>
          <cell r="Z84">
            <v>1.0020618483022805</v>
          </cell>
          <cell r="AA84">
            <v>1.002312070908109</v>
          </cell>
          <cell r="AB84">
            <v>1.0015892424725052</v>
          </cell>
          <cell r="AC84">
            <v>1.0006326889279438</v>
          </cell>
          <cell r="AD84">
            <v>1.0019158036964908</v>
          </cell>
          <cell r="AE84">
            <v>1.0030075707816226</v>
          </cell>
        </row>
      </sheetData>
      <sheetData sheetId="10">
        <row r="20">
          <cell r="H20">
            <v>420.90410493345433</v>
          </cell>
          <cell r="I20">
            <v>423.13679518832237</v>
          </cell>
          <cell r="J20">
            <v>394.67431530947567</v>
          </cell>
          <cell r="K20">
            <v>468.25061854804272</v>
          </cell>
          <cell r="L20">
            <v>344.52373444721451</v>
          </cell>
          <cell r="M20">
            <v>445.49503488725964</v>
          </cell>
          <cell r="N20">
            <v>348.28403706589631</v>
          </cell>
          <cell r="O20">
            <v>362.3397594571631</v>
          </cell>
          <cell r="P20">
            <v>371.606224056516</v>
          </cell>
          <cell r="Q20">
            <v>312.50970489313931</v>
          </cell>
          <cell r="R20">
            <v>335.2975740310236</v>
          </cell>
          <cell r="S20">
            <v>342.2055640259951</v>
          </cell>
          <cell r="T20">
            <v>402.99180686349803</v>
          </cell>
          <cell r="U20">
            <v>414.03797570414213</v>
          </cell>
          <cell r="V20">
            <v>389.97709928167609</v>
          </cell>
          <cell r="W20">
            <v>391.37822136142915</v>
          </cell>
          <cell r="X20">
            <v>293.2540267496567</v>
          </cell>
          <cell r="Y20">
            <v>312.26727082893217</v>
          </cell>
          <cell r="Z20">
            <v>358.48883909919152</v>
          </cell>
          <cell r="AA20">
            <v>360.66110448832524</v>
          </cell>
          <cell r="AB20">
            <v>326.86508800620044</v>
          </cell>
          <cell r="AC20">
            <v>307.34855388727095</v>
          </cell>
          <cell r="AD20">
            <v>315.74630914426245</v>
          </cell>
          <cell r="AE20">
            <v>390.84711724540011</v>
          </cell>
        </row>
        <row r="21">
          <cell r="G21">
            <v>25.652573750057851</v>
          </cell>
          <cell r="H21">
            <v>25.562876348592489</v>
          </cell>
          <cell r="I21">
            <v>25.698333253680506</v>
          </cell>
          <cell r="J21">
            <v>13.848576325371898</v>
          </cell>
          <cell r="K21">
            <v>28.066991307719697</v>
          </cell>
          <cell r="L21">
            <v>16.117144199118059</v>
          </cell>
          <cell r="M21">
            <v>37.124640142297991</v>
          </cell>
          <cell r="N21">
            <v>24.163570975730682</v>
          </cell>
          <cell r="O21">
            <v>20.725655611245173</v>
          </cell>
          <cell r="P21">
            <v>16.890770559431886</v>
          </cell>
          <cell r="Q21">
            <v>14.204568678363051</v>
          </cell>
          <cell r="R21">
            <v>15.240536736838072</v>
          </cell>
          <cell r="S21">
            <v>43.601175474442854</v>
          </cell>
          <cell r="T21">
            <v>51.34627945462649</v>
          </cell>
          <cell r="U21">
            <v>52.753693876351583</v>
          </cell>
          <cell r="V21">
            <v>49.688014634735822</v>
          </cell>
          <cell r="W21">
            <v>47.389006316911576</v>
          </cell>
          <cell r="X21">
            <v>39.719600078948531</v>
          </cell>
          <cell r="Y21">
            <v>42.946811008193642</v>
          </cell>
          <cell r="Z21">
            <v>42.912847331836325</v>
          </cell>
          <cell r="AA21">
            <v>45.360843253028662</v>
          </cell>
          <cell r="AB21">
            <v>43.780346509804978</v>
          </cell>
          <cell r="AC21">
            <v>37.521853433522573</v>
          </cell>
          <cell r="AD21">
            <v>21.874406648760488</v>
          </cell>
          <cell r="AE21">
            <v>28.568841979826072</v>
          </cell>
        </row>
        <row r="22">
          <cell r="G22">
            <v>148.09067407337858</v>
          </cell>
          <cell r="H22">
            <v>147.57241187782651</v>
          </cell>
          <cell r="I22">
            <v>148.35520903287315</v>
          </cell>
          <cell r="J22">
            <v>165.79860767185517</v>
          </cell>
          <cell r="K22">
            <v>173.03383335582868</v>
          </cell>
          <cell r="L22">
            <v>144.04017279599154</v>
          </cell>
          <cell r="M22">
            <v>167.02077778073459</v>
          </cell>
          <cell r="N22">
            <v>156.95175264438686</v>
          </cell>
          <cell r="O22">
            <v>159.76203940526821</v>
          </cell>
          <cell r="P22">
            <v>160.37081910472003</v>
          </cell>
          <cell r="Q22">
            <v>134.84041862377427</v>
          </cell>
          <cell r="R22">
            <v>144.66695632902375</v>
          </cell>
          <cell r="S22">
            <v>123.14160260115491</v>
          </cell>
          <cell r="T22">
            <v>145.02256658050578</v>
          </cell>
          <cell r="U22">
            <v>148.98487297542223</v>
          </cell>
          <cell r="V22">
            <v>140.3064744760587</v>
          </cell>
          <cell r="W22">
            <v>145.5638815883764</v>
          </cell>
          <cell r="X22">
            <v>115.86372571929033</v>
          </cell>
          <cell r="Y22">
            <v>125.98853086440919</v>
          </cell>
          <cell r="Z22">
            <v>141.5697676064546</v>
          </cell>
          <cell r="AA22">
            <v>139.73676861475923</v>
          </cell>
          <cell r="AB22">
            <v>137.37429289745472</v>
          </cell>
          <cell r="AC22">
            <v>118.55546948593621</v>
          </cell>
          <cell r="AD22">
            <v>121.9097195623316</v>
          </cell>
          <cell r="AE22">
            <v>123.60453687075486</v>
          </cell>
        </row>
        <row r="23">
          <cell r="G23">
            <v>285.87082646496032</v>
          </cell>
          <cell r="H23">
            <v>284.87051536995608</v>
          </cell>
          <cell r="I23">
            <v>286.38156346652335</v>
          </cell>
          <cell r="J23">
            <v>292.12065892251803</v>
          </cell>
          <cell r="K23">
            <v>295.25657380571096</v>
          </cell>
          <cell r="L23">
            <v>273.72255952617945</v>
          </cell>
          <cell r="M23">
            <v>296.99142911960104</v>
          </cell>
          <cell r="N23">
            <v>303.2728886913564</v>
          </cell>
          <cell r="O23">
            <v>305.80805486181697</v>
          </cell>
          <cell r="P23">
            <v>304.02727286374443</v>
          </cell>
          <cell r="Q23">
            <v>255.67266336902762</v>
          </cell>
          <cell r="R23">
            <v>274.31306879249058</v>
          </cell>
          <cell r="S23">
            <v>295.74791991806399</v>
          </cell>
          <cell r="T23">
            <v>348.28133891832391</v>
          </cell>
          <cell r="U23">
            <v>357.82579254635169</v>
          </cell>
          <cell r="V23">
            <v>337.03000536087393</v>
          </cell>
          <cell r="W23">
            <v>341.86317827135667</v>
          </cell>
          <cell r="X23">
            <v>297.0016363582576</v>
          </cell>
          <cell r="Y23">
            <v>256.94850517252331</v>
          </cell>
          <cell r="Z23">
            <v>276.85700974362169</v>
          </cell>
          <cell r="AA23">
            <v>297.90433494381182</v>
          </cell>
          <cell r="AB23">
            <v>295.22513781900727</v>
          </cell>
          <cell r="AC23">
            <v>265.07383573829964</v>
          </cell>
          <cell r="AD23">
            <v>267.25903800414943</v>
          </cell>
          <cell r="AE23">
            <v>299.10375236482099</v>
          </cell>
        </row>
        <row r="24">
          <cell r="G24">
            <v>881.99616063500446</v>
          </cell>
          <cell r="H24">
            <v>878.90990852982929</v>
          </cell>
          <cell r="I24">
            <v>883.57190094139946</v>
          </cell>
          <cell r="J24">
            <v>866.44215822922081</v>
          </cell>
          <cell r="K24">
            <v>964.60788783349199</v>
          </cell>
          <cell r="L24">
            <v>778.40348106905492</v>
          </cell>
          <cell r="M24">
            <v>946.6318819298931</v>
          </cell>
          <cell r="N24">
            <v>832.67224937737035</v>
          </cell>
          <cell r="O24">
            <v>848.63549634990864</v>
          </cell>
          <cell r="P24">
            <v>852.89507384849344</v>
          </cell>
          <cell r="Q24">
            <v>717.22734293522569</v>
          </cell>
          <cell r="R24">
            <v>769.51812330024813</v>
          </cell>
          <cell r="S24">
            <v>804.69619959655552</v>
          </cell>
          <cell r="T24">
            <v>947.64197928500766</v>
          </cell>
          <cell r="U24">
            <v>973.60245291650426</v>
          </cell>
          <cell r="V24">
            <v>917.00158079266578</v>
          </cell>
          <cell r="W24">
            <v>926.19414624671435</v>
          </cell>
          <cell r="X24">
            <v>745.8391027960281</v>
          </cell>
          <cell r="Y24">
            <v>738.15110558736103</v>
          </cell>
          <cell r="Z24">
            <v>819.82857199685373</v>
          </cell>
          <cell r="AA24">
            <v>843.66301387825172</v>
          </cell>
          <cell r="AB24">
            <v>803.24492655162635</v>
          </cell>
          <cell r="AC24">
            <v>728.49965144856913</v>
          </cell>
          <cell r="AD24">
            <v>726.78953384067529</v>
          </cell>
          <cell r="AE24">
            <v>842.12418774695084</v>
          </cell>
        </row>
      </sheetData>
      <sheetData sheetId="11">
        <row r="20">
          <cell r="H20">
            <v>420.90410493345433</v>
          </cell>
          <cell r="I20">
            <v>423.13679518832231</v>
          </cell>
          <cell r="J20">
            <v>394.67431530947567</v>
          </cell>
          <cell r="K20">
            <v>468.25061854804272</v>
          </cell>
          <cell r="L20">
            <v>344.52373444721451</v>
          </cell>
          <cell r="M20">
            <v>445.49503488725958</v>
          </cell>
          <cell r="N20">
            <v>348.28403706589631</v>
          </cell>
          <cell r="O20">
            <v>362.3397594571631</v>
          </cell>
          <cell r="P20">
            <v>371.60622405651606</v>
          </cell>
          <cell r="Q20">
            <v>312.50970489313931</v>
          </cell>
          <cell r="R20">
            <v>335.29757403102366</v>
          </cell>
          <cell r="S20">
            <v>342.2055640259951</v>
          </cell>
          <cell r="T20">
            <v>402.99180686349797</v>
          </cell>
          <cell r="U20">
            <v>414.03797570414213</v>
          </cell>
          <cell r="V20">
            <v>389.97709928167603</v>
          </cell>
          <cell r="W20">
            <v>391.37822136142915</v>
          </cell>
          <cell r="X20">
            <v>293.2540267496567</v>
          </cell>
          <cell r="Y20">
            <v>312.26727082893217</v>
          </cell>
          <cell r="Z20">
            <v>358.48883909919152</v>
          </cell>
          <cell r="AA20">
            <v>360.66110448832524</v>
          </cell>
          <cell r="AB20">
            <v>326.86508800620044</v>
          </cell>
          <cell r="AC20">
            <v>307.34855388727095</v>
          </cell>
          <cell r="AD20">
            <v>315.74630914426245</v>
          </cell>
          <cell r="AE20">
            <v>390.84711724540011</v>
          </cell>
        </row>
        <row r="21">
          <cell r="G21">
            <v>25.652573750057851</v>
          </cell>
          <cell r="H21">
            <v>25.562876348592493</v>
          </cell>
          <cell r="I21">
            <v>25.698333253680506</v>
          </cell>
          <cell r="J21">
            <v>13.848576325371896</v>
          </cell>
          <cell r="K21">
            <v>28.066991307719693</v>
          </cell>
          <cell r="L21">
            <v>16.117144199118062</v>
          </cell>
          <cell r="M21">
            <v>37.124640142297984</v>
          </cell>
          <cell r="N21">
            <v>24.163570975730682</v>
          </cell>
          <cell r="O21">
            <v>20.725655611245173</v>
          </cell>
          <cell r="P21">
            <v>16.890770559431886</v>
          </cell>
          <cell r="Q21">
            <v>14.204568678363051</v>
          </cell>
          <cell r="R21">
            <v>15.240536736838074</v>
          </cell>
          <cell r="S21">
            <v>43.601175474442854</v>
          </cell>
          <cell r="T21">
            <v>51.34627945462649</v>
          </cell>
          <cell r="U21">
            <v>52.753693876351583</v>
          </cell>
          <cell r="V21">
            <v>49.688014634735815</v>
          </cell>
          <cell r="W21">
            <v>47.389006316911583</v>
          </cell>
          <cell r="X21">
            <v>39.719600078948538</v>
          </cell>
          <cell r="Y21">
            <v>42.946811008193649</v>
          </cell>
          <cell r="Z21">
            <v>42.912847331836332</v>
          </cell>
          <cell r="AA21">
            <v>45.360843253028669</v>
          </cell>
          <cell r="AB21">
            <v>43.780346509804978</v>
          </cell>
          <cell r="AC21">
            <v>37.521853433522573</v>
          </cell>
          <cell r="AD21">
            <v>21.874406648760488</v>
          </cell>
          <cell r="AE21">
            <v>28.568841979826072</v>
          </cell>
        </row>
        <row r="22">
          <cell r="G22">
            <v>148.09067407337858</v>
          </cell>
          <cell r="H22">
            <v>147.57241187782651</v>
          </cell>
          <cell r="I22">
            <v>148.35520903287318</v>
          </cell>
          <cell r="J22">
            <v>165.79860767185514</v>
          </cell>
          <cell r="K22">
            <v>173.03383335582868</v>
          </cell>
          <cell r="L22">
            <v>144.04017279599154</v>
          </cell>
          <cell r="M22">
            <v>167.02077778073456</v>
          </cell>
          <cell r="N22">
            <v>156.95175264438686</v>
          </cell>
          <cell r="O22">
            <v>159.76203940526821</v>
          </cell>
          <cell r="P22">
            <v>160.37081910472</v>
          </cell>
          <cell r="Q22">
            <v>134.84041862377427</v>
          </cell>
          <cell r="R22">
            <v>144.66695632902378</v>
          </cell>
          <cell r="S22">
            <v>123.14160260115491</v>
          </cell>
          <cell r="T22">
            <v>145.02256658050578</v>
          </cell>
          <cell r="U22">
            <v>148.98487297542223</v>
          </cell>
          <cell r="V22">
            <v>140.30647447605867</v>
          </cell>
          <cell r="W22">
            <v>145.56388158837643</v>
          </cell>
          <cell r="X22">
            <v>115.86372571929033</v>
          </cell>
          <cell r="Y22">
            <v>125.98853086440919</v>
          </cell>
          <cell r="Z22">
            <v>141.5697676064546</v>
          </cell>
          <cell r="AA22">
            <v>139.7367686147592</v>
          </cell>
          <cell r="AB22">
            <v>137.37429289745472</v>
          </cell>
          <cell r="AC22">
            <v>118.55546948593621</v>
          </cell>
          <cell r="AD22">
            <v>121.90971956233162</v>
          </cell>
          <cell r="AE22">
            <v>123.60453687075486</v>
          </cell>
        </row>
        <row r="23">
          <cell r="G23">
            <v>285.87082646496026</v>
          </cell>
          <cell r="H23">
            <v>284.87051536995608</v>
          </cell>
          <cell r="I23">
            <v>286.38156346652335</v>
          </cell>
          <cell r="J23">
            <v>292.12065892251798</v>
          </cell>
          <cell r="K23">
            <v>295.2565738057109</v>
          </cell>
          <cell r="L23">
            <v>273.72255952617945</v>
          </cell>
          <cell r="M23">
            <v>296.99142911960104</v>
          </cell>
          <cell r="N23">
            <v>303.27288869135646</v>
          </cell>
          <cell r="O23">
            <v>305.80805486181691</v>
          </cell>
          <cell r="P23">
            <v>304.02727286374443</v>
          </cell>
          <cell r="Q23">
            <v>255.67266336902762</v>
          </cell>
          <cell r="R23">
            <v>274.31306879249058</v>
          </cell>
          <cell r="S23">
            <v>295.74791991806393</v>
          </cell>
          <cell r="T23">
            <v>348.28133891832385</v>
          </cell>
          <cell r="U23">
            <v>357.82579254635169</v>
          </cell>
          <cell r="V23">
            <v>337.03000536087387</v>
          </cell>
          <cell r="W23">
            <v>341.86317827135667</v>
          </cell>
          <cell r="X23">
            <v>297.0016363582576</v>
          </cell>
          <cell r="Y23">
            <v>256.94850517252331</v>
          </cell>
          <cell r="Z23">
            <v>276.85700974362169</v>
          </cell>
          <cell r="AA23">
            <v>297.90433494381182</v>
          </cell>
          <cell r="AB23">
            <v>295.22513781900722</v>
          </cell>
          <cell r="AC23">
            <v>265.07383573829964</v>
          </cell>
          <cell r="AD23">
            <v>267.25903800414949</v>
          </cell>
          <cell r="AE23">
            <v>299.10375236482099</v>
          </cell>
        </row>
        <row r="24">
          <cell r="G24">
            <v>881.99616063500446</v>
          </cell>
          <cell r="H24">
            <v>878.90990852982941</v>
          </cell>
          <cell r="I24">
            <v>883.57190094139935</v>
          </cell>
          <cell r="J24">
            <v>866.44215822922069</v>
          </cell>
          <cell r="K24">
            <v>964.60788783349187</v>
          </cell>
          <cell r="L24">
            <v>778.40348106905492</v>
          </cell>
          <cell r="M24">
            <v>946.6318819298931</v>
          </cell>
          <cell r="N24">
            <v>832.67224937737035</v>
          </cell>
          <cell r="O24">
            <v>848.63549634990864</v>
          </cell>
          <cell r="P24">
            <v>852.89507384849344</v>
          </cell>
          <cell r="Q24">
            <v>717.22734293522569</v>
          </cell>
          <cell r="R24">
            <v>769.51812330024813</v>
          </cell>
          <cell r="S24">
            <v>804.69619959655552</v>
          </cell>
          <cell r="T24">
            <v>947.64197928500778</v>
          </cell>
          <cell r="U24">
            <v>973.60245291650426</v>
          </cell>
          <cell r="V24">
            <v>917.00158079266578</v>
          </cell>
          <cell r="W24">
            <v>926.19414624671447</v>
          </cell>
          <cell r="X24">
            <v>745.8391027960281</v>
          </cell>
          <cell r="Y24">
            <v>738.15110558736103</v>
          </cell>
          <cell r="Z24">
            <v>819.82857199685373</v>
          </cell>
          <cell r="AA24">
            <v>843.66301387825172</v>
          </cell>
          <cell r="AB24">
            <v>803.24492655162635</v>
          </cell>
          <cell r="AC24">
            <v>728.49965144856913</v>
          </cell>
          <cell r="AD24">
            <v>726.78953384067529</v>
          </cell>
          <cell r="AE24">
            <v>842.12418774695072</v>
          </cell>
        </row>
        <row r="50">
          <cell r="G50">
            <v>1988</v>
          </cell>
          <cell r="H50">
            <v>1989</v>
          </cell>
          <cell r="I50">
            <v>1990</v>
          </cell>
          <cell r="J50">
            <v>1991</v>
          </cell>
          <cell r="K50">
            <v>1992</v>
          </cell>
          <cell r="L50">
            <v>1993</v>
          </cell>
          <cell r="M50">
            <v>1994</v>
          </cell>
          <cell r="N50">
            <v>1995</v>
          </cell>
          <cell r="O50">
            <v>1996</v>
          </cell>
          <cell r="P50">
            <v>1997</v>
          </cell>
          <cell r="Q50">
            <v>1998</v>
          </cell>
          <cell r="R50">
            <v>1999</v>
          </cell>
          <cell r="S50">
            <v>2000</v>
          </cell>
          <cell r="T50">
            <v>2001</v>
          </cell>
          <cell r="U50">
            <v>2002</v>
          </cell>
          <cell r="V50">
            <v>2003</v>
          </cell>
          <cell r="W50">
            <v>2004</v>
          </cell>
          <cell r="X50">
            <v>2005</v>
          </cell>
          <cell r="Y50">
            <v>2006</v>
          </cell>
          <cell r="Z50">
            <v>2007</v>
          </cell>
          <cell r="AA50">
            <v>2008</v>
          </cell>
          <cell r="AB50">
            <v>2009</v>
          </cell>
          <cell r="AC50">
            <v>2010</v>
          </cell>
          <cell r="AD50">
            <v>2011</v>
          </cell>
          <cell r="AE50">
            <v>2012</v>
          </cell>
        </row>
        <row r="51">
          <cell r="G51">
            <v>422.38208634660771</v>
          </cell>
          <cell r="H51">
            <v>420.90410493345433</v>
          </cell>
          <cell r="I51">
            <v>423.13679518832231</v>
          </cell>
          <cell r="J51">
            <v>394.67431530947567</v>
          </cell>
          <cell r="K51">
            <v>468.25061854804272</v>
          </cell>
          <cell r="L51">
            <v>344.52373444721451</v>
          </cell>
          <cell r="M51">
            <v>445.49503488725958</v>
          </cell>
          <cell r="N51">
            <v>348.28403706589631</v>
          </cell>
          <cell r="O51">
            <v>362.3397594571631</v>
          </cell>
          <cell r="P51">
            <v>371.60622405651606</v>
          </cell>
          <cell r="Q51">
            <v>312.50970489313931</v>
          </cell>
          <cell r="R51">
            <v>335.29757403102366</v>
          </cell>
          <cell r="S51">
            <v>342.2055640259951</v>
          </cell>
          <cell r="T51">
            <v>402.99180686349797</v>
          </cell>
          <cell r="U51">
            <v>414.03797570414213</v>
          </cell>
          <cell r="V51">
            <v>389.97709928167603</v>
          </cell>
          <cell r="W51">
            <v>391.37822136142915</v>
          </cell>
          <cell r="X51">
            <v>293.2540267496567</v>
          </cell>
          <cell r="Y51">
            <v>312.26727082893217</v>
          </cell>
          <cell r="Z51">
            <v>358.48883909919152</v>
          </cell>
          <cell r="AA51">
            <v>360.66110448832524</v>
          </cell>
          <cell r="AB51">
            <v>326.86508800620044</v>
          </cell>
          <cell r="AC51">
            <v>307.34855388727095</v>
          </cell>
          <cell r="AD51">
            <v>315.74630914426245</v>
          </cell>
          <cell r="AE51">
            <v>390.84711724540011</v>
          </cell>
        </row>
        <row r="52">
          <cell r="G52">
            <v>25.652573750057851</v>
          </cell>
          <cell r="H52">
            <v>25.562876348592493</v>
          </cell>
          <cell r="I52">
            <v>25.698333253680506</v>
          </cell>
          <cell r="J52">
            <v>13.848576325371896</v>
          </cell>
          <cell r="K52">
            <v>28.066991307719693</v>
          </cell>
          <cell r="L52">
            <v>16.117144199118062</v>
          </cell>
          <cell r="M52">
            <v>37.124640142297984</v>
          </cell>
          <cell r="N52">
            <v>24.163570975730682</v>
          </cell>
          <cell r="O52">
            <v>20.725655611245173</v>
          </cell>
          <cell r="P52">
            <v>16.890770559431886</v>
          </cell>
          <cell r="Q52">
            <v>14.204568678363051</v>
          </cell>
          <cell r="R52">
            <v>15.240536736838074</v>
          </cell>
          <cell r="S52">
            <v>43.601175474442854</v>
          </cell>
          <cell r="T52">
            <v>51.34627945462649</v>
          </cell>
          <cell r="U52">
            <v>52.753693876351583</v>
          </cell>
          <cell r="V52">
            <v>49.688014634735815</v>
          </cell>
          <cell r="W52">
            <v>47.389006316911583</v>
          </cell>
          <cell r="X52">
            <v>39.719600078948538</v>
          </cell>
          <cell r="Y52">
            <v>42.946811008193649</v>
          </cell>
          <cell r="Z52">
            <v>42.912847331836332</v>
          </cell>
          <cell r="AA52">
            <v>45.360843253028669</v>
          </cell>
          <cell r="AB52">
            <v>43.780346509804978</v>
          </cell>
          <cell r="AC52">
            <v>37.521853433522573</v>
          </cell>
          <cell r="AD52">
            <v>21.874406648760488</v>
          </cell>
          <cell r="AE52">
            <v>28.568841979826072</v>
          </cell>
        </row>
        <row r="53">
          <cell r="G53">
            <v>148.09067407337858</v>
          </cell>
          <cell r="H53">
            <v>147.57241187782651</v>
          </cell>
          <cell r="I53">
            <v>148.35520903287318</v>
          </cell>
          <cell r="J53">
            <v>165.79860767185514</v>
          </cell>
          <cell r="K53">
            <v>173.03383335582868</v>
          </cell>
          <cell r="L53">
            <v>144.04017279599154</v>
          </cell>
          <cell r="M53">
            <v>167.02077778073456</v>
          </cell>
          <cell r="N53">
            <v>156.95175264438686</v>
          </cell>
          <cell r="O53">
            <v>159.76203940526821</v>
          </cell>
          <cell r="P53">
            <v>160.37081910472</v>
          </cell>
          <cell r="Q53">
            <v>134.84041862377427</v>
          </cell>
          <cell r="R53">
            <v>144.66695632902378</v>
          </cell>
          <cell r="S53">
            <v>123.14160260115491</v>
          </cell>
          <cell r="T53">
            <v>145.02256658050578</v>
          </cell>
          <cell r="U53">
            <v>148.98487297542223</v>
          </cell>
          <cell r="V53">
            <v>140.30647447605867</v>
          </cell>
          <cell r="W53">
            <v>145.56388158837643</v>
          </cell>
          <cell r="X53">
            <v>115.86372571929033</v>
          </cell>
          <cell r="Y53">
            <v>125.98853086440919</v>
          </cell>
          <cell r="Z53">
            <v>141.5697676064546</v>
          </cell>
          <cell r="AA53">
            <v>139.7367686147592</v>
          </cell>
          <cell r="AB53">
            <v>137.37429289745472</v>
          </cell>
          <cell r="AC53">
            <v>118.55546948593621</v>
          </cell>
          <cell r="AD53">
            <v>121.90971956233162</v>
          </cell>
          <cell r="AE53">
            <v>123.60453687075486</v>
          </cell>
        </row>
        <row r="54">
          <cell r="G54">
            <v>285.87082646496026</v>
          </cell>
          <cell r="H54">
            <v>284.87051536995608</v>
          </cell>
          <cell r="I54">
            <v>286.38156346652335</v>
          </cell>
          <cell r="J54">
            <v>292.12065892251798</v>
          </cell>
          <cell r="K54">
            <v>295.2565738057109</v>
          </cell>
          <cell r="L54">
            <v>273.72255952617945</v>
          </cell>
          <cell r="M54">
            <v>296.99142911960104</v>
          </cell>
          <cell r="N54">
            <v>303.27288869135646</v>
          </cell>
          <cell r="O54">
            <v>305.80805486181691</v>
          </cell>
          <cell r="P54">
            <v>304.02727286374443</v>
          </cell>
          <cell r="Q54">
            <v>255.67266336902762</v>
          </cell>
          <cell r="R54">
            <v>274.31306879249058</v>
          </cell>
          <cell r="S54">
            <v>295.74791991806393</v>
          </cell>
          <cell r="T54">
            <v>348.28133891832385</v>
          </cell>
          <cell r="U54">
            <v>357.82579254635169</v>
          </cell>
          <cell r="V54">
            <v>337.03000536087387</v>
          </cell>
          <cell r="W54">
            <v>341.86317827135667</v>
          </cell>
          <cell r="X54">
            <v>297.0016363582576</v>
          </cell>
          <cell r="Y54">
            <v>256.94850517252331</v>
          </cell>
          <cell r="Z54">
            <v>276.85700974362169</v>
          </cell>
          <cell r="AA54">
            <v>297.90433494381182</v>
          </cell>
          <cell r="AB54">
            <v>295.22513781900722</v>
          </cell>
          <cell r="AC54">
            <v>265.07383573829964</v>
          </cell>
          <cell r="AD54">
            <v>267.25903800414949</v>
          </cell>
          <cell r="AE54">
            <v>299.10375236482099</v>
          </cell>
        </row>
        <row r="55">
          <cell r="G55">
            <v>881.99616063500446</v>
          </cell>
          <cell r="H55">
            <v>878.90990852982941</v>
          </cell>
          <cell r="I55">
            <v>883.57190094139935</v>
          </cell>
          <cell r="J55">
            <v>866.44215822922069</v>
          </cell>
          <cell r="K55">
            <v>964.60788783349187</v>
          </cell>
          <cell r="L55">
            <v>778.40348106905492</v>
          </cell>
          <cell r="M55">
            <v>946.6318819298931</v>
          </cell>
          <cell r="N55">
            <v>832.67224937737035</v>
          </cell>
          <cell r="O55">
            <v>848.63549634990864</v>
          </cell>
          <cell r="P55">
            <v>852.89507384849344</v>
          </cell>
          <cell r="Q55">
            <v>717.22734293522569</v>
          </cell>
          <cell r="R55">
            <v>769.51812330024813</v>
          </cell>
          <cell r="S55">
            <v>804.69619959655552</v>
          </cell>
          <cell r="T55">
            <v>947.64197928500778</v>
          </cell>
          <cell r="U55">
            <v>973.60245291650426</v>
          </cell>
          <cell r="V55">
            <v>917.00158079266578</v>
          </cell>
          <cell r="W55">
            <v>926.19414624671447</v>
          </cell>
          <cell r="X55">
            <v>745.8391027960281</v>
          </cell>
          <cell r="Y55">
            <v>738.15110558736103</v>
          </cell>
          <cell r="Z55">
            <v>819.82857199685373</v>
          </cell>
          <cell r="AA55">
            <v>843.66301387825172</v>
          </cell>
          <cell r="AB55">
            <v>803.24492655162635</v>
          </cell>
          <cell r="AC55">
            <v>728.49965144856913</v>
          </cell>
          <cell r="AD55">
            <v>726.78953384067529</v>
          </cell>
          <cell r="AE55">
            <v>842.12418774695072</v>
          </cell>
        </row>
      </sheetData>
      <sheetData sheetId="12">
        <row r="20">
          <cell r="H20">
            <v>420.90410493345433</v>
          </cell>
          <cell r="I20">
            <v>423.13679518832231</v>
          </cell>
          <cell r="J20">
            <v>394.67431530947567</v>
          </cell>
          <cell r="K20">
            <v>468.25061854804272</v>
          </cell>
          <cell r="L20">
            <v>344.52373444721451</v>
          </cell>
          <cell r="M20">
            <v>445.49503488725958</v>
          </cell>
          <cell r="N20">
            <v>348.28403706589631</v>
          </cell>
          <cell r="O20">
            <v>362.3397594571631</v>
          </cell>
          <cell r="P20">
            <v>371.60622405651606</v>
          </cell>
          <cell r="Q20">
            <v>312.50970489313931</v>
          </cell>
          <cell r="R20">
            <v>335.29757403102366</v>
          </cell>
          <cell r="S20">
            <v>342.2055640259951</v>
          </cell>
          <cell r="T20">
            <v>402.99180686349797</v>
          </cell>
          <cell r="U20">
            <v>414.03797570414213</v>
          </cell>
          <cell r="V20">
            <v>389.97709928167603</v>
          </cell>
          <cell r="W20">
            <v>391.37822136142915</v>
          </cell>
          <cell r="X20">
            <v>293.2540267496567</v>
          </cell>
          <cell r="Y20">
            <v>312.26727082893217</v>
          </cell>
          <cell r="Z20">
            <v>358.48883909919152</v>
          </cell>
          <cell r="AA20">
            <v>360.66110448832524</v>
          </cell>
          <cell r="AB20">
            <v>326.86508800620044</v>
          </cell>
          <cell r="AC20">
            <v>307.34855388727095</v>
          </cell>
          <cell r="AD20">
            <v>315.74630914426245</v>
          </cell>
          <cell r="AE20">
            <v>390.84711724540011</v>
          </cell>
        </row>
        <row r="21">
          <cell r="G21">
            <v>25.652573750057851</v>
          </cell>
          <cell r="H21">
            <v>25.562876348592493</v>
          </cell>
          <cell r="I21">
            <v>25.698333253680506</v>
          </cell>
          <cell r="J21">
            <v>13.848576325371896</v>
          </cell>
          <cell r="K21">
            <v>28.066991307719693</v>
          </cell>
          <cell r="L21">
            <v>16.117144199118062</v>
          </cell>
          <cell r="M21">
            <v>37.124640142297984</v>
          </cell>
          <cell r="N21">
            <v>24.163570975730682</v>
          </cell>
          <cell r="O21">
            <v>20.725655611245173</v>
          </cell>
          <cell r="P21">
            <v>16.890770559431886</v>
          </cell>
          <cell r="Q21">
            <v>14.204568678363051</v>
          </cell>
          <cell r="R21">
            <v>15.240536736838074</v>
          </cell>
          <cell r="S21">
            <v>43.601175474442854</v>
          </cell>
          <cell r="T21">
            <v>51.34627945462649</v>
          </cell>
          <cell r="U21">
            <v>52.753693876351583</v>
          </cell>
          <cell r="V21">
            <v>49.688014634735815</v>
          </cell>
          <cell r="W21">
            <v>47.389006316911583</v>
          </cell>
          <cell r="X21">
            <v>39.719600078948538</v>
          </cell>
          <cell r="Y21">
            <v>42.946811008193649</v>
          </cell>
          <cell r="Z21">
            <v>42.912847331836332</v>
          </cell>
          <cell r="AA21">
            <v>45.360843253028669</v>
          </cell>
          <cell r="AB21">
            <v>43.780346509804978</v>
          </cell>
          <cell r="AC21">
            <v>37.521853433522573</v>
          </cell>
          <cell r="AD21">
            <v>21.874406648760488</v>
          </cell>
          <cell r="AE21">
            <v>28.568841979826072</v>
          </cell>
        </row>
        <row r="22">
          <cell r="G22">
            <v>148.09067407337858</v>
          </cell>
          <cell r="H22">
            <v>147.57241187782651</v>
          </cell>
          <cell r="I22">
            <v>148.35520903287318</v>
          </cell>
          <cell r="J22">
            <v>165.79860767185514</v>
          </cell>
          <cell r="K22">
            <v>173.03383335582868</v>
          </cell>
          <cell r="L22">
            <v>144.04017279599154</v>
          </cell>
          <cell r="M22">
            <v>167.02077778073456</v>
          </cell>
          <cell r="N22">
            <v>156.95175264438686</v>
          </cell>
          <cell r="O22">
            <v>159.76203940526821</v>
          </cell>
          <cell r="P22">
            <v>160.37081910472</v>
          </cell>
          <cell r="Q22">
            <v>134.84041862377427</v>
          </cell>
          <cell r="R22">
            <v>144.66695632902378</v>
          </cell>
          <cell r="S22">
            <v>123.14160260115491</v>
          </cell>
          <cell r="T22">
            <v>145.02256658050578</v>
          </cell>
          <cell r="U22">
            <v>148.98487297542223</v>
          </cell>
          <cell r="V22">
            <v>140.30647447605867</v>
          </cell>
          <cell r="W22">
            <v>145.56388158837643</v>
          </cell>
          <cell r="X22">
            <v>115.86372571929033</v>
          </cell>
          <cell r="Y22">
            <v>125.98853086440919</v>
          </cell>
          <cell r="Z22">
            <v>141.5697676064546</v>
          </cell>
          <cell r="AA22">
            <v>139.7367686147592</v>
          </cell>
          <cell r="AB22">
            <v>137.37429289745472</v>
          </cell>
          <cell r="AC22">
            <v>118.55546948593621</v>
          </cell>
          <cell r="AD22">
            <v>121.90971956233162</v>
          </cell>
          <cell r="AE22">
            <v>123.60453687075486</v>
          </cell>
        </row>
        <row r="23">
          <cell r="G23">
            <v>285.87082646496026</v>
          </cell>
          <cell r="H23">
            <v>284.87051536995608</v>
          </cell>
          <cell r="I23">
            <v>286.38156346652335</v>
          </cell>
          <cell r="J23">
            <v>292.12065892251798</v>
          </cell>
          <cell r="K23">
            <v>295.2565738057109</v>
          </cell>
          <cell r="L23">
            <v>273.72255952617945</v>
          </cell>
          <cell r="M23">
            <v>296.99142911960104</v>
          </cell>
          <cell r="N23">
            <v>303.27288869135646</v>
          </cell>
          <cell r="O23">
            <v>305.80805486181691</v>
          </cell>
          <cell r="P23">
            <v>304.02727286374443</v>
          </cell>
          <cell r="Q23">
            <v>255.67266336902762</v>
          </cell>
          <cell r="R23">
            <v>274.31306879249058</v>
          </cell>
          <cell r="S23">
            <v>295.74791991806393</v>
          </cell>
          <cell r="T23">
            <v>348.28133891832385</v>
          </cell>
          <cell r="U23">
            <v>357.82579254635169</v>
          </cell>
          <cell r="V23">
            <v>337.03000536087387</v>
          </cell>
          <cell r="W23">
            <v>341.86317827135667</v>
          </cell>
          <cell r="X23">
            <v>297.0016363582576</v>
          </cell>
          <cell r="Y23">
            <v>256.94850517252331</v>
          </cell>
          <cell r="Z23">
            <v>276.85700974362169</v>
          </cell>
          <cell r="AA23">
            <v>297.90433494381182</v>
          </cell>
          <cell r="AB23">
            <v>295.22513781900722</v>
          </cell>
          <cell r="AC23">
            <v>265.07383573829964</v>
          </cell>
          <cell r="AD23">
            <v>267.25903800414949</v>
          </cell>
          <cell r="AE23">
            <v>299.10375236482099</v>
          </cell>
        </row>
        <row r="24">
          <cell r="G24">
            <v>881.99616063500446</v>
          </cell>
          <cell r="H24">
            <v>878.90990852982941</v>
          </cell>
          <cell r="I24">
            <v>883.57190094139935</v>
          </cell>
          <cell r="J24">
            <v>866.44215822922069</v>
          </cell>
          <cell r="K24">
            <v>964.60788783349187</v>
          </cell>
          <cell r="L24">
            <v>778.40348106905492</v>
          </cell>
          <cell r="M24">
            <v>946.6318819298931</v>
          </cell>
          <cell r="N24">
            <v>832.67224937737035</v>
          </cell>
          <cell r="O24">
            <v>848.63549634990864</v>
          </cell>
          <cell r="P24">
            <v>852.89507384849344</v>
          </cell>
          <cell r="Q24">
            <v>717.22734293522569</v>
          </cell>
          <cell r="R24">
            <v>769.51812330024813</v>
          </cell>
          <cell r="S24">
            <v>804.69619959655552</v>
          </cell>
          <cell r="T24">
            <v>947.64197928500778</v>
          </cell>
          <cell r="U24">
            <v>973.60245291650426</v>
          </cell>
          <cell r="V24">
            <v>917.00158079266578</v>
          </cell>
          <cell r="W24">
            <v>926.19414624671447</v>
          </cell>
          <cell r="X24">
            <v>745.8391027960281</v>
          </cell>
          <cell r="Y24">
            <v>738.15110558736103</v>
          </cell>
          <cell r="Z24">
            <v>819.82857199685373</v>
          </cell>
          <cell r="AA24">
            <v>843.66301387825172</v>
          </cell>
          <cell r="AB24">
            <v>803.24492655162635</v>
          </cell>
          <cell r="AC24">
            <v>728.49965144856913</v>
          </cell>
          <cell r="AD24">
            <v>726.78953384067529</v>
          </cell>
          <cell r="AE24">
            <v>842.12418774695072</v>
          </cell>
        </row>
      </sheetData>
      <sheetData sheetId="13"/>
      <sheetData sheetId="14"/>
      <sheetData sheetId="15"/>
      <sheetData sheetId="16">
        <row r="21">
          <cell r="G21" t="str">
            <v>Number_of_Circuits</v>
          </cell>
          <cell r="H21" t="str">
            <v>Pos_Rel</v>
          </cell>
          <cell r="I21" t="str">
            <v>ID</v>
          </cell>
        </row>
        <row r="22">
          <cell r="G22">
            <v>2</v>
          </cell>
          <cell r="H22" t="str">
            <v>Within 1 mile</v>
          </cell>
          <cell r="I22">
            <v>3337427414</v>
          </cell>
        </row>
        <row r="23">
          <cell r="G23">
            <v>1</v>
          </cell>
          <cell r="H23" t="str">
            <v>Within 1 mile</v>
          </cell>
          <cell r="I23">
            <v>3342618410</v>
          </cell>
        </row>
        <row r="24">
          <cell r="G24">
            <v>2</v>
          </cell>
          <cell r="H24" t="str">
            <v>Within 1 mile</v>
          </cell>
          <cell r="I24">
            <v>3352749805</v>
          </cell>
        </row>
        <row r="25">
          <cell r="G25">
            <v>2</v>
          </cell>
          <cell r="H25" t="str">
            <v>Not verified to be within 1 mile</v>
          </cell>
          <cell r="I25">
            <v>3349560210</v>
          </cell>
        </row>
        <row r="26">
          <cell r="G26">
            <v>1</v>
          </cell>
          <cell r="H26" t="str">
            <v>Not verified to be within 1 mile</v>
          </cell>
          <cell r="I26">
            <v>3349560228</v>
          </cell>
        </row>
        <row r="27">
          <cell r="G27">
            <v>2</v>
          </cell>
          <cell r="H27" t="str">
            <v>Not verified to be within 1 mile</v>
          </cell>
          <cell r="I27">
            <v>3349560223</v>
          </cell>
        </row>
        <row r="28">
          <cell r="G28">
            <v>1</v>
          </cell>
          <cell r="H28" t="str">
            <v>Within 165 feet</v>
          </cell>
          <cell r="I28">
            <v>3342618062</v>
          </cell>
        </row>
        <row r="29">
          <cell r="G29">
            <v>5</v>
          </cell>
          <cell r="H29" t="str">
            <v>Within 165 feet</v>
          </cell>
          <cell r="I29">
            <v>3349559673</v>
          </cell>
        </row>
        <row r="30">
          <cell r="G30">
            <v>7</v>
          </cell>
          <cell r="H30" t="str">
            <v>Within 165 feet</v>
          </cell>
          <cell r="I30">
            <v>3337405809</v>
          </cell>
        </row>
        <row r="31">
          <cell r="G31">
            <v>4</v>
          </cell>
          <cell r="H31" t="str">
            <v>Within 40 feet</v>
          </cell>
          <cell r="I31">
            <v>3337405811</v>
          </cell>
        </row>
        <row r="32">
          <cell r="G32">
            <v>4</v>
          </cell>
          <cell r="H32" t="str">
            <v>Within 1 mile</v>
          </cell>
          <cell r="I32">
            <v>3337405841</v>
          </cell>
        </row>
        <row r="33">
          <cell r="G33">
            <v>3</v>
          </cell>
          <cell r="H33" t="str">
            <v>Within 165 feet</v>
          </cell>
          <cell r="I33">
            <v>3337405851</v>
          </cell>
        </row>
        <row r="34">
          <cell r="G34">
            <v>1</v>
          </cell>
          <cell r="H34" t="str">
            <v>Within 1 mile</v>
          </cell>
          <cell r="I34">
            <v>3352750258</v>
          </cell>
        </row>
        <row r="35">
          <cell r="G35">
            <v>8</v>
          </cell>
          <cell r="H35" t="str">
            <v>Within 165 feet</v>
          </cell>
          <cell r="I35">
            <v>3337405875</v>
          </cell>
        </row>
        <row r="36">
          <cell r="G36">
            <v>6</v>
          </cell>
          <cell r="H36" t="str">
            <v>Within 165 feet</v>
          </cell>
          <cell r="I36">
            <v>3337405876</v>
          </cell>
        </row>
        <row r="37">
          <cell r="G37">
            <v>2</v>
          </cell>
          <cell r="H37" t="str">
            <v>Within 165 feet</v>
          </cell>
          <cell r="I37">
            <v>3342618042</v>
          </cell>
        </row>
        <row r="38">
          <cell r="G38">
            <v>4</v>
          </cell>
          <cell r="H38" t="str">
            <v>Within 1 mile</v>
          </cell>
          <cell r="I38">
            <v>3365669816</v>
          </cell>
        </row>
        <row r="39">
          <cell r="G39">
            <v>3</v>
          </cell>
          <cell r="H39" t="str">
            <v>Within 40 feet</v>
          </cell>
          <cell r="I39">
            <v>3337405945</v>
          </cell>
        </row>
        <row r="40">
          <cell r="G40">
            <v>2</v>
          </cell>
          <cell r="H40" t="str">
            <v>Within 1 mile</v>
          </cell>
          <cell r="I40">
            <v>3337428205</v>
          </cell>
        </row>
        <row r="41">
          <cell r="G41">
            <v>2</v>
          </cell>
          <cell r="H41" t="str">
            <v>Not Verified to be within 1 mile</v>
          </cell>
          <cell r="I41">
            <v>3342618238</v>
          </cell>
        </row>
        <row r="42">
          <cell r="G42">
            <v>2</v>
          </cell>
          <cell r="H42" t="str">
            <v>Not Verified to be within 1 mile</v>
          </cell>
          <cell r="I42">
            <v>3342618215</v>
          </cell>
        </row>
        <row r="43">
          <cell r="G43">
            <v>3</v>
          </cell>
          <cell r="H43" t="str">
            <v>Within 1 mile</v>
          </cell>
          <cell r="I43">
            <v>3337405994</v>
          </cell>
        </row>
        <row r="44">
          <cell r="G44">
            <v>1</v>
          </cell>
          <cell r="H44" t="str">
            <v>Within 40 feet</v>
          </cell>
          <cell r="I44">
            <v>3349559578</v>
          </cell>
        </row>
        <row r="45">
          <cell r="G45">
            <v>3</v>
          </cell>
          <cell r="H45" t="str">
            <v>Not Verified to be within 1 mile</v>
          </cell>
          <cell r="I45">
            <v>3342618203</v>
          </cell>
        </row>
        <row r="46">
          <cell r="G46">
            <v>8</v>
          </cell>
          <cell r="H46" t="str">
            <v>Within 165 feet</v>
          </cell>
          <cell r="I46">
            <v>3337406029</v>
          </cell>
        </row>
        <row r="47">
          <cell r="G47">
            <v>6</v>
          </cell>
          <cell r="H47" t="str">
            <v>Within 40 feet</v>
          </cell>
          <cell r="I47">
            <v>3337406039</v>
          </cell>
        </row>
        <row r="48">
          <cell r="G48">
            <v>5</v>
          </cell>
          <cell r="H48" t="str">
            <v>Within 40 feet</v>
          </cell>
          <cell r="I48">
            <v>3337427457</v>
          </cell>
        </row>
        <row r="49">
          <cell r="G49">
            <v>3</v>
          </cell>
          <cell r="H49" t="str">
            <v>Within 40 feet</v>
          </cell>
          <cell r="I49">
            <v>3352750139</v>
          </cell>
        </row>
        <row r="50">
          <cell r="G50">
            <v>1</v>
          </cell>
          <cell r="H50" t="str">
            <v>Within 40 feet</v>
          </cell>
          <cell r="I50">
            <v>3352750138</v>
          </cell>
        </row>
        <row r="51">
          <cell r="G51">
            <v>1</v>
          </cell>
          <cell r="H51" t="str">
            <v>Not Verified to be within 1 mile</v>
          </cell>
          <cell r="I51">
            <v>3342618050</v>
          </cell>
        </row>
        <row r="52">
          <cell r="G52">
            <v>5</v>
          </cell>
          <cell r="H52" t="str">
            <v>Within 165 feet</v>
          </cell>
          <cell r="I52">
            <v>3337406065</v>
          </cell>
        </row>
        <row r="53">
          <cell r="G53">
            <v>1</v>
          </cell>
          <cell r="H53" t="str">
            <v>Within 1 mile</v>
          </cell>
          <cell r="I53">
            <v>3337406075</v>
          </cell>
        </row>
        <row r="54">
          <cell r="G54">
            <v>4</v>
          </cell>
          <cell r="H54" t="str">
            <v>Within 40 feet</v>
          </cell>
          <cell r="I54">
            <v>3353097876</v>
          </cell>
        </row>
        <row r="55">
          <cell r="G55">
            <v>2</v>
          </cell>
          <cell r="H55" t="str">
            <v>Not Verified to be within 1 mile</v>
          </cell>
          <cell r="I55">
            <v>3342618108</v>
          </cell>
        </row>
        <row r="56">
          <cell r="G56">
            <v>5</v>
          </cell>
          <cell r="H56" t="str">
            <v>Within 1 mile</v>
          </cell>
          <cell r="I56">
            <v>3337406092</v>
          </cell>
        </row>
        <row r="57">
          <cell r="G57">
            <v>4</v>
          </cell>
          <cell r="H57" t="str">
            <v>Within 40 feet</v>
          </cell>
          <cell r="I57">
            <v>3349559515</v>
          </cell>
        </row>
        <row r="58">
          <cell r="G58">
            <v>3</v>
          </cell>
          <cell r="H58" t="str">
            <v>Within 40 feet</v>
          </cell>
          <cell r="I58">
            <v>3337406222</v>
          </cell>
        </row>
        <row r="59">
          <cell r="G59">
            <v>1</v>
          </cell>
          <cell r="H59" t="str">
            <v>Within 40 feet</v>
          </cell>
          <cell r="I59">
            <v>3349559567</v>
          </cell>
        </row>
        <row r="60">
          <cell r="G60">
            <v>3</v>
          </cell>
          <cell r="H60" t="str">
            <v>Not verified to be within 1 mile</v>
          </cell>
          <cell r="I60">
            <v>3337406235</v>
          </cell>
        </row>
        <row r="61">
          <cell r="G61">
            <v>3</v>
          </cell>
          <cell r="H61" t="str">
            <v>Not Verified to be within 1 mile</v>
          </cell>
          <cell r="I61">
            <v>3337406236</v>
          </cell>
        </row>
        <row r="62">
          <cell r="G62">
            <v>1</v>
          </cell>
          <cell r="H62" t="str">
            <v>Within 1 mile</v>
          </cell>
          <cell r="I62">
            <v>3337427508</v>
          </cell>
        </row>
        <row r="63">
          <cell r="G63">
            <v>9</v>
          </cell>
          <cell r="H63" t="str">
            <v>Within 40 feet</v>
          </cell>
          <cell r="I63">
            <v>3337406253</v>
          </cell>
        </row>
        <row r="64">
          <cell r="G64">
            <v>1</v>
          </cell>
          <cell r="H64" t="str">
            <v>Not Verified to be within 1 mile</v>
          </cell>
          <cell r="I64">
            <v>3342618167</v>
          </cell>
        </row>
        <row r="65">
          <cell r="G65">
            <v>1</v>
          </cell>
          <cell r="H65" t="str">
            <v>Not Verified to be within 1 mile</v>
          </cell>
          <cell r="I65">
            <v>3342618232</v>
          </cell>
        </row>
        <row r="66">
          <cell r="G66">
            <v>2</v>
          </cell>
          <cell r="H66" t="str">
            <v>Within 40 feet</v>
          </cell>
          <cell r="I66">
            <v>3349559646</v>
          </cell>
        </row>
        <row r="67">
          <cell r="G67">
            <v>2</v>
          </cell>
          <cell r="H67" t="str">
            <v>Within 1 mile</v>
          </cell>
          <cell r="I67">
            <v>3342618182</v>
          </cell>
        </row>
        <row r="68">
          <cell r="G68">
            <v>2</v>
          </cell>
          <cell r="H68" t="str">
            <v>Not Verified to be within 1 mile</v>
          </cell>
          <cell r="I68">
            <v>3337406279</v>
          </cell>
        </row>
        <row r="69">
          <cell r="G69">
            <v>1</v>
          </cell>
          <cell r="H69" t="str">
            <v>Within 40 feet</v>
          </cell>
          <cell r="I69">
            <v>3349559565</v>
          </cell>
        </row>
        <row r="70">
          <cell r="G70">
            <v>3</v>
          </cell>
          <cell r="H70" t="str">
            <v>Within 165 feet</v>
          </cell>
          <cell r="I70">
            <v>3337406291</v>
          </cell>
        </row>
        <row r="71">
          <cell r="G71">
            <v>1</v>
          </cell>
          <cell r="H71" t="str">
            <v>Not Verified to be within 1 mile</v>
          </cell>
          <cell r="I71">
            <v>3342618333</v>
          </cell>
        </row>
        <row r="72">
          <cell r="G72">
            <v>1</v>
          </cell>
          <cell r="H72" t="str">
            <v>Not verified to be within 1 mile</v>
          </cell>
          <cell r="I72">
            <v>3349560041</v>
          </cell>
        </row>
        <row r="73">
          <cell r="G73">
            <v>1</v>
          </cell>
          <cell r="H73" t="str">
            <v>Not verified to be within 1 mile</v>
          </cell>
          <cell r="I73">
            <v>3349560331</v>
          </cell>
        </row>
        <row r="74">
          <cell r="G74">
            <v>2</v>
          </cell>
          <cell r="H74" t="str">
            <v>Within 1 mile</v>
          </cell>
          <cell r="I74">
            <v>3342618130</v>
          </cell>
        </row>
        <row r="75">
          <cell r="G75">
            <v>4</v>
          </cell>
          <cell r="H75" t="str">
            <v>Within 165 feet</v>
          </cell>
          <cell r="I75">
            <v>3353098108</v>
          </cell>
        </row>
        <row r="76">
          <cell r="G76">
            <v>2</v>
          </cell>
          <cell r="H76" t="str">
            <v>Within 40 feet</v>
          </cell>
          <cell r="I76">
            <v>3337406325</v>
          </cell>
        </row>
        <row r="77">
          <cell r="G77">
            <v>2</v>
          </cell>
          <cell r="H77" t="str">
            <v>Within 165 feet</v>
          </cell>
          <cell r="I77">
            <v>3337406328</v>
          </cell>
        </row>
        <row r="78">
          <cell r="G78">
            <v>4</v>
          </cell>
          <cell r="H78" t="str">
            <v>Within 165 feet</v>
          </cell>
          <cell r="I78">
            <v>3349559676</v>
          </cell>
        </row>
        <row r="79">
          <cell r="G79">
            <v>5</v>
          </cell>
          <cell r="H79" t="str">
            <v>Not verified to be within 1 mile</v>
          </cell>
          <cell r="I79">
            <v>3349560178</v>
          </cell>
        </row>
        <row r="80">
          <cell r="G80">
            <v>6</v>
          </cell>
          <cell r="H80" t="str">
            <v>Within 165 feet</v>
          </cell>
          <cell r="I80">
            <v>3337406371</v>
          </cell>
        </row>
        <row r="81">
          <cell r="G81">
            <v>2</v>
          </cell>
          <cell r="H81" t="str">
            <v>Within 1 mile</v>
          </cell>
          <cell r="I81">
            <v>3342617827</v>
          </cell>
        </row>
        <row r="82">
          <cell r="G82">
            <v>2</v>
          </cell>
          <cell r="H82" t="str">
            <v>Within 1 mile</v>
          </cell>
          <cell r="I82">
            <v>3337406374</v>
          </cell>
        </row>
        <row r="83">
          <cell r="G83">
            <v>3</v>
          </cell>
          <cell r="H83" t="str">
            <v>Within 1 mile</v>
          </cell>
          <cell r="I83">
            <v>3337428236</v>
          </cell>
        </row>
        <row r="84">
          <cell r="G84">
            <v>2</v>
          </cell>
          <cell r="H84" t="str">
            <v>Within 165 feet</v>
          </cell>
          <cell r="I84">
            <v>3337406412</v>
          </cell>
        </row>
        <row r="85">
          <cell r="G85">
            <v>1</v>
          </cell>
          <cell r="H85" t="str">
            <v>Not verified to be within 1 mile</v>
          </cell>
          <cell r="I85">
            <v>3349560076</v>
          </cell>
        </row>
        <row r="86">
          <cell r="G86">
            <v>2</v>
          </cell>
          <cell r="H86" t="str">
            <v>Not Verified to be within 1 mile</v>
          </cell>
          <cell r="I86">
            <v>3342618126</v>
          </cell>
        </row>
        <row r="87">
          <cell r="G87">
            <v>1</v>
          </cell>
          <cell r="H87" t="str">
            <v>Not Verified to be within 1 mile</v>
          </cell>
          <cell r="I87">
            <v>3342618089</v>
          </cell>
        </row>
        <row r="88">
          <cell r="G88">
            <v>2</v>
          </cell>
          <cell r="H88" t="str">
            <v>Within 165 feet</v>
          </cell>
          <cell r="I88">
            <v>3352749992</v>
          </cell>
        </row>
        <row r="89">
          <cell r="G89">
            <v>1</v>
          </cell>
          <cell r="H89" t="str">
            <v>Within 165 feet</v>
          </cell>
          <cell r="I89">
            <v>3338290484</v>
          </cell>
        </row>
        <row r="90">
          <cell r="G90">
            <v>1</v>
          </cell>
          <cell r="H90" t="str">
            <v>Not Verified to be within 1 mile</v>
          </cell>
          <cell r="I90">
            <v>3342618281</v>
          </cell>
        </row>
        <row r="91">
          <cell r="G91">
            <v>3</v>
          </cell>
          <cell r="H91" t="str">
            <v>Within 40 feet</v>
          </cell>
          <cell r="I91">
            <v>3337406568</v>
          </cell>
        </row>
        <row r="92">
          <cell r="G92">
            <v>2</v>
          </cell>
          <cell r="H92" t="str">
            <v>Within 1 mile</v>
          </cell>
          <cell r="I92">
            <v>3352749896</v>
          </cell>
        </row>
        <row r="93">
          <cell r="G93">
            <v>4</v>
          </cell>
          <cell r="H93" t="str">
            <v>Within 165 feet</v>
          </cell>
          <cell r="I93">
            <v>3337406590</v>
          </cell>
        </row>
        <row r="94">
          <cell r="G94">
            <v>4</v>
          </cell>
          <cell r="H94" t="str">
            <v>Within 40 feet</v>
          </cell>
          <cell r="I94">
            <v>3337406602</v>
          </cell>
        </row>
        <row r="95">
          <cell r="G95">
            <v>2</v>
          </cell>
          <cell r="H95" t="str">
            <v>Within 1 mile</v>
          </cell>
          <cell r="I95">
            <v>3352749982</v>
          </cell>
        </row>
        <row r="96">
          <cell r="G96">
            <v>1</v>
          </cell>
          <cell r="H96" t="str">
            <v>Not Verified to be within 1 mile</v>
          </cell>
          <cell r="I96">
            <v>3337406632</v>
          </cell>
        </row>
        <row r="97">
          <cell r="G97">
            <v>3</v>
          </cell>
          <cell r="H97" t="str">
            <v>Within 165 feet</v>
          </cell>
          <cell r="I97">
            <v>3337406649</v>
          </cell>
        </row>
        <row r="98">
          <cell r="G98">
            <v>2</v>
          </cell>
          <cell r="H98" t="str">
            <v>Not verified to be within 1 mile</v>
          </cell>
          <cell r="I98">
            <v>3349559693</v>
          </cell>
        </row>
        <row r="99">
          <cell r="G99">
            <v>2</v>
          </cell>
          <cell r="H99" t="str">
            <v>Within 1 mile</v>
          </cell>
          <cell r="I99">
            <v>3353097619</v>
          </cell>
        </row>
        <row r="100">
          <cell r="G100">
            <v>2</v>
          </cell>
          <cell r="H100" t="str">
            <v>Not verified to be within 1 mile</v>
          </cell>
          <cell r="I100">
            <v>3349559868</v>
          </cell>
        </row>
        <row r="101">
          <cell r="G101">
            <v>1</v>
          </cell>
          <cell r="H101" t="str">
            <v>Within 1 mile</v>
          </cell>
          <cell r="I101">
            <v>3342618366</v>
          </cell>
        </row>
        <row r="102">
          <cell r="G102">
            <v>3</v>
          </cell>
          <cell r="H102" t="str">
            <v>Not verified to be within 1 mile</v>
          </cell>
          <cell r="I102">
            <v>3349560078</v>
          </cell>
        </row>
        <row r="103">
          <cell r="G103">
            <v>4</v>
          </cell>
          <cell r="H103" t="str">
            <v>Within 1 mile</v>
          </cell>
          <cell r="I103">
            <v>3337406789</v>
          </cell>
        </row>
        <row r="104">
          <cell r="G104">
            <v>3</v>
          </cell>
          <cell r="H104" t="str">
            <v>Within 1 mile</v>
          </cell>
          <cell r="I104">
            <v>3337406795</v>
          </cell>
        </row>
        <row r="105">
          <cell r="G105">
            <v>2</v>
          </cell>
          <cell r="H105" t="str">
            <v>Within 1 mile</v>
          </cell>
          <cell r="I105">
            <v>3337406808</v>
          </cell>
        </row>
        <row r="106">
          <cell r="G106">
            <v>4</v>
          </cell>
          <cell r="H106" t="str">
            <v>Within 1 mile</v>
          </cell>
          <cell r="I106">
            <v>3337406818</v>
          </cell>
        </row>
        <row r="107">
          <cell r="G107">
            <v>0</v>
          </cell>
          <cell r="H107" t="str">
            <v>Within 165 feet</v>
          </cell>
          <cell r="I107">
            <v>3337406821</v>
          </cell>
        </row>
        <row r="108">
          <cell r="G108">
            <v>0</v>
          </cell>
          <cell r="H108" t="str">
            <v>Within 1 mile</v>
          </cell>
          <cell r="I108">
            <v>3337406822</v>
          </cell>
        </row>
        <row r="109">
          <cell r="G109">
            <v>2</v>
          </cell>
          <cell r="H109" t="str">
            <v>Within 1 mile</v>
          </cell>
          <cell r="I109">
            <v>3352749976</v>
          </cell>
        </row>
        <row r="110">
          <cell r="G110">
            <v>7</v>
          </cell>
          <cell r="H110" t="str">
            <v>Within 40 feet</v>
          </cell>
          <cell r="I110">
            <v>3337406824</v>
          </cell>
        </row>
        <row r="111">
          <cell r="G111">
            <v>5</v>
          </cell>
          <cell r="H111" t="str">
            <v>Within 1 mile</v>
          </cell>
          <cell r="I111">
            <v>3337406842</v>
          </cell>
        </row>
        <row r="112">
          <cell r="G112">
            <v>3</v>
          </cell>
          <cell r="H112" t="str">
            <v>Within 1 mile</v>
          </cell>
          <cell r="I112">
            <v>3341136911</v>
          </cell>
        </row>
        <row r="113">
          <cell r="G113">
            <v>1</v>
          </cell>
          <cell r="H113" t="str">
            <v>Not Verified to be within 1 mile</v>
          </cell>
          <cell r="I113">
            <v>3342618111</v>
          </cell>
        </row>
        <row r="114">
          <cell r="G114">
            <v>3</v>
          </cell>
          <cell r="H114" t="str">
            <v>Not Verified to be within 1 mile</v>
          </cell>
          <cell r="I114">
            <v>3342618095</v>
          </cell>
        </row>
        <row r="115">
          <cell r="G115">
            <v>5</v>
          </cell>
          <cell r="H115" t="str">
            <v>Within 1 mile</v>
          </cell>
          <cell r="I115">
            <v>3337406867</v>
          </cell>
        </row>
        <row r="116">
          <cell r="G116">
            <v>2</v>
          </cell>
          <cell r="H116" t="str">
            <v>Within 1 mile</v>
          </cell>
          <cell r="I116">
            <v>3337406868</v>
          </cell>
        </row>
        <row r="117">
          <cell r="G117">
            <v>2</v>
          </cell>
          <cell r="H117" t="str">
            <v>Not Verified to be within 1 mile</v>
          </cell>
          <cell r="I117">
            <v>3342618197</v>
          </cell>
        </row>
        <row r="118">
          <cell r="G118">
            <v>2</v>
          </cell>
          <cell r="H118" t="str">
            <v>Within 165 feet</v>
          </cell>
          <cell r="I118">
            <v>3337406880</v>
          </cell>
        </row>
        <row r="119">
          <cell r="G119">
            <v>2</v>
          </cell>
          <cell r="H119" t="str">
            <v>Within 165 feet</v>
          </cell>
          <cell r="I119">
            <v>3349560088</v>
          </cell>
        </row>
        <row r="120">
          <cell r="G120">
            <v>2</v>
          </cell>
          <cell r="H120" t="str">
            <v>Within 1 mile</v>
          </cell>
          <cell r="I120">
            <v>3352750254</v>
          </cell>
        </row>
        <row r="121">
          <cell r="G121">
            <v>2</v>
          </cell>
          <cell r="H121" t="str">
            <v>Within 165 feet</v>
          </cell>
          <cell r="I121">
            <v>3337406994</v>
          </cell>
        </row>
        <row r="122">
          <cell r="G122">
            <v>2</v>
          </cell>
          <cell r="H122" t="str">
            <v>Within 165 feet</v>
          </cell>
          <cell r="I122">
            <v>3337406995</v>
          </cell>
        </row>
        <row r="123">
          <cell r="G123">
            <v>2</v>
          </cell>
          <cell r="H123" t="str">
            <v>Within 165 feet</v>
          </cell>
          <cell r="I123">
            <v>3337407000</v>
          </cell>
        </row>
        <row r="124">
          <cell r="G124">
            <v>1</v>
          </cell>
          <cell r="H124" t="str">
            <v>Within 165 feet</v>
          </cell>
          <cell r="I124">
            <v>3337407041</v>
          </cell>
        </row>
        <row r="125">
          <cell r="G125">
            <v>1</v>
          </cell>
          <cell r="H125" t="str">
            <v>Within 165 feet</v>
          </cell>
          <cell r="I125">
            <v>3349560137</v>
          </cell>
        </row>
        <row r="126">
          <cell r="G126">
            <v>1</v>
          </cell>
          <cell r="H126" t="str">
            <v>Within 1 mile</v>
          </cell>
          <cell r="I126">
            <v>3337428131</v>
          </cell>
        </row>
        <row r="127">
          <cell r="G127">
            <v>15</v>
          </cell>
          <cell r="H127" t="str">
            <v>Within 165 feet</v>
          </cell>
          <cell r="I127">
            <v>3337407067</v>
          </cell>
        </row>
        <row r="128">
          <cell r="G128">
            <v>3</v>
          </cell>
          <cell r="H128" t="str">
            <v>Not verified to be within 1 mile</v>
          </cell>
          <cell r="I128">
            <v>3349559961</v>
          </cell>
        </row>
        <row r="129">
          <cell r="G129">
            <v>2</v>
          </cell>
          <cell r="H129" t="str">
            <v>Within 1 mile</v>
          </cell>
          <cell r="I129">
            <v>3352749859</v>
          </cell>
        </row>
        <row r="130">
          <cell r="G130">
            <v>2</v>
          </cell>
          <cell r="H130" t="str">
            <v>Not verified to be within 1 mile</v>
          </cell>
          <cell r="I130">
            <v>3337407118</v>
          </cell>
        </row>
        <row r="131">
          <cell r="G131">
            <v>1</v>
          </cell>
          <cell r="H131" t="str">
            <v>Within 1 mile</v>
          </cell>
          <cell r="I131">
            <v>3337407116</v>
          </cell>
        </row>
        <row r="132">
          <cell r="G132">
            <v>2</v>
          </cell>
          <cell r="H132" t="str">
            <v>Within 1 mile</v>
          </cell>
          <cell r="I132">
            <v>3352750273</v>
          </cell>
        </row>
        <row r="133">
          <cell r="G133">
            <v>1</v>
          </cell>
          <cell r="H133" t="str">
            <v>Not verified to be within 1 mile</v>
          </cell>
          <cell r="I133">
            <v>3349560072</v>
          </cell>
        </row>
        <row r="134">
          <cell r="G134">
            <v>2</v>
          </cell>
          <cell r="H134" t="str">
            <v>Not verified to be within 1 mile</v>
          </cell>
          <cell r="I134">
            <v>3349559794</v>
          </cell>
        </row>
        <row r="135">
          <cell r="G135">
            <v>4</v>
          </cell>
          <cell r="H135" t="str">
            <v>Within 40 feet</v>
          </cell>
          <cell r="I135">
            <v>3337407138</v>
          </cell>
        </row>
        <row r="136">
          <cell r="G136">
            <v>0</v>
          </cell>
          <cell r="H136" t="str">
            <v>Within 1 mile</v>
          </cell>
          <cell r="I136">
            <v>3352750212</v>
          </cell>
        </row>
        <row r="137">
          <cell r="G137">
            <v>1</v>
          </cell>
          <cell r="H137" t="str">
            <v>Not Verified to be within 1 mile</v>
          </cell>
          <cell r="I137">
            <v>3342618103</v>
          </cell>
        </row>
        <row r="138">
          <cell r="G138">
            <v>6</v>
          </cell>
          <cell r="H138" t="str">
            <v>Within 1 mile</v>
          </cell>
          <cell r="I138">
            <v>3337407183</v>
          </cell>
        </row>
        <row r="139">
          <cell r="G139">
            <v>1</v>
          </cell>
          <cell r="H139" t="str">
            <v>Within 1 mile</v>
          </cell>
          <cell r="I139">
            <v>3337428299</v>
          </cell>
        </row>
        <row r="140">
          <cell r="G140">
            <v>1</v>
          </cell>
          <cell r="H140" t="str">
            <v>Within 165 feet</v>
          </cell>
          <cell r="I140">
            <v>3337407204</v>
          </cell>
        </row>
        <row r="141">
          <cell r="G141">
            <v>4</v>
          </cell>
          <cell r="H141" t="str">
            <v>Within 40 feet</v>
          </cell>
          <cell r="I141">
            <v>3337407237</v>
          </cell>
        </row>
        <row r="142">
          <cell r="G142">
            <v>2</v>
          </cell>
          <cell r="H142" t="str">
            <v>Within 1 mile</v>
          </cell>
          <cell r="I142">
            <v>3337407254</v>
          </cell>
        </row>
        <row r="143">
          <cell r="G143">
            <v>1</v>
          </cell>
          <cell r="H143" t="str">
            <v>Not Verified to be within 1 mile</v>
          </cell>
          <cell r="I143">
            <v>3342618135</v>
          </cell>
        </row>
        <row r="144">
          <cell r="G144">
            <v>17</v>
          </cell>
          <cell r="H144" t="str">
            <v>Within 165 feet</v>
          </cell>
          <cell r="I144">
            <v>3337407277</v>
          </cell>
        </row>
        <row r="145">
          <cell r="G145">
            <v>3</v>
          </cell>
          <cell r="H145" t="str">
            <v>Within 1 mile</v>
          </cell>
          <cell r="I145">
            <v>3337428017</v>
          </cell>
        </row>
        <row r="146">
          <cell r="G146">
            <v>6</v>
          </cell>
          <cell r="H146" t="str">
            <v>Within 165 feet</v>
          </cell>
          <cell r="I146">
            <v>3337407283</v>
          </cell>
        </row>
        <row r="147">
          <cell r="G147">
            <v>2</v>
          </cell>
          <cell r="H147" t="str">
            <v>Not verified to be within 1 mile</v>
          </cell>
          <cell r="I147">
            <v>3349560031</v>
          </cell>
        </row>
        <row r="148">
          <cell r="G148">
            <v>1</v>
          </cell>
          <cell r="H148" t="str">
            <v>Within 1 mile</v>
          </cell>
          <cell r="I148">
            <v>3342617843</v>
          </cell>
        </row>
        <row r="149">
          <cell r="G149">
            <v>8</v>
          </cell>
          <cell r="H149" t="str">
            <v>Within 165 feet</v>
          </cell>
          <cell r="I149">
            <v>3337407300</v>
          </cell>
        </row>
        <row r="150">
          <cell r="G150">
            <v>2</v>
          </cell>
          <cell r="H150" t="str">
            <v>Within 165 feet</v>
          </cell>
          <cell r="I150">
            <v>3337407303</v>
          </cell>
        </row>
        <row r="151">
          <cell r="G151">
            <v>1</v>
          </cell>
          <cell r="H151" t="str">
            <v>Within 165 feet</v>
          </cell>
          <cell r="I151">
            <v>3342618041</v>
          </cell>
        </row>
        <row r="152">
          <cell r="G152">
            <v>1</v>
          </cell>
          <cell r="H152" t="str">
            <v>Within 1 mile</v>
          </cell>
          <cell r="I152">
            <v>3353098092</v>
          </cell>
        </row>
        <row r="153">
          <cell r="G153">
            <v>5</v>
          </cell>
          <cell r="H153" t="str">
            <v>Within 40 feet</v>
          </cell>
          <cell r="I153">
            <v>3353097805</v>
          </cell>
        </row>
        <row r="154">
          <cell r="G154">
            <v>8</v>
          </cell>
          <cell r="H154" t="str">
            <v>Within 40 feet</v>
          </cell>
          <cell r="I154">
            <v>3337430122</v>
          </cell>
        </row>
        <row r="155">
          <cell r="G155">
            <v>2</v>
          </cell>
          <cell r="H155" t="str">
            <v>Within 1 mile</v>
          </cell>
          <cell r="I155">
            <v>3342618390</v>
          </cell>
        </row>
        <row r="156">
          <cell r="G156">
            <v>2</v>
          </cell>
          <cell r="H156" t="str">
            <v>Within 165 feet</v>
          </cell>
          <cell r="I156">
            <v>3342618358</v>
          </cell>
        </row>
        <row r="157">
          <cell r="G157">
            <v>2</v>
          </cell>
          <cell r="H157" t="str">
            <v>Within 165 feet</v>
          </cell>
          <cell r="I157">
            <v>3342618316</v>
          </cell>
        </row>
        <row r="158">
          <cell r="G158">
            <v>1</v>
          </cell>
          <cell r="H158" t="str">
            <v>Within 165 feet</v>
          </cell>
          <cell r="I158">
            <v>3337407432</v>
          </cell>
        </row>
        <row r="159">
          <cell r="G159">
            <v>2</v>
          </cell>
          <cell r="H159" t="str">
            <v>Within 165 feet</v>
          </cell>
          <cell r="I159">
            <v>3342617461</v>
          </cell>
        </row>
        <row r="160">
          <cell r="G160">
            <v>1</v>
          </cell>
          <cell r="H160" t="str">
            <v>Not Verified to be within 1 mile</v>
          </cell>
          <cell r="I160">
            <v>3342618150</v>
          </cell>
        </row>
        <row r="161">
          <cell r="G161">
            <v>3</v>
          </cell>
          <cell r="H161" t="str">
            <v>Not Verified to be within 1 mile</v>
          </cell>
          <cell r="I161">
            <v>3342617892</v>
          </cell>
        </row>
        <row r="162">
          <cell r="G162">
            <v>2</v>
          </cell>
          <cell r="H162" t="str">
            <v>Within 165 feet</v>
          </cell>
          <cell r="I162">
            <v>3337407446</v>
          </cell>
        </row>
        <row r="163">
          <cell r="G163">
            <v>1</v>
          </cell>
          <cell r="H163" t="str">
            <v>Within 1 mile</v>
          </cell>
          <cell r="I163">
            <v>3337407462</v>
          </cell>
        </row>
        <row r="164">
          <cell r="G164">
            <v>10</v>
          </cell>
          <cell r="H164" t="str">
            <v>Within 165 feet</v>
          </cell>
          <cell r="I164">
            <v>3337407478</v>
          </cell>
        </row>
        <row r="165">
          <cell r="G165">
            <v>15</v>
          </cell>
          <cell r="H165" t="str">
            <v>Within 40 feet</v>
          </cell>
          <cell r="I165">
            <v>3337407492</v>
          </cell>
        </row>
        <row r="166">
          <cell r="G166">
            <v>2</v>
          </cell>
          <cell r="H166" t="str">
            <v>Within 1 mile</v>
          </cell>
          <cell r="I166">
            <v>3337407495</v>
          </cell>
        </row>
        <row r="167">
          <cell r="G167">
            <v>4</v>
          </cell>
          <cell r="H167" t="str">
            <v>Within 40 feet</v>
          </cell>
          <cell r="I167">
            <v>3349559549</v>
          </cell>
        </row>
        <row r="168">
          <cell r="G168">
            <v>5</v>
          </cell>
          <cell r="H168" t="str">
            <v>Within 165 feet</v>
          </cell>
          <cell r="I168">
            <v>3337407512</v>
          </cell>
        </row>
        <row r="169">
          <cell r="G169">
            <v>2</v>
          </cell>
          <cell r="H169" t="str">
            <v>Not Verified to be within 1 mile</v>
          </cell>
          <cell r="I169">
            <v>3342618415</v>
          </cell>
        </row>
        <row r="170">
          <cell r="G170">
            <v>3</v>
          </cell>
          <cell r="H170" t="str">
            <v>Within 40 feet</v>
          </cell>
          <cell r="I170">
            <v>3337407551</v>
          </cell>
        </row>
        <row r="171">
          <cell r="G171">
            <v>2</v>
          </cell>
          <cell r="H171" t="str">
            <v>Within 40 feet</v>
          </cell>
          <cell r="I171">
            <v>3353097803</v>
          </cell>
        </row>
        <row r="172">
          <cell r="G172">
            <v>1</v>
          </cell>
          <cell r="H172" t="str">
            <v>Within 165 feet</v>
          </cell>
          <cell r="I172">
            <v>3342618045</v>
          </cell>
        </row>
        <row r="173">
          <cell r="G173">
            <v>3</v>
          </cell>
          <cell r="H173" t="str">
            <v>Within 1 mile</v>
          </cell>
          <cell r="I173">
            <v>3342618189</v>
          </cell>
        </row>
        <row r="174">
          <cell r="G174">
            <v>3</v>
          </cell>
          <cell r="H174" t="str">
            <v>Within 165 feet</v>
          </cell>
          <cell r="I174">
            <v>3349559930</v>
          </cell>
        </row>
        <row r="175">
          <cell r="G175">
            <v>6</v>
          </cell>
          <cell r="H175" t="str">
            <v>Within 1 mile</v>
          </cell>
          <cell r="I175">
            <v>3337407591</v>
          </cell>
        </row>
        <row r="176">
          <cell r="G176">
            <v>2</v>
          </cell>
          <cell r="H176" t="str">
            <v>Within 165 feet</v>
          </cell>
          <cell r="I176">
            <v>3337407592</v>
          </cell>
        </row>
        <row r="177">
          <cell r="G177">
            <v>2</v>
          </cell>
          <cell r="H177" t="str">
            <v>Not Verified to be within 1 mile</v>
          </cell>
          <cell r="I177">
            <v>3342618257</v>
          </cell>
        </row>
        <row r="178">
          <cell r="G178">
            <v>1</v>
          </cell>
          <cell r="H178" t="str">
            <v>Within 1 mile</v>
          </cell>
          <cell r="I178">
            <v>3353097518</v>
          </cell>
        </row>
        <row r="179">
          <cell r="G179">
            <v>2</v>
          </cell>
          <cell r="H179" t="str">
            <v>Within 165 feet</v>
          </cell>
          <cell r="I179">
            <v>3352750017</v>
          </cell>
        </row>
        <row r="180">
          <cell r="G180">
            <v>1</v>
          </cell>
          <cell r="H180" t="str">
            <v>Within 1 mile</v>
          </cell>
          <cell r="I180">
            <v>3337407624</v>
          </cell>
        </row>
        <row r="181">
          <cell r="G181">
            <v>2</v>
          </cell>
          <cell r="H181" t="str">
            <v>Within 165 feet</v>
          </cell>
          <cell r="I181">
            <v>3349559689</v>
          </cell>
        </row>
        <row r="182">
          <cell r="G182">
            <v>1</v>
          </cell>
          <cell r="H182" t="str">
            <v>Not Verified to be within 1 mile</v>
          </cell>
          <cell r="I182">
            <v>3337407636</v>
          </cell>
        </row>
        <row r="183">
          <cell r="G183">
            <v>2</v>
          </cell>
          <cell r="H183" t="str">
            <v>Within 40 feet</v>
          </cell>
          <cell r="I183">
            <v>3352750117</v>
          </cell>
        </row>
        <row r="184">
          <cell r="G184">
            <v>1</v>
          </cell>
          <cell r="H184" t="str">
            <v>Not verified to be within 1 mile</v>
          </cell>
          <cell r="I184">
            <v>3349559951</v>
          </cell>
        </row>
        <row r="185">
          <cell r="G185">
            <v>2</v>
          </cell>
          <cell r="H185" t="str">
            <v>Within 165 feet</v>
          </cell>
          <cell r="I185">
            <v>3337407673</v>
          </cell>
        </row>
        <row r="186">
          <cell r="G186">
            <v>2</v>
          </cell>
          <cell r="H186" t="str">
            <v>Within 165 feet</v>
          </cell>
          <cell r="I186">
            <v>3342618421</v>
          </cell>
        </row>
        <row r="187">
          <cell r="G187">
            <v>3</v>
          </cell>
          <cell r="H187" t="str">
            <v>Within 1 mile</v>
          </cell>
          <cell r="I187">
            <v>3337407696</v>
          </cell>
        </row>
        <row r="188">
          <cell r="G188">
            <v>1</v>
          </cell>
          <cell r="H188" t="str">
            <v>Within 1 mile</v>
          </cell>
          <cell r="I188">
            <v>3337407698</v>
          </cell>
        </row>
        <row r="189">
          <cell r="G189">
            <v>2</v>
          </cell>
          <cell r="H189" t="str">
            <v>Within 165 feet</v>
          </cell>
          <cell r="I189">
            <v>3349559674</v>
          </cell>
        </row>
        <row r="190">
          <cell r="G190">
            <v>1</v>
          </cell>
          <cell r="H190" t="str">
            <v>Within 40 feet</v>
          </cell>
          <cell r="I190">
            <v>3349559551</v>
          </cell>
        </row>
        <row r="191">
          <cell r="G191">
            <v>2</v>
          </cell>
          <cell r="H191" t="str">
            <v>Not verified to be within 1 mile</v>
          </cell>
          <cell r="I191">
            <v>3337407717</v>
          </cell>
        </row>
        <row r="192">
          <cell r="G192">
            <v>2</v>
          </cell>
          <cell r="H192" t="str">
            <v>Within 1 mile</v>
          </cell>
          <cell r="I192">
            <v>3352749858</v>
          </cell>
        </row>
        <row r="193">
          <cell r="G193">
            <v>1</v>
          </cell>
          <cell r="H193" t="str">
            <v>Within 1 mile</v>
          </cell>
          <cell r="I193">
            <v>3337428694</v>
          </cell>
        </row>
        <row r="194">
          <cell r="G194">
            <v>34</v>
          </cell>
          <cell r="H194" t="str">
            <v>Within 40 feet</v>
          </cell>
          <cell r="I194">
            <v>3337407745</v>
          </cell>
        </row>
        <row r="195">
          <cell r="G195">
            <v>8</v>
          </cell>
          <cell r="H195" t="str">
            <v>Within 40 feet</v>
          </cell>
          <cell r="I195">
            <v>3352750349</v>
          </cell>
        </row>
        <row r="196">
          <cell r="G196">
            <v>2</v>
          </cell>
          <cell r="H196" t="str">
            <v>Within 165 feet</v>
          </cell>
          <cell r="I196">
            <v>3337428160</v>
          </cell>
        </row>
        <row r="197">
          <cell r="G197">
            <v>1</v>
          </cell>
          <cell r="H197" t="str">
            <v>Not Verified to be within 1 mile</v>
          </cell>
          <cell r="I197">
            <v>3337407749</v>
          </cell>
        </row>
        <row r="198">
          <cell r="G198">
            <v>2</v>
          </cell>
          <cell r="H198" t="str">
            <v>Not Verified to be within 1 mile</v>
          </cell>
          <cell r="I198">
            <v>3337407750</v>
          </cell>
        </row>
        <row r="199">
          <cell r="G199">
            <v>1</v>
          </cell>
          <cell r="H199" t="str">
            <v>Not Verified to be within 1 mile</v>
          </cell>
          <cell r="I199">
            <v>3342618313</v>
          </cell>
        </row>
        <row r="200">
          <cell r="G200">
            <v>1</v>
          </cell>
          <cell r="H200" t="str">
            <v>Within 1 mile</v>
          </cell>
          <cell r="I200">
            <v>3337428335</v>
          </cell>
        </row>
        <row r="201">
          <cell r="G201">
            <v>1</v>
          </cell>
          <cell r="H201" t="str">
            <v>Within 1 mile</v>
          </cell>
          <cell r="I201">
            <v>3342618000</v>
          </cell>
        </row>
        <row r="202">
          <cell r="G202">
            <v>4</v>
          </cell>
          <cell r="H202" t="str">
            <v>Within 165 feet</v>
          </cell>
          <cell r="I202">
            <v>3337407783</v>
          </cell>
        </row>
        <row r="203">
          <cell r="G203">
            <v>3</v>
          </cell>
          <cell r="H203" t="str">
            <v>Within 165 feet</v>
          </cell>
          <cell r="I203">
            <v>3337407785</v>
          </cell>
        </row>
        <row r="204">
          <cell r="G204">
            <v>4</v>
          </cell>
          <cell r="H204" t="str">
            <v>Not Verified to be within 1 mile</v>
          </cell>
          <cell r="I204">
            <v>3342618139</v>
          </cell>
        </row>
        <row r="205">
          <cell r="G205">
            <v>2</v>
          </cell>
          <cell r="H205" t="str">
            <v>Within 1 mile</v>
          </cell>
          <cell r="I205">
            <v>3342618180</v>
          </cell>
        </row>
        <row r="206">
          <cell r="G206">
            <v>4</v>
          </cell>
          <cell r="H206" t="str">
            <v>Not verified to be within 1 mile</v>
          </cell>
          <cell r="I206">
            <v>3349559718</v>
          </cell>
        </row>
        <row r="207">
          <cell r="G207">
            <v>2</v>
          </cell>
          <cell r="H207" t="str">
            <v>Within 1 mile</v>
          </cell>
          <cell r="I207">
            <v>3352750215</v>
          </cell>
        </row>
        <row r="208">
          <cell r="G208">
            <v>1</v>
          </cell>
          <cell r="H208" t="str">
            <v>Within 165 feet</v>
          </cell>
          <cell r="I208">
            <v>3342618263</v>
          </cell>
        </row>
        <row r="209">
          <cell r="G209">
            <v>23</v>
          </cell>
          <cell r="H209" t="str">
            <v>Within 40 feet</v>
          </cell>
          <cell r="I209">
            <v>3337407825</v>
          </cell>
        </row>
        <row r="210">
          <cell r="G210">
            <v>1</v>
          </cell>
          <cell r="H210" t="str">
            <v>Not verified to be within 1 mile</v>
          </cell>
          <cell r="I210">
            <v>3349559962</v>
          </cell>
        </row>
        <row r="211">
          <cell r="G211">
            <v>1</v>
          </cell>
          <cell r="H211" t="str">
            <v>Within 1 mile</v>
          </cell>
          <cell r="I211">
            <v>3337407830</v>
          </cell>
        </row>
        <row r="212">
          <cell r="G212">
            <v>5</v>
          </cell>
          <cell r="H212" t="str">
            <v>Within 40 feet</v>
          </cell>
          <cell r="I212">
            <v>3337407839</v>
          </cell>
        </row>
        <row r="213">
          <cell r="G213">
            <v>1</v>
          </cell>
          <cell r="H213" t="str">
            <v>Not verified to be within 1 mile</v>
          </cell>
          <cell r="I213">
            <v>3349560338</v>
          </cell>
        </row>
        <row r="214">
          <cell r="G214">
            <v>2</v>
          </cell>
          <cell r="H214" t="str">
            <v>Within 165 feet</v>
          </cell>
          <cell r="I214">
            <v>3337407856</v>
          </cell>
        </row>
        <row r="215">
          <cell r="G215">
            <v>3</v>
          </cell>
          <cell r="H215" t="str">
            <v>Within 1 mile</v>
          </cell>
          <cell r="I215">
            <v>3337407871</v>
          </cell>
        </row>
        <row r="216">
          <cell r="G216">
            <v>4</v>
          </cell>
          <cell r="H216" t="str">
            <v>Within 1 mile</v>
          </cell>
          <cell r="I216">
            <v>3337427710</v>
          </cell>
        </row>
        <row r="217">
          <cell r="G217">
            <v>3</v>
          </cell>
          <cell r="H217" t="str">
            <v>Within 165 feet</v>
          </cell>
          <cell r="I217">
            <v>3337407876</v>
          </cell>
        </row>
        <row r="218">
          <cell r="G218">
            <v>2</v>
          </cell>
          <cell r="H218" t="str">
            <v>Within 40 feet</v>
          </cell>
          <cell r="I218">
            <v>3337407878</v>
          </cell>
        </row>
        <row r="219">
          <cell r="G219">
            <v>2</v>
          </cell>
          <cell r="H219" t="str">
            <v>Within 165 feet</v>
          </cell>
          <cell r="I219">
            <v>3349560168</v>
          </cell>
        </row>
        <row r="220">
          <cell r="G220">
            <v>4</v>
          </cell>
          <cell r="H220" t="str">
            <v>Within 165 feet</v>
          </cell>
          <cell r="I220">
            <v>3352750222</v>
          </cell>
        </row>
        <row r="221">
          <cell r="G221">
            <v>3</v>
          </cell>
          <cell r="H221" t="str">
            <v>Within 40 feet</v>
          </cell>
          <cell r="I221">
            <v>3337407899</v>
          </cell>
        </row>
        <row r="222">
          <cell r="G222">
            <v>2</v>
          </cell>
          <cell r="H222" t="str">
            <v>Within 165 feet</v>
          </cell>
          <cell r="I222">
            <v>3338290448</v>
          </cell>
        </row>
        <row r="223">
          <cell r="G223">
            <v>0</v>
          </cell>
          <cell r="H223" t="str">
            <v>Within 40 feet</v>
          </cell>
          <cell r="I223">
            <v>3337407919</v>
          </cell>
        </row>
        <row r="224">
          <cell r="G224">
            <v>2</v>
          </cell>
          <cell r="H224" t="str">
            <v>Within 165 feet</v>
          </cell>
          <cell r="I224">
            <v>3342617952</v>
          </cell>
        </row>
        <row r="225">
          <cell r="G225">
            <v>3</v>
          </cell>
          <cell r="H225" t="str">
            <v>Within 1 mile</v>
          </cell>
          <cell r="I225">
            <v>3337407968</v>
          </cell>
        </row>
        <row r="226">
          <cell r="G226">
            <v>2</v>
          </cell>
          <cell r="H226" t="str">
            <v>Within 165 feet</v>
          </cell>
          <cell r="I226">
            <v>3337407977</v>
          </cell>
        </row>
        <row r="227">
          <cell r="G227">
            <v>1</v>
          </cell>
          <cell r="H227" t="str">
            <v>Not verified to be within 1 mile</v>
          </cell>
          <cell r="I227">
            <v>3349560205</v>
          </cell>
        </row>
        <row r="228">
          <cell r="G228">
            <v>3</v>
          </cell>
          <cell r="H228" t="str">
            <v>Within 165 feet</v>
          </cell>
          <cell r="I228">
            <v>3337407984</v>
          </cell>
        </row>
        <row r="229">
          <cell r="G229">
            <v>11</v>
          </cell>
          <cell r="H229" t="str">
            <v>Within 40 feet</v>
          </cell>
          <cell r="I229">
            <v>3337408001</v>
          </cell>
        </row>
        <row r="230">
          <cell r="G230">
            <v>1</v>
          </cell>
          <cell r="H230" t="str">
            <v>Within 1 mile</v>
          </cell>
          <cell r="I230">
            <v>3337408003</v>
          </cell>
        </row>
        <row r="231">
          <cell r="G231">
            <v>2</v>
          </cell>
          <cell r="H231" t="str">
            <v>Within 40 feet</v>
          </cell>
          <cell r="I231">
            <v>3353097874</v>
          </cell>
        </row>
        <row r="232">
          <cell r="G232">
            <v>6</v>
          </cell>
          <cell r="H232" t="str">
            <v>Within 165 feet</v>
          </cell>
          <cell r="I232">
            <v>3349559970</v>
          </cell>
        </row>
        <row r="233">
          <cell r="G233">
            <v>1</v>
          </cell>
          <cell r="H233" t="str">
            <v>Not verified to be within 1 mile</v>
          </cell>
          <cell r="I233">
            <v>3349559998</v>
          </cell>
        </row>
        <row r="234">
          <cell r="G234">
            <v>2</v>
          </cell>
          <cell r="H234" t="str">
            <v>Within 1 mile</v>
          </cell>
          <cell r="I234">
            <v>3337408026</v>
          </cell>
        </row>
        <row r="235">
          <cell r="G235">
            <v>4</v>
          </cell>
          <cell r="H235" t="str">
            <v>Within 40 feet</v>
          </cell>
          <cell r="I235">
            <v>3337408044</v>
          </cell>
        </row>
        <row r="236">
          <cell r="G236">
            <v>2</v>
          </cell>
          <cell r="H236" t="str">
            <v>Within 165 feet</v>
          </cell>
          <cell r="I236">
            <v>3338155032</v>
          </cell>
        </row>
        <row r="237">
          <cell r="G237">
            <v>2</v>
          </cell>
          <cell r="H237" t="str">
            <v>Within 1 mile</v>
          </cell>
          <cell r="I237">
            <v>3342617832</v>
          </cell>
        </row>
        <row r="238">
          <cell r="G238">
            <v>2</v>
          </cell>
          <cell r="H238" t="str">
            <v>Within 1 mile</v>
          </cell>
          <cell r="I238">
            <v>3352749888</v>
          </cell>
        </row>
        <row r="239">
          <cell r="G239">
            <v>1</v>
          </cell>
          <cell r="H239" t="str">
            <v>Within 1 mile</v>
          </cell>
          <cell r="I239">
            <v>3337428031</v>
          </cell>
        </row>
        <row r="240">
          <cell r="G240">
            <v>12</v>
          </cell>
          <cell r="H240" t="str">
            <v>Within 40 feet</v>
          </cell>
          <cell r="I240">
            <v>3337408135</v>
          </cell>
        </row>
        <row r="241">
          <cell r="G241">
            <v>3</v>
          </cell>
          <cell r="H241" t="str">
            <v>Within 1 mile</v>
          </cell>
          <cell r="I241">
            <v>3337427407</v>
          </cell>
        </row>
        <row r="242">
          <cell r="G242">
            <v>1</v>
          </cell>
          <cell r="H242" t="str">
            <v>Within 165 feet</v>
          </cell>
          <cell r="I242">
            <v>3337408146</v>
          </cell>
        </row>
        <row r="243">
          <cell r="G243">
            <v>1</v>
          </cell>
          <cell r="H243" t="str">
            <v>Within 40 feet</v>
          </cell>
          <cell r="I243">
            <v>3349559641</v>
          </cell>
        </row>
        <row r="244">
          <cell r="G244">
            <v>1</v>
          </cell>
          <cell r="H244" t="str">
            <v>Within 40 feet</v>
          </cell>
          <cell r="I244">
            <v>3337408167</v>
          </cell>
        </row>
        <row r="245">
          <cell r="G245">
            <v>1</v>
          </cell>
          <cell r="H245" t="str">
            <v>Not verified to be within 1 mile</v>
          </cell>
          <cell r="I245">
            <v>3349559856</v>
          </cell>
        </row>
        <row r="246">
          <cell r="G246">
            <v>2</v>
          </cell>
          <cell r="H246" t="str">
            <v>Within 1 mile</v>
          </cell>
          <cell r="I246">
            <v>3342617895</v>
          </cell>
        </row>
        <row r="247">
          <cell r="G247">
            <v>3</v>
          </cell>
          <cell r="H247" t="str">
            <v>Within 1 mile</v>
          </cell>
          <cell r="I247">
            <v>3337428310</v>
          </cell>
        </row>
        <row r="248">
          <cell r="G248">
            <v>1</v>
          </cell>
          <cell r="H248" t="str">
            <v>Not Verified to be within 1 mile</v>
          </cell>
          <cell r="I248">
            <v>3342618279</v>
          </cell>
        </row>
        <row r="249">
          <cell r="G249">
            <v>3</v>
          </cell>
          <cell r="H249" t="str">
            <v>Not Verified to be within 1 mile</v>
          </cell>
          <cell r="I249">
            <v>3342618204</v>
          </cell>
        </row>
        <row r="250">
          <cell r="G250">
            <v>4</v>
          </cell>
          <cell r="H250" t="str">
            <v>Within 165 feet</v>
          </cell>
          <cell r="I250">
            <v>3337408230</v>
          </cell>
        </row>
        <row r="251">
          <cell r="G251">
            <v>2</v>
          </cell>
          <cell r="H251" t="str">
            <v>Within 1 mile</v>
          </cell>
          <cell r="I251">
            <v>3337428233</v>
          </cell>
        </row>
        <row r="252">
          <cell r="G252">
            <v>1</v>
          </cell>
          <cell r="H252" t="str">
            <v>Within 1 mile</v>
          </cell>
          <cell r="I252">
            <v>3337408235</v>
          </cell>
        </row>
        <row r="253">
          <cell r="G253">
            <v>2</v>
          </cell>
          <cell r="H253" t="str">
            <v>Within 1 mile</v>
          </cell>
          <cell r="I253">
            <v>3342617817</v>
          </cell>
        </row>
        <row r="254">
          <cell r="G254">
            <v>2</v>
          </cell>
          <cell r="H254" t="str">
            <v>Not Verified to be within 1 mile</v>
          </cell>
          <cell r="I254">
            <v>3342618337</v>
          </cell>
        </row>
        <row r="255">
          <cell r="G255">
            <v>1</v>
          </cell>
          <cell r="H255" t="str">
            <v>Within 1 mile</v>
          </cell>
          <cell r="I255">
            <v>3353097795</v>
          </cell>
        </row>
        <row r="256">
          <cell r="G256">
            <v>1</v>
          </cell>
          <cell r="H256" t="str">
            <v>Within 1 mile</v>
          </cell>
          <cell r="I256">
            <v>3337408270</v>
          </cell>
        </row>
        <row r="257">
          <cell r="G257">
            <v>1</v>
          </cell>
          <cell r="H257" t="str">
            <v>Within 1 mile</v>
          </cell>
          <cell r="I257">
            <v>3337408281</v>
          </cell>
        </row>
        <row r="258">
          <cell r="G258">
            <v>1</v>
          </cell>
          <cell r="H258" t="str">
            <v>Not verified to be within 1 mile</v>
          </cell>
          <cell r="I258">
            <v>3349560015</v>
          </cell>
        </row>
        <row r="259">
          <cell r="G259">
            <v>8</v>
          </cell>
          <cell r="H259" t="str">
            <v>Not Verified to be within 1 mile</v>
          </cell>
          <cell r="I259">
            <v>3337408287</v>
          </cell>
        </row>
        <row r="260">
          <cell r="G260">
            <v>2</v>
          </cell>
          <cell r="H260" t="str">
            <v>Not Verified to be within 1 mile</v>
          </cell>
          <cell r="I260">
            <v>3337408295</v>
          </cell>
        </row>
        <row r="261">
          <cell r="G261">
            <v>4</v>
          </cell>
          <cell r="H261" t="str">
            <v>Within 1 mile</v>
          </cell>
          <cell r="I261">
            <v>3337408315</v>
          </cell>
        </row>
        <row r="262">
          <cell r="G262">
            <v>2</v>
          </cell>
          <cell r="H262" t="str">
            <v>Within 1 mile</v>
          </cell>
          <cell r="I262">
            <v>3337408321</v>
          </cell>
        </row>
        <row r="263">
          <cell r="G263">
            <v>2</v>
          </cell>
          <cell r="H263" t="str">
            <v>Within 165 feet</v>
          </cell>
          <cell r="I263">
            <v>3349559761</v>
          </cell>
        </row>
        <row r="264">
          <cell r="G264">
            <v>1</v>
          </cell>
          <cell r="H264" t="str">
            <v>Not verified to be within 1 mile</v>
          </cell>
          <cell r="I264">
            <v>3349559960</v>
          </cell>
        </row>
        <row r="265">
          <cell r="G265">
            <v>2</v>
          </cell>
          <cell r="H265" t="str">
            <v>Not Verified to be within 1 mile</v>
          </cell>
          <cell r="I265">
            <v>3342618283</v>
          </cell>
        </row>
        <row r="266">
          <cell r="G266">
            <v>5</v>
          </cell>
          <cell r="H266" t="str">
            <v>Within 40 feet</v>
          </cell>
          <cell r="I266">
            <v>3349559511</v>
          </cell>
        </row>
        <row r="267">
          <cell r="G267">
            <v>1</v>
          </cell>
          <cell r="H267" t="str">
            <v>Within 1 mile</v>
          </cell>
          <cell r="I267">
            <v>3352749990</v>
          </cell>
        </row>
        <row r="268">
          <cell r="G268">
            <v>3</v>
          </cell>
          <cell r="H268" t="str">
            <v>Not verified to be within 1 mile</v>
          </cell>
          <cell r="I268">
            <v>3337408409</v>
          </cell>
        </row>
        <row r="269">
          <cell r="G269">
            <v>3</v>
          </cell>
          <cell r="H269" t="str">
            <v>Within 1 mile</v>
          </cell>
          <cell r="I269">
            <v>3337408420</v>
          </cell>
        </row>
        <row r="270">
          <cell r="G270">
            <v>4</v>
          </cell>
          <cell r="H270" t="str">
            <v>Within 40 feet</v>
          </cell>
          <cell r="I270">
            <v>3337408422</v>
          </cell>
        </row>
        <row r="271">
          <cell r="G271">
            <v>3</v>
          </cell>
          <cell r="H271" t="str">
            <v>Within 1 mile</v>
          </cell>
          <cell r="I271">
            <v>3337408462</v>
          </cell>
        </row>
        <row r="272">
          <cell r="G272">
            <v>2</v>
          </cell>
          <cell r="H272" t="str">
            <v>Within 1 mile</v>
          </cell>
          <cell r="I272">
            <v>3342618365</v>
          </cell>
        </row>
        <row r="273">
          <cell r="G273">
            <v>11</v>
          </cell>
          <cell r="H273" t="str">
            <v>Within 165 feet</v>
          </cell>
          <cell r="I273">
            <v>3337408470</v>
          </cell>
        </row>
        <row r="274">
          <cell r="G274">
            <v>2</v>
          </cell>
          <cell r="H274" t="str">
            <v>Not Verified to be within 1 mile</v>
          </cell>
          <cell r="I274">
            <v>3342618146</v>
          </cell>
        </row>
        <row r="275">
          <cell r="G275">
            <v>2</v>
          </cell>
          <cell r="H275" t="str">
            <v>Within 1 mile</v>
          </cell>
          <cell r="I275">
            <v>3342618380</v>
          </cell>
        </row>
        <row r="276">
          <cell r="G276">
            <v>4</v>
          </cell>
          <cell r="H276" t="str">
            <v>Within 165 feet</v>
          </cell>
          <cell r="I276">
            <v>3349559763</v>
          </cell>
        </row>
        <row r="277">
          <cell r="G277">
            <v>10</v>
          </cell>
          <cell r="H277" t="str">
            <v>Within 165 feet</v>
          </cell>
          <cell r="I277">
            <v>3337408558</v>
          </cell>
        </row>
        <row r="278">
          <cell r="G278">
            <v>1</v>
          </cell>
          <cell r="H278" t="str">
            <v>Within 1 mile</v>
          </cell>
          <cell r="I278">
            <v>3337428281</v>
          </cell>
        </row>
        <row r="279">
          <cell r="G279">
            <v>2</v>
          </cell>
          <cell r="H279" t="str">
            <v>Within 1 mile</v>
          </cell>
          <cell r="I279">
            <v>3337408594</v>
          </cell>
        </row>
        <row r="280">
          <cell r="G280">
            <v>4</v>
          </cell>
          <cell r="H280" t="str">
            <v>Within 40 feet</v>
          </cell>
          <cell r="I280">
            <v>3337408593</v>
          </cell>
        </row>
        <row r="281">
          <cell r="G281">
            <v>4</v>
          </cell>
          <cell r="H281" t="str">
            <v>Within 40 feet</v>
          </cell>
          <cell r="I281">
            <v>3337408606</v>
          </cell>
        </row>
        <row r="282">
          <cell r="G282">
            <v>2</v>
          </cell>
          <cell r="H282" t="str">
            <v>Not verified to be within 1 mile</v>
          </cell>
          <cell r="I282">
            <v>3349560085</v>
          </cell>
        </row>
        <row r="283">
          <cell r="G283">
            <v>1</v>
          </cell>
          <cell r="H283" t="str">
            <v>Within 1 mile</v>
          </cell>
          <cell r="I283">
            <v>3337428291</v>
          </cell>
        </row>
        <row r="284">
          <cell r="G284">
            <v>1</v>
          </cell>
          <cell r="H284" t="str">
            <v>Not Verified to be within 1 mile</v>
          </cell>
          <cell r="I284">
            <v>3342618164</v>
          </cell>
        </row>
        <row r="285">
          <cell r="G285">
            <v>3</v>
          </cell>
          <cell r="H285" t="str">
            <v>Within 165 feet</v>
          </cell>
          <cell r="I285">
            <v>3342618217</v>
          </cell>
        </row>
        <row r="286">
          <cell r="G286">
            <v>1</v>
          </cell>
          <cell r="H286" t="str">
            <v>Not verified to be within 1 mile</v>
          </cell>
          <cell r="I286">
            <v>3349559717</v>
          </cell>
        </row>
        <row r="287">
          <cell r="G287">
            <v>2</v>
          </cell>
          <cell r="H287" t="str">
            <v>Within 40 feet</v>
          </cell>
          <cell r="I287">
            <v>3353097902</v>
          </cell>
        </row>
        <row r="288">
          <cell r="G288">
            <v>2</v>
          </cell>
          <cell r="H288" t="str">
            <v>Within 40 feet</v>
          </cell>
          <cell r="I288">
            <v>3349559561</v>
          </cell>
        </row>
        <row r="289">
          <cell r="G289">
            <v>2</v>
          </cell>
          <cell r="H289" t="str">
            <v>Within 165 feet</v>
          </cell>
          <cell r="I289">
            <v>3349559712</v>
          </cell>
        </row>
        <row r="290">
          <cell r="G290">
            <v>7</v>
          </cell>
          <cell r="H290" t="str">
            <v>Within 165 feet</v>
          </cell>
          <cell r="I290">
            <v>3337408698</v>
          </cell>
        </row>
        <row r="291">
          <cell r="G291">
            <v>1</v>
          </cell>
          <cell r="H291" t="str">
            <v>Not verified to be within 1 mile</v>
          </cell>
          <cell r="I291">
            <v>3349559934</v>
          </cell>
        </row>
        <row r="292">
          <cell r="G292">
            <v>1</v>
          </cell>
          <cell r="H292" t="str">
            <v>Within 1 mile</v>
          </cell>
          <cell r="I292">
            <v>3337408707</v>
          </cell>
        </row>
        <row r="293">
          <cell r="G293">
            <v>1</v>
          </cell>
          <cell r="H293" t="str">
            <v>Not verified to be within 1 mile</v>
          </cell>
          <cell r="I293">
            <v>3349560238</v>
          </cell>
        </row>
        <row r="294">
          <cell r="G294">
            <v>4</v>
          </cell>
          <cell r="H294" t="str">
            <v>Within 165 feet</v>
          </cell>
          <cell r="I294">
            <v>3342618104</v>
          </cell>
        </row>
        <row r="295">
          <cell r="G295">
            <v>4</v>
          </cell>
          <cell r="H295" t="str">
            <v>Within 1 mile</v>
          </cell>
          <cell r="I295">
            <v>3337408757</v>
          </cell>
        </row>
        <row r="296">
          <cell r="G296">
            <v>3</v>
          </cell>
          <cell r="H296" t="str">
            <v>Within 1 mile</v>
          </cell>
          <cell r="I296">
            <v>3337428082</v>
          </cell>
        </row>
        <row r="297">
          <cell r="G297">
            <v>1</v>
          </cell>
          <cell r="H297" t="str">
            <v>Within 1 mile</v>
          </cell>
          <cell r="I297">
            <v>3337408809</v>
          </cell>
        </row>
        <row r="298">
          <cell r="G298">
            <v>1</v>
          </cell>
          <cell r="H298" t="str">
            <v>Not Verified to be within 1 mile</v>
          </cell>
          <cell r="I298">
            <v>3342618220</v>
          </cell>
        </row>
        <row r="299">
          <cell r="G299">
            <v>2</v>
          </cell>
          <cell r="H299" t="str">
            <v>Not Verified to be within 1 mile</v>
          </cell>
          <cell r="I299">
            <v>3337408817</v>
          </cell>
        </row>
        <row r="300">
          <cell r="G300">
            <v>6</v>
          </cell>
          <cell r="H300" t="str">
            <v>Within 40 feet</v>
          </cell>
          <cell r="I300">
            <v>3337408830</v>
          </cell>
        </row>
        <row r="301">
          <cell r="G301">
            <v>1</v>
          </cell>
          <cell r="H301" t="str">
            <v>Within 1 mile</v>
          </cell>
          <cell r="I301">
            <v>3342618377</v>
          </cell>
        </row>
        <row r="302">
          <cell r="G302">
            <v>2</v>
          </cell>
          <cell r="H302" t="str">
            <v>Within 1 mile</v>
          </cell>
          <cell r="I302">
            <v>3353098144</v>
          </cell>
        </row>
        <row r="303">
          <cell r="G303">
            <v>1</v>
          </cell>
          <cell r="H303" t="str">
            <v>Within 1 mile</v>
          </cell>
          <cell r="I303">
            <v>3337408846</v>
          </cell>
        </row>
        <row r="304">
          <cell r="G304">
            <v>2</v>
          </cell>
          <cell r="H304" t="str">
            <v>Within 165 feet</v>
          </cell>
          <cell r="I304">
            <v>3337408852</v>
          </cell>
        </row>
        <row r="305">
          <cell r="G305">
            <v>1</v>
          </cell>
          <cell r="H305" t="str">
            <v>Within 1 mile</v>
          </cell>
          <cell r="I305">
            <v>3352749880</v>
          </cell>
        </row>
        <row r="306">
          <cell r="G306">
            <v>11</v>
          </cell>
          <cell r="H306" t="str">
            <v>Within 165 feet</v>
          </cell>
          <cell r="I306">
            <v>3337408861</v>
          </cell>
        </row>
        <row r="307">
          <cell r="G307">
            <v>5</v>
          </cell>
          <cell r="H307" t="str">
            <v>Within 165 feet</v>
          </cell>
          <cell r="I307">
            <v>3342617938</v>
          </cell>
        </row>
        <row r="308">
          <cell r="G308">
            <v>1</v>
          </cell>
          <cell r="H308" t="str">
            <v>Within 165 feet</v>
          </cell>
          <cell r="I308">
            <v>3342617899</v>
          </cell>
        </row>
        <row r="309">
          <cell r="G309">
            <v>2</v>
          </cell>
          <cell r="H309" t="str">
            <v>Within 40 feet</v>
          </cell>
          <cell r="I309">
            <v>3337408868</v>
          </cell>
        </row>
        <row r="310">
          <cell r="G310">
            <v>3</v>
          </cell>
          <cell r="H310" t="str">
            <v>Within 1 mile</v>
          </cell>
          <cell r="I310">
            <v>3353097787</v>
          </cell>
        </row>
        <row r="311">
          <cell r="G311">
            <v>2</v>
          </cell>
          <cell r="H311" t="str">
            <v>Within 40 feet</v>
          </cell>
          <cell r="I311">
            <v>3349559512</v>
          </cell>
        </row>
        <row r="312">
          <cell r="G312">
            <v>3</v>
          </cell>
          <cell r="H312" t="str">
            <v>Within 165 feet</v>
          </cell>
          <cell r="I312">
            <v>3337408897</v>
          </cell>
        </row>
        <row r="313">
          <cell r="G313">
            <v>6</v>
          </cell>
          <cell r="H313" t="str">
            <v>Within 1 mile</v>
          </cell>
          <cell r="I313">
            <v>3337408908</v>
          </cell>
        </row>
        <row r="314">
          <cell r="G314">
            <v>2</v>
          </cell>
          <cell r="H314" t="str">
            <v>Within 1 mile</v>
          </cell>
          <cell r="I314">
            <v>3337428278</v>
          </cell>
        </row>
        <row r="315">
          <cell r="G315">
            <v>3</v>
          </cell>
          <cell r="H315" t="str">
            <v>Within 165 feet</v>
          </cell>
          <cell r="I315">
            <v>3337408917</v>
          </cell>
        </row>
        <row r="316">
          <cell r="G316">
            <v>3</v>
          </cell>
          <cell r="H316" t="str">
            <v>Within 165 feet</v>
          </cell>
          <cell r="I316">
            <v>3349559758</v>
          </cell>
        </row>
        <row r="317">
          <cell r="G317">
            <v>3</v>
          </cell>
          <cell r="H317" t="str">
            <v>Not verified to be within 1 mile</v>
          </cell>
          <cell r="I317">
            <v>3365669814</v>
          </cell>
        </row>
        <row r="318">
          <cell r="G318">
            <v>5</v>
          </cell>
          <cell r="H318" t="str">
            <v>Within 165 feet</v>
          </cell>
          <cell r="I318">
            <v>3337408977</v>
          </cell>
        </row>
        <row r="319">
          <cell r="G319">
            <v>2</v>
          </cell>
          <cell r="H319" t="str">
            <v>Within 1 mile</v>
          </cell>
          <cell r="I319">
            <v>3342617894</v>
          </cell>
        </row>
        <row r="320">
          <cell r="G320">
            <v>1</v>
          </cell>
          <cell r="H320" t="str">
            <v>Not verified to be within 1 mile</v>
          </cell>
          <cell r="I320">
            <v>3349560119</v>
          </cell>
        </row>
        <row r="321">
          <cell r="G321">
            <v>2</v>
          </cell>
          <cell r="H321" t="str">
            <v>Within 1 mile</v>
          </cell>
          <cell r="I321">
            <v>3337427747</v>
          </cell>
        </row>
        <row r="322">
          <cell r="G322">
            <v>2</v>
          </cell>
          <cell r="H322" t="str">
            <v>Within 1 mile</v>
          </cell>
          <cell r="I322">
            <v>3353097799</v>
          </cell>
        </row>
        <row r="323">
          <cell r="G323">
            <v>4</v>
          </cell>
          <cell r="H323" t="str">
            <v>Within 165 feet</v>
          </cell>
          <cell r="I323">
            <v>3337409045</v>
          </cell>
        </row>
        <row r="324">
          <cell r="G324">
            <v>8</v>
          </cell>
          <cell r="H324" t="str">
            <v>Within 1 mile</v>
          </cell>
          <cell r="I324">
            <v>3337409051</v>
          </cell>
        </row>
        <row r="325">
          <cell r="G325">
            <v>1</v>
          </cell>
          <cell r="H325" t="str">
            <v>Not verified to be within 1 mile</v>
          </cell>
          <cell r="I325">
            <v>3349560236</v>
          </cell>
        </row>
        <row r="326">
          <cell r="G326">
            <v>1</v>
          </cell>
          <cell r="H326" t="str">
            <v>Not verified to be within 1 mile</v>
          </cell>
          <cell r="I326">
            <v>3349559830</v>
          </cell>
        </row>
        <row r="327">
          <cell r="G327">
            <v>1</v>
          </cell>
          <cell r="H327" t="str">
            <v>Within 165 feet</v>
          </cell>
          <cell r="I327">
            <v>3337409095</v>
          </cell>
        </row>
        <row r="328">
          <cell r="G328">
            <v>2</v>
          </cell>
          <cell r="H328" t="str">
            <v>Not verified to be within 1 mile</v>
          </cell>
          <cell r="I328">
            <v>3342617948</v>
          </cell>
        </row>
        <row r="329">
          <cell r="G329">
            <v>4</v>
          </cell>
          <cell r="H329" t="str">
            <v>Not Verified to be within 1 mile</v>
          </cell>
          <cell r="I329">
            <v>3337409131</v>
          </cell>
        </row>
        <row r="330">
          <cell r="G330">
            <v>15</v>
          </cell>
          <cell r="H330" t="str">
            <v>Within 40 feet</v>
          </cell>
          <cell r="I330">
            <v>3337409201</v>
          </cell>
        </row>
        <row r="331">
          <cell r="G331">
            <v>1</v>
          </cell>
          <cell r="H331" t="str">
            <v>Not Verified to be within 1 mile</v>
          </cell>
          <cell r="I331">
            <v>3342618096</v>
          </cell>
        </row>
        <row r="332">
          <cell r="G332">
            <v>1</v>
          </cell>
          <cell r="H332" t="str">
            <v>Within 165 feet</v>
          </cell>
          <cell r="I332">
            <v>3337409218</v>
          </cell>
        </row>
        <row r="333">
          <cell r="G333">
            <v>6</v>
          </cell>
          <cell r="H333" t="str">
            <v>Within 165 feet</v>
          </cell>
          <cell r="I333">
            <v>3337409220</v>
          </cell>
        </row>
        <row r="334">
          <cell r="G334">
            <v>2</v>
          </cell>
          <cell r="H334" t="str">
            <v>Within 1 mile</v>
          </cell>
          <cell r="I334">
            <v>3342617951</v>
          </cell>
        </row>
        <row r="335">
          <cell r="G335">
            <v>1</v>
          </cell>
          <cell r="H335" t="str">
            <v>Not Verified to be within 1 mile</v>
          </cell>
          <cell r="I335">
            <v>3342618097</v>
          </cell>
        </row>
        <row r="336">
          <cell r="G336">
            <v>3</v>
          </cell>
          <cell r="H336" t="str">
            <v>Within 1 mile</v>
          </cell>
          <cell r="I336">
            <v>3337409263</v>
          </cell>
        </row>
        <row r="337">
          <cell r="G337">
            <v>1</v>
          </cell>
          <cell r="H337" t="str">
            <v>Not verified to be within 1 mile</v>
          </cell>
          <cell r="I337">
            <v>3349560084</v>
          </cell>
        </row>
        <row r="338">
          <cell r="G338">
            <v>12</v>
          </cell>
          <cell r="H338" t="str">
            <v>Within 165 feet</v>
          </cell>
          <cell r="I338">
            <v>3337409315</v>
          </cell>
        </row>
        <row r="339">
          <cell r="G339">
            <v>3</v>
          </cell>
          <cell r="H339" t="str">
            <v>Within 1 mile</v>
          </cell>
          <cell r="I339">
            <v>3337428172</v>
          </cell>
        </row>
        <row r="340">
          <cell r="G340">
            <v>1</v>
          </cell>
          <cell r="H340" t="str">
            <v>Within 1 mile</v>
          </cell>
          <cell r="I340">
            <v>3337428000</v>
          </cell>
        </row>
        <row r="341">
          <cell r="G341">
            <v>2</v>
          </cell>
          <cell r="H341" t="str">
            <v>Within 1 mile</v>
          </cell>
          <cell r="I341">
            <v>3337428232</v>
          </cell>
        </row>
        <row r="342">
          <cell r="G342">
            <v>1</v>
          </cell>
          <cell r="H342" t="str">
            <v>Not Verified to be within 1 mile</v>
          </cell>
          <cell r="I342">
            <v>3342618235</v>
          </cell>
        </row>
        <row r="343">
          <cell r="G343">
            <v>2</v>
          </cell>
          <cell r="H343" t="str">
            <v>Within 1 mile</v>
          </cell>
          <cell r="I343">
            <v>3352750159</v>
          </cell>
        </row>
        <row r="344">
          <cell r="G344">
            <v>1</v>
          </cell>
          <cell r="H344" t="str">
            <v>Not verified to be within 1 mile</v>
          </cell>
          <cell r="I344">
            <v>3349559787</v>
          </cell>
        </row>
        <row r="345">
          <cell r="G345">
            <v>2</v>
          </cell>
          <cell r="H345" t="str">
            <v>Within 1 mile</v>
          </cell>
          <cell r="I345">
            <v>3342618251</v>
          </cell>
        </row>
        <row r="346">
          <cell r="G346">
            <v>3</v>
          </cell>
          <cell r="H346" t="str">
            <v>Within 165 feet</v>
          </cell>
          <cell r="I346">
            <v>3337409531</v>
          </cell>
        </row>
        <row r="347">
          <cell r="G347">
            <v>7</v>
          </cell>
          <cell r="H347" t="str">
            <v>Within 1 mile</v>
          </cell>
          <cell r="I347">
            <v>3337409538</v>
          </cell>
        </row>
        <row r="348">
          <cell r="G348">
            <v>1</v>
          </cell>
          <cell r="H348" t="str">
            <v>Within 165 feet</v>
          </cell>
          <cell r="I348">
            <v>3337409542</v>
          </cell>
        </row>
        <row r="349">
          <cell r="G349">
            <v>3</v>
          </cell>
          <cell r="H349" t="str">
            <v>Within 1 mile</v>
          </cell>
          <cell r="I349">
            <v>3353098145</v>
          </cell>
        </row>
        <row r="350">
          <cell r="G350">
            <v>2</v>
          </cell>
          <cell r="H350" t="str">
            <v>Not verified to be within 1 mile</v>
          </cell>
          <cell r="I350">
            <v>3349559913</v>
          </cell>
        </row>
        <row r="351">
          <cell r="G351">
            <v>1</v>
          </cell>
          <cell r="H351" t="str">
            <v>Not verified to be within 1 mile</v>
          </cell>
          <cell r="I351">
            <v>3349559823</v>
          </cell>
        </row>
        <row r="352">
          <cell r="G352">
            <v>2</v>
          </cell>
          <cell r="H352" t="str">
            <v>Not Verified to be within 1 mile</v>
          </cell>
          <cell r="I352">
            <v>3337409573</v>
          </cell>
        </row>
        <row r="353">
          <cell r="G353">
            <v>2</v>
          </cell>
          <cell r="H353" t="str">
            <v>Not verified to be within 1 mile</v>
          </cell>
          <cell r="I353">
            <v>3349560177</v>
          </cell>
        </row>
        <row r="354">
          <cell r="G354">
            <v>2</v>
          </cell>
          <cell r="H354" t="str">
            <v>Not verified to be within 1 mile</v>
          </cell>
          <cell r="I354">
            <v>3349560192</v>
          </cell>
        </row>
        <row r="355">
          <cell r="G355">
            <v>1</v>
          </cell>
          <cell r="H355" t="str">
            <v>Not verified to be within 1 mile</v>
          </cell>
          <cell r="I355">
            <v>3349560188</v>
          </cell>
        </row>
        <row r="356">
          <cell r="G356">
            <v>1</v>
          </cell>
          <cell r="H356" t="str">
            <v>Not verified to be within 1 mile</v>
          </cell>
          <cell r="I356">
            <v>3349560173</v>
          </cell>
        </row>
        <row r="357">
          <cell r="G357">
            <v>2</v>
          </cell>
          <cell r="H357" t="str">
            <v>Within 40 feet</v>
          </cell>
          <cell r="I357">
            <v>3337409576</v>
          </cell>
        </row>
        <row r="358">
          <cell r="G358">
            <v>1</v>
          </cell>
          <cell r="H358" t="str">
            <v>Not Verified to be within 1 mile</v>
          </cell>
          <cell r="I358">
            <v>3337431214</v>
          </cell>
        </row>
        <row r="359">
          <cell r="G359">
            <v>4</v>
          </cell>
          <cell r="H359" t="str">
            <v>Within 1 mile</v>
          </cell>
          <cell r="I359">
            <v>3337428273</v>
          </cell>
        </row>
        <row r="360">
          <cell r="G360">
            <v>1</v>
          </cell>
          <cell r="H360" t="str">
            <v>Within 1 mile</v>
          </cell>
          <cell r="I360">
            <v>3337428276</v>
          </cell>
        </row>
        <row r="361">
          <cell r="G361">
            <v>1</v>
          </cell>
          <cell r="H361" t="str">
            <v>Not Verified to be within 1 mile</v>
          </cell>
          <cell r="I361">
            <v>3342618143</v>
          </cell>
        </row>
        <row r="362">
          <cell r="G362">
            <v>4</v>
          </cell>
          <cell r="H362" t="str">
            <v>Within 1 mile</v>
          </cell>
          <cell r="I362">
            <v>3337428023</v>
          </cell>
        </row>
        <row r="363">
          <cell r="G363">
            <v>1</v>
          </cell>
          <cell r="H363" t="str">
            <v>Within 1 mile</v>
          </cell>
          <cell r="I363">
            <v>3342618087</v>
          </cell>
        </row>
        <row r="364">
          <cell r="G364">
            <v>1</v>
          </cell>
          <cell r="H364" t="str">
            <v>Not verified to be within 1 mile</v>
          </cell>
          <cell r="I364">
            <v>3349560325</v>
          </cell>
        </row>
        <row r="365">
          <cell r="G365">
            <v>4</v>
          </cell>
          <cell r="H365" t="str">
            <v>Within 165 feet</v>
          </cell>
          <cell r="I365">
            <v>3349559862</v>
          </cell>
        </row>
        <row r="366">
          <cell r="G366">
            <v>2</v>
          </cell>
          <cell r="H366" t="str">
            <v>Within 1 mile</v>
          </cell>
          <cell r="I366">
            <v>3352749837</v>
          </cell>
        </row>
        <row r="367">
          <cell r="G367">
            <v>2</v>
          </cell>
          <cell r="H367" t="str">
            <v>Not Verified to be within 1 mile</v>
          </cell>
          <cell r="I367">
            <v>3342618334</v>
          </cell>
        </row>
        <row r="368">
          <cell r="G368">
            <v>12</v>
          </cell>
          <cell r="H368" t="str">
            <v>Within 40 feet</v>
          </cell>
          <cell r="I368">
            <v>3337409645</v>
          </cell>
        </row>
        <row r="369">
          <cell r="G369">
            <v>4</v>
          </cell>
          <cell r="H369" t="str">
            <v>Within 40 feet</v>
          </cell>
          <cell r="I369">
            <v>3340396311</v>
          </cell>
        </row>
        <row r="370">
          <cell r="G370">
            <v>6</v>
          </cell>
          <cell r="H370" t="str">
            <v>Within 40 feet</v>
          </cell>
          <cell r="I370">
            <v>3337426904</v>
          </cell>
        </row>
        <row r="371">
          <cell r="G371">
            <v>4</v>
          </cell>
          <cell r="H371" t="str">
            <v>Within 1 mile</v>
          </cell>
          <cell r="I371">
            <v>3337409656</v>
          </cell>
        </row>
        <row r="372">
          <cell r="G372">
            <v>6</v>
          </cell>
          <cell r="H372" t="str">
            <v>Within 165 feet</v>
          </cell>
          <cell r="I372">
            <v>3349559838</v>
          </cell>
        </row>
        <row r="373">
          <cell r="G373">
            <v>2</v>
          </cell>
          <cell r="H373" t="str">
            <v>Within 1 mile</v>
          </cell>
          <cell r="I373">
            <v>3342617828</v>
          </cell>
        </row>
        <row r="374">
          <cell r="G374">
            <v>2</v>
          </cell>
          <cell r="H374" t="str">
            <v>Within 165 feet</v>
          </cell>
          <cell r="I374">
            <v>3349560011</v>
          </cell>
        </row>
        <row r="375">
          <cell r="G375">
            <v>1</v>
          </cell>
          <cell r="H375" t="str">
            <v>Not verified to be within 1 mile</v>
          </cell>
          <cell r="I375">
            <v>3349559914</v>
          </cell>
        </row>
        <row r="376">
          <cell r="G376">
            <v>1</v>
          </cell>
          <cell r="H376" t="str">
            <v>Not verified to be within 1 mile</v>
          </cell>
          <cell r="I376">
            <v>3349559874</v>
          </cell>
        </row>
        <row r="377">
          <cell r="G377">
            <v>12</v>
          </cell>
          <cell r="H377" t="str">
            <v>Within 165 feet</v>
          </cell>
          <cell r="I377">
            <v>3341136828</v>
          </cell>
        </row>
        <row r="378">
          <cell r="G378">
            <v>2</v>
          </cell>
          <cell r="H378" t="str">
            <v>Within 1 mile</v>
          </cell>
          <cell r="I378">
            <v>3352749925</v>
          </cell>
        </row>
        <row r="379">
          <cell r="G379">
            <v>1</v>
          </cell>
          <cell r="H379" t="str">
            <v>Not Verified to be within 1 mile</v>
          </cell>
          <cell r="I379">
            <v>3337409743</v>
          </cell>
        </row>
        <row r="380">
          <cell r="G380">
            <v>1</v>
          </cell>
          <cell r="H380" t="str">
            <v>Within 1 mile</v>
          </cell>
          <cell r="I380">
            <v>3337409748</v>
          </cell>
        </row>
        <row r="381">
          <cell r="G381">
            <v>3</v>
          </cell>
          <cell r="H381" t="str">
            <v>Within 165 feet</v>
          </cell>
          <cell r="I381">
            <v>3337409756</v>
          </cell>
        </row>
        <row r="382">
          <cell r="G382">
            <v>2</v>
          </cell>
          <cell r="H382" t="str">
            <v>Within 1 mile</v>
          </cell>
          <cell r="I382">
            <v>3353097640</v>
          </cell>
        </row>
        <row r="383">
          <cell r="G383">
            <v>1</v>
          </cell>
          <cell r="H383" t="str">
            <v>Within 1 mile</v>
          </cell>
          <cell r="I383">
            <v>3353098104</v>
          </cell>
        </row>
        <row r="384">
          <cell r="G384">
            <v>4</v>
          </cell>
          <cell r="H384" t="str">
            <v>Not verified to be within 1 mile</v>
          </cell>
          <cell r="I384">
            <v>3349560217</v>
          </cell>
        </row>
        <row r="385">
          <cell r="G385">
            <v>1</v>
          </cell>
          <cell r="H385" t="str">
            <v>Not verified to be within 1 mile</v>
          </cell>
          <cell r="I385">
            <v>3349559919</v>
          </cell>
        </row>
        <row r="386">
          <cell r="G386">
            <v>5</v>
          </cell>
          <cell r="H386" t="str">
            <v>Within 165 feet</v>
          </cell>
          <cell r="I386">
            <v>3349559832</v>
          </cell>
        </row>
        <row r="387">
          <cell r="G387">
            <v>9</v>
          </cell>
          <cell r="H387" t="str">
            <v>Within 165 feet</v>
          </cell>
          <cell r="I387">
            <v>3337409874</v>
          </cell>
        </row>
        <row r="388">
          <cell r="G388">
            <v>1</v>
          </cell>
          <cell r="H388" t="str">
            <v>Within 1 mile</v>
          </cell>
          <cell r="I388">
            <v>3342617990</v>
          </cell>
        </row>
        <row r="389">
          <cell r="G389">
            <v>1</v>
          </cell>
          <cell r="H389" t="str">
            <v>Not verified to be within 1 mile</v>
          </cell>
          <cell r="I389">
            <v>3349560278</v>
          </cell>
        </row>
        <row r="390">
          <cell r="G390">
            <v>1</v>
          </cell>
          <cell r="H390" t="str">
            <v>Not verified to be within 1 mile</v>
          </cell>
          <cell r="I390">
            <v>3349560387</v>
          </cell>
        </row>
        <row r="391">
          <cell r="G391">
            <v>2</v>
          </cell>
          <cell r="H391" t="str">
            <v>Not Verified to be within 1 mile</v>
          </cell>
          <cell r="I391">
            <v>3342617929</v>
          </cell>
        </row>
        <row r="392">
          <cell r="G392">
            <v>3</v>
          </cell>
          <cell r="H392" t="str">
            <v>Within 165 feet</v>
          </cell>
          <cell r="I392">
            <v>3337409954</v>
          </cell>
        </row>
        <row r="393">
          <cell r="G393">
            <v>2</v>
          </cell>
          <cell r="H393" t="str">
            <v>Within 1 mile</v>
          </cell>
          <cell r="I393">
            <v>3342618113</v>
          </cell>
        </row>
        <row r="394">
          <cell r="G394">
            <v>1</v>
          </cell>
          <cell r="H394" t="str">
            <v>Within 165 feet</v>
          </cell>
          <cell r="I394">
            <v>3337409983</v>
          </cell>
        </row>
        <row r="395">
          <cell r="G395">
            <v>1</v>
          </cell>
          <cell r="H395" t="str">
            <v>Not verified to be within 1 mile</v>
          </cell>
          <cell r="I395">
            <v>3349559805</v>
          </cell>
        </row>
        <row r="396">
          <cell r="G396">
            <v>1</v>
          </cell>
          <cell r="H396" t="str">
            <v>Not verified to be within 1 mile</v>
          </cell>
          <cell r="I396">
            <v>3349559825</v>
          </cell>
        </row>
        <row r="397">
          <cell r="G397">
            <v>2</v>
          </cell>
          <cell r="H397" t="str">
            <v>Within 165 feet</v>
          </cell>
          <cell r="I397">
            <v>3337410057</v>
          </cell>
        </row>
        <row r="398">
          <cell r="G398">
            <v>12</v>
          </cell>
          <cell r="H398" t="str">
            <v>Within 165 feet</v>
          </cell>
          <cell r="I398">
            <v>3337410062</v>
          </cell>
        </row>
        <row r="399">
          <cell r="G399">
            <v>3</v>
          </cell>
          <cell r="H399" t="str">
            <v>Within 40 feet</v>
          </cell>
          <cell r="I399">
            <v>3341136831</v>
          </cell>
        </row>
        <row r="400">
          <cell r="G400">
            <v>3</v>
          </cell>
          <cell r="H400" t="str">
            <v>Within 165 feet</v>
          </cell>
          <cell r="I400">
            <v>3337428277</v>
          </cell>
        </row>
        <row r="401">
          <cell r="G401">
            <v>1</v>
          </cell>
          <cell r="H401" t="str">
            <v>Not verified to be within 1 mile</v>
          </cell>
          <cell r="I401">
            <v>3349559963</v>
          </cell>
        </row>
        <row r="402">
          <cell r="G402">
            <v>2</v>
          </cell>
          <cell r="H402" t="str">
            <v>Within 1 mile</v>
          </cell>
          <cell r="I402">
            <v>3353097790</v>
          </cell>
        </row>
        <row r="403">
          <cell r="G403">
            <v>1</v>
          </cell>
          <cell r="H403" t="str">
            <v>Not Verified to be within 1 mile</v>
          </cell>
          <cell r="I403">
            <v>3342618228</v>
          </cell>
        </row>
        <row r="404">
          <cell r="G404">
            <v>5</v>
          </cell>
          <cell r="H404" t="str">
            <v>Within 1 mile</v>
          </cell>
          <cell r="I404">
            <v>3337428285</v>
          </cell>
        </row>
        <row r="405">
          <cell r="G405">
            <v>4</v>
          </cell>
          <cell r="H405" t="str">
            <v>Within 40 feet</v>
          </cell>
          <cell r="I405">
            <v>3337410138</v>
          </cell>
        </row>
        <row r="406">
          <cell r="G406">
            <v>4</v>
          </cell>
          <cell r="H406" t="str">
            <v>Within 40 feet</v>
          </cell>
          <cell r="I406">
            <v>3337410151</v>
          </cell>
        </row>
        <row r="407">
          <cell r="G407">
            <v>1</v>
          </cell>
          <cell r="H407" t="str">
            <v>Within 1 mile</v>
          </cell>
          <cell r="I407">
            <v>3337410164</v>
          </cell>
        </row>
        <row r="408">
          <cell r="G408">
            <v>8</v>
          </cell>
          <cell r="H408" t="str">
            <v>Within 40 feet</v>
          </cell>
          <cell r="I408">
            <v>3349559508</v>
          </cell>
        </row>
        <row r="409">
          <cell r="G409">
            <v>1</v>
          </cell>
          <cell r="H409" t="str">
            <v>Within 1 mile</v>
          </cell>
          <cell r="I409">
            <v>3337410170</v>
          </cell>
        </row>
        <row r="410">
          <cell r="G410">
            <v>2</v>
          </cell>
          <cell r="H410" t="str">
            <v>Within 1 mile</v>
          </cell>
          <cell r="I410">
            <v>3342618381</v>
          </cell>
        </row>
        <row r="411">
          <cell r="G411">
            <v>2</v>
          </cell>
          <cell r="H411" t="str">
            <v>Within 1 mile</v>
          </cell>
          <cell r="I411">
            <v>3352749867</v>
          </cell>
        </row>
        <row r="412">
          <cell r="G412">
            <v>1</v>
          </cell>
          <cell r="H412" t="str">
            <v>Not Verified to be within 1 mile</v>
          </cell>
          <cell r="I412">
            <v>3337410194</v>
          </cell>
        </row>
        <row r="413">
          <cell r="G413">
            <v>2</v>
          </cell>
          <cell r="H413" t="str">
            <v>Not verified to be within 1 mile</v>
          </cell>
          <cell r="I413">
            <v>3349559800</v>
          </cell>
        </row>
        <row r="414">
          <cell r="G414">
            <v>23</v>
          </cell>
          <cell r="H414" t="str">
            <v>Within 40 feet</v>
          </cell>
          <cell r="I414">
            <v>3337410205</v>
          </cell>
        </row>
        <row r="415">
          <cell r="G415">
            <v>2</v>
          </cell>
          <cell r="H415" t="str">
            <v>Within 1 mile</v>
          </cell>
          <cell r="I415">
            <v>3352750256</v>
          </cell>
        </row>
        <row r="416">
          <cell r="G416">
            <v>2</v>
          </cell>
          <cell r="H416" t="str">
            <v>Within 1 mile</v>
          </cell>
          <cell r="I416">
            <v>3337410218</v>
          </cell>
        </row>
        <row r="417">
          <cell r="G417">
            <v>3</v>
          </cell>
          <cell r="H417" t="str">
            <v>Not verified to be within 1 mile</v>
          </cell>
          <cell r="I417">
            <v>3337410227</v>
          </cell>
        </row>
        <row r="418">
          <cell r="G418">
            <v>5</v>
          </cell>
          <cell r="H418" t="str">
            <v>Within 40 feet</v>
          </cell>
          <cell r="I418">
            <v>3337410261</v>
          </cell>
        </row>
        <row r="419">
          <cell r="G419">
            <v>3</v>
          </cell>
          <cell r="H419" t="str">
            <v>Within 1 mile</v>
          </cell>
          <cell r="I419">
            <v>3337410263</v>
          </cell>
        </row>
        <row r="420">
          <cell r="G420">
            <v>2</v>
          </cell>
          <cell r="H420" t="str">
            <v>Within 1 mile</v>
          </cell>
          <cell r="I420">
            <v>3342617812</v>
          </cell>
        </row>
        <row r="421">
          <cell r="G421">
            <v>1</v>
          </cell>
          <cell r="H421" t="str">
            <v>Within 1 mile</v>
          </cell>
          <cell r="I421">
            <v>3352749879</v>
          </cell>
        </row>
        <row r="422">
          <cell r="G422">
            <v>2</v>
          </cell>
          <cell r="H422" t="str">
            <v>Within 165 feet</v>
          </cell>
          <cell r="I422">
            <v>3342618338</v>
          </cell>
        </row>
        <row r="423">
          <cell r="G423">
            <v>1</v>
          </cell>
          <cell r="H423" t="str">
            <v>Not verified to be within 1 mile</v>
          </cell>
          <cell r="I423">
            <v>3349559719</v>
          </cell>
        </row>
        <row r="424">
          <cell r="G424">
            <v>6</v>
          </cell>
          <cell r="H424" t="str">
            <v>Within 1 mile</v>
          </cell>
          <cell r="I424">
            <v>3337410310</v>
          </cell>
        </row>
        <row r="425">
          <cell r="G425">
            <v>11</v>
          </cell>
          <cell r="H425" t="str">
            <v>Within 40 feet</v>
          </cell>
          <cell r="I425">
            <v>3337410309</v>
          </cell>
        </row>
        <row r="426">
          <cell r="G426">
            <v>4</v>
          </cell>
          <cell r="H426" t="str">
            <v>Within 1 mile</v>
          </cell>
          <cell r="I426">
            <v>3365669817</v>
          </cell>
        </row>
        <row r="427">
          <cell r="G427">
            <v>2</v>
          </cell>
          <cell r="H427" t="str">
            <v>Within 165 feet</v>
          </cell>
          <cell r="I427">
            <v>3349559822</v>
          </cell>
        </row>
        <row r="428">
          <cell r="G428">
            <v>2</v>
          </cell>
          <cell r="H428" t="str">
            <v>Within 1 mile</v>
          </cell>
          <cell r="I428">
            <v>3352749869</v>
          </cell>
        </row>
        <row r="429">
          <cell r="G429">
            <v>4</v>
          </cell>
          <cell r="H429" t="str">
            <v>Within 165 feet</v>
          </cell>
          <cell r="I429">
            <v>3337410366</v>
          </cell>
        </row>
        <row r="430">
          <cell r="G430">
            <v>1</v>
          </cell>
          <cell r="H430" t="str">
            <v>Not Verified to be within 1 mile</v>
          </cell>
          <cell r="I430">
            <v>3342617610</v>
          </cell>
        </row>
        <row r="431">
          <cell r="G431">
            <v>2</v>
          </cell>
          <cell r="H431" t="str">
            <v>Within 1 mile</v>
          </cell>
          <cell r="I431">
            <v>3352750163</v>
          </cell>
        </row>
        <row r="432">
          <cell r="G432">
            <v>1</v>
          </cell>
          <cell r="H432" t="str">
            <v>Not verified to be within 1 mile</v>
          </cell>
          <cell r="I432">
            <v>3349560300</v>
          </cell>
        </row>
        <row r="433">
          <cell r="G433">
            <v>1</v>
          </cell>
          <cell r="H433" t="str">
            <v>Not Verified to be within 1 mile</v>
          </cell>
          <cell r="I433">
            <v>3342618083</v>
          </cell>
        </row>
        <row r="434">
          <cell r="G434">
            <v>2</v>
          </cell>
          <cell r="H434" t="str">
            <v>Not verified to be within 1 mile</v>
          </cell>
          <cell r="I434">
            <v>3349560319</v>
          </cell>
        </row>
        <row r="435">
          <cell r="G435">
            <v>3</v>
          </cell>
          <cell r="H435" t="str">
            <v>Within 1 mile</v>
          </cell>
          <cell r="I435">
            <v>3342617815</v>
          </cell>
        </row>
        <row r="436">
          <cell r="G436">
            <v>3</v>
          </cell>
          <cell r="H436" t="str">
            <v>Within 40 feet</v>
          </cell>
          <cell r="I436">
            <v>3337427840</v>
          </cell>
        </row>
        <row r="437">
          <cell r="G437">
            <v>2</v>
          </cell>
          <cell r="H437" t="str">
            <v>Within 1 mile</v>
          </cell>
          <cell r="I437">
            <v>3352749868</v>
          </cell>
        </row>
        <row r="438">
          <cell r="G438">
            <v>2</v>
          </cell>
          <cell r="H438" t="str">
            <v>Within 1 mile</v>
          </cell>
          <cell r="I438">
            <v>3342617926</v>
          </cell>
        </row>
        <row r="439">
          <cell r="G439">
            <v>1</v>
          </cell>
          <cell r="H439" t="str">
            <v>Not verified to be within 1 mile</v>
          </cell>
          <cell r="I439">
            <v>3337410454</v>
          </cell>
        </row>
        <row r="440">
          <cell r="G440">
            <v>0</v>
          </cell>
          <cell r="H440" t="str">
            <v>Not Verified to be within 1 mile</v>
          </cell>
          <cell r="I440">
            <v>3342618404</v>
          </cell>
        </row>
        <row r="441">
          <cell r="G441">
            <v>4</v>
          </cell>
          <cell r="H441" t="str">
            <v>Within 40 feet</v>
          </cell>
          <cell r="I441">
            <v>3353097802</v>
          </cell>
        </row>
        <row r="442">
          <cell r="G442">
            <v>7</v>
          </cell>
          <cell r="H442" t="str">
            <v>Within 1 mile</v>
          </cell>
          <cell r="I442">
            <v>3337410466</v>
          </cell>
        </row>
        <row r="443">
          <cell r="G443">
            <v>2</v>
          </cell>
          <cell r="H443" t="str">
            <v>Within 1 mile</v>
          </cell>
          <cell r="I443">
            <v>3337410469</v>
          </cell>
        </row>
        <row r="444">
          <cell r="G444">
            <v>12</v>
          </cell>
          <cell r="H444" t="str">
            <v>Within 165 feet</v>
          </cell>
          <cell r="I444">
            <v>3337410472</v>
          </cell>
        </row>
        <row r="445">
          <cell r="G445">
            <v>1</v>
          </cell>
          <cell r="H445" t="str">
            <v>Not verified to be within 1 mile</v>
          </cell>
          <cell r="I445">
            <v>3349560209</v>
          </cell>
        </row>
        <row r="446">
          <cell r="G446">
            <v>2</v>
          </cell>
          <cell r="H446" t="str">
            <v>Within 1 mile</v>
          </cell>
          <cell r="I446">
            <v>3337410499</v>
          </cell>
        </row>
        <row r="447">
          <cell r="G447">
            <v>1</v>
          </cell>
          <cell r="H447" t="str">
            <v>Within 1 mile</v>
          </cell>
          <cell r="I447">
            <v>3342617830</v>
          </cell>
        </row>
        <row r="448">
          <cell r="G448">
            <v>2</v>
          </cell>
          <cell r="H448" t="str">
            <v>Within 1 mile</v>
          </cell>
          <cell r="I448">
            <v>3352749882</v>
          </cell>
        </row>
        <row r="449">
          <cell r="G449">
            <v>1</v>
          </cell>
          <cell r="H449" t="str">
            <v>Not verified to be within 1 mile</v>
          </cell>
          <cell r="I449">
            <v>3349559921</v>
          </cell>
        </row>
        <row r="450">
          <cell r="G450">
            <v>5</v>
          </cell>
          <cell r="H450" t="str">
            <v>Not Verified to be within 1 mile</v>
          </cell>
          <cell r="I450">
            <v>3342618330</v>
          </cell>
        </row>
        <row r="451">
          <cell r="G451">
            <v>8</v>
          </cell>
          <cell r="H451" t="str">
            <v>Within 40 feet</v>
          </cell>
          <cell r="I451">
            <v>3337410535</v>
          </cell>
        </row>
        <row r="452">
          <cell r="G452">
            <v>2</v>
          </cell>
          <cell r="H452" t="str">
            <v>Within 1 mile</v>
          </cell>
          <cell r="I452">
            <v>3337410539</v>
          </cell>
        </row>
        <row r="453">
          <cell r="G453">
            <v>2</v>
          </cell>
          <cell r="H453" t="str">
            <v>Not verified to be within 1 mile</v>
          </cell>
          <cell r="I453">
            <v>3349559748</v>
          </cell>
        </row>
        <row r="454">
          <cell r="G454">
            <v>1</v>
          </cell>
          <cell r="H454" t="str">
            <v>Within 1 mile</v>
          </cell>
          <cell r="I454">
            <v>3337410598</v>
          </cell>
        </row>
        <row r="455">
          <cell r="G455">
            <v>3</v>
          </cell>
          <cell r="H455" t="str">
            <v>Within 1 mile</v>
          </cell>
          <cell r="I455">
            <v>3337427581</v>
          </cell>
        </row>
        <row r="456">
          <cell r="G456">
            <v>1</v>
          </cell>
          <cell r="H456" t="str">
            <v>Within 1 mile</v>
          </cell>
          <cell r="I456">
            <v>3337410635</v>
          </cell>
        </row>
        <row r="457">
          <cell r="G457">
            <v>4</v>
          </cell>
          <cell r="H457" t="str">
            <v>Within 165 feet</v>
          </cell>
          <cell r="I457">
            <v>3337410647</v>
          </cell>
        </row>
        <row r="458">
          <cell r="G458">
            <v>1</v>
          </cell>
          <cell r="H458" t="str">
            <v>Not verified to be within 1 mile</v>
          </cell>
          <cell r="I458">
            <v>3349559767</v>
          </cell>
        </row>
        <row r="459">
          <cell r="G459">
            <v>1</v>
          </cell>
          <cell r="H459" t="str">
            <v>Within 1 mile</v>
          </cell>
          <cell r="I459">
            <v>3337410672</v>
          </cell>
        </row>
        <row r="460">
          <cell r="G460">
            <v>2</v>
          </cell>
          <cell r="H460" t="str">
            <v>Within 1 mile</v>
          </cell>
          <cell r="I460">
            <v>3342617609</v>
          </cell>
        </row>
        <row r="461">
          <cell r="G461">
            <v>2</v>
          </cell>
          <cell r="H461" t="str">
            <v>Within 40 feet</v>
          </cell>
          <cell r="I461">
            <v>3349559632</v>
          </cell>
        </row>
        <row r="462">
          <cell r="G462">
            <v>1</v>
          </cell>
          <cell r="H462" t="str">
            <v>Within 1 mile</v>
          </cell>
          <cell r="I462">
            <v>3352750020</v>
          </cell>
        </row>
        <row r="463">
          <cell r="G463">
            <v>1</v>
          </cell>
          <cell r="H463" t="str">
            <v>Not Verified to be within 1 mile</v>
          </cell>
          <cell r="I463">
            <v>3337410691</v>
          </cell>
        </row>
        <row r="464">
          <cell r="G464">
            <v>2</v>
          </cell>
          <cell r="H464" t="str">
            <v>Not Verified to be within 1 mile</v>
          </cell>
          <cell r="I464">
            <v>3342617891</v>
          </cell>
        </row>
        <row r="465">
          <cell r="G465">
            <v>1</v>
          </cell>
          <cell r="H465" t="str">
            <v>Within 1 mile</v>
          </cell>
          <cell r="I465">
            <v>3337410713</v>
          </cell>
        </row>
        <row r="466">
          <cell r="G466">
            <v>5</v>
          </cell>
          <cell r="H466" t="str">
            <v>Within 40 feet</v>
          </cell>
          <cell r="I466">
            <v>3337410744</v>
          </cell>
        </row>
        <row r="467">
          <cell r="G467">
            <v>1</v>
          </cell>
          <cell r="H467" t="str">
            <v>Within 1 mile</v>
          </cell>
          <cell r="I467">
            <v>3342618304</v>
          </cell>
        </row>
        <row r="468">
          <cell r="G468">
            <v>2</v>
          </cell>
          <cell r="H468" t="str">
            <v>Within 165 feet</v>
          </cell>
          <cell r="I468">
            <v>3353097786</v>
          </cell>
        </row>
        <row r="469">
          <cell r="G469">
            <v>2</v>
          </cell>
          <cell r="H469" t="str">
            <v>Within 1 mile</v>
          </cell>
          <cell r="I469">
            <v>3337430102</v>
          </cell>
        </row>
        <row r="470">
          <cell r="G470">
            <v>4</v>
          </cell>
          <cell r="H470" t="str">
            <v>Within 165 feet</v>
          </cell>
          <cell r="I470">
            <v>3349560046</v>
          </cell>
        </row>
        <row r="471">
          <cell r="G471">
            <v>4</v>
          </cell>
          <cell r="H471" t="str">
            <v>Within 40 feet</v>
          </cell>
          <cell r="I471">
            <v>3337410784</v>
          </cell>
        </row>
        <row r="472">
          <cell r="G472">
            <v>5</v>
          </cell>
          <cell r="H472" t="str">
            <v>Not verified to be within 1 mile</v>
          </cell>
          <cell r="I472">
            <v>3349560357</v>
          </cell>
        </row>
        <row r="473">
          <cell r="G473">
            <v>1</v>
          </cell>
          <cell r="H473" t="str">
            <v>Not verified to be within 1 mile</v>
          </cell>
          <cell r="I473">
            <v>3349559847</v>
          </cell>
        </row>
        <row r="474">
          <cell r="G474">
            <v>2</v>
          </cell>
          <cell r="H474" t="str">
            <v>Within 1 mile</v>
          </cell>
          <cell r="I474">
            <v>3353097532</v>
          </cell>
        </row>
        <row r="475">
          <cell r="G475">
            <v>2</v>
          </cell>
          <cell r="H475" t="str">
            <v>Within 1 mile</v>
          </cell>
          <cell r="I475">
            <v>3352749877</v>
          </cell>
        </row>
        <row r="476">
          <cell r="G476">
            <v>1</v>
          </cell>
          <cell r="H476" t="str">
            <v>Not verified to be within 1 mile</v>
          </cell>
          <cell r="I476">
            <v>3349559949</v>
          </cell>
        </row>
        <row r="477">
          <cell r="G477">
            <v>1</v>
          </cell>
          <cell r="H477" t="str">
            <v>Not verified to be within 1 mile</v>
          </cell>
          <cell r="I477">
            <v>3349559926</v>
          </cell>
        </row>
        <row r="478">
          <cell r="G478">
            <v>3</v>
          </cell>
          <cell r="H478" t="str">
            <v>Within 1 mile</v>
          </cell>
          <cell r="I478">
            <v>3337410875</v>
          </cell>
        </row>
        <row r="479">
          <cell r="G479">
            <v>5</v>
          </cell>
          <cell r="H479" t="str">
            <v>Within 1 mile</v>
          </cell>
          <cell r="I479">
            <v>3337410884</v>
          </cell>
        </row>
        <row r="480">
          <cell r="G480">
            <v>2</v>
          </cell>
          <cell r="H480" t="str">
            <v>Within 1 mile</v>
          </cell>
          <cell r="I480">
            <v>3337427325</v>
          </cell>
        </row>
        <row r="481">
          <cell r="G481">
            <v>5</v>
          </cell>
          <cell r="H481" t="str">
            <v>Not verified to be within 1 mile</v>
          </cell>
          <cell r="I481">
            <v>3349559940</v>
          </cell>
        </row>
        <row r="482">
          <cell r="G482">
            <v>2</v>
          </cell>
          <cell r="H482" t="str">
            <v>Not verified to be within 1 mile</v>
          </cell>
          <cell r="I482">
            <v>3337410893</v>
          </cell>
        </row>
        <row r="483">
          <cell r="G483">
            <v>1</v>
          </cell>
          <cell r="H483" t="str">
            <v>Within 1 mile</v>
          </cell>
          <cell r="I483">
            <v>3337410898</v>
          </cell>
        </row>
        <row r="484">
          <cell r="G484">
            <v>2</v>
          </cell>
          <cell r="H484" t="str">
            <v>Within 1 mile</v>
          </cell>
          <cell r="I484">
            <v>3337410924</v>
          </cell>
        </row>
        <row r="485">
          <cell r="G485">
            <v>4</v>
          </cell>
          <cell r="H485" t="str">
            <v>Within 1 mile</v>
          </cell>
          <cell r="I485">
            <v>3337427366</v>
          </cell>
        </row>
        <row r="486">
          <cell r="G486">
            <v>2</v>
          </cell>
          <cell r="H486" t="str">
            <v>Within 1 mile</v>
          </cell>
          <cell r="I486">
            <v>3337410952</v>
          </cell>
        </row>
        <row r="487">
          <cell r="G487">
            <v>3</v>
          </cell>
          <cell r="H487" t="str">
            <v>Within 165 feet</v>
          </cell>
          <cell r="I487">
            <v>3342617491</v>
          </cell>
        </row>
        <row r="488">
          <cell r="G488">
            <v>13</v>
          </cell>
          <cell r="H488" t="str">
            <v>Within 1 mile</v>
          </cell>
          <cell r="I488">
            <v>3337411001</v>
          </cell>
        </row>
        <row r="489">
          <cell r="G489">
            <v>2</v>
          </cell>
          <cell r="H489" t="str">
            <v>Within 1 mile</v>
          </cell>
          <cell r="I489">
            <v>3352749885</v>
          </cell>
        </row>
        <row r="490">
          <cell r="G490">
            <v>2</v>
          </cell>
          <cell r="H490" t="str">
            <v>Within 165 feet</v>
          </cell>
          <cell r="I490">
            <v>3337411020</v>
          </cell>
        </row>
        <row r="491">
          <cell r="G491">
            <v>1</v>
          </cell>
          <cell r="H491" t="str">
            <v>Within 1 mile</v>
          </cell>
          <cell r="I491">
            <v>3337411021</v>
          </cell>
        </row>
        <row r="492">
          <cell r="G492">
            <v>2</v>
          </cell>
          <cell r="H492" t="str">
            <v>Within 40 feet</v>
          </cell>
          <cell r="I492">
            <v>3337411027</v>
          </cell>
        </row>
        <row r="493">
          <cell r="G493">
            <v>5</v>
          </cell>
          <cell r="H493" t="str">
            <v>Within 1 mile</v>
          </cell>
          <cell r="I493">
            <v>3337411049</v>
          </cell>
        </row>
        <row r="494">
          <cell r="G494">
            <v>2</v>
          </cell>
          <cell r="H494" t="str">
            <v>Within 1 mile</v>
          </cell>
          <cell r="I494">
            <v>3342618370</v>
          </cell>
        </row>
        <row r="495">
          <cell r="G495">
            <v>1</v>
          </cell>
          <cell r="H495" t="str">
            <v>Within 1 mile</v>
          </cell>
          <cell r="I495">
            <v>3337411078</v>
          </cell>
        </row>
        <row r="496">
          <cell r="G496">
            <v>2</v>
          </cell>
          <cell r="H496" t="str">
            <v>Within 1 mile</v>
          </cell>
          <cell r="I496">
            <v>3341136760</v>
          </cell>
        </row>
        <row r="497">
          <cell r="G497">
            <v>3</v>
          </cell>
          <cell r="H497" t="str">
            <v>Within 1 mile</v>
          </cell>
          <cell r="I497">
            <v>3337411105</v>
          </cell>
        </row>
        <row r="498">
          <cell r="G498">
            <v>4</v>
          </cell>
          <cell r="H498" t="str">
            <v>Within 1 mile</v>
          </cell>
          <cell r="I498">
            <v>3337411112</v>
          </cell>
        </row>
        <row r="499">
          <cell r="G499">
            <v>2</v>
          </cell>
          <cell r="H499" t="str">
            <v>Within 1 mile</v>
          </cell>
          <cell r="I499">
            <v>3352749835</v>
          </cell>
        </row>
        <row r="500">
          <cell r="G500">
            <v>2</v>
          </cell>
          <cell r="H500" t="str">
            <v>Not verified to be within 1 mile</v>
          </cell>
          <cell r="I500">
            <v>3349560032</v>
          </cell>
        </row>
        <row r="501">
          <cell r="G501">
            <v>2</v>
          </cell>
          <cell r="H501" t="str">
            <v>Within 1 mile</v>
          </cell>
          <cell r="I501">
            <v>3342618088</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verview"/>
      <sheetName val="Update Log"/>
      <sheetName val="MLIST"/>
      <sheetName val="FILES"/>
      <sheetName val="APPLIC"/>
      <sheetName val="FEAS"/>
      <sheetName val="BASE"/>
      <sheetName val="STOCK"/>
      <sheetName val="TURN"/>
      <sheetName val="ACHIEV"/>
      <sheetName val="CODE"/>
      <sheetName val="SATS"/>
      <sheetName val="Bldgs"/>
      <sheetName val="Vars"/>
      <sheetName val="taxonomy"/>
      <sheetName val="Lookup"/>
      <sheetName val="UEC"/>
      <sheetName val="Tracking Status"/>
    </sheetNames>
    <definedNames>
      <definedName name="ExistingSat" refersTo="='SATS'!$B$10:$F$84"/>
    </definedNames>
    <sheetDataSet>
      <sheetData sheetId="0"/>
      <sheetData sheetId="1"/>
      <sheetData sheetId="2">
        <row r="10">
          <cell r="B10" t="str">
            <v>Lighting</v>
          </cell>
          <cell r="C10" t="str">
            <v>NR</v>
          </cell>
          <cell r="D10" t="str">
            <v>Lighting - NR</v>
          </cell>
        </row>
        <row r="11">
          <cell r="B11" t="str">
            <v>Lighting</v>
          </cell>
          <cell r="C11" t="str">
            <v>PPA</v>
          </cell>
          <cell r="D11" t="str">
            <v>Lighting - PPA</v>
          </cell>
        </row>
        <row r="12">
          <cell r="B12" t="str">
            <v>Dishwasher</v>
          </cell>
          <cell r="C12" t="str">
            <v>New</v>
          </cell>
          <cell r="D12" t="str">
            <v>Dishwasher - New</v>
          </cell>
        </row>
        <row r="13">
          <cell r="B13" t="str">
            <v>Dishwasher</v>
          </cell>
          <cell r="C13" t="str">
            <v>NR</v>
          </cell>
          <cell r="D13" t="str">
            <v>Dishwasher - NR</v>
          </cell>
        </row>
        <row r="14">
          <cell r="B14" t="str">
            <v>Clothes Washer</v>
          </cell>
          <cell r="C14" t="str">
            <v>New</v>
          </cell>
          <cell r="D14" t="str">
            <v>Clothes Washer - New</v>
          </cell>
        </row>
        <row r="15">
          <cell r="B15" t="str">
            <v>Clothes Washer</v>
          </cell>
          <cell r="C15" t="str">
            <v>NR</v>
          </cell>
          <cell r="D15" t="str">
            <v>Clothes Washer - NR</v>
          </cell>
        </row>
        <row r="16">
          <cell r="B16" t="str">
            <v>WasteWater Heat Recovery</v>
          </cell>
          <cell r="C16" t="str">
            <v>New</v>
          </cell>
          <cell r="D16" t="str">
            <v>WasteWater Heat Recovery - New</v>
          </cell>
        </row>
        <row r="17">
          <cell r="B17" t="str">
            <v>Showerheads</v>
          </cell>
          <cell r="C17" t="str">
            <v>New</v>
          </cell>
          <cell r="D17" t="str">
            <v>Showerheads - New</v>
          </cell>
        </row>
        <row r="18">
          <cell r="B18" t="str">
            <v>Showerheads</v>
          </cell>
          <cell r="C18" t="str">
            <v>Retro</v>
          </cell>
          <cell r="D18" t="str">
            <v>Showerheads - Retro</v>
          </cell>
        </row>
        <row r="19">
          <cell r="B19" t="str">
            <v>HPWH</v>
          </cell>
          <cell r="C19" t="str">
            <v>New</v>
          </cell>
          <cell r="D19" t="str">
            <v>HPWH - New</v>
          </cell>
        </row>
        <row r="20">
          <cell r="B20" t="str">
            <v>HPWH</v>
          </cell>
          <cell r="C20" t="str">
            <v>NR</v>
          </cell>
          <cell r="D20" t="str">
            <v>HPWH - NR</v>
          </cell>
        </row>
        <row r="21">
          <cell r="B21" t="str">
            <v>EV Supply Equip</v>
          </cell>
          <cell r="C21" t="str">
            <v>NR</v>
          </cell>
          <cell r="D21" t="str">
            <v>EV Supply Equip - NR</v>
          </cell>
        </row>
        <row r="22">
          <cell r="B22" t="str">
            <v>Clothes Dryer</v>
          </cell>
          <cell r="C22" t="str">
            <v>New</v>
          </cell>
          <cell r="D22" t="str">
            <v>Clothes Dryer - New</v>
          </cell>
        </row>
        <row r="23">
          <cell r="B23" t="str">
            <v>Clothes Dryer</v>
          </cell>
          <cell r="C23" t="str">
            <v>NR</v>
          </cell>
          <cell r="D23" t="str">
            <v>Clothes Dryer - NR</v>
          </cell>
        </row>
        <row r="24">
          <cell r="B24" t="str">
            <v>Refrigerator</v>
          </cell>
          <cell r="C24" t="str">
            <v>New</v>
          </cell>
          <cell r="D24" t="str">
            <v>Refrigerator - New</v>
          </cell>
        </row>
        <row r="25">
          <cell r="B25" t="str">
            <v>Refrigerator</v>
          </cell>
          <cell r="C25" t="str">
            <v>NR</v>
          </cell>
          <cell r="D25" t="str">
            <v>Refrigerator - NR</v>
          </cell>
        </row>
        <row r="26">
          <cell r="B26" t="str">
            <v>Freezer</v>
          </cell>
          <cell r="C26" t="str">
            <v>New</v>
          </cell>
          <cell r="D26" t="str">
            <v>Freezer - New</v>
          </cell>
        </row>
        <row r="27">
          <cell r="B27" t="str">
            <v>Freezer</v>
          </cell>
          <cell r="C27" t="str">
            <v>NR</v>
          </cell>
          <cell r="D27" t="str">
            <v>Freezer - NR</v>
          </cell>
        </row>
        <row r="28">
          <cell r="B28" t="str">
            <v>Solar Water Heater</v>
          </cell>
          <cell r="C28" t="str">
            <v>New</v>
          </cell>
          <cell r="D28" t="str">
            <v>Solar Water Heater - New</v>
          </cell>
        </row>
        <row r="29">
          <cell r="B29" t="str">
            <v>Solar Water Heater</v>
          </cell>
          <cell r="C29" t="str">
            <v>NR</v>
          </cell>
          <cell r="D29" t="str">
            <v>Solar Water Heater - NR</v>
          </cell>
        </row>
        <row r="30">
          <cell r="B30" t="str">
            <v>Solar Water Heater</v>
          </cell>
          <cell r="C30" t="str">
            <v>Retro</v>
          </cell>
          <cell r="D30" t="str">
            <v>Solar Water Heater - Retro</v>
          </cell>
        </row>
        <row r="33">
          <cell r="B33" t="str">
            <v>Electric Oven</v>
          </cell>
          <cell r="C33" t="str">
            <v>New</v>
          </cell>
          <cell r="D33" t="str">
            <v>Electric Oven - New</v>
          </cell>
        </row>
        <row r="34">
          <cell r="B34" t="str">
            <v>Electric Oven</v>
          </cell>
          <cell r="C34" t="str">
            <v>NR</v>
          </cell>
          <cell r="D34" t="str">
            <v>Electric Oven - NR</v>
          </cell>
        </row>
        <row r="35">
          <cell r="B35" t="str">
            <v>Microwave</v>
          </cell>
          <cell r="C35" t="str">
            <v>New</v>
          </cell>
          <cell r="D35" t="str">
            <v>Microwave - New</v>
          </cell>
        </row>
        <row r="36">
          <cell r="B36" t="str">
            <v>Microwave</v>
          </cell>
          <cell r="C36" t="str">
            <v>NR</v>
          </cell>
          <cell r="D36" t="str">
            <v>Microwave - NR</v>
          </cell>
        </row>
        <row r="37">
          <cell r="B37" t="str">
            <v>Monitor</v>
          </cell>
          <cell r="C37" t="str">
            <v>New</v>
          </cell>
          <cell r="D37" t="str">
            <v>Monitor - New</v>
          </cell>
        </row>
        <row r="38">
          <cell r="B38" t="str">
            <v>Monitor</v>
          </cell>
          <cell r="C38" t="str">
            <v>NR</v>
          </cell>
          <cell r="D38" t="str">
            <v>Monitor - NR</v>
          </cell>
        </row>
        <row r="39">
          <cell r="B39" t="str">
            <v>Desktop</v>
          </cell>
          <cell r="C39" t="str">
            <v>New</v>
          </cell>
          <cell r="D39" t="str">
            <v>Desktop - New</v>
          </cell>
        </row>
        <row r="40">
          <cell r="B40" t="str">
            <v>Desktop</v>
          </cell>
          <cell r="C40" t="str">
            <v>NR</v>
          </cell>
          <cell r="D40" t="str">
            <v>Desktop - NR</v>
          </cell>
        </row>
        <row r="41">
          <cell r="B41" t="str">
            <v>Laptop</v>
          </cell>
          <cell r="C41" t="str">
            <v>New</v>
          </cell>
          <cell r="D41" t="str">
            <v>Laptop - New</v>
          </cell>
        </row>
        <row r="42">
          <cell r="B42" t="str">
            <v>Laptop</v>
          </cell>
          <cell r="C42" t="str">
            <v>NR</v>
          </cell>
          <cell r="D42" t="str">
            <v>Laptop - NR</v>
          </cell>
        </row>
        <row r="43">
          <cell r="B43" t="str">
            <v>Computer</v>
          </cell>
          <cell r="C43" t="str">
            <v>New</v>
          </cell>
          <cell r="D43" t="str">
            <v>Computer - New</v>
          </cell>
        </row>
        <row r="44">
          <cell r="B44" t="str">
            <v>Computer</v>
          </cell>
          <cell r="C44" t="str">
            <v>NR</v>
          </cell>
          <cell r="D44" t="str">
            <v>Computer - NR</v>
          </cell>
        </row>
        <row r="45">
          <cell r="B45" t="str">
            <v>ASHP</v>
          </cell>
          <cell r="C45" t="str">
            <v>New</v>
          </cell>
          <cell r="D45" t="str">
            <v>ASHP - New</v>
          </cell>
        </row>
        <row r="46">
          <cell r="B46" t="str">
            <v>ASHP</v>
          </cell>
          <cell r="C46" t="str">
            <v>NR</v>
          </cell>
          <cell r="D46" t="str">
            <v>ASHP - NR</v>
          </cell>
        </row>
        <row r="47">
          <cell r="B47" t="str">
            <v>HP</v>
          </cell>
          <cell r="C47" t="str">
            <v>Retro</v>
          </cell>
          <cell r="D47" t="str">
            <v>HP - Retro</v>
          </cell>
        </row>
        <row r="48">
          <cell r="B48" t="str">
            <v>DHP</v>
          </cell>
          <cell r="C48" t="str">
            <v>New</v>
          </cell>
          <cell r="D48" t="str">
            <v>DHP - New</v>
          </cell>
        </row>
        <row r="49">
          <cell r="B49" t="str">
            <v>DHP</v>
          </cell>
          <cell r="C49" t="str">
            <v>NR</v>
          </cell>
          <cell r="D49" t="str">
            <v>DHP - NR</v>
          </cell>
        </row>
        <row r="50">
          <cell r="B50" t="str">
            <v>DHP</v>
          </cell>
          <cell r="C50" t="str">
            <v>Retro</v>
          </cell>
          <cell r="D50" t="str">
            <v>DHP - Retro</v>
          </cell>
        </row>
        <row r="51">
          <cell r="B51" t="str">
            <v>Duct Sealing</v>
          </cell>
          <cell r="C51" t="str">
            <v>New</v>
          </cell>
          <cell r="D51" t="str">
            <v>Duct Sealing - New</v>
          </cell>
        </row>
        <row r="52">
          <cell r="B52" t="str">
            <v>Duct Sealing</v>
          </cell>
          <cell r="C52" t="str">
            <v>Retro</v>
          </cell>
          <cell r="D52" t="str">
            <v>Duct Sealing - Retro</v>
          </cell>
        </row>
        <row r="53">
          <cell r="B53" t="str">
            <v>WIFI enabled tstats</v>
          </cell>
          <cell r="C53" t="str">
            <v>New</v>
          </cell>
          <cell r="D53" t="str">
            <v>WIFI enabled tstats - New</v>
          </cell>
        </row>
        <row r="54">
          <cell r="B54" t="str">
            <v>WIFI enabled tstats</v>
          </cell>
          <cell r="C54" t="str">
            <v>Retro</v>
          </cell>
          <cell r="D54" t="str">
            <v>WIFI enabled tstats - Retro</v>
          </cell>
        </row>
        <row r="55">
          <cell r="B55" t="str">
            <v>Combo DHP/HPWH units</v>
          </cell>
          <cell r="C55" t="str">
            <v>New</v>
          </cell>
          <cell r="D55" t="str">
            <v>Combo DHP/HPWH units - New</v>
          </cell>
        </row>
        <row r="56">
          <cell r="B56" t="str">
            <v>Combo DHP/HPWH units</v>
          </cell>
          <cell r="C56" t="str">
            <v>NR</v>
          </cell>
          <cell r="D56" t="str">
            <v>Combo DHP/HPWH units - NR</v>
          </cell>
        </row>
        <row r="57">
          <cell r="B57" t="str">
            <v>Combo DHP/HPWH units</v>
          </cell>
          <cell r="C57" t="str">
            <v>Retro</v>
          </cell>
          <cell r="D57" t="str">
            <v>Combo DHP/HPWH units - Retro</v>
          </cell>
        </row>
        <row r="58">
          <cell r="B58" t="str">
            <v>Aerator</v>
          </cell>
          <cell r="C58" t="str">
            <v>New</v>
          </cell>
          <cell r="D58" t="str">
            <v>Aerator - New</v>
          </cell>
        </row>
        <row r="59">
          <cell r="B59" t="str">
            <v>Aerator</v>
          </cell>
          <cell r="C59" t="str">
            <v>Retro</v>
          </cell>
          <cell r="D59" t="str">
            <v>Aerator - Retro</v>
          </cell>
        </row>
        <row r="60">
          <cell r="B60" t="str">
            <v>Behavior</v>
          </cell>
          <cell r="C60" t="str">
            <v>Retro</v>
          </cell>
          <cell r="D60" t="str">
            <v>Behavior - Retro</v>
          </cell>
        </row>
        <row r="61">
          <cell r="B61" t="str">
            <v>Behavior</v>
          </cell>
          <cell r="C61" t="str">
            <v>New</v>
          </cell>
          <cell r="D61" t="str">
            <v>Behavior - New</v>
          </cell>
        </row>
        <row r="63">
          <cell r="B63" t="str">
            <v>Heat Recovery Ventilation</v>
          </cell>
          <cell r="C63" t="str">
            <v>New</v>
          </cell>
          <cell r="D63" t="str">
            <v>Heat Recovery Ventilation - New</v>
          </cell>
        </row>
        <row r="64">
          <cell r="B64" t="str">
            <v>GSHP</v>
          </cell>
          <cell r="C64" t="str">
            <v>New</v>
          </cell>
          <cell r="D64" t="str">
            <v>GSHP - New</v>
          </cell>
        </row>
        <row r="65">
          <cell r="B65" t="str">
            <v>GSHP</v>
          </cell>
          <cell r="C65" t="str">
            <v>NR</v>
          </cell>
          <cell r="D65" t="str">
            <v>GSHP - NR</v>
          </cell>
        </row>
        <row r="66">
          <cell r="C66" t="str">
            <v>Retro</v>
          </cell>
        </row>
        <row r="67">
          <cell r="B67" t="str">
            <v>ECM for HVAC ventilation</v>
          </cell>
          <cell r="C67" t="str">
            <v>New</v>
          </cell>
          <cell r="D67" t="str">
            <v>ECM for HVAC ventilation - New</v>
          </cell>
        </row>
        <row r="68">
          <cell r="B68" t="str">
            <v>ECM for HVAC ventilation</v>
          </cell>
          <cell r="C68" t="str">
            <v>NR</v>
          </cell>
          <cell r="D68" t="str">
            <v>ECM for HVAC ventilation - NR</v>
          </cell>
        </row>
        <row r="69">
          <cell r="B69" t="str">
            <v>Whole house/attic fan</v>
          </cell>
          <cell r="C69" t="str">
            <v>New</v>
          </cell>
          <cell r="D69" t="str">
            <v>Whole house/attic fan - New</v>
          </cell>
        </row>
        <row r="70">
          <cell r="B70" t="str">
            <v>Whole house/attic fan</v>
          </cell>
          <cell r="C70" t="str">
            <v>Retro</v>
          </cell>
          <cell r="D70" t="str">
            <v>Whole house/attic fan - Retro</v>
          </cell>
        </row>
        <row r="71">
          <cell r="B71" t="str">
            <v>WH Pipe insulation</v>
          </cell>
          <cell r="C71" t="str">
            <v>Retro</v>
          </cell>
          <cell r="D71" t="str">
            <v>WH Pipe insulation - Retro</v>
          </cell>
        </row>
        <row r="72">
          <cell r="B72" t="str">
            <v>DHP Ducted</v>
          </cell>
          <cell r="C72" t="str">
            <v>NR</v>
          </cell>
          <cell r="D72" t="str">
            <v>DHP Ducted - NR</v>
          </cell>
        </row>
        <row r="73">
          <cell r="B73" t="str">
            <v>Advanced Power Strips</v>
          </cell>
          <cell r="C73" t="str">
            <v>New</v>
          </cell>
          <cell r="D73" t="str">
            <v>Advanced Power Strips - New</v>
          </cell>
        </row>
        <row r="74">
          <cell r="B74" t="str">
            <v>Advanced Power Strips</v>
          </cell>
          <cell r="C74" t="str">
            <v>Retro</v>
          </cell>
          <cell r="D74" t="str">
            <v>Advanced Power Strips - Retro</v>
          </cell>
        </row>
        <row r="75">
          <cell r="B75" t="str">
            <v>Controls Commissioning and Sizing</v>
          </cell>
          <cell r="C75" t="str">
            <v>New</v>
          </cell>
          <cell r="D75" t="str">
            <v>Controls Commissioning and Sizing - New</v>
          </cell>
        </row>
        <row r="76">
          <cell r="B76" t="str">
            <v>Controls Commissioning and Sizing</v>
          </cell>
          <cell r="C76" t="str">
            <v>NR</v>
          </cell>
          <cell r="D76" t="str">
            <v>Controls Commissioning and Sizing - NR</v>
          </cell>
        </row>
        <row r="77">
          <cell r="B77" t="str">
            <v>ResWx</v>
          </cell>
          <cell r="C77" t="str">
            <v>Retro</v>
          </cell>
          <cell r="D77" t="str">
            <v>ResWx - Retro</v>
          </cell>
        </row>
        <row r="78">
          <cell r="B78" t="str">
            <v>ATTIC R0 - R19</v>
          </cell>
          <cell r="C78" t="str">
            <v>Retro</v>
          </cell>
          <cell r="D78" t="str">
            <v>ATTIC R0 - R19 - Retro</v>
          </cell>
        </row>
        <row r="79">
          <cell r="B79" t="str">
            <v>ATTIC R0 - R22</v>
          </cell>
          <cell r="C79" t="str">
            <v>Retro</v>
          </cell>
          <cell r="D79" t="str">
            <v>ATTIC R0 - R22 - Retro</v>
          </cell>
        </row>
        <row r="80">
          <cell r="B80" t="str">
            <v>ATTIC R0 - R30</v>
          </cell>
          <cell r="C80" t="str">
            <v>Retro</v>
          </cell>
          <cell r="D80" t="str">
            <v>ATTIC R0 - R30 - Retro</v>
          </cell>
        </row>
        <row r="81">
          <cell r="B81" t="str">
            <v>ATTIC R0 - R38</v>
          </cell>
          <cell r="C81" t="str">
            <v>Retro</v>
          </cell>
          <cell r="D81" t="str">
            <v>ATTIC R0 - R38 - Retro</v>
          </cell>
        </row>
        <row r="82">
          <cell r="B82" t="str">
            <v>ATTIC R0 - R49</v>
          </cell>
          <cell r="C82" t="str">
            <v>Retro</v>
          </cell>
          <cell r="D82" t="str">
            <v>ATTIC R0 - R49 - Retro</v>
          </cell>
        </row>
        <row r="83">
          <cell r="B83" t="str">
            <v>ATTIC R11 - R30</v>
          </cell>
          <cell r="C83" t="str">
            <v>Retro</v>
          </cell>
          <cell r="D83" t="str">
            <v>ATTIC R11 - R30 - Retro</v>
          </cell>
        </row>
        <row r="84">
          <cell r="B84" t="str">
            <v>ATTIC R11 - R38</v>
          </cell>
          <cell r="C84" t="str">
            <v>Retro</v>
          </cell>
          <cell r="D84" t="str">
            <v>ATTIC R11 - R38 - Retro</v>
          </cell>
        </row>
      </sheetData>
      <sheetData sheetId="3">
        <row r="4">
          <cell r="H4">
            <v>2035</v>
          </cell>
        </row>
        <row r="10">
          <cell r="B10" t="str">
            <v>Lighting - New</v>
          </cell>
          <cell r="C10" t="str">
            <v>Res-Lighting-7P_v2.xlsx</v>
          </cell>
        </row>
        <row r="11">
          <cell r="B11" t="str">
            <v>Lighting - NR</v>
          </cell>
          <cell r="C11" t="str">
            <v>Res-Lighting-7P_v2.xlsx</v>
          </cell>
        </row>
        <row r="12">
          <cell r="B12" t="str">
            <v>Lighting - PPA</v>
          </cell>
          <cell r="C12" t="str">
            <v>Res-Lighting_PPA-7P_v3.xlsx</v>
          </cell>
        </row>
        <row r="13">
          <cell r="B13" t="str">
            <v>Dishwasher - New</v>
          </cell>
          <cell r="C13" t="str">
            <v>Res-Dishwasher-7P_v3.xlsx</v>
          </cell>
        </row>
        <row r="14">
          <cell r="B14" t="str">
            <v>Dishwasher - NR</v>
          </cell>
          <cell r="C14" t="str">
            <v>Res-Dishwasher-7P_v3.xlsx</v>
          </cell>
        </row>
        <row r="15">
          <cell r="B15" t="str">
            <v>Clothes Washer - New</v>
          </cell>
          <cell r="C15" t="str">
            <v>Res-ClothesWasher-7P_v2.xlsx</v>
          </cell>
        </row>
        <row r="16">
          <cell r="B16" t="str">
            <v>Clothes Washer - NR</v>
          </cell>
          <cell r="C16" t="str">
            <v>Res-ClothesWasher-7P_v2.xlsx</v>
          </cell>
        </row>
        <row r="17">
          <cell r="B17" t="str">
            <v>WasteWater Heat Recovery - New</v>
          </cell>
          <cell r="C17" t="str">
            <v>Res-GFX-7P_v2p.xlsx</v>
          </cell>
        </row>
        <row r="18">
          <cell r="B18" t="str">
            <v>Showerheads - New</v>
          </cell>
          <cell r="C18" t="str">
            <v>Res-Showerhead-7P_v4.xlsx</v>
          </cell>
        </row>
        <row r="19">
          <cell r="B19" t="str">
            <v>Showerheads - Retro</v>
          </cell>
          <cell r="C19" t="str">
            <v>Res-Showerhead-7P_v4.xlsx</v>
          </cell>
        </row>
        <row r="20">
          <cell r="B20" t="str">
            <v>HPWH - New</v>
          </cell>
          <cell r="C20" t="str">
            <v>Res-HPWH-7P_v3.xlsx</v>
          </cell>
        </row>
        <row r="21">
          <cell r="B21" t="str">
            <v>HPWH - NR</v>
          </cell>
          <cell r="C21" t="str">
            <v>Res-HPWH-7P_v3.xlsx</v>
          </cell>
        </row>
        <row r="22">
          <cell r="B22" t="str">
            <v>EV Supply Equip - NR</v>
          </cell>
          <cell r="C22" t="str">
            <v>Res-EVCharger-7P_v1p.xlsx</v>
          </cell>
        </row>
        <row r="23">
          <cell r="B23" t="str">
            <v>Clothes Dryer - New</v>
          </cell>
          <cell r="C23" t="str">
            <v>Res-ClothesDryer-7P_v2.xlsx</v>
          </cell>
        </row>
        <row r="24">
          <cell r="B24" t="str">
            <v>Clothes Dryer - NR</v>
          </cell>
          <cell r="C24" t="str">
            <v>Res-ClothesDryer-7P_v2.xlsx</v>
          </cell>
        </row>
        <row r="25">
          <cell r="B25" t="str">
            <v>Refrigerator - New</v>
          </cell>
          <cell r="C25" t="str">
            <v>Res-RefrigFreezer-7P_v3.xlsm</v>
          </cell>
        </row>
        <row r="26">
          <cell r="B26" t="str">
            <v>Refrigerator - NR</v>
          </cell>
          <cell r="C26" t="str">
            <v>Res-RefrigFreezer-7P_v3.xlsm</v>
          </cell>
        </row>
        <row r="27">
          <cell r="B27" t="str">
            <v>Freezer - New</v>
          </cell>
          <cell r="C27" t="str">
            <v>Res-RefrigFreezer-7P_v3.xlsm</v>
          </cell>
        </row>
        <row r="28">
          <cell r="B28" t="str">
            <v>Freezer - NR</v>
          </cell>
          <cell r="C28" t="str">
            <v>Res-RefrigFreezer-7P_v3.xlsm</v>
          </cell>
        </row>
        <row r="29">
          <cell r="B29" t="str">
            <v>Solar Water Heater - New</v>
          </cell>
          <cell r="C29" t="str">
            <v>Res-SWH-7P_v1.xlsx</v>
          </cell>
        </row>
        <row r="30">
          <cell r="B30" t="str">
            <v>Solar Water Heater - NR</v>
          </cell>
        </row>
        <row r="31">
          <cell r="B31" t="str">
            <v>Solar Water Heater - Retro</v>
          </cell>
          <cell r="C31" t="str">
            <v>Res-SWH-7P_v1.xlsx</v>
          </cell>
        </row>
        <row r="32">
          <cell r="B32">
            <v>0</v>
          </cell>
        </row>
        <row r="33">
          <cell r="B33">
            <v>0</v>
          </cell>
        </row>
        <row r="34">
          <cell r="B34" t="str">
            <v>Electric Oven - New</v>
          </cell>
          <cell r="C34" t="str">
            <v>Res-Oven-7P_v3.xlsx</v>
          </cell>
        </row>
        <row r="35">
          <cell r="B35" t="str">
            <v>Electric Oven - NR</v>
          </cell>
          <cell r="C35" t="str">
            <v>Res-Oven-7P_v3.xlsx</v>
          </cell>
        </row>
        <row r="36">
          <cell r="B36" t="str">
            <v>Microwave - New</v>
          </cell>
          <cell r="C36" t="str">
            <v>Res-Microwave-7P_v3.xlsx</v>
          </cell>
        </row>
        <row r="37">
          <cell r="B37" t="str">
            <v>Microwave - NR</v>
          </cell>
          <cell r="C37" t="str">
            <v>Res-Microwave-7P_v3.xlsx</v>
          </cell>
        </row>
        <row r="38">
          <cell r="B38" t="str">
            <v>Monitor - New</v>
          </cell>
          <cell r="C38" t="str">
            <v>Res-Computers-7P_v4.xlsx</v>
          </cell>
        </row>
        <row r="39">
          <cell r="B39" t="str">
            <v>Monitor - NR</v>
          </cell>
          <cell r="C39" t="str">
            <v>Res-Computers-7P_v4.xlsx</v>
          </cell>
        </row>
        <row r="40">
          <cell r="B40" t="str">
            <v>Desktop - New</v>
          </cell>
          <cell r="C40" t="str">
            <v>Res-Computers-7P_v4.xlsx</v>
          </cell>
        </row>
        <row r="41">
          <cell r="B41" t="str">
            <v>Desktop - NR</v>
          </cell>
          <cell r="C41" t="str">
            <v>Res-Computers-7P_v4.xlsx</v>
          </cell>
        </row>
        <row r="42">
          <cell r="B42" t="str">
            <v>Laptop - New</v>
          </cell>
          <cell r="C42" t="str">
            <v>Res-Computers-7P_v4.xlsx</v>
          </cell>
        </row>
        <row r="43">
          <cell r="B43" t="str">
            <v>Laptop - NR</v>
          </cell>
          <cell r="C43" t="str">
            <v>Res-Computers-7P_v4.xlsx</v>
          </cell>
        </row>
        <row r="46">
          <cell r="B46" t="str">
            <v>ASHP - New</v>
          </cell>
          <cell r="C46" t="str">
            <v>Res-SF_HP-7P_v3.xlsx</v>
          </cell>
        </row>
        <row r="47">
          <cell r="B47" t="str">
            <v>ASHP - NR</v>
          </cell>
          <cell r="C47" t="str">
            <v>Res-SF_HP-7P_v3.xlsx</v>
          </cell>
        </row>
        <row r="49">
          <cell r="B49" t="str">
            <v>DHP - New</v>
          </cell>
          <cell r="C49" t="str">
            <v>Res-SF_HP-7P_v3.xlsx</v>
          </cell>
        </row>
        <row r="50">
          <cell r="B50" t="str">
            <v>DHP - NR</v>
          </cell>
          <cell r="C50" t="str">
            <v>Res-SF_HP-7P_v3.xlsx</v>
          </cell>
        </row>
        <row r="51">
          <cell r="B51" t="str">
            <v>DHP - Retro</v>
          </cell>
        </row>
        <row r="52">
          <cell r="B52" t="str">
            <v>Duct Sealing - New</v>
          </cell>
          <cell r="C52" t="str">
            <v>Res-Duct_Seal-7P_v3.xlsx</v>
          </cell>
        </row>
        <row r="53">
          <cell r="B53" t="str">
            <v>Duct Sealing - Retro</v>
          </cell>
          <cell r="C53" t="str">
            <v>Res-Duct_Seal-7P_v3.xlsx</v>
          </cell>
        </row>
        <row r="54">
          <cell r="B54" t="str">
            <v>WIFI enabled tstats - New</v>
          </cell>
          <cell r="C54" t="str">
            <v>Res-WiFitstat-7P_v3.xlsx</v>
          </cell>
        </row>
        <row r="55">
          <cell r="B55" t="str">
            <v>WIFI enabled tstats - Retro</v>
          </cell>
          <cell r="C55" t="str">
            <v>Res-WiFitstat-7P_v3.xlsx</v>
          </cell>
        </row>
        <row r="56">
          <cell r="B56" t="str">
            <v>Combo DHP/HPWH units - New</v>
          </cell>
        </row>
        <row r="57">
          <cell r="B57" t="str">
            <v>Combo DHP/HPWH units - NR</v>
          </cell>
        </row>
        <row r="58">
          <cell r="B58" t="str">
            <v>Combo DHP/HPWH units - Retro</v>
          </cell>
        </row>
        <row r="59">
          <cell r="B59" t="str">
            <v>Aerator - New</v>
          </cell>
          <cell r="C59" t="str">
            <v>Res-Aerator-7P_v4.xlsx</v>
          </cell>
        </row>
        <row r="60">
          <cell r="B60" t="str">
            <v>Aerator - Retro</v>
          </cell>
          <cell r="C60" t="str">
            <v>Res-Aerator-7P_v4.xlsx</v>
          </cell>
        </row>
        <row r="61">
          <cell r="B61" t="str">
            <v>Behavior - Retro</v>
          </cell>
          <cell r="C61" t="str">
            <v>Res-COP-7P_v2.xlsx</v>
          </cell>
        </row>
        <row r="62">
          <cell r="B62" t="str">
            <v>Behavior - New</v>
          </cell>
          <cell r="C62" t="str">
            <v>Res-COP-7P_v2.xlsx</v>
          </cell>
        </row>
        <row r="63">
          <cell r="B63">
            <v>0</v>
          </cell>
        </row>
        <row r="64">
          <cell r="B64" t="str">
            <v>Heat Recovery Ventilation - New</v>
          </cell>
          <cell r="C64" t="str">
            <v>Res-HRV-7P_v1.xlsx</v>
          </cell>
        </row>
        <row r="65">
          <cell r="B65" t="str">
            <v>GSHP - New</v>
          </cell>
          <cell r="C65" t="str">
            <v>Res-GSHP-7P_v1.xlsx</v>
          </cell>
        </row>
        <row r="66">
          <cell r="B66" t="str">
            <v>GSHP - NR</v>
          </cell>
          <cell r="C66" t="str">
            <v>Res-GSHP-7P_v1.xlsx</v>
          </cell>
        </row>
        <row r="67">
          <cell r="B67">
            <v>0</v>
          </cell>
        </row>
        <row r="68">
          <cell r="B68" t="str">
            <v>ECM for HVAC ventilation - New</v>
          </cell>
        </row>
        <row r="69">
          <cell r="B69" t="str">
            <v>ECM for HVAC ventilation - NR</v>
          </cell>
        </row>
        <row r="70">
          <cell r="B70" t="str">
            <v>Whole house/attic fan - New</v>
          </cell>
        </row>
        <row r="71">
          <cell r="B71" t="str">
            <v>Whole house/attic fan - Retro</v>
          </cell>
        </row>
        <row r="72">
          <cell r="B72" t="str">
            <v>WH Pipe insulation - Retro</v>
          </cell>
        </row>
        <row r="73">
          <cell r="B73" t="str">
            <v>DHP Ducted - NR</v>
          </cell>
          <cell r="C73" t="str">
            <v>Res-FAF to DHP-7P_v1.xlsx</v>
          </cell>
        </row>
        <row r="74">
          <cell r="B74" t="str">
            <v>Advanced Power Strips - New</v>
          </cell>
          <cell r="C74" t="str">
            <v>Res-PowerStrips-7P_v4.xlsx</v>
          </cell>
        </row>
        <row r="75">
          <cell r="B75" t="str">
            <v>Advanced Power Strips - Retro</v>
          </cell>
          <cell r="C75" t="str">
            <v>Res-PowerStrips-7P_v4.xlsx</v>
          </cell>
        </row>
        <row r="76">
          <cell r="B76" t="str">
            <v>Controls Commissioning and Sizing - New</v>
          </cell>
          <cell r="C76" t="str">
            <v>Res-CCS-7P_v3.xlsx</v>
          </cell>
        </row>
        <row r="77">
          <cell r="B77" t="str">
            <v>Controls Commissioning and Sizing - NR</v>
          </cell>
          <cell r="C77" t="str">
            <v>Res-CCS-7P_v3.xlsx</v>
          </cell>
        </row>
        <row r="78">
          <cell r="B78" t="str">
            <v>ResWx - Retro</v>
          </cell>
          <cell r="C78" t="str">
            <v>Res-SF_Wx-7P_v4.xlsx</v>
          </cell>
        </row>
        <row r="79">
          <cell r="B79" t="str">
            <v>ResWx - Retro</v>
          </cell>
          <cell r="C79" t="str">
            <v>Res-MF_Wx-7P_v4.xlsx</v>
          </cell>
        </row>
        <row r="80">
          <cell r="B80" t="str">
            <v>ResWx - Retro</v>
          </cell>
          <cell r="C80" t="str">
            <v>Res-MH_Wx-7P_v3.xlsx</v>
          </cell>
        </row>
      </sheetData>
      <sheetData sheetId="4">
        <row r="8">
          <cell r="B8" t="str">
            <v>Measure Index Name</v>
          </cell>
          <cell r="C8" t="str">
            <v>Single Family</v>
          </cell>
          <cell r="D8" t="str">
            <v>Multifamily - Low Rise</v>
          </cell>
          <cell r="E8" t="str">
            <v>Multifamily - High Rise</v>
          </cell>
          <cell r="F8" t="str">
            <v>Manufactured</v>
          </cell>
        </row>
        <row r="9">
          <cell r="B9" t="str">
            <v>Lighting - New</v>
          </cell>
          <cell r="C9">
            <v>0.76500000000000001</v>
          </cell>
          <cell r="D9">
            <v>0.76500000000000001</v>
          </cell>
          <cell r="E9">
            <v>0.76500000000000001</v>
          </cell>
          <cell r="F9">
            <v>0.76500000000000001</v>
          </cell>
        </row>
        <row r="10">
          <cell r="B10" t="str">
            <v>Lighting - NR</v>
          </cell>
          <cell r="C10">
            <v>0.9</v>
          </cell>
          <cell r="D10">
            <v>0.9</v>
          </cell>
          <cell r="E10">
            <v>0.9</v>
          </cell>
          <cell r="F10">
            <v>0.9</v>
          </cell>
        </row>
        <row r="11">
          <cell r="B11" t="str">
            <v>Lighting - PPA</v>
          </cell>
          <cell r="C11">
            <v>0.9</v>
          </cell>
          <cell r="D11">
            <v>0.9</v>
          </cell>
          <cell r="E11">
            <v>0.9</v>
          </cell>
          <cell r="F11">
            <v>0.9</v>
          </cell>
        </row>
        <row r="12">
          <cell r="B12" t="str">
            <v>Dishwasher - New</v>
          </cell>
          <cell r="C12">
            <v>1</v>
          </cell>
          <cell r="D12">
            <v>1</v>
          </cell>
          <cell r="E12">
            <v>1</v>
          </cell>
          <cell r="F12">
            <v>1</v>
          </cell>
        </row>
        <row r="13">
          <cell r="B13" t="str">
            <v>Dishwasher - NR</v>
          </cell>
          <cell r="C13">
            <v>1</v>
          </cell>
          <cell r="D13">
            <v>1</v>
          </cell>
          <cell r="E13">
            <v>1</v>
          </cell>
          <cell r="F13">
            <v>1</v>
          </cell>
        </row>
        <row r="14">
          <cell r="B14" t="str">
            <v>Clothes Washer - New</v>
          </cell>
          <cell r="C14">
            <v>1</v>
          </cell>
          <cell r="D14">
            <v>0.75</v>
          </cell>
          <cell r="E14">
            <v>0.75</v>
          </cell>
          <cell r="F14">
            <v>1</v>
          </cell>
        </row>
        <row r="15">
          <cell r="B15" t="str">
            <v>Clothes Washer - NR</v>
          </cell>
          <cell r="C15">
            <v>1</v>
          </cell>
          <cell r="D15">
            <v>0.75</v>
          </cell>
          <cell r="E15">
            <v>0.75</v>
          </cell>
          <cell r="F15">
            <v>1</v>
          </cell>
        </row>
        <row r="16">
          <cell r="B16" t="str">
            <v>WasteWater Heat Recovery - New</v>
          </cell>
          <cell r="C16">
            <v>0.9</v>
          </cell>
          <cell r="D16">
            <v>0.5</v>
          </cell>
          <cell r="E16">
            <v>0.9</v>
          </cell>
          <cell r="F16">
            <v>0</v>
          </cell>
        </row>
        <row r="17">
          <cell r="B17" t="str">
            <v>Showerheads - New</v>
          </cell>
          <cell r="C17">
            <v>0.51600000000000001</v>
          </cell>
          <cell r="D17">
            <v>0.58000000000000007</v>
          </cell>
          <cell r="E17">
            <v>0.58000000000000007</v>
          </cell>
          <cell r="F17">
            <v>0.33999999999999997</v>
          </cell>
        </row>
        <row r="18">
          <cell r="B18" t="str">
            <v>Showerheads - Retro</v>
          </cell>
          <cell r="C18">
            <v>0.44247428657992416</v>
          </cell>
          <cell r="D18">
            <v>0.58000000000000007</v>
          </cell>
          <cell r="E18">
            <v>0.58000000000000007</v>
          </cell>
          <cell r="F18">
            <v>0.33999999999999997</v>
          </cell>
        </row>
        <row r="19">
          <cell r="B19" t="str">
            <v>HPWH - New</v>
          </cell>
          <cell r="C19">
            <v>0.94904999999999995</v>
          </cell>
          <cell r="D19">
            <v>0</v>
          </cell>
          <cell r="E19">
            <v>0</v>
          </cell>
          <cell r="F19">
            <v>0.95</v>
          </cell>
        </row>
        <row r="20">
          <cell r="B20" t="str">
            <v>HPWH - NR</v>
          </cell>
          <cell r="C20">
            <v>0.94904999999999995</v>
          </cell>
          <cell r="D20">
            <v>0</v>
          </cell>
          <cell r="E20">
            <v>0</v>
          </cell>
          <cell r="F20">
            <v>0.95</v>
          </cell>
        </row>
        <row r="21">
          <cell r="B21" t="str">
            <v>EV Supply Equip - NR</v>
          </cell>
          <cell r="C21">
            <v>0.89100000000000001</v>
          </cell>
          <cell r="D21">
            <v>0</v>
          </cell>
          <cell r="E21">
            <v>0</v>
          </cell>
          <cell r="F21">
            <v>0</v>
          </cell>
        </row>
        <row r="22">
          <cell r="B22" t="str">
            <v>Clothes Dryer - New</v>
          </cell>
          <cell r="C22">
            <v>0.9</v>
          </cell>
          <cell r="D22">
            <v>0.9</v>
          </cell>
          <cell r="E22">
            <v>0.9</v>
          </cell>
          <cell r="F22">
            <v>0.9</v>
          </cell>
        </row>
        <row r="23">
          <cell r="B23" t="str">
            <v>Clothes Dryer - NR</v>
          </cell>
          <cell r="C23">
            <v>0.9</v>
          </cell>
          <cell r="D23">
            <v>0.9</v>
          </cell>
          <cell r="E23">
            <v>0.9</v>
          </cell>
          <cell r="F23">
            <v>0.9</v>
          </cell>
        </row>
        <row r="24">
          <cell r="B24" t="str">
            <v>Refrigerator - New</v>
          </cell>
          <cell r="C24">
            <v>1</v>
          </cell>
          <cell r="D24">
            <v>1</v>
          </cell>
          <cell r="E24">
            <v>1</v>
          </cell>
          <cell r="F24">
            <v>1</v>
          </cell>
        </row>
        <row r="25">
          <cell r="B25" t="str">
            <v>Refrigerator - NR</v>
          </cell>
          <cell r="C25">
            <v>1</v>
          </cell>
          <cell r="D25">
            <v>1</v>
          </cell>
          <cell r="E25">
            <v>1</v>
          </cell>
          <cell r="F25">
            <v>1</v>
          </cell>
        </row>
        <row r="26">
          <cell r="B26" t="str">
            <v>Freezer - New</v>
          </cell>
          <cell r="C26">
            <v>1</v>
          </cell>
          <cell r="D26">
            <v>1</v>
          </cell>
          <cell r="E26">
            <v>1</v>
          </cell>
          <cell r="F26">
            <v>1</v>
          </cell>
        </row>
        <row r="27">
          <cell r="B27" t="str">
            <v>Freezer - NR</v>
          </cell>
          <cell r="C27">
            <v>1</v>
          </cell>
          <cell r="D27">
            <v>1</v>
          </cell>
          <cell r="E27">
            <v>1</v>
          </cell>
          <cell r="F27">
            <v>1</v>
          </cell>
        </row>
        <row r="28">
          <cell r="B28" t="str">
            <v>Solar Water Heater - New</v>
          </cell>
          <cell r="C28">
            <v>0.2475</v>
          </cell>
          <cell r="D28">
            <v>0.25</v>
          </cell>
          <cell r="E28">
            <v>0</v>
          </cell>
          <cell r="F28">
            <v>0</v>
          </cell>
        </row>
        <row r="29">
          <cell r="B29" t="str">
            <v>Solar Water Heater - NR</v>
          </cell>
          <cell r="C29">
            <v>0.2475</v>
          </cell>
          <cell r="D29">
            <v>0.25</v>
          </cell>
          <cell r="E29">
            <v>0</v>
          </cell>
          <cell r="F29">
            <v>0</v>
          </cell>
        </row>
        <row r="30">
          <cell r="B30" t="str">
            <v>Solar Water Heater - Retro</v>
          </cell>
          <cell r="C30">
            <v>0.2475</v>
          </cell>
          <cell r="D30">
            <v>0.25</v>
          </cell>
          <cell r="E30">
            <v>0</v>
          </cell>
          <cell r="F30">
            <v>0</v>
          </cell>
        </row>
        <row r="31">
          <cell r="B31">
            <v>0</v>
          </cell>
          <cell r="C31">
            <v>0</v>
          </cell>
          <cell r="D31">
            <v>0</v>
          </cell>
          <cell r="E31">
            <v>0</v>
          </cell>
          <cell r="F31">
            <v>0</v>
          </cell>
        </row>
        <row r="32">
          <cell r="B32">
            <v>0</v>
          </cell>
          <cell r="C32">
            <v>0</v>
          </cell>
          <cell r="D32">
            <v>0</v>
          </cell>
          <cell r="E32">
            <v>0</v>
          </cell>
          <cell r="F32">
            <v>0</v>
          </cell>
        </row>
        <row r="33">
          <cell r="B33" t="str">
            <v>Electric Oven - New</v>
          </cell>
          <cell r="C33">
            <v>0.9</v>
          </cell>
          <cell r="D33">
            <v>0.9</v>
          </cell>
          <cell r="E33">
            <v>0.9</v>
          </cell>
          <cell r="F33">
            <v>0.9</v>
          </cell>
        </row>
        <row r="34">
          <cell r="B34" t="str">
            <v>Electric Oven - NR</v>
          </cell>
          <cell r="C34">
            <v>0.9</v>
          </cell>
          <cell r="D34">
            <v>0.9</v>
          </cell>
          <cell r="E34">
            <v>0.9</v>
          </cell>
          <cell r="F34">
            <v>0.9</v>
          </cell>
        </row>
        <row r="35">
          <cell r="B35" t="str">
            <v>Microwave - New</v>
          </cell>
          <cell r="C35">
            <v>1</v>
          </cell>
          <cell r="D35">
            <v>1</v>
          </cell>
          <cell r="E35">
            <v>1</v>
          </cell>
          <cell r="F35">
            <v>1</v>
          </cell>
        </row>
        <row r="36">
          <cell r="B36" t="str">
            <v>Microwave - NR</v>
          </cell>
          <cell r="C36">
            <v>1</v>
          </cell>
          <cell r="D36">
            <v>1</v>
          </cell>
          <cell r="E36">
            <v>1</v>
          </cell>
          <cell r="F36">
            <v>1</v>
          </cell>
        </row>
        <row r="37">
          <cell r="B37" t="str">
            <v>Monitor - New</v>
          </cell>
          <cell r="C37">
            <v>0.44999999999999996</v>
          </cell>
          <cell r="D37">
            <v>0.44999999999999996</v>
          </cell>
          <cell r="E37">
            <v>0.44999999999999996</v>
          </cell>
          <cell r="F37">
            <v>0.44999999999999996</v>
          </cell>
        </row>
        <row r="38">
          <cell r="B38" t="str">
            <v>Monitor - NR</v>
          </cell>
          <cell r="C38">
            <v>0.44999999999999996</v>
          </cell>
          <cell r="D38">
            <v>0.44999999999999996</v>
          </cell>
          <cell r="E38">
            <v>0.44999999999999996</v>
          </cell>
          <cell r="F38">
            <v>0.44999999999999996</v>
          </cell>
        </row>
        <row r="39">
          <cell r="B39" t="str">
            <v>Desktop - New</v>
          </cell>
          <cell r="C39">
            <v>0.75</v>
          </cell>
          <cell r="D39">
            <v>0.75</v>
          </cell>
          <cell r="E39">
            <v>0.75</v>
          </cell>
          <cell r="F39">
            <v>0.75</v>
          </cell>
        </row>
        <row r="40">
          <cell r="B40" t="str">
            <v>Desktop - NR</v>
          </cell>
          <cell r="C40">
            <v>0.75</v>
          </cell>
          <cell r="D40">
            <v>0.75</v>
          </cell>
          <cell r="E40">
            <v>0.75</v>
          </cell>
          <cell r="F40">
            <v>0.75</v>
          </cell>
        </row>
        <row r="41">
          <cell r="B41" t="str">
            <v>Laptop - New</v>
          </cell>
          <cell r="C41">
            <v>0.26</v>
          </cell>
          <cell r="D41">
            <v>0.26</v>
          </cell>
          <cell r="E41">
            <v>0.26</v>
          </cell>
          <cell r="F41">
            <v>0.26</v>
          </cell>
        </row>
        <row r="42">
          <cell r="B42" t="str">
            <v>Laptop - NR</v>
          </cell>
          <cell r="C42">
            <v>0.26</v>
          </cell>
          <cell r="D42">
            <v>0.26</v>
          </cell>
          <cell r="E42">
            <v>0.26</v>
          </cell>
          <cell r="F42">
            <v>0.26</v>
          </cell>
        </row>
        <row r="43">
          <cell r="B43" t="str">
            <v>Computer - New</v>
          </cell>
        </row>
        <row r="44">
          <cell r="B44" t="str">
            <v>Computer - NR</v>
          </cell>
        </row>
        <row r="45">
          <cell r="B45" t="str">
            <v>ASHP - New</v>
          </cell>
          <cell r="C45">
            <v>0.88200000000000001</v>
          </cell>
          <cell r="D45">
            <v>0.5</v>
          </cell>
          <cell r="E45">
            <v>0</v>
          </cell>
          <cell r="F45">
            <v>0.9</v>
          </cell>
        </row>
        <row r="46">
          <cell r="B46" t="str">
            <v>ASHP - NR</v>
          </cell>
          <cell r="C46">
            <v>0.73499999999999999</v>
          </cell>
          <cell r="D46">
            <v>0.5</v>
          </cell>
          <cell r="E46">
            <v>0</v>
          </cell>
          <cell r="F46">
            <v>0.25</v>
          </cell>
        </row>
        <row r="47">
          <cell r="B47" t="str">
            <v>HP - Retro</v>
          </cell>
          <cell r="C47">
            <v>0</v>
          </cell>
          <cell r="D47">
            <v>0</v>
          </cell>
          <cell r="E47">
            <v>0</v>
          </cell>
          <cell r="F47">
            <v>0</v>
          </cell>
        </row>
        <row r="48">
          <cell r="B48" t="str">
            <v>DHP - New</v>
          </cell>
          <cell r="C48">
            <v>0.97019999999999995</v>
          </cell>
          <cell r="D48">
            <v>0.99</v>
          </cell>
          <cell r="E48">
            <v>0</v>
          </cell>
          <cell r="F48">
            <v>0.99</v>
          </cell>
        </row>
        <row r="49">
          <cell r="B49" t="str">
            <v>DHP - NR</v>
          </cell>
          <cell r="C49">
            <v>0.97019999999999995</v>
          </cell>
          <cell r="D49">
            <v>0.99</v>
          </cell>
          <cell r="E49">
            <v>0</v>
          </cell>
          <cell r="F49">
            <v>0.99</v>
          </cell>
        </row>
        <row r="50">
          <cell r="B50" t="str">
            <v>DHP - Retro</v>
          </cell>
          <cell r="C50">
            <v>0</v>
          </cell>
          <cell r="D50">
            <v>0</v>
          </cell>
          <cell r="E50">
            <v>0</v>
          </cell>
          <cell r="F50">
            <v>0</v>
          </cell>
        </row>
        <row r="51">
          <cell r="B51" t="str">
            <v>Duct Sealing - New</v>
          </cell>
          <cell r="C51">
            <v>0.4519771928174614</v>
          </cell>
          <cell r="D51">
            <v>0</v>
          </cell>
          <cell r="E51">
            <v>0</v>
          </cell>
          <cell r="F51">
            <v>0.54161498247447359</v>
          </cell>
        </row>
        <row r="52">
          <cell r="B52" t="str">
            <v>Duct Sealing - Retro</v>
          </cell>
          <cell r="C52">
            <v>0.4293783331765883</v>
          </cell>
          <cell r="D52">
            <v>0</v>
          </cell>
          <cell r="E52">
            <v>0</v>
          </cell>
          <cell r="F52">
            <v>0.51453423335074988</v>
          </cell>
        </row>
        <row r="53">
          <cell r="B53" t="str">
            <v>WIFI enabled tstats - New</v>
          </cell>
          <cell r="C53">
            <v>0.2</v>
          </cell>
          <cell r="D53">
            <v>0.2</v>
          </cell>
          <cell r="E53">
            <v>0</v>
          </cell>
          <cell r="F53">
            <v>0.2</v>
          </cell>
        </row>
        <row r="54">
          <cell r="B54" t="str">
            <v>WIFI enabled tstats - Retro</v>
          </cell>
          <cell r="C54">
            <v>0.19800000000000001</v>
          </cell>
          <cell r="D54">
            <v>0.19800000000000001</v>
          </cell>
          <cell r="E54">
            <v>0</v>
          </cell>
          <cell r="F54">
            <v>0.19800000000000001</v>
          </cell>
        </row>
        <row r="55">
          <cell r="B55" t="str">
            <v>Combo DHP/HPWH units - New</v>
          </cell>
          <cell r="C55">
            <v>0</v>
          </cell>
          <cell r="D55">
            <v>0</v>
          </cell>
          <cell r="E55">
            <v>0</v>
          </cell>
          <cell r="F55">
            <v>0</v>
          </cell>
        </row>
        <row r="56">
          <cell r="B56" t="str">
            <v>Combo DHP/HPWH units - NR</v>
          </cell>
          <cell r="C56">
            <v>0</v>
          </cell>
          <cell r="D56">
            <v>0</v>
          </cell>
          <cell r="E56">
            <v>0</v>
          </cell>
          <cell r="F56">
            <v>0</v>
          </cell>
        </row>
        <row r="57">
          <cell r="B57" t="str">
            <v>Combo DHP/HPWH units - Retro</v>
          </cell>
          <cell r="C57">
            <v>0</v>
          </cell>
          <cell r="D57">
            <v>0</v>
          </cell>
          <cell r="E57">
            <v>0</v>
          </cell>
          <cell r="F57">
            <v>0</v>
          </cell>
        </row>
        <row r="58">
          <cell r="B58" t="str">
            <v>Aerator - New</v>
          </cell>
          <cell r="C58">
            <v>0.315</v>
          </cell>
          <cell r="D58">
            <v>0.315</v>
          </cell>
          <cell r="E58">
            <v>0.315</v>
          </cell>
          <cell r="F58">
            <v>0.315</v>
          </cell>
        </row>
        <row r="59">
          <cell r="B59" t="str">
            <v>Aerator - Retro</v>
          </cell>
          <cell r="C59">
            <v>0.315</v>
          </cell>
          <cell r="D59">
            <v>0.315</v>
          </cell>
          <cell r="E59">
            <v>0.315</v>
          </cell>
          <cell r="F59">
            <v>0.315</v>
          </cell>
        </row>
        <row r="60">
          <cell r="B60" t="str">
            <v>Behavior - Retro</v>
          </cell>
          <cell r="C60">
            <v>0.48999999999999994</v>
          </cell>
          <cell r="D60">
            <v>0.48999999999999994</v>
          </cell>
          <cell r="E60">
            <v>0.48999999999999994</v>
          </cell>
          <cell r="F60">
            <v>0.48999999999999994</v>
          </cell>
        </row>
        <row r="61">
          <cell r="B61" t="str">
            <v>Behavior - New</v>
          </cell>
          <cell r="C61">
            <v>0.48999999999999994</v>
          </cell>
          <cell r="D61">
            <v>0.48999999999999994</v>
          </cell>
          <cell r="E61">
            <v>0.48999999999999994</v>
          </cell>
          <cell r="F61">
            <v>0.48999999999999994</v>
          </cell>
        </row>
        <row r="62">
          <cell r="B62">
            <v>0</v>
          </cell>
          <cell r="C62">
            <v>0</v>
          </cell>
          <cell r="D62">
            <v>0</v>
          </cell>
          <cell r="E62">
            <v>0</v>
          </cell>
          <cell r="F62">
            <v>0</v>
          </cell>
        </row>
        <row r="63">
          <cell r="B63" t="str">
            <v>Heat Recovery Ventilation - New</v>
          </cell>
          <cell r="C63">
            <v>0.89100000000000001</v>
          </cell>
          <cell r="D63">
            <v>0</v>
          </cell>
          <cell r="E63">
            <v>0</v>
          </cell>
          <cell r="F63">
            <v>0</v>
          </cell>
        </row>
        <row r="64">
          <cell r="B64" t="str">
            <v>GSHP - New</v>
          </cell>
          <cell r="C64">
            <v>0.12485156673907999</v>
          </cell>
          <cell r="D64">
            <v>0</v>
          </cell>
          <cell r="E64">
            <v>0</v>
          </cell>
          <cell r="F64">
            <v>0</v>
          </cell>
        </row>
        <row r="65">
          <cell r="B65" t="str">
            <v>GSHP - NR</v>
          </cell>
          <cell r="C65">
            <v>0.12485156673907999</v>
          </cell>
          <cell r="D65">
            <v>0</v>
          </cell>
          <cell r="E65">
            <v>0</v>
          </cell>
          <cell r="F65">
            <v>0</v>
          </cell>
        </row>
        <row r="66">
          <cell r="B66">
            <v>0</v>
          </cell>
          <cell r="C66">
            <v>0</v>
          </cell>
          <cell r="D66">
            <v>0</v>
          </cell>
          <cell r="E66">
            <v>0</v>
          </cell>
          <cell r="F66">
            <v>0</v>
          </cell>
        </row>
        <row r="67">
          <cell r="B67" t="str">
            <v>ECM for HVAC ventilation - New</v>
          </cell>
          <cell r="C67">
            <v>0</v>
          </cell>
          <cell r="D67">
            <v>0</v>
          </cell>
          <cell r="E67">
            <v>0</v>
          </cell>
          <cell r="F67">
            <v>0</v>
          </cell>
        </row>
        <row r="68">
          <cell r="B68" t="str">
            <v>ECM for HVAC ventilation - NR</v>
          </cell>
          <cell r="C68">
            <v>0</v>
          </cell>
          <cell r="D68">
            <v>0</v>
          </cell>
          <cell r="E68">
            <v>0</v>
          </cell>
          <cell r="F68">
            <v>0</v>
          </cell>
        </row>
        <row r="69">
          <cell r="B69" t="str">
            <v>Whole house/attic fan - New</v>
          </cell>
          <cell r="C69">
            <v>0</v>
          </cell>
          <cell r="D69">
            <v>0</v>
          </cell>
          <cell r="E69">
            <v>0</v>
          </cell>
          <cell r="F69">
            <v>0</v>
          </cell>
        </row>
        <row r="70">
          <cell r="B70" t="str">
            <v>Whole house/attic fan - Retro</v>
          </cell>
          <cell r="C70">
            <v>0</v>
          </cell>
          <cell r="D70">
            <v>0</v>
          </cell>
          <cell r="E70">
            <v>0</v>
          </cell>
          <cell r="F70">
            <v>0</v>
          </cell>
        </row>
        <row r="71">
          <cell r="B71" t="str">
            <v>WH Pipe insulation - Retro</v>
          </cell>
          <cell r="C71">
            <v>0</v>
          </cell>
          <cell r="D71">
            <v>0</v>
          </cell>
          <cell r="E71">
            <v>0</v>
          </cell>
          <cell r="F71">
            <v>0</v>
          </cell>
        </row>
        <row r="72">
          <cell r="B72" t="str">
            <v>DHP Ducted - NR</v>
          </cell>
          <cell r="C72">
            <v>0.2475</v>
          </cell>
          <cell r="D72">
            <v>0</v>
          </cell>
          <cell r="E72">
            <v>0</v>
          </cell>
          <cell r="F72">
            <v>0.74249999999999994</v>
          </cell>
        </row>
        <row r="73">
          <cell r="B73" t="str">
            <v>Advanced Power Strips - New</v>
          </cell>
          <cell r="C73">
            <v>0.33660000000000001</v>
          </cell>
          <cell r="D73">
            <v>0.2475</v>
          </cell>
          <cell r="E73">
            <v>0.2475</v>
          </cell>
          <cell r="F73">
            <v>0.2475</v>
          </cell>
        </row>
        <row r="74">
          <cell r="B74" t="str">
            <v>Advanced Power Strips - Retro</v>
          </cell>
          <cell r="C74">
            <v>0.33660000000000001</v>
          </cell>
          <cell r="D74">
            <v>0.2475</v>
          </cell>
          <cell r="E74">
            <v>0.2475</v>
          </cell>
          <cell r="F74">
            <v>0.2475</v>
          </cell>
        </row>
        <row r="75">
          <cell r="B75" t="str">
            <v>Controls Commissioning and Sizing - New</v>
          </cell>
          <cell r="C75">
            <v>0.76</v>
          </cell>
          <cell r="D75">
            <v>0</v>
          </cell>
          <cell r="E75">
            <v>0</v>
          </cell>
          <cell r="F75">
            <v>0.76</v>
          </cell>
        </row>
        <row r="76">
          <cell r="B76" t="str">
            <v>Controls Commissioning and Sizing - NR</v>
          </cell>
          <cell r="C76">
            <v>0.76</v>
          </cell>
          <cell r="D76">
            <v>0</v>
          </cell>
          <cell r="E76">
            <v>0</v>
          </cell>
          <cell r="F76">
            <v>0.76</v>
          </cell>
        </row>
        <row r="77">
          <cell r="B77" t="str">
            <v>ResWx - Retro</v>
          </cell>
          <cell r="C77">
            <v>0.95</v>
          </cell>
          <cell r="D77">
            <v>1</v>
          </cell>
          <cell r="E77">
            <v>0</v>
          </cell>
          <cell r="F77">
            <v>0.95</v>
          </cell>
        </row>
        <row r="78">
          <cell r="B78" t="str">
            <v>ATTIC R0 - R19 - Retro</v>
          </cell>
          <cell r="C78">
            <v>0</v>
          </cell>
          <cell r="D78">
            <v>5.4136342171710254E-2</v>
          </cell>
          <cell r="E78">
            <v>0</v>
          </cell>
          <cell r="F78">
            <v>0</v>
          </cell>
        </row>
        <row r="79">
          <cell r="B79" t="str">
            <v>ATTIC R0 - R22 - Retro</v>
          </cell>
          <cell r="C79">
            <v>0</v>
          </cell>
          <cell r="D79">
            <v>0</v>
          </cell>
          <cell r="E79">
            <v>0</v>
          </cell>
          <cell r="F79">
            <v>1.7654231774693385E-2</v>
          </cell>
        </row>
        <row r="80">
          <cell r="B80" t="str">
            <v>ATTIC R0 - R30 - Retro</v>
          </cell>
          <cell r="C80">
            <v>0</v>
          </cell>
          <cell r="D80">
            <v>0</v>
          </cell>
          <cell r="E80">
            <v>0</v>
          </cell>
          <cell r="F80">
            <v>5.370909487280473E-2</v>
          </cell>
        </row>
        <row r="81">
          <cell r="B81" t="str">
            <v>ATTIC R0 - R38 - Retro</v>
          </cell>
          <cell r="C81">
            <v>3.0150417138103489E-2</v>
          </cell>
          <cell r="D81">
            <v>1.0754159339533284E-2</v>
          </cell>
          <cell r="E81">
            <v>0</v>
          </cell>
          <cell r="F81">
            <v>0</v>
          </cell>
        </row>
        <row r="82">
          <cell r="B82" t="str">
            <v>ATTIC R0 - R49 - Retro</v>
          </cell>
          <cell r="C82">
            <v>1.6064798296574784E-2</v>
          </cell>
          <cell r="D82">
            <v>6.4148166587866887E-2</v>
          </cell>
          <cell r="E82">
            <v>0</v>
          </cell>
          <cell r="F82">
            <v>0</v>
          </cell>
        </row>
        <row r="83">
          <cell r="B83" t="str">
            <v>ATTIC R11 - R30 - Retro</v>
          </cell>
          <cell r="C83">
            <v>0</v>
          </cell>
          <cell r="D83">
            <v>0</v>
          </cell>
          <cell r="E83">
            <v>0</v>
          </cell>
          <cell r="F83">
            <v>1.0533305070999921E-3</v>
          </cell>
        </row>
        <row r="84">
          <cell r="B84" t="str">
            <v>ATTIC R11 - R38 - Retro</v>
          </cell>
          <cell r="C84">
            <v>2.4846271780712467E-2</v>
          </cell>
          <cell r="D84">
            <v>0</v>
          </cell>
          <cell r="E84">
            <v>0</v>
          </cell>
          <cell r="F84">
            <v>0</v>
          </cell>
        </row>
        <row r="85">
          <cell r="B85" t="str">
            <v>ATTIC R11 - R49 - Retro</v>
          </cell>
          <cell r="C85">
            <v>1.9498021140463982E-2</v>
          </cell>
          <cell r="D85">
            <v>0</v>
          </cell>
          <cell r="E85">
            <v>0</v>
          </cell>
          <cell r="F85">
            <v>0</v>
          </cell>
        </row>
        <row r="86">
          <cell r="B86" t="str">
            <v>ATTIC R19 - R30 - Retro</v>
          </cell>
          <cell r="C86">
            <v>0</v>
          </cell>
          <cell r="D86">
            <v>6.5125260012002723E-2</v>
          </cell>
          <cell r="E86">
            <v>0</v>
          </cell>
          <cell r="F86">
            <v>0</v>
          </cell>
        </row>
        <row r="87">
          <cell r="B87" t="str">
            <v>ATTIC R19 - R38 - Retro</v>
          </cell>
          <cell r="C87">
            <v>8.2033817107202978E-3</v>
          </cell>
          <cell r="D87">
            <v>1.0053116760243517E-2</v>
          </cell>
          <cell r="E87">
            <v>0</v>
          </cell>
          <cell r="F87">
            <v>0</v>
          </cell>
        </row>
        <row r="88">
          <cell r="B88" t="str">
            <v>ATTIC R19 - R49 - Retro</v>
          </cell>
          <cell r="C88">
            <v>1.7662848312546196E-2</v>
          </cell>
          <cell r="D88">
            <v>0.14766594591946242</v>
          </cell>
          <cell r="E88">
            <v>0</v>
          </cell>
          <cell r="F88">
            <v>0</v>
          </cell>
        </row>
        <row r="89">
          <cell r="B89" t="str">
            <v>WALL R0 - R11 - Retro</v>
          </cell>
          <cell r="C89">
            <v>8.46755457988283E-2</v>
          </cell>
          <cell r="D89">
            <v>8.6999999999999966E-2</v>
          </cell>
          <cell r="E89">
            <v>0</v>
          </cell>
          <cell r="F89">
            <v>0</v>
          </cell>
        </row>
        <row r="90">
          <cell r="B90" t="str">
            <v>FLOOR R0 - R19 - Retro</v>
          </cell>
          <cell r="C90">
            <v>7.8781984396844446E-2</v>
          </cell>
          <cell r="D90">
            <v>2.1455163910870823E-2</v>
          </cell>
          <cell r="E90">
            <v>0</v>
          </cell>
          <cell r="F90">
            <v>0</v>
          </cell>
        </row>
        <row r="91">
          <cell r="B91" t="str">
            <v>FLOOR R0 - R22 - Retro</v>
          </cell>
          <cell r="C91">
            <v>0</v>
          </cell>
          <cell r="D91">
            <v>0</v>
          </cell>
          <cell r="E91">
            <v>0</v>
          </cell>
          <cell r="F91">
            <v>1.0665247527328225E-2</v>
          </cell>
        </row>
        <row r="92">
          <cell r="B92" t="str">
            <v>FLOOR R0 - R25 - Retro</v>
          </cell>
          <cell r="C92">
            <v>4.555152699293441E-2</v>
          </cell>
          <cell r="D92">
            <v>0</v>
          </cell>
          <cell r="E92">
            <v>0</v>
          </cell>
          <cell r="F92">
            <v>0</v>
          </cell>
        </row>
        <row r="93">
          <cell r="B93" t="str">
            <v>FLOOR R0 - R30 - Retro</v>
          </cell>
          <cell r="C93">
            <v>0.10512619459663457</v>
          </cell>
          <cell r="D93">
            <v>0.23754483608912919</v>
          </cell>
          <cell r="E93">
            <v>0</v>
          </cell>
          <cell r="F93">
            <v>0</v>
          </cell>
        </row>
        <row r="94">
          <cell r="B94" t="str">
            <v>FLOOR R11 - R22 - Retro</v>
          </cell>
          <cell r="C94">
            <v>0</v>
          </cell>
          <cell r="D94">
            <v>0</v>
          </cell>
          <cell r="E94">
            <v>0</v>
          </cell>
          <cell r="F94">
            <v>1.6234206236719673E-2</v>
          </cell>
        </row>
        <row r="95">
          <cell r="B95" t="str">
            <v>WINDOW CL30 Prime Window Replacement of Single Pane Base - Retro</v>
          </cell>
          <cell r="C95">
            <v>3.5442601061513916E-2</v>
          </cell>
          <cell r="D95">
            <v>0.12758359544917094</v>
          </cell>
          <cell r="E95">
            <v>0</v>
          </cell>
          <cell r="F95">
            <v>1.3677383586228942E-2</v>
          </cell>
        </row>
        <row r="96">
          <cell r="B96" t="str">
            <v>WINDOW CL30 Prime Window Replacement of Double Pane Base - Retro</v>
          </cell>
          <cell r="C96">
            <v>0.74240695226153941</v>
          </cell>
          <cell r="D96">
            <v>0.66296155480151864</v>
          </cell>
          <cell r="E96">
            <v>0</v>
          </cell>
          <cell r="F96">
            <v>6.9568000974991058E-4</v>
          </cell>
        </row>
        <row r="97">
          <cell r="B97" t="str">
            <v>WINDOW CL22 Prime Window Replacement of Single Pane Base - Retro</v>
          </cell>
          <cell r="C97">
            <v>8.860650265378479E-3</v>
          </cell>
          <cell r="D97">
            <v>3.1895898862292736E-2</v>
          </cell>
          <cell r="E97">
            <v>0</v>
          </cell>
          <cell r="F97">
            <v>3.4193458965572354E-3</v>
          </cell>
        </row>
        <row r="98">
          <cell r="B98" t="str">
            <v>WINDOW CL22 Prime Window Replacement of Double Pane Base - Retro</v>
          </cell>
          <cell r="C98">
            <v>0.18560173806538485</v>
          </cell>
          <cell r="D98">
            <v>0.16574038870037966</v>
          </cell>
          <cell r="E98">
            <v>0</v>
          </cell>
          <cell r="F98">
            <v>1.7392000243747764E-4</v>
          </cell>
        </row>
        <row r="99">
          <cell r="B99" t="str">
            <v>CFM50 Infiltration Reduction - Retro</v>
          </cell>
          <cell r="C99">
            <v>0.3489194352936118</v>
          </cell>
          <cell r="D99">
            <v>0.5</v>
          </cell>
          <cell r="E99">
            <v>0</v>
          </cell>
          <cell r="F99">
            <v>8.366655018171143E-2</v>
          </cell>
        </row>
        <row r="100">
          <cell r="C100">
            <v>0</v>
          </cell>
          <cell r="D100">
            <v>0</v>
          </cell>
          <cell r="E100">
            <v>0</v>
          </cell>
          <cell r="F100">
            <v>0</v>
          </cell>
        </row>
      </sheetData>
      <sheetData sheetId="5">
        <row r="10">
          <cell r="B10" t="str">
            <v>Lighting - NR</v>
          </cell>
          <cell r="C10">
            <v>1</v>
          </cell>
          <cell r="D10">
            <v>1</v>
          </cell>
          <cell r="E10">
            <v>1</v>
          </cell>
          <cell r="F10">
            <v>1</v>
          </cell>
        </row>
        <row r="11">
          <cell r="B11" t="str">
            <v>Lighting - PPA</v>
          </cell>
          <cell r="C11">
            <v>1</v>
          </cell>
          <cell r="D11">
            <v>1</v>
          </cell>
          <cell r="E11">
            <v>1</v>
          </cell>
          <cell r="F11">
            <v>1</v>
          </cell>
        </row>
        <row r="12">
          <cell r="B12" t="str">
            <v>Dishwasher - New</v>
          </cell>
          <cell r="C12">
            <v>1</v>
          </cell>
          <cell r="D12">
            <v>1</v>
          </cell>
          <cell r="E12">
            <v>1</v>
          </cell>
          <cell r="F12">
            <v>1</v>
          </cell>
        </row>
        <row r="13">
          <cell r="B13" t="str">
            <v>Dishwasher - NR</v>
          </cell>
          <cell r="C13">
            <v>1</v>
          </cell>
          <cell r="D13">
            <v>1</v>
          </cell>
          <cell r="E13">
            <v>1</v>
          </cell>
          <cell r="F13">
            <v>1</v>
          </cell>
        </row>
        <row r="14">
          <cell r="B14" t="str">
            <v>Clothes Washer - New</v>
          </cell>
          <cell r="C14">
            <v>1</v>
          </cell>
          <cell r="D14">
            <v>0.75</v>
          </cell>
          <cell r="E14">
            <v>0.75</v>
          </cell>
          <cell r="F14">
            <v>1</v>
          </cell>
        </row>
        <row r="15">
          <cell r="B15" t="str">
            <v>Clothes Washer - NR</v>
          </cell>
          <cell r="C15">
            <v>1</v>
          </cell>
          <cell r="D15">
            <v>0.75</v>
          </cell>
          <cell r="E15">
            <v>0.75</v>
          </cell>
          <cell r="F15">
            <v>1</v>
          </cell>
        </row>
        <row r="16">
          <cell r="B16" t="str">
            <v>WasteWater Heat Recovery - New</v>
          </cell>
          <cell r="C16">
            <v>0.9</v>
          </cell>
          <cell r="D16">
            <v>0.5</v>
          </cell>
          <cell r="E16">
            <v>0.9</v>
          </cell>
          <cell r="F16">
            <v>0</v>
          </cell>
        </row>
        <row r="17">
          <cell r="B17" t="str">
            <v>Showerheads - New</v>
          </cell>
          <cell r="C17">
            <v>1</v>
          </cell>
          <cell r="D17">
            <v>1</v>
          </cell>
          <cell r="E17">
            <v>1</v>
          </cell>
          <cell r="F17">
            <v>1</v>
          </cell>
        </row>
        <row r="18">
          <cell r="B18" t="str">
            <v>Showerheads - Retro</v>
          </cell>
          <cell r="C18">
            <v>1</v>
          </cell>
          <cell r="D18">
            <v>1</v>
          </cell>
          <cell r="E18">
            <v>1</v>
          </cell>
          <cell r="F18">
            <v>1</v>
          </cell>
        </row>
        <row r="19">
          <cell r="B19" t="str">
            <v>HPWH - New</v>
          </cell>
          <cell r="C19">
            <v>0.95</v>
          </cell>
          <cell r="D19">
            <v>0</v>
          </cell>
          <cell r="E19">
            <v>0</v>
          </cell>
          <cell r="F19">
            <v>0.95</v>
          </cell>
        </row>
        <row r="20">
          <cell r="B20" t="str">
            <v>HPWH - NR</v>
          </cell>
          <cell r="C20">
            <v>0.95</v>
          </cell>
          <cell r="D20">
            <v>0</v>
          </cell>
          <cell r="E20">
            <v>0</v>
          </cell>
          <cell r="F20">
            <v>0.95</v>
          </cell>
        </row>
        <row r="21">
          <cell r="B21" t="str">
            <v>EV Supply Equip - NR</v>
          </cell>
          <cell r="C21">
            <v>0.9</v>
          </cell>
          <cell r="D21">
            <v>0</v>
          </cell>
          <cell r="E21">
            <v>0</v>
          </cell>
          <cell r="F21">
            <v>0</v>
          </cell>
        </row>
        <row r="22">
          <cell r="B22" t="str">
            <v>Clothes Dryer - New</v>
          </cell>
          <cell r="C22">
            <v>0.9</v>
          </cell>
          <cell r="D22">
            <v>0.9</v>
          </cell>
          <cell r="E22">
            <v>0.9</v>
          </cell>
          <cell r="F22">
            <v>0.9</v>
          </cell>
        </row>
        <row r="23">
          <cell r="B23" t="str">
            <v>Clothes Dryer - NR</v>
          </cell>
          <cell r="C23">
            <v>0.9</v>
          </cell>
          <cell r="D23">
            <v>0.9</v>
          </cell>
          <cell r="E23">
            <v>0.9</v>
          </cell>
          <cell r="F23">
            <v>0.9</v>
          </cell>
        </row>
        <row r="24">
          <cell r="B24" t="str">
            <v>Refrigerator - New</v>
          </cell>
          <cell r="C24">
            <v>1</v>
          </cell>
          <cell r="D24">
            <v>1</v>
          </cell>
          <cell r="E24">
            <v>1</v>
          </cell>
          <cell r="F24">
            <v>1</v>
          </cell>
        </row>
        <row r="25">
          <cell r="B25" t="str">
            <v>Refrigerator - NR</v>
          </cell>
          <cell r="C25">
            <v>1</v>
          </cell>
          <cell r="D25">
            <v>1</v>
          </cell>
          <cell r="E25">
            <v>1</v>
          </cell>
          <cell r="F25">
            <v>1</v>
          </cell>
        </row>
        <row r="26">
          <cell r="B26" t="str">
            <v>Freezer - New</v>
          </cell>
          <cell r="C26">
            <v>1</v>
          </cell>
          <cell r="D26">
            <v>1</v>
          </cell>
          <cell r="E26">
            <v>1</v>
          </cell>
          <cell r="F26">
            <v>1</v>
          </cell>
        </row>
        <row r="27">
          <cell r="B27" t="str">
            <v>Freezer - NR</v>
          </cell>
          <cell r="C27">
            <v>1</v>
          </cell>
          <cell r="D27">
            <v>1</v>
          </cell>
          <cell r="E27">
            <v>1</v>
          </cell>
          <cell r="F27">
            <v>1</v>
          </cell>
        </row>
        <row r="28">
          <cell r="B28" t="str">
            <v>Solar Water Heater - New</v>
          </cell>
          <cell r="C28">
            <v>0.25</v>
          </cell>
          <cell r="D28">
            <v>0.25</v>
          </cell>
        </row>
        <row r="29">
          <cell r="B29" t="str">
            <v>Solar Water Heater - NR</v>
          </cell>
          <cell r="C29">
            <v>0.25</v>
          </cell>
          <cell r="D29">
            <v>0.25</v>
          </cell>
        </row>
        <row r="30">
          <cell r="B30" t="str">
            <v>Solar Water Heater - Retro</v>
          </cell>
          <cell r="C30">
            <v>0.25</v>
          </cell>
          <cell r="D30">
            <v>0.25</v>
          </cell>
        </row>
        <row r="31">
          <cell r="B31">
            <v>0</v>
          </cell>
        </row>
        <row r="32">
          <cell r="B32">
            <v>0</v>
          </cell>
        </row>
        <row r="33">
          <cell r="B33" t="str">
            <v>Electric Oven - New</v>
          </cell>
          <cell r="C33">
            <v>1</v>
          </cell>
          <cell r="D33">
            <v>1</v>
          </cell>
          <cell r="E33">
            <v>1</v>
          </cell>
          <cell r="F33">
            <v>1</v>
          </cell>
        </row>
        <row r="34">
          <cell r="B34" t="str">
            <v>Electric Oven - NR</v>
          </cell>
          <cell r="C34">
            <v>1</v>
          </cell>
          <cell r="D34">
            <v>1</v>
          </cell>
          <cell r="E34">
            <v>1</v>
          </cell>
          <cell r="F34">
            <v>1</v>
          </cell>
        </row>
        <row r="35">
          <cell r="B35" t="str">
            <v>Microwave - New</v>
          </cell>
          <cell r="C35">
            <v>1</v>
          </cell>
          <cell r="D35">
            <v>1</v>
          </cell>
          <cell r="E35">
            <v>1</v>
          </cell>
          <cell r="F35">
            <v>1</v>
          </cell>
        </row>
        <row r="36">
          <cell r="B36" t="str">
            <v>Microwave - NR</v>
          </cell>
          <cell r="C36">
            <v>1</v>
          </cell>
          <cell r="D36">
            <v>1</v>
          </cell>
          <cell r="E36">
            <v>1</v>
          </cell>
          <cell r="F36">
            <v>1</v>
          </cell>
        </row>
        <row r="37">
          <cell r="B37" t="str">
            <v>Monitor - New</v>
          </cell>
          <cell r="C37">
            <v>1</v>
          </cell>
          <cell r="D37">
            <v>1</v>
          </cell>
          <cell r="E37">
            <v>1</v>
          </cell>
          <cell r="F37">
            <v>1</v>
          </cell>
        </row>
        <row r="38">
          <cell r="B38" t="str">
            <v>Monitor - NR</v>
          </cell>
          <cell r="C38">
            <v>1</v>
          </cell>
          <cell r="D38">
            <v>1</v>
          </cell>
          <cell r="E38">
            <v>1</v>
          </cell>
          <cell r="F38">
            <v>1</v>
          </cell>
        </row>
        <row r="39">
          <cell r="B39" t="str">
            <v>Desktop - New</v>
          </cell>
          <cell r="C39">
            <v>1</v>
          </cell>
          <cell r="D39">
            <v>1</v>
          </cell>
          <cell r="E39">
            <v>1</v>
          </cell>
          <cell r="F39">
            <v>1</v>
          </cell>
        </row>
        <row r="40">
          <cell r="B40" t="str">
            <v>Desktop - NR</v>
          </cell>
          <cell r="C40">
            <v>1</v>
          </cell>
          <cell r="D40">
            <v>1</v>
          </cell>
          <cell r="E40">
            <v>1</v>
          </cell>
          <cell r="F40">
            <v>1</v>
          </cell>
        </row>
        <row r="41">
          <cell r="B41" t="str">
            <v>Laptop - New</v>
          </cell>
          <cell r="C41">
            <v>1</v>
          </cell>
          <cell r="D41">
            <v>1</v>
          </cell>
          <cell r="E41">
            <v>1</v>
          </cell>
          <cell r="F41">
            <v>1</v>
          </cell>
        </row>
        <row r="42">
          <cell r="B42" t="str">
            <v>Laptop - NR</v>
          </cell>
          <cell r="C42">
            <v>1</v>
          </cell>
          <cell r="D42">
            <v>1</v>
          </cell>
          <cell r="E42">
            <v>1</v>
          </cell>
          <cell r="F42">
            <v>1</v>
          </cell>
        </row>
        <row r="43">
          <cell r="B43" t="str">
            <v>Computer - New</v>
          </cell>
        </row>
        <row r="44">
          <cell r="B44" t="str">
            <v>Computer - NR</v>
          </cell>
        </row>
        <row r="45">
          <cell r="B45" t="str">
            <v>ASHP - New</v>
          </cell>
          <cell r="C45">
            <v>0.9</v>
          </cell>
          <cell r="D45">
            <v>0.5</v>
          </cell>
          <cell r="E45">
            <v>0</v>
          </cell>
          <cell r="F45">
            <v>0.9</v>
          </cell>
        </row>
        <row r="46">
          <cell r="B46" t="str">
            <v>ASHP - NR</v>
          </cell>
          <cell r="C46">
            <v>0.75</v>
          </cell>
          <cell r="D46">
            <v>0.5</v>
          </cell>
          <cell r="E46">
            <v>0</v>
          </cell>
          <cell r="F46">
            <v>0.25</v>
          </cell>
        </row>
        <row r="47">
          <cell r="B47" t="str">
            <v>HP - Retro</v>
          </cell>
        </row>
        <row r="48">
          <cell r="B48" t="str">
            <v>DHP - New</v>
          </cell>
          <cell r="C48">
            <v>0.99</v>
          </cell>
          <cell r="D48">
            <v>0.99</v>
          </cell>
          <cell r="E48">
            <v>0</v>
          </cell>
          <cell r="F48">
            <v>0.99</v>
          </cell>
        </row>
        <row r="49">
          <cell r="B49" t="str">
            <v>DHP - NR</v>
          </cell>
          <cell r="C49">
            <v>0.99</v>
          </cell>
          <cell r="D49">
            <v>0.99</v>
          </cell>
          <cell r="E49">
            <v>0</v>
          </cell>
          <cell r="F49">
            <v>0.99</v>
          </cell>
        </row>
        <row r="50">
          <cell r="B50" t="str">
            <v>DHP - Retro</v>
          </cell>
        </row>
        <row r="51">
          <cell r="B51" t="str">
            <v>Duct Sealing - New</v>
          </cell>
          <cell r="C51">
            <v>1</v>
          </cell>
          <cell r="F51">
            <v>1</v>
          </cell>
        </row>
        <row r="52">
          <cell r="B52" t="str">
            <v>Duct Sealing - Retro</v>
          </cell>
          <cell r="C52">
            <v>0.95</v>
          </cell>
          <cell r="F52">
            <v>0.95</v>
          </cell>
        </row>
        <row r="53">
          <cell r="B53" t="str">
            <v>WIFI enabled tstats - New</v>
          </cell>
          <cell r="C53">
            <v>0.2</v>
          </cell>
          <cell r="D53">
            <v>0.2</v>
          </cell>
          <cell r="E53">
            <v>0</v>
          </cell>
          <cell r="F53">
            <v>0.2</v>
          </cell>
        </row>
        <row r="54">
          <cell r="B54" t="str">
            <v>WIFI enabled tstats - Retro</v>
          </cell>
          <cell r="C54">
            <v>0.2</v>
          </cell>
          <cell r="D54">
            <v>0.2</v>
          </cell>
          <cell r="E54">
            <v>0</v>
          </cell>
          <cell r="F54">
            <v>0.2</v>
          </cell>
        </row>
        <row r="55">
          <cell r="B55" t="str">
            <v>Combo DHP/HPWH units - New</v>
          </cell>
        </row>
        <row r="56">
          <cell r="B56" t="str">
            <v>Combo DHP/HPWH units - NR</v>
          </cell>
        </row>
        <row r="57">
          <cell r="B57" t="str">
            <v>Combo DHP/HPWH units - Retro</v>
          </cell>
        </row>
        <row r="58">
          <cell r="B58" t="str">
            <v>Aerator - New</v>
          </cell>
          <cell r="C58">
            <v>0.9</v>
          </cell>
          <cell r="D58">
            <v>0.9</v>
          </cell>
          <cell r="E58">
            <v>0.9</v>
          </cell>
          <cell r="F58">
            <v>0.9</v>
          </cell>
        </row>
        <row r="59">
          <cell r="B59" t="str">
            <v>Aerator - Retro</v>
          </cell>
          <cell r="C59">
            <v>0.9</v>
          </cell>
          <cell r="D59">
            <v>0.9</v>
          </cell>
          <cell r="E59">
            <v>0.9</v>
          </cell>
          <cell r="F59">
            <v>0.9</v>
          </cell>
        </row>
        <row r="60">
          <cell r="B60" t="str">
            <v>Behavior - Retro</v>
          </cell>
          <cell r="C60">
            <v>0.48999999999999994</v>
          </cell>
          <cell r="D60">
            <v>0.48999999999999994</v>
          </cell>
          <cell r="E60">
            <v>0.48999999999999994</v>
          </cell>
          <cell r="F60">
            <v>0.48999999999999994</v>
          </cell>
        </row>
        <row r="61">
          <cell r="B61" t="str">
            <v>Behavior - New</v>
          </cell>
          <cell r="C61">
            <v>0.48999999999999994</v>
          </cell>
          <cell r="D61">
            <v>0.48999999999999994</v>
          </cell>
          <cell r="E61">
            <v>0.48999999999999994</v>
          </cell>
          <cell r="F61">
            <v>0.48999999999999994</v>
          </cell>
        </row>
        <row r="62">
          <cell r="B62">
            <v>0</v>
          </cell>
        </row>
        <row r="63">
          <cell r="B63" t="str">
            <v>Heat Recovery Ventilation - New</v>
          </cell>
          <cell r="C63">
            <v>0.9</v>
          </cell>
        </row>
        <row r="64">
          <cell r="B64" t="str">
            <v>GSHP - New</v>
          </cell>
          <cell r="C64">
            <v>0.12485156673907999</v>
          </cell>
        </row>
        <row r="65">
          <cell r="B65" t="str">
            <v>GSHP - NR</v>
          </cell>
          <cell r="C65">
            <v>0.12485156673907999</v>
          </cell>
        </row>
        <row r="66">
          <cell r="B66">
            <v>0</v>
          </cell>
        </row>
        <row r="67">
          <cell r="B67" t="str">
            <v>ECM for HVAC ventilation - New</v>
          </cell>
        </row>
        <row r="68">
          <cell r="B68" t="str">
            <v>ECM for HVAC ventilation - NR</v>
          </cell>
        </row>
        <row r="69">
          <cell r="B69" t="str">
            <v>Whole house/attic fan - New</v>
          </cell>
        </row>
        <row r="70">
          <cell r="B70" t="str">
            <v>Whole house/attic fan - Retro</v>
          </cell>
        </row>
        <row r="71">
          <cell r="B71" t="str">
            <v>WH Pipe insulation - Retro</v>
          </cell>
        </row>
        <row r="72">
          <cell r="B72" t="str">
            <v>DHP Ducted - NR</v>
          </cell>
          <cell r="C72">
            <v>0.25</v>
          </cell>
          <cell r="D72">
            <v>0</v>
          </cell>
          <cell r="E72">
            <v>0</v>
          </cell>
          <cell r="F72">
            <v>0.75</v>
          </cell>
        </row>
        <row r="73">
          <cell r="B73" t="str">
            <v>Advanced Power Strips - New</v>
          </cell>
          <cell r="C73">
            <v>0.34</v>
          </cell>
          <cell r="D73">
            <v>0.25</v>
          </cell>
          <cell r="E73">
            <v>0.25</v>
          </cell>
          <cell r="F73">
            <v>0.25</v>
          </cell>
        </row>
        <row r="74">
          <cell r="B74" t="str">
            <v>Advanced Power Strips - Retro</v>
          </cell>
          <cell r="C74">
            <v>0.34</v>
          </cell>
          <cell r="D74">
            <v>0.25</v>
          </cell>
          <cell r="E74">
            <v>0.25</v>
          </cell>
          <cell r="F74">
            <v>0.25</v>
          </cell>
        </row>
        <row r="75">
          <cell r="B75" t="str">
            <v>Controls Commissioning and Sizing - New</v>
          </cell>
          <cell r="C75">
            <v>0.8</v>
          </cell>
          <cell r="F75">
            <v>0.8</v>
          </cell>
        </row>
        <row r="76">
          <cell r="B76" t="str">
            <v>Controls Commissioning and Sizing - NR</v>
          </cell>
          <cell r="C76">
            <v>0.8</v>
          </cell>
          <cell r="F76">
            <v>0.8</v>
          </cell>
        </row>
        <row r="77">
          <cell r="B77" t="str">
            <v>ResWx - Retro</v>
          </cell>
          <cell r="C77">
            <v>1</v>
          </cell>
          <cell r="D77">
            <v>1</v>
          </cell>
          <cell r="E77">
            <v>0</v>
          </cell>
          <cell r="F77">
            <v>1</v>
          </cell>
        </row>
        <row r="78">
          <cell r="B78" t="str">
            <v>ATTIC R0 - R19 - Retro</v>
          </cell>
          <cell r="D78">
            <v>5.4136342171710254E-2</v>
          </cell>
          <cell r="E78">
            <v>0</v>
          </cell>
        </row>
        <row r="79">
          <cell r="B79" t="str">
            <v>ATTIC R0 - R22 - Retro</v>
          </cell>
          <cell r="E79">
            <v>0</v>
          </cell>
          <cell r="F79">
            <v>1</v>
          </cell>
        </row>
        <row r="80">
          <cell r="B80" t="str">
            <v>ATTIC R0 - R30 - Retro</v>
          </cell>
          <cell r="E80">
            <v>0</v>
          </cell>
          <cell r="F80">
            <v>1</v>
          </cell>
        </row>
        <row r="81">
          <cell r="B81" t="str">
            <v>ATTIC R0 - R38 - Retro</v>
          </cell>
          <cell r="C81">
            <v>0.32014844015471466</v>
          </cell>
          <cell r="D81">
            <v>4.7584775838642859E-2</v>
          </cell>
          <cell r="E81">
            <v>0</v>
          </cell>
        </row>
        <row r="82">
          <cell r="B82" t="str">
            <v>ATTIC R0 - R49 - Retro</v>
          </cell>
          <cell r="C82">
            <v>0.17058205505053403</v>
          </cell>
          <cell r="D82">
            <v>0.28384144507905706</v>
          </cell>
          <cell r="E82">
            <v>0</v>
          </cell>
        </row>
        <row r="83">
          <cell r="B83" t="str">
            <v>ATTIC R11 - R30 - Retro</v>
          </cell>
          <cell r="E83">
            <v>0</v>
          </cell>
          <cell r="F83">
            <v>1</v>
          </cell>
        </row>
        <row r="84">
          <cell r="B84" t="str">
            <v>ATTIC R11 - R38 - Retro</v>
          </cell>
          <cell r="C84">
            <v>0.17430969903565588</v>
          </cell>
          <cell r="E84">
            <v>0</v>
          </cell>
        </row>
      </sheetData>
      <sheetData sheetId="6">
        <row r="10">
          <cell r="B10" t="str">
            <v>Lighting - NR</v>
          </cell>
          <cell r="C10">
            <v>0.1</v>
          </cell>
          <cell r="D10">
            <v>0.1</v>
          </cell>
          <cell r="E10">
            <v>0.1</v>
          </cell>
          <cell r="F10">
            <v>0.1</v>
          </cell>
        </row>
        <row r="11">
          <cell r="B11" t="str">
            <v>Lighting - PPA</v>
          </cell>
          <cell r="C11">
            <v>0.1</v>
          </cell>
          <cell r="D11">
            <v>0.1</v>
          </cell>
          <cell r="E11">
            <v>0.1</v>
          </cell>
          <cell r="F11">
            <v>0.1</v>
          </cell>
        </row>
        <row r="12">
          <cell r="B12" t="str">
            <v>Dishwasher - New</v>
          </cell>
          <cell r="C12">
            <v>0</v>
          </cell>
          <cell r="D12">
            <v>0</v>
          </cell>
          <cell r="E12">
            <v>0</v>
          </cell>
          <cell r="F12">
            <v>0</v>
          </cell>
        </row>
        <row r="13">
          <cell r="B13" t="str">
            <v>Dishwasher - NR</v>
          </cell>
          <cell r="C13">
            <v>0</v>
          </cell>
          <cell r="D13">
            <v>0</v>
          </cell>
          <cell r="E13">
            <v>0</v>
          </cell>
          <cell r="F13">
            <v>0</v>
          </cell>
        </row>
        <row r="14">
          <cell r="B14" t="str">
            <v>Clothes Washer - New</v>
          </cell>
          <cell r="C14">
            <v>0</v>
          </cell>
          <cell r="D14">
            <v>0</v>
          </cell>
          <cell r="E14">
            <v>0</v>
          </cell>
          <cell r="F14">
            <v>0</v>
          </cell>
        </row>
        <row r="15">
          <cell r="B15" t="str">
            <v>Clothes Washer - NR</v>
          </cell>
          <cell r="C15">
            <v>0</v>
          </cell>
          <cell r="D15">
            <v>0</v>
          </cell>
          <cell r="E15">
            <v>0</v>
          </cell>
          <cell r="F15">
            <v>0</v>
          </cell>
        </row>
        <row r="16">
          <cell r="B16" t="str">
            <v>WasteWater Heat Recovery - New</v>
          </cell>
          <cell r="C16">
            <v>0</v>
          </cell>
          <cell r="D16">
            <v>0</v>
          </cell>
          <cell r="E16">
            <v>0</v>
          </cell>
          <cell r="F16">
            <v>0</v>
          </cell>
        </row>
        <row r="17">
          <cell r="B17" t="str">
            <v>Showerheads - New</v>
          </cell>
          <cell r="C17">
            <v>0.48399999999999999</v>
          </cell>
          <cell r="D17">
            <v>0.42</v>
          </cell>
          <cell r="E17">
            <v>0.42</v>
          </cell>
          <cell r="F17">
            <v>0.66</v>
          </cell>
        </row>
        <row r="18">
          <cell r="B18" t="str">
            <v>Showerheads - Retro</v>
          </cell>
          <cell r="C18">
            <v>0.55752571342007584</v>
          </cell>
          <cell r="D18">
            <v>0.42</v>
          </cell>
          <cell r="E18">
            <v>0.42</v>
          </cell>
          <cell r="F18">
            <v>0.66</v>
          </cell>
        </row>
        <row r="19">
          <cell r="B19" t="str">
            <v>HPWH - New</v>
          </cell>
          <cell r="C19">
            <v>1E-3</v>
          </cell>
          <cell r="D19">
            <v>0</v>
          </cell>
          <cell r="E19">
            <v>0</v>
          </cell>
          <cell r="F19">
            <v>0</v>
          </cell>
        </row>
        <row r="20">
          <cell r="B20" t="str">
            <v>HPWH - NR</v>
          </cell>
          <cell r="C20">
            <v>1E-3</v>
          </cell>
          <cell r="D20">
            <v>0</v>
          </cell>
          <cell r="E20">
            <v>0</v>
          </cell>
          <cell r="F20">
            <v>0</v>
          </cell>
        </row>
        <row r="21">
          <cell r="B21" t="str">
            <v>EV Supply Equip - NR</v>
          </cell>
          <cell r="C21">
            <v>0.01</v>
          </cell>
          <cell r="D21">
            <v>0</v>
          </cell>
          <cell r="E21">
            <v>0</v>
          </cell>
          <cell r="F21">
            <v>0</v>
          </cell>
        </row>
        <row r="22">
          <cell r="B22" t="str">
            <v>Clothes Dryer - New</v>
          </cell>
          <cell r="C22">
            <v>0</v>
          </cell>
          <cell r="D22">
            <v>0</v>
          </cell>
          <cell r="E22">
            <v>0</v>
          </cell>
          <cell r="F22">
            <v>0</v>
          </cell>
        </row>
        <row r="23">
          <cell r="B23" t="str">
            <v>Clothes Dryer - NR</v>
          </cell>
          <cell r="C23">
            <v>0</v>
          </cell>
          <cell r="D23">
            <v>0</v>
          </cell>
          <cell r="E23">
            <v>0</v>
          </cell>
          <cell r="F23">
            <v>0</v>
          </cell>
        </row>
        <row r="24">
          <cell r="B24" t="str">
            <v>Refrigerator - New</v>
          </cell>
          <cell r="C24">
            <v>0</v>
          </cell>
          <cell r="D24">
            <v>0</v>
          </cell>
          <cell r="E24">
            <v>0</v>
          </cell>
          <cell r="F24">
            <v>0</v>
          </cell>
        </row>
        <row r="25">
          <cell r="B25" t="str">
            <v>Refrigerator - NR</v>
          </cell>
          <cell r="C25">
            <v>0</v>
          </cell>
          <cell r="D25">
            <v>0</v>
          </cell>
          <cell r="E25">
            <v>0</v>
          </cell>
          <cell r="F25">
            <v>0</v>
          </cell>
        </row>
        <row r="26">
          <cell r="B26" t="str">
            <v>Freezer - New</v>
          </cell>
          <cell r="C26">
            <v>0</v>
          </cell>
          <cell r="D26">
            <v>0</v>
          </cell>
          <cell r="E26">
            <v>0</v>
          </cell>
          <cell r="F26">
            <v>0</v>
          </cell>
        </row>
        <row r="27">
          <cell r="B27" t="str">
            <v>Freezer - NR</v>
          </cell>
          <cell r="C27">
            <v>0</v>
          </cell>
          <cell r="D27">
            <v>0</v>
          </cell>
          <cell r="E27">
            <v>0</v>
          </cell>
          <cell r="F27">
            <v>0</v>
          </cell>
        </row>
        <row r="28">
          <cell r="B28" t="str">
            <v>Solar Water Heater - New</v>
          </cell>
          <cell r="C28">
            <v>0.01</v>
          </cell>
          <cell r="D28">
            <v>0</v>
          </cell>
        </row>
        <row r="29">
          <cell r="B29" t="str">
            <v>Solar Water Heater - NR</v>
          </cell>
          <cell r="C29">
            <v>0.01</v>
          </cell>
          <cell r="D29">
            <v>0</v>
          </cell>
        </row>
        <row r="30">
          <cell r="B30" t="str">
            <v>Solar Water Heater - Retro</v>
          </cell>
          <cell r="C30">
            <v>0.01</v>
          </cell>
          <cell r="D30">
            <v>0</v>
          </cell>
        </row>
        <row r="31">
          <cell r="B31">
            <v>0</v>
          </cell>
        </row>
        <row r="32">
          <cell r="B32">
            <v>0</v>
          </cell>
        </row>
        <row r="33">
          <cell r="B33" t="str">
            <v>Electric Oven - New</v>
          </cell>
          <cell r="C33">
            <v>0.1</v>
          </cell>
          <cell r="D33">
            <v>0.1</v>
          </cell>
          <cell r="E33">
            <v>0.1</v>
          </cell>
          <cell r="F33">
            <v>0.1</v>
          </cell>
        </row>
        <row r="34">
          <cell r="B34" t="str">
            <v>Electric Oven - NR</v>
          </cell>
          <cell r="C34">
            <v>0.1</v>
          </cell>
          <cell r="D34">
            <v>0.1</v>
          </cell>
          <cell r="E34">
            <v>0.1</v>
          </cell>
          <cell r="F34">
            <v>0.1</v>
          </cell>
        </row>
        <row r="35">
          <cell r="B35" t="str">
            <v>Microwave - New</v>
          </cell>
          <cell r="C35">
            <v>0</v>
          </cell>
          <cell r="D35">
            <v>0</v>
          </cell>
          <cell r="E35">
            <v>0</v>
          </cell>
          <cell r="F35">
            <v>0</v>
          </cell>
        </row>
        <row r="36">
          <cell r="B36" t="str">
            <v>Microwave - NR</v>
          </cell>
          <cell r="C36">
            <v>0</v>
          </cell>
          <cell r="D36">
            <v>0</v>
          </cell>
          <cell r="E36">
            <v>0</v>
          </cell>
          <cell r="F36">
            <v>0</v>
          </cell>
        </row>
        <row r="37">
          <cell r="B37" t="str">
            <v>Monitor - New</v>
          </cell>
          <cell r="C37">
            <v>0.55000000000000004</v>
          </cell>
          <cell r="D37">
            <v>0.55000000000000004</v>
          </cell>
          <cell r="E37">
            <v>0.55000000000000004</v>
          </cell>
          <cell r="F37">
            <v>0.55000000000000004</v>
          </cell>
        </row>
        <row r="38">
          <cell r="B38" t="str">
            <v>Monitor - NR</v>
          </cell>
          <cell r="C38">
            <v>0.55000000000000004</v>
          </cell>
          <cell r="D38">
            <v>0.55000000000000004</v>
          </cell>
          <cell r="E38">
            <v>0.55000000000000004</v>
          </cell>
          <cell r="F38">
            <v>0.55000000000000004</v>
          </cell>
        </row>
        <row r="39">
          <cell r="B39" t="str">
            <v>Desktop - New</v>
          </cell>
          <cell r="C39">
            <v>0.25</v>
          </cell>
          <cell r="D39">
            <v>0.25</v>
          </cell>
          <cell r="E39">
            <v>0.25</v>
          </cell>
          <cell r="F39">
            <v>0.25</v>
          </cell>
        </row>
        <row r="40">
          <cell r="B40" t="str">
            <v>Desktop - NR</v>
          </cell>
          <cell r="C40">
            <v>0.25</v>
          </cell>
          <cell r="D40">
            <v>0.25</v>
          </cell>
          <cell r="E40">
            <v>0.25</v>
          </cell>
          <cell r="F40">
            <v>0.25</v>
          </cell>
        </row>
        <row r="41">
          <cell r="B41" t="str">
            <v>Laptop - New</v>
          </cell>
          <cell r="C41">
            <v>0.74</v>
          </cell>
          <cell r="D41">
            <v>0.74</v>
          </cell>
          <cell r="E41">
            <v>0.74</v>
          </cell>
          <cell r="F41">
            <v>0.74</v>
          </cell>
        </row>
        <row r="42">
          <cell r="B42" t="str">
            <v>Laptop - NR</v>
          </cell>
          <cell r="C42">
            <v>0.74</v>
          </cell>
          <cell r="D42">
            <v>0.74</v>
          </cell>
          <cell r="E42">
            <v>0.74</v>
          </cell>
          <cell r="F42">
            <v>0.74</v>
          </cell>
        </row>
        <row r="43">
          <cell r="B43" t="str">
            <v>Computer - New</v>
          </cell>
        </row>
        <row r="44">
          <cell r="B44" t="str">
            <v>Computer - NR</v>
          </cell>
        </row>
        <row r="45">
          <cell r="B45" t="str">
            <v>ASHP - New</v>
          </cell>
          <cell r="C45">
            <v>0.02</v>
          </cell>
          <cell r="D45">
            <v>0</v>
          </cell>
          <cell r="E45">
            <v>0</v>
          </cell>
          <cell r="F45">
            <v>0</v>
          </cell>
        </row>
        <row r="46">
          <cell r="B46" t="str">
            <v>ASHP - NR</v>
          </cell>
          <cell r="C46">
            <v>0.02</v>
          </cell>
          <cell r="D46">
            <v>0</v>
          </cell>
          <cell r="E46">
            <v>0</v>
          </cell>
          <cell r="F46">
            <v>0</v>
          </cell>
        </row>
        <row r="47">
          <cell r="B47" t="str">
            <v>HP - Retro</v>
          </cell>
        </row>
        <row r="48">
          <cell r="B48" t="str">
            <v>DHP - New</v>
          </cell>
          <cell r="C48">
            <v>0.02</v>
          </cell>
          <cell r="D48">
            <v>0</v>
          </cell>
          <cell r="E48">
            <v>0</v>
          </cell>
          <cell r="F48">
            <v>0</v>
          </cell>
        </row>
        <row r="49">
          <cell r="B49" t="str">
            <v>DHP - NR</v>
          </cell>
          <cell r="C49">
            <v>0.02</v>
          </cell>
          <cell r="D49">
            <v>0</v>
          </cell>
          <cell r="E49">
            <v>0</v>
          </cell>
          <cell r="F49">
            <v>0</v>
          </cell>
        </row>
        <row r="50">
          <cell r="B50" t="str">
            <v>DHP - Retro</v>
          </cell>
        </row>
        <row r="51">
          <cell r="B51" t="str">
            <v>Duct Sealing - New</v>
          </cell>
          <cell r="C51">
            <v>0.5480228071825386</v>
          </cell>
          <cell r="F51">
            <v>0.45838501752552641</v>
          </cell>
        </row>
        <row r="52">
          <cell r="B52" t="str">
            <v>Duct Sealing - Retro</v>
          </cell>
          <cell r="C52">
            <v>0.5480228071825386</v>
          </cell>
          <cell r="F52">
            <v>0.45838501752552641</v>
          </cell>
        </row>
        <row r="53">
          <cell r="B53" t="str">
            <v>WIFI enabled tstats - New</v>
          </cell>
          <cell r="C53">
            <v>0</v>
          </cell>
          <cell r="D53">
            <v>0</v>
          </cell>
          <cell r="E53">
            <v>0</v>
          </cell>
          <cell r="F53">
            <v>0</v>
          </cell>
        </row>
        <row r="54">
          <cell r="B54" t="str">
            <v>WIFI enabled tstats - Retro</v>
          </cell>
          <cell r="C54">
            <v>0.01</v>
          </cell>
          <cell r="D54">
            <v>0.01</v>
          </cell>
          <cell r="E54">
            <v>0.01</v>
          </cell>
          <cell r="F54">
            <v>0.01</v>
          </cell>
        </row>
        <row r="55">
          <cell r="B55" t="str">
            <v>Combo DHP/HPWH units - New</v>
          </cell>
        </row>
        <row r="56">
          <cell r="B56" t="str">
            <v>Combo DHP/HPWH units - NR</v>
          </cell>
        </row>
        <row r="57">
          <cell r="B57" t="str">
            <v>Combo DHP/HPWH units - Retro</v>
          </cell>
        </row>
        <row r="58">
          <cell r="B58" t="str">
            <v>Aerator - New</v>
          </cell>
          <cell r="C58">
            <v>0.65</v>
          </cell>
          <cell r="D58">
            <v>0.65</v>
          </cell>
          <cell r="E58">
            <v>0.65</v>
          </cell>
          <cell r="F58">
            <v>0.65</v>
          </cell>
        </row>
        <row r="59">
          <cell r="B59" t="str">
            <v>Aerator - Retro</v>
          </cell>
          <cell r="C59">
            <v>0.65</v>
          </cell>
          <cell r="D59">
            <v>0.65</v>
          </cell>
          <cell r="E59">
            <v>0.65</v>
          </cell>
          <cell r="F59">
            <v>0.65</v>
          </cell>
        </row>
        <row r="60">
          <cell r="B60" t="str">
            <v>Behavior - Retro</v>
          </cell>
          <cell r="C60">
            <v>0</v>
          </cell>
          <cell r="D60">
            <v>0</v>
          </cell>
          <cell r="E60">
            <v>0</v>
          </cell>
          <cell r="F60">
            <v>0</v>
          </cell>
        </row>
        <row r="61">
          <cell r="B61" t="str">
            <v>Behavior - New</v>
          </cell>
          <cell r="C61">
            <v>0</v>
          </cell>
          <cell r="D61">
            <v>0</v>
          </cell>
          <cell r="E61">
            <v>0</v>
          </cell>
          <cell r="F61">
            <v>0</v>
          </cell>
        </row>
        <row r="62">
          <cell r="B62">
            <v>0</v>
          </cell>
        </row>
        <row r="63">
          <cell r="B63" t="str">
            <v>Heat Recovery Ventilation - New</v>
          </cell>
          <cell r="C63">
            <v>0.01</v>
          </cell>
        </row>
        <row r="64">
          <cell r="B64" t="str">
            <v>GSHP - New</v>
          </cell>
          <cell r="C64">
            <v>0</v>
          </cell>
        </row>
        <row r="65">
          <cell r="B65" t="str">
            <v>GSHP - NR</v>
          </cell>
          <cell r="C65">
            <v>0</v>
          </cell>
        </row>
        <row r="66">
          <cell r="B66">
            <v>0</v>
          </cell>
        </row>
        <row r="67">
          <cell r="B67" t="str">
            <v>ECM for HVAC ventilation - New</v>
          </cell>
        </row>
        <row r="68">
          <cell r="B68" t="str">
            <v>ECM for HVAC ventilation - NR</v>
          </cell>
        </row>
        <row r="69">
          <cell r="B69" t="str">
            <v>Whole house/attic fan - New</v>
          </cell>
        </row>
        <row r="70">
          <cell r="B70" t="str">
            <v>Whole house/attic fan - Retro</v>
          </cell>
        </row>
        <row r="71">
          <cell r="B71" t="str">
            <v>WH Pipe insulation - Retro</v>
          </cell>
        </row>
        <row r="72">
          <cell r="B72" t="str">
            <v>DHP Ducted - NR</v>
          </cell>
          <cell r="C72">
            <v>0.01</v>
          </cell>
          <cell r="D72">
            <v>0</v>
          </cell>
          <cell r="E72">
            <v>0</v>
          </cell>
          <cell r="F72">
            <v>0.01</v>
          </cell>
        </row>
        <row r="73">
          <cell r="B73" t="str">
            <v>Advanced Power Strips - New</v>
          </cell>
          <cell r="C73">
            <v>0.01</v>
          </cell>
          <cell r="D73">
            <v>0.01</v>
          </cell>
          <cell r="E73">
            <v>0.01</v>
          </cell>
          <cell r="F73">
            <v>0.01</v>
          </cell>
        </row>
        <row r="74">
          <cell r="B74" t="str">
            <v>Advanced Power Strips - Retro</v>
          </cell>
          <cell r="C74">
            <v>0.01</v>
          </cell>
          <cell r="D74">
            <v>0.01</v>
          </cell>
          <cell r="E74">
            <v>0.01</v>
          </cell>
          <cell r="F74">
            <v>0.01</v>
          </cell>
        </row>
        <row r="75">
          <cell r="B75" t="str">
            <v>Controls Commissioning and Sizing - New</v>
          </cell>
          <cell r="C75">
            <v>0.05</v>
          </cell>
          <cell r="F75">
            <v>0.05</v>
          </cell>
        </row>
        <row r="76">
          <cell r="B76" t="str">
            <v>Controls Commissioning and Sizing - NR</v>
          </cell>
          <cell r="C76">
            <v>0.05</v>
          </cell>
          <cell r="F76">
            <v>0.05</v>
          </cell>
        </row>
        <row r="77">
          <cell r="B77" t="str">
            <v>ResWx - Retro</v>
          </cell>
        </row>
        <row r="78">
          <cell r="B78" t="str">
            <v>ATTIC R0 - R19 - Retro</v>
          </cell>
        </row>
        <row r="79">
          <cell r="B79" t="str">
            <v>ATTIC R0 - R22 - Retro</v>
          </cell>
          <cell r="F79">
            <v>0.98234576822530661</v>
          </cell>
        </row>
        <row r="80">
          <cell r="B80" t="str">
            <v>ATTIC R0 - R30 - Retro</v>
          </cell>
          <cell r="F80">
            <v>0.94629090512719527</v>
          </cell>
        </row>
        <row r="81">
          <cell r="B81" t="str">
            <v>ATTIC R0 - R38 - Retro</v>
          </cell>
          <cell r="C81">
            <v>0.90582363255140952</v>
          </cell>
          <cell r="D81">
            <v>0.77400000000000002</v>
          </cell>
        </row>
        <row r="82">
          <cell r="B82" t="str">
            <v>ATTIC R0 - R49 - Retro</v>
          </cell>
          <cell r="C82">
            <v>0.90582363255140952</v>
          </cell>
          <cell r="D82">
            <v>0.77400000000000002</v>
          </cell>
        </row>
        <row r="83">
          <cell r="B83" t="str">
            <v>ATTIC R11 - R30 - Retro</v>
          </cell>
          <cell r="F83">
            <v>0.99894666949290001</v>
          </cell>
        </row>
        <row r="84">
          <cell r="B84" t="str">
            <v>ATTIC R11 - R38 - Retro</v>
          </cell>
          <cell r="C84">
            <v>0.85745904032781306</v>
          </cell>
        </row>
      </sheetData>
      <sheetData sheetId="7">
        <row r="10">
          <cell r="B10" t="str">
            <v>Pre2016</v>
          </cell>
          <cell r="C10" t="str">
            <v>Pre2016</v>
          </cell>
          <cell r="D10" t="str">
            <v>Pre2016</v>
          </cell>
          <cell r="E10" t="str">
            <v>Pre2016</v>
          </cell>
          <cell r="F10" t="str">
            <v>Pre2016</v>
          </cell>
        </row>
        <row r="11">
          <cell r="B11" t="str">
            <v>Pre2016</v>
          </cell>
          <cell r="C11" t="str">
            <v>Pre2016</v>
          </cell>
          <cell r="D11" t="str">
            <v>Pre2016</v>
          </cell>
          <cell r="E11" t="str">
            <v>Pre2016</v>
          </cell>
          <cell r="F11" t="str">
            <v>Pre2016</v>
          </cell>
        </row>
        <row r="12">
          <cell r="B12" t="str">
            <v>Post2016</v>
          </cell>
          <cell r="C12" t="str">
            <v>Post2016</v>
          </cell>
          <cell r="D12" t="str">
            <v>Post2016</v>
          </cell>
          <cell r="E12" t="str">
            <v>Post2016</v>
          </cell>
          <cell r="F12" t="str">
            <v>Post2016</v>
          </cell>
        </row>
        <row r="13">
          <cell r="B13" t="str">
            <v>Pre2016</v>
          </cell>
          <cell r="C13" t="str">
            <v>Pre2016</v>
          </cell>
          <cell r="D13" t="str">
            <v>Pre2016</v>
          </cell>
          <cell r="E13" t="str">
            <v>Pre2016</v>
          </cell>
          <cell r="F13" t="str">
            <v>Pre2016</v>
          </cell>
        </row>
        <row r="14">
          <cell r="B14" t="str">
            <v>Post2016</v>
          </cell>
          <cell r="C14" t="str">
            <v>Post2016</v>
          </cell>
          <cell r="D14" t="str">
            <v>Post2016</v>
          </cell>
          <cell r="E14" t="str">
            <v>Post2016</v>
          </cell>
          <cell r="F14" t="str">
            <v>Post2016</v>
          </cell>
        </row>
        <row r="15">
          <cell r="B15" t="str">
            <v>Pre2016</v>
          </cell>
          <cell r="C15" t="str">
            <v>Pre2016</v>
          </cell>
          <cell r="D15" t="str">
            <v>Pre2016</v>
          </cell>
          <cell r="E15" t="str">
            <v>Pre2016</v>
          </cell>
          <cell r="F15" t="str">
            <v>Pre2016</v>
          </cell>
        </row>
        <row r="16">
          <cell r="B16" t="str">
            <v>Post2016</v>
          </cell>
          <cell r="C16" t="str">
            <v>Post2016</v>
          </cell>
          <cell r="D16" t="str">
            <v>Post2016</v>
          </cell>
          <cell r="E16" t="str">
            <v>Post2016</v>
          </cell>
          <cell r="F16" t="str">
            <v>Post2016</v>
          </cell>
        </row>
        <row r="17">
          <cell r="B17" t="str">
            <v>Post2016</v>
          </cell>
          <cell r="C17" t="str">
            <v>Post2016</v>
          </cell>
          <cell r="D17" t="str">
            <v>Post2016</v>
          </cell>
          <cell r="E17" t="str">
            <v>Post2016</v>
          </cell>
          <cell r="F17" t="str">
            <v>Post2016</v>
          </cell>
        </row>
        <row r="18">
          <cell r="B18" t="str">
            <v>Pre2016</v>
          </cell>
          <cell r="C18" t="str">
            <v>Pre2016</v>
          </cell>
          <cell r="D18" t="str">
            <v>Pre2016</v>
          </cell>
          <cell r="E18" t="str">
            <v>Pre2016</v>
          </cell>
          <cell r="F18" t="str">
            <v>Pre2016</v>
          </cell>
        </row>
        <row r="19">
          <cell r="B19" t="str">
            <v>Post2016</v>
          </cell>
          <cell r="C19" t="str">
            <v>Post2016</v>
          </cell>
          <cell r="D19" t="str">
            <v>Post2016</v>
          </cell>
          <cell r="E19" t="str">
            <v>Post2016</v>
          </cell>
          <cell r="F19" t="str">
            <v>Post2016</v>
          </cell>
        </row>
        <row r="20">
          <cell r="B20" t="str">
            <v>Pre2016</v>
          </cell>
          <cell r="C20" t="str">
            <v>Pre2016</v>
          </cell>
          <cell r="D20" t="str">
            <v>Pre2016</v>
          </cell>
          <cell r="E20" t="str">
            <v>Pre2016</v>
          </cell>
          <cell r="F20" t="str">
            <v>Pre2016</v>
          </cell>
        </row>
        <row r="21">
          <cell r="B21" t="str">
            <v>Pre2016</v>
          </cell>
          <cell r="C21" t="str">
            <v>Pre2016</v>
          </cell>
          <cell r="D21" t="str">
            <v>Pre2016</v>
          </cell>
          <cell r="E21" t="str">
            <v>Pre2016</v>
          </cell>
          <cell r="F21" t="str">
            <v>Pre2016</v>
          </cell>
        </row>
        <row r="22">
          <cell r="B22" t="str">
            <v>Post2016</v>
          </cell>
          <cell r="C22" t="str">
            <v>Post2016</v>
          </cell>
          <cell r="D22" t="str">
            <v>Post2016</v>
          </cell>
          <cell r="E22" t="str">
            <v>Post2016</v>
          </cell>
          <cell r="F22" t="str">
            <v>Post2016</v>
          </cell>
        </row>
        <row r="23">
          <cell r="B23" t="str">
            <v>Pre2016</v>
          </cell>
          <cell r="C23" t="str">
            <v>Pre2016</v>
          </cell>
          <cell r="D23" t="str">
            <v>Pre2016</v>
          </cell>
          <cell r="E23" t="str">
            <v>Pre2016</v>
          </cell>
          <cell r="F23" t="str">
            <v>Pre2016</v>
          </cell>
        </row>
        <row r="24">
          <cell r="B24" t="str">
            <v>Post2016</v>
          </cell>
          <cell r="C24" t="str">
            <v>Post2016</v>
          </cell>
          <cell r="D24" t="str">
            <v>Post2016</v>
          </cell>
          <cell r="E24" t="str">
            <v>Post2016</v>
          </cell>
          <cell r="F24" t="str">
            <v>Post2016</v>
          </cell>
        </row>
        <row r="25">
          <cell r="B25" t="str">
            <v>Pre2016</v>
          </cell>
          <cell r="C25" t="str">
            <v>Pre2016</v>
          </cell>
          <cell r="D25" t="str">
            <v>Pre2016</v>
          </cell>
          <cell r="E25" t="str">
            <v>Pre2016</v>
          </cell>
          <cell r="F25" t="str">
            <v>Pre2016</v>
          </cell>
        </row>
        <row r="26">
          <cell r="B26" t="str">
            <v>Post2016</v>
          </cell>
          <cell r="C26" t="str">
            <v>Post2016</v>
          </cell>
          <cell r="D26" t="str">
            <v>Post2016</v>
          </cell>
          <cell r="E26" t="str">
            <v>Post2016</v>
          </cell>
          <cell r="F26" t="str">
            <v>Post2016</v>
          </cell>
        </row>
        <row r="27">
          <cell r="B27" t="str">
            <v>Pre2016</v>
          </cell>
          <cell r="C27" t="str">
            <v>Pre2016</v>
          </cell>
          <cell r="D27" t="str">
            <v>Pre2016</v>
          </cell>
          <cell r="E27" t="str">
            <v>Pre2016</v>
          </cell>
          <cell r="F27" t="str">
            <v>Pre2016</v>
          </cell>
        </row>
        <row r="28">
          <cell r="B28" t="str">
            <v>Post2016</v>
          </cell>
          <cell r="C28" t="str">
            <v>Post2016</v>
          </cell>
          <cell r="D28" t="str">
            <v>Post2016</v>
          </cell>
          <cell r="E28" t="str">
            <v>Post2016</v>
          </cell>
          <cell r="F28" t="str">
            <v>Post2016</v>
          </cell>
        </row>
        <row r="29">
          <cell r="B29" t="str">
            <v>Pre2016</v>
          </cell>
          <cell r="C29" t="str">
            <v>Pre2016</v>
          </cell>
          <cell r="D29" t="str">
            <v>Pre2016</v>
          </cell>
          <cell r="E29" t="str">
            <v>Pre2016</v>
          </cell>
          <cell r="F29" t="str">
            <v>Pre2016</v>
          </cell>
        </row>
        <row r="30">
          <cell r="B30" t="str">
            <v>Pre2016</v>
          </cell>
          <cell r="C30" t="str">
            <v>Pre2016</v>
          </cell>
          <cell r="D30" t="str">
            <v>Pre2016</v>
          </cell>
          <cell r="E30" t="str">
            <v>Pre2016</v>
          </cell>
          <cell r="F30" t="str">
            <v>Pre2016</v>
          </cell>
        </row>
        <row r="31">
          <cell r="B31" t="str">
            <v>Pre2016</v>
          </cell>
          <cell r="C31" t="str">
            <v>Pre2016</v>
          </cell>
          <cell r="D31" t="str">
            <v>Pre2016</v>
          </cell>
          <cell r="E31" t="str">
            <v>Pre2016</v>
          </cell>
          <cell r="F31" t="str">
            <v>Pre2016</v>
          </cell>
        </row>
        <row r="32">
          <cell r="B32" t="str">
            <v>Pre2016</v>
          </cell>
          <cell r="C32" t="str">
            <v>Pre2016</v>
          </cell>
          <cell r="D32" t="str">
            <v>Pre2016</v>
          </cell>
          <cell r="E32" t="str">
            <v>Pre2016</v>
          </cell>
          <cell r="F32" t="str">
            <v>Pre2016</v>
          </cell>
        </row>
        <row r="33">
          <cell r="B33" t="str">
            <v>Post2016</v>
          </cell>
          <cell r="C33" t="str">
            <v>Post2016</v>
          </cell>
          <cell r="D33" t="str">
            <v>Post2016</v>
          </cell>
          <cell r="E33" t="str">
            <v>Post2016</v>
          </cell>
          <cell r="F33" t="str">
            <v>Post2016</v>
          </cell>
        </row>
        <row r="34">
          <cell r="B34" t="str">
            <v>Pre2016</v>
          </cell>
          <cell r="C34" t="str">
            <v>Pre2016</v>
          </cell>
          <cell r="D34" t="str">
            <v>Pre2016</v>
          </cell>
          <cell r="E34" t="str">
            <v>Pre2016</v>
          </cell>
          <cell r="F34" t="str">
            <v>Pre2016</v>
          </cell>
        </row>
        <row r="35">
          <cell r="B35" t="str">
            <v>Post2016</v>
          </cell>
          <cell r="C35" t="str">
            <v>Post2016</v>
          </cell>
          <cell r="D35" t="str">
            <v>Post2016</v>
          </cell>
          <cell r="E35" t="str">
            <v>Post2016</v>
          </cell>
          <cell r="F35" t="str">
            <v>Post2016</v>
          </cell>
        </row>
        <row r="36">
          <cell r="B36" t="str">
            <v>Pre2016</v>
          </cell>
          <cell r="C36" t="str">
            <v>Pre2016</v>
          </cell>
          <cell r="D36" t="str">
            <v>Pre2016</v>
          </cell>
          <cell r="E36" t="str">
            <v>Pre2016</v>
          </cell>
          <cell r="F36" t="str">
            <v>Pre2016</v>
          </cell>
        </row>
        <row r="37">
          <cell r="B37" t="str">
            <v>Post2016</v>
          </cell>
          <cell r="C37" t="str">
            <v>Post2016</v>
          </cell>
          <cell r="D37" t="str">
            <v>Post2016</v>
          </cell>
          <cell r="E37" t="str">
            <v>Post2016</v>
          </cell>
          <cell r="F37" t="str">
            <v>Post2016</v>
          </cell>
        </row>
        <row r="38">
          <cell r="B38" t="str">
            <v>Pre2016</v>
          </cell>
          <cell r="C38" t="str">
            <v>Pre2016</v>
          </cell>
          <cell r="D38" t="str">
            <v>Pre2016</v>
          </cell>
          <cell r="E38" t="str">
            <v>Pre2016</v>
          </cell>
          <cell r="F38" t="str">
            <v>Pre2016</v>
          </cell>
        </row>
        <row r="39">
          <cell r="B39" t="str">
            <v>Post2016</v>
          </cell>
          <cell r="C39" t="str">
            <v>Post2016</v>
          </cell>
          <cell r="D39" t="str">
            <v>Post2016</v>
          </cell>
          <cell r="E39" t="str">
            <v>Post2016</v>
          </cell>
          <cell r="F39" t="str">
            <v>Post2016</v>
          </cell>
        </row>
        <row r="40">
          <cell r="B40" t="str">
            <v>Pre2016</v>
          </cell>
          <cell r="C40" t="str">
            <v>Pre2016</v>
          </cell>
          <cell r="D40" t="str">
            <v>Pre2016</v>
          </cell>
          <cell r="E40" t="str">
            <v>Pre2016</v>
          </cell>
          <cell r="F40" t="str">
            <v>Pre2016</v>
          </cell>
        </row>
        <row r="41">
          <cell r="B41" t="str">
            <v>Post2016</v>
          </cell>
          <cell r="C41" t="str">
            <v>Post2016</v>
          </cell>
          <cell r="D41" t="str">
            <v>Post2016</v>
          </cell>
          <cell r="E41" t="str">
            <v>Post2016</v>
          </cell>
          <cell r="F41" t="str">
            <v>Post2016</v>
          </cell>
        </row>
        <row r="42">
          <cell r="B42" t="str">
            <v>Pre2016</v>
          </cell>
          <cell r="C42" t="str">
            <v>Pre2016</v>
          </cell>
          <cell r="D42" t="str">
            <v>Pre2016</v>
          </cell>
          <cell r="E42" t="str">
            <v>Pre2016</v>
          </cell>
          <cell r="F42" t="str">
            <v>Pre2016</v>
          </cell>
        </row>
        <row r="43">
          <cell r="B43" t="str">
            <v>Post2016</v>
          </cell>
          <cell r="C43" t="str">
            <v>Post2016</v>
          </cell>
          <cell r="D43" t="str">
            <v>Post2016</v>
          </cell>
          <cell r="E43" t="str">
            <v>Post2016</v>
          </cell>
          <cell r="F43" t="str">
            <v>Post2016</v>
          </cell>
        </row>
        <row r="44">
          <cell r="B44" t="str">
            <v>Pre2016</v>
          </cell>
          <cell r="C44" t="str">
            <v>Pre2016</v>
          </cell>
          <cell r="D44" t="str">
            <v>Pre2016</v>
          </cell>
          <cell r="E44" t="str">
            <v>Pre2016</v>
          </cell>
          <cell r="F44" t="str">
            <v>Pre2016</v>
          </cell>
        </row>
        <row r="45">
          <cell r="B45" t="str">
            <v>Post2016</v>
          </cell>
          <cell r="C45" t="str">
            <v>Post2016</v>
          </cell>
          <cell r="D45" t="str">
            <v>Post2016</v>
          </cell>
          <cell r="E45" t="str">
            <v>Post2016</v>
          </cell>
          <cell r="F45" t="str">
            <v>Post2016</v>
          </cell>
        </row>
        <row r="46">
          <cell r="B46" t="str">
            <v>Pre2016</v>
          </cell>
          <cell r="C46" t="str">
            <v>Pre2016</v>
          </cell>
          <cell r="D46" t="str">
            <v>Pre2016</v>
          </cell>
          <cell r="E46" t="str">
            <v>Pre2016</v>
          </cell>
          <cell r="F46" t="str">
            <v>Pre2016</v>
          </cell>
        </row>
        <row r="47">
          <cell r="B47" t="str">
            <v>Pre2016</v>
          </cell>
          <cell r="C47" t="str">
            <v>Pre2016</v>
          </cell>
          <cell r="D47" t="str">
            <v>Pre2016</v>
          </cell>
          <cell r="E47" t="str">
            <v>Pre2016</v>
          </cell>
          <cell r="F47" t="str">
            <v>Pre2016</v>
          </cell>
        </row>
        <row r="48">
          <cell r="B48" t="str">
            <v>Post2016</v>
          </cell>
          <cell r="C48" t="str">
            <v>Post2016</v>
          </cell>
          <cell r="D48" t="str">
            <v>Post2016</v>
          </cell>
          <cell r="E48" t="str">
            <v>Post2016</v>
          </cell>
          <cell r="F48" t="str">
            <v>Post2016</v>
          </cell>
        </row>
        <row r="49">
          <cell r="B49" t="str">
            <v>Pre2016</v>
          </cell>
          <cell r="C49" t="str">
            <v>Pre2016</v>
          </cell>
          <cell r="D49" t="str">
            <v>Pre2016</v>
          </cell>
          <cell r="E49" t="str">
            <v>Pre2016</v>
          </cell>
          <cell r="F49" t="str">
            <v>Pre2016</v>
          </cell>
        </row>
        <row r="50">
          <cell r="B50" t="str">
            <v>Pre2016</v>
          </cell>
          <cell r="C50" t="str">
            <v>Pre2016</v>
          </cell>
          <cell r="D50" t="str">
            <v>Pre2016</v>
          </cell>
          <cell r="E50" t="str">
            <v>Pre2016</v>
          </cell>
          <cell r="F50" t="str">
            <v>Pre2016</v>
          </cell>
        </row>
        <row r="51">
          <cell r="B51" t="str">
            <v>Post2016</v>
          </cell>
          <cell r="C51" t="str">
            <v>Post2016</v>
          </cell>
          <cell r="D51" t="str">
            <v>Post2016</v>
          </cell>
          <cell r="E51" t="str">
            <v>Post2016</v>
          </cell>
          <cell r="F51" t="str">
            <v>Post2016</v>
          </cell>
        </row>
        <row r="52">
          <cell r="B52" t="str">
            <v>Pre2016</v>
          </cell>
          <cell r="C52" t="str">
            <v>Pre2016</v>
          </cell>
          <cell r="D52" t="str">
            <v>Pre2016</v>
          </cell>
          <cell r="E52" t="str">
            <v>Pre2016</v>
          </cell>
          <cell r="F52" t="str">
            <v>Pre2016</v>
          </cell>
        </row>
        <row r="53">
          <cell r="B53" t="str">
            <v>Post2016</v>
          </cell>
          <cell r="C53" t="str">
            <v>Post2016</v>
          </cell>
          <cell r="D53" t="str">
            <v>Post2016</v>
          </cell>
          <cell r="E53" t="str">
            <v>Post2016</v>
          </cell>
          <cell r="F53" t="str">
            <v>Post2016</v>
          </cell>
        </row>
        <row r="54">
          <cell r="B54" t="str">
            <v>Pre2016</v>
          </cell>
          <cell r="C54" t="str">
            <v>Pre2016</v>
          </cell>
          <cell r="D54" t="str">
            <v>Pre2016</v>
          </cell>
          <cell r="E54" t="str">
            <v>Pre2016</v>
          </cell>
          <cell r="F54" t="str">
            <v>Pre2016</v>
          </cell>
        </row>
        <row r="55">
          <cell r="B55" t="str">
            <v>Post2016</v>
          </cell>
          <cell r="C55" t="str">
            <v>Post2016</v>
          </cell>
          <cell r="D55" t="str">
            <v>Post2016</v>
          </cell>
          <cell r="E55" t="str">
            <v>Post2016</v>
          </cell>
          <cell r="F55" t="str">
            <v>Post2016</v>
          </cell>
        </row>
        <row r="56">
          <cell r="B56" t="str">
            <v>Pre2016</v>
          </cell>
          <cell r="C56" t="str">
            <v>Pre2016</v>
          </cell>
          <cell r="D56" t="str">
            <v>Pre2016</v>
          </cell>
          <cell r="E56" t="str">
            <v>Pre2016</v>
          </cell>
          <cell r="F56" t="str">
            <v>Pre2016</v>
          </cell>
        </row>
        <row r="57">
          <cell r="B57" t="str">
            <v>Pre2016</v>
          </cell>
          <cell r="C57" t="str">
            <v>Pre2016</v>
          </cell>
          <cell r="D57" t="str">
            <v>Pre2016</v>
          </cell>
          <cell r="E57" t="str">
            <v>Pre2016</v>
          </cell>
          <cell r="F57" t="str">
            <v>Pre2016</v>
          </cell>
        </row>
        <row r="58">
          <cell r="B58" t="str">
            <v>Post2016</v>
          </cell>
          <cell r="C58" t="str">
            <v>Post2016</v>
          </cell>
          <cell r="D58" t="str">
            <v>Post2016</v>
          </cell>
          <cell r="E58" t="str">
            <v>Post2016</v>
          </cell>
          <cell r="F58" t="str">
            <v>Post2016</v>
          </cell>
        </row>
        <row r="59">
          <cell r="B59" t="str">
            <v>Pre2016</v>
          </cell>
          <cell r="C59" t="str">
            <v>Pre2016</v>
          </cell>
          <cell r="D59" t="str">
            <v>Pre2016</v>
          </cell>
          <cell r="E59" t="str">
            <v>Pre2016</v>
          </cell>
          <cell r="F59" t="str">
            <v>Pre2016</v>
          </cell>
        </row>
        <row r="60">
          <cell r="B60" t="str">
            <v>Pre2016</v>
          </cell>
          <cell r="C60" t="str">
            <v>Pre2016</v>
          </cell>
          <cell r="D60" t="str">
            <v>Pre2016</v>
          </cell>
          <cell r="E60" t="str">
            <v>Pre2016</v>
          </cell>
          <cell r="F60" t="str">
            <v>Pre2016</v>
          </cell>
        </row>
        <row r="61">
          <cell r="B61" t="str">
            <v>Post2016</v>
          </cell>
          <cell r="C61" t="str">
            <v>Post2016</v>
          </cell>
          <cell r="D61" t="str">
            <v>Post2016</v>
          </cell>
          <cell r="E61" t="str">
            <v>Post2016</v>
          </cell>
          <cell r="F61" t="str">
            <v>Post2016</v>
          </cell>
        </row>
        <row r="62">
          <cell r="B62" t="str">
            <v>Pre2016</v>
          </cell>
          <cell r="C62" t="str">
            <v>Pre2016</v>
          </cell>
          <cell r="D62" t="str">
            <v>Pre2016</v>
          </cell>
          <cell r="E62" t="str">
            <v>Pre2016</v>
          </cell>
          <cell r="F62" t="str">
            <v>Pre2016</v>
          </cell>
        </row>
        <row r="63">
          <cell r="B63" t="str">
            <v>Post2016</v>
          </cell>
          <cell r="C63" t="str">
            <v>Post2016</v>
          </cell>
          <cell r="D63" t="str">
            <v>Post2016</v>
          </cell>
          <cell r="E63" t="str">
            <v>Post2016</v>
          </cell>
          <cell r="F63" t="str">
            <v>Post2016</v>
          </cell>
        </row>
        <row r="64">
          <cell r="B64" t="str">
            <v>Post2016</v>
          </cell>
          <cell r="C64" t="str">
            <v>Post2016</v>
          </cell>
          <cell r="D64" t="str">
            <v>Post2016</v>
          </cell>
          <cell r="E64" t="str">
            <v>Post2016</v>
          </cell>
          <cell r="F64" t="str">
            <v>Post2016</v>
          </cell>
        </row>
        <row r="65">
          <cell r="B65" t="str">
            <v>Pre2016</v>
          </cell>
          <cell r="C65" t="str">
            <v>Pre2016</v>
          </cell>
          <cell r="D65" t="str">
            <v>Pre2016</v>
          </cell>
          <cell r="E65" t="str">
            <v>Pre2016</v>
          </cell>
          <cell r="F65" t="str">
            <v>Pre2016</v>
          </cell>
        </row>
        <row r="66">
          <cell r="B66" t="str">
            <v>Pre2016</v>
          </cell>
          <cell r="C66" t="str">
            <v>Pre2016</v>
          </cell>
          <cell r="D66" t="str">
            <v>Pre2016</v>
          </cell>
          <cell r="E66" t="str">
            <v>Pre2016</v>
          </cell>
          <cell r="F66" t="str">
            <v>Pre2016</v>
          </cell>
        </row>
        <row r="67">
          <cell r="B67" t="str">
            <v>Post2016</v>
          </cell>
          <cell r="C67" t="str">
            <v>Post2016</v>
          </cell>
          <cell r="D67" t="str">
            <v>Post2016</v>
          </cell>
          <cell r="E67" t="str">
            <v>Post2016</v>
          </cell>
          <cell r="F67" t="str">
            <v>Post2016</v>
          </cell>
        </row>
        <row r="68">
          <cell r="B68" t="str">
            <v>Pre2016</v>
          </cell>
          <cell r="C68" t="str">
            <v>Pre2016</v>
          </cell>
          <cell r="D68" t="str">
            <v>Pre2016</v>
          </cell>
          <cell r="E68" t="str">
            <v>Pre2016</v>
          </cell>
          <cell r="F68" t="str">
            <v>Pre2016</v>
          </cell>
        </row>
        <row r="69">
          <cell r="B69" t="str">
            <v>Post2016</v>
          </cell>
          <cell r="C69" t="str">
            <v>Post2016</v>
          </cell>
          <cell r="D69" t="str">
            <v>Post2016</v>
          </cell>
          <cell r="E69" t="str">
            <v>Post2016</v>
          </cell>
          <cell r="F69" t="str">
            <v>Post2016</v>
          </cell>
        </row>
        <row r="70">
          <cell r="B70" t="str">
            <v>Pre2016</v>
          </cell>
          <cell r="C70" t="str">
            <v>Pre2016</v>
          </cell>
          <cell r="D70" t="str">
            <v>Pre2016</v>
          </cell>
          <cell r="E70" t="str">
            <v>Pre2016</v>
          </cell>
          <cell r="F70" t="str">
            <v>Pre2016</v>
          </cell>
        </row>
        <row r="71">
          <cell r="B71" t="str">
            <v>Pre2016</v>
          </cell>
          <cell r="C71" t="str">
            <v>Pre2016</v>
          </cell>
          <cell r="D71" t="str">
            <v>Pre2016</v>
          </cell>
          <cell r="E71" t="str">
            <v>Pre2016</v>
          </cell>
          <cell r="F71" t="str">
            <v>Pre2016</v>
          </cell>
        </row>
        <row r="72">
          <cell r="B72" t="str">
            <v>Pre2016</v>
          </cell>
          <cell r="C72" t="str">
            <v>Pre2016</v>
          </cell>
          <cell r="D72" t="str">
            <v>Pre2016</v>
          </cell>
          <cell r="E72" t="str">
            <v>Pre2016</v>
          </cell>
          <cell r="F72" t="str">
            <v>Pre2016</v>
          </cell>
        </row>
        <row r="73">
          <cell r="B73" t="str">
            <v>Post2016</v>
          </cell>
          <cell r="C73" t="str">
            <v>Post2016</v>
          </cell>
          <cell r="D73" t="str">
            <v>Post2016</v>
          </cell>
          <cell r="E73" t="str">
            <v>Post2016</v>
          </cell>
          <cell r="F73" t="str">
            <v>Post2016</v>
          </cell>
        </row>
        <row r="74">
          <cell r="B74" t="str">
            <v>Pre2016</v>
          </cell>
          <cell r="C74" t="str">
            <v>Pre2016</v>
          </cell>
          <cell r="D74" t="str">
            <v>Pre2016</v>
          </cell>
          <cell r="E74" t="str">
            <v>Pre2016</v>
          </cell>
          <cell r="F74" t="str">
            <v>Pre2016</v>
          </cell>
        </row>
        <row r="77">
          <cell r="B77" t="str">
            <v>Pre2016</v>
          </cell>
          <cell r="C77" t="str">
            <v>Pre2016</v>
          </cell>
          <cell r="D77" t="str">
            <v>Pre2016</v>
          </cell>
          <cell r="E77" t="str">
            <v>Pre2016</v>
          </cell>
          <cell r="F77" t="str">
            <v>Pre2016</v>
          </cell>
        </row>
      </sheetData>
      <sheetData sheetId="8">
        <row r="10">
          <cell r="B10" t="str">
            <v>Lighting - NR</v>
          </cell>
          <cell r="C10">
            <v>0.125</v>
          </cell>
          <cell r="D10">
            <v>0.125</v>
          </cell>
          <cell r="E10">
            <v>0.125</v>
          </cell>
          <cell r="F10">
            <v>0.125</v>
          </cell>
        </row>
        <row r="11">
          <cell r="B11" t="str">
            <v>Lighting - PPA</v>
          </cell>
          <cell r="C11" t="str">
            <v/>
          </cell>
          <cell r="D11" t="str">
            <v/>
          </cell>
          <cell r="E11" t="str">
            <v/>
          </cell>
          <cell r="F11" t="str">
            <v/>
          </cell>
        </row>
        <row r="12">
          <cell r="B12" t="str">
            <v>Dishwasher - New</v>
          </cell>
          <cell r="C12">
            <v>1</v>
          </cell>
          <cell r="D12">
            <v>1</v>
          </cell>
          <cell r="E12">
            <v>1</v>
          </cell>
          <cell r="F12">
            <v>1</v>
          </cell>
        </row>
        <row r="13">
          <cell r="B13" t="str">
            <v>Dishwasher - NR</v>
          </cell>
          <cell r="C13">
            <v>6.4935064935064929E-2</v>
          </cell>
          <cell r="D13">
            <v>6.4935064935064929E-2</v>
          </cell>
          <cell r="E13">
            <v>6.4935064935064929E-2</v>
          </cell>
          <cell r="F13">
            <v>6.4935064935064929E-2</v>
          </cell>
        </row>
        <row r="14">
          <cell r="B14" t="str">
            <v>Clothes Washer - New</v>
          </cell>
          <cell r="C14">
            <v>1</v>
          </cell>
          <cell r="D14">
            <v>1</v>
          </cell>
          <cell r="E14">
            <v>1</v>
          </cell>
          <cell r="F14">
            <v>1</v>
          </cell>
        </row>
        <row r="15">
          <cell r="B15" t="str">
            <v>Clothes Washer - NR</v>
          </cell>
          <cell r="C15">
            <v>7.1428571428571425E-2</v>
          </cell>
          <cell r="D15">
            <v>7.1428571428571425E-2</v>
          </cell>
          <cell r="E15">
            <v>7.1428571428571425E-2</v>
          </cell>
          <cell r="F15">
            <v>7.1428571428571425E-2</v>
          </cell>
        </row>
        <row r="16">
          <cell r="B16" t="str">
            <v>WasteWater Heat Recovery - New</v>
          </cell>
          <cell r="C16">
            <v>1</v>
          </cell>
          <cell r="D16">
            <v>1</v>
          </cell>
          <cell r="E16">
            <v>1</v>
          </cell>
          <cell r="F16">
            <v>1</v>
          </cell>
        </row>
        <row r="17">
          <cell r="B17" t="str">
            <v>Showerheads - New</v>
          </cell>
          <cell r="C17">
            <v>1</v>
          </cell>
          <cell r="D17">
            <v>1</v>
          </cell>
          <cell r="E17">
            <v>1</v>
          </cell>
          <cell r="F17">
            <v>1</v>
          </cell>
        </row>
        <row r="18">
          <cell r="B18" t="str">
            <v>Showerheads - Retro</v>
          </cell>
          <cell r="C18" t="str">
            <v/>
          </cell>
          <cell r="D18" t="str">
            <v/>
          </cell>
          <cell r="E18" t="str">
            <v/>
          </cell>
          <cell r="F18" t="str">
            <v/>
          </cell>
        </row>
        <row r="19">
          <cell r="B19" t="str">
            <v>HPWH - New</v>
          </cell>
          <cell r="C19">
            <v>1</v>
          </cell>
          <cell r="D19">
            <v>1</v>
          </cell>
          <cell r="E19">
            <v>1</v>
          </cell>
          <cell r="F19">
            <v>1</v>
          </cell>
        </row>
        <row r="20">
          <cell r="B20" t="str">
            <v>HPWH - NR</v>
          </cell>
          <cell r="C20">
            <v>7.6923076923076927E-2</v>
          </cell>
          <cell r="D20">
            <v>7.6923076923076927E-2</v>
          </cell>
          <cell r="E20">
            <v>7.6923076923076927E-2</v>
          </cell>
          <cell r="F20">
            <v>7.6923076923076927E-2</v>
          </cell>
        </row>
        <row r="21">
          <cell r="B21" t="str">
            <v>EV Supply Equip - NR</v>
          </cell>
          <cell r="C21">
            <v>0.1</v>
          </cell>
          <cell r="D21">
            <v>0.1</v>
          </cell>
          <cell r="E21">
            <v>0.1</v>
          </cell>
          <cell r="F21">
            <v>0.1</v>
          </cell>
        </row>
        <row r="22">
          <cell r="B22" t="str">
            <v>Clothes Dryer - New</v>
          </cell>
          <cell r="C22">
            <v>1</v>
          </cell>
          <cell r="D22">
            <v>1</v>
          </cell>
          <cell r="E22">
            <v>1</v>
          </cell>
          <cell r="F22">
            <v>1</v>
          </cell>
        </row>
        <row r="23">
          <cell r="B23" t="str">
            <v>Clothes Dryer - NR</v>
          </cell>
          <cell r="C23">
            <v>6.25E-2</v>
          </cell>
          <cell r="D23">
            <v>6.25E-2</v>
          </cell>
          <cell r="E23">
            <v>6.25E-2</v>
          </cell>
          <cell r="F23">
            <v>6.25E-2</v>
          </cell>
        </row>
        <row r="24">
          <cell r="B24" t="str">
            <v>Refrigerator - New</v>
          </cell>
          <cell r="C24">
            <v>1</v>
          </cell>
          <cell r="D24">
            <v>1</v>
          </cell>
          <cell r="E24">
            <v>1</v>
          </cell>
          <cell r="F24">
            <v>1</v>
          </cell>
        </row>
        <row r="25">
          <cell r="B25" t="str">
            <v>Refrigerator - NR</v>
          </cell>
          <cell r="C25">
            <v>6.5789473684210523E-2</v>
          </cell>
          <cell r="D25">
            <v>6.5789473684210523E-2</v>
          </cell>
          <cell r="E25">
            <v>6.5789473684210523E-2</v>
          </cell>
          <cell r="F25">
            <v>6.5789473684210523E-2</v>
          </cell>
        </row>
        <row r="26">
          <cell r="B26" t="str">
            <v>Freezer - New</v>
          </cell>
          <cell r="C26">
            <v>1</v>
          </cell>
          <cell r="D26">
            <v>1</v>
          </cell>
          <cell r="E26">
            <v>1</v>
          </cell>
          <cell r="F26">
            <v>1</v>
          </cell>
        </row>
        <row r="27">
          <cell r="B27" t="str">
            <v>Freezer - NR</v>
          </cell>
          <cell r="C27">
            <v>4.6082949308755762E-2</v>
          </cell>
          <cell r="D27">
            <v>4.6082949308755762E-2</v>
          </cell>
          <cell r="E27">
            <v>4.6082949308755762E-2</v>
          </cell>
          <cell r="F27">
            <v>4.6082949308755762E-2</v>
          </cell>
        </row>
        <row r="28">
          <cell r="B28" t="str">
            <v>Solar Water Heater - New</v>
          </cell>
          <cell r="C28">
            <v>1</v>
          </cell>
          <cell r="D28">
            <v>1</v>
          </cell>
          <cell r="E28">
            <v>1</v>
          </cell>
          <cell r="F28">
            <v>1</v>
          </cell>
        </row>
        <row r="29">
          <cell r="B29" t="str">
            <v>Solar Water Heater - NR</v>
          </cell>
          <cell r="C29" t="e">
            <v>#DIV/0!</v>
          </cell>
          <cell r="D29" t="e">
            <v>#DIV/0!</v>
          </cell>
          <cell r="E29" t="e">
            <v>#DIV/0!</v>
          </cell>
          <cell r="F29" t="e">
            <v>#DIV/0!</v>
          </cell>
        </row>
        <row r="30">
          <cell r="B30" t="str">
            <v>Solar Water Heater - Retro</v>
          </cell>
          <cell r="C30" t="str">
            <v/>
          </cell>
          <cell r="D30" t="str">
            <v/>
          </cell>
          <cell r="E30" t="str">
            <v/>
          </cell>
          <cell r="F30" t="str">
            <v/>
          </cell>
        </row>
        <row r="31">
          <cell r="B31">
            <v>0</v>
          </cell>
          <cell r="C31" t="str">
            <v/>
          </cell>
          <cell r="D31" t="str">
            <v/>
          </cell>
          <cell r="E31" t="str">
            <v/>
          </cell>
          <cell r="F31" t="str">
            <v/>
          </cell>
        </row>
        <row r="32">
          <cell r="B32">
            <v>0</v>
          </cell>
          <cell r="C32" t="str">
            <v/>
          </cell>
          <cell r="D32" t="str">
            <v/>
          </cell>
          <cell r="E32" t="str">
            <v/>
          </cell>
          <cell r="F32" t="str">
            <v/>
          </cell>
        </row>
        <row r="33">
          <cell r="B33" t="str">
            <v>Electric Oven - New</v>
          </cell>
          <cell r="C33">
            <v>1</v>
          </cell>
          <cell r="D33">
            <v>1</v>
          </cell>
          <cell r="E33">
            <v>1</v>
          </cell>
          <cell r="F33">
            <v>1</v>
          </cell>
        </row>
        <row r="34">
          <cell r="B34" t="str">
            <v>Electric Oven - NR</v>
          </cell>
          <cell r="C34">
            <v>0.05</v>
          </cell>
          <cell r="D34">
            <v>0.05</v>
          </cell>
          <cell r="E34">
            <v>0.05</v>
          </cell>
          <cell r="F34">
            <v>0.05</v>
          </cell>
        </row>
        <row r="35">
          <cell r="B35" t="str">
            <v>Microwave - New</v>
          </cell>
          <cell r="C35">
            <v>1</v>
          </cell>
          <cell r="D35">
            <v>1</v>
          </cell>
          <cell r="E35">
            <v>1</v>
          </cell>
          <cell r="F35">
            <v>1</v>
          </cell>
        </row>
        <row r="36">
          <cell r="B36" t="str">
            <v>Microwave - NR</v>
          </cell>
          <cell r="C36">
            <v>0.1111111111111111</v>
          </cell>
          <cell r="D36">
            <v>0.1111111111111111</v>
          </cell>
          <cell r="E36">
            <v>0.1111111111111111</v>
          </cell>
          <cell r="F36">
            <v>0.1111111111111111</v>
          </cell>
        </row>
        <row r="37">
          <cell r="B37" t="str">
            <v>Monitor - New</v>
          </cell>
          <cell r="C37">
            <v>1</v>
          </cell>
          <cell r="D37">
            <v>1</v>
          </cell>
          <cell r="E37">
            <v>1</v>
          </cell>
          <cell r="F37">
            <v>1</v>
          </cell>
        </row>
        <row r="38">
          <cell r="B38" t="str">
            <v>Monitor - NR</v>
          </cell>
          <cell r="C38">
            <v>0.2</v>
          </cell>
          <cell r="D38">
            <v>0.2</v>
          </cell>
          <cell r="E38">
            <v>0.2</v>
          </cell>
          <cell r="F38">
            <v>0.2</v>
          </cell>
        </row>
        <row r="39">
          <cell r="B39" t="str">
            <v>Desktop - New</v>
          </cell>
          <cell r="C39">
            <v>1</v>
          </cell>
          <cell r="D39">
            <v>1</v>
          </cell>
          <cell r="E39">
            <v>1</v>
          </cell>
          <cell r="F39">
            <v>1</v>
          </cell>
        </row>
        <row r="40">
          <cell r="B40" t="str">
            <v>Desktop - NR</v>
          </cell>
          <cell r="C40">
            <v>0.25</v>
          </cell>
          <cell r="D40">
            <v>0.25</v>
          </cell>
          <cell r="E40">
            <v>0.25</v>
          </cell>
          <cell r="F40">
            <v>0.25</v>
          </cell>
        </row>
        <row r="41">
          <cell r="B41" t="str">
            <v>Laptop - New</v>
          </cell>
          <cell r="C41">
            <v>1</v>
          </cell>
          <cell r="D41">
            <v>1</v>
          </cell>
          <cell r="E41">
            <v>1</v>
          </cell>
          <cell r="F41">
            <v>1</v>
          </cell>
        </row>
        <row r="42">
          <cell r="B42" t="str">
            <v>Laptop - NR</v>
          </cell>
          <cell r="C42">
            <v>0.25</v>
          </cell>
          <cell r="D42">
            <v>0.25</v>
          </cell>
          <cell r="E42">
            <v>0.25</v>
          </cell>
          <cell r="F42">
            <v>0.25</v>
          </cell>
        </row>
        <row r="43">
          <cell r="B43" t="str">
            <v>Computer - New</v>
          </cell>
          <cell r="C43">
            <v>1</v>
          </cell>
          <cell r="D43">
            <v>1</v>
          </cell>
          <cell r="E43">
            <v>1</v>
          </cell>
          <cell r="F43">
            <v>1</v>
          </cell>
        </row>
        <row r="44">
          <cell r="B44" t="str">
            <v>Computer - NR</v>
          </cell>
          <cell r="C44">
            <v>0.25</v>
          </cell>
          <cell r="D44">
            <v>0.25</v>
          </cell>
          <cell r="E44">
            <v>0.25</v>
          </cell>
          <cell r="F44">
            <v>0.25</v>
          </cell>
        </row>
        <row r="45">
          <cell r="B45" t="str">
            <v>ASHP - New</v>
          </cell>
          <cell r="C45">
            <v>1</v>
          </cell>
          <cell r="D45">
            <v>1</v>
          </cell>
          <cell r="E45">
            <v>1</v>
          </cell>
          <cell r="F45">
            <v>1</v>
          </cell>
        </row>
        <row r="46">
          <cell r="B46" t="str">
            <v>ASHP - NR</v>
          </cell>
          <cell r="C46">
            <v>6.6666666666666666E-2</v>
          </cell>
          <cell r="D46">
            <v>6.6666666666666666E-2</v>
          </cell>
          <cell r="E46">
            <v>6.6666666666666666E-2</v>
          </cell>
          <cell r="F46">
            <v>6.6666666666666666E-2</v>
          </cell>
        </row>
        <row r="47">
          <cell r="B47" t="str">
            <v>HP - Retro</v>
          </cell>
          <cell r="C47" t="str">
            <v/>
          </cell>
          <cell r="D47" t="str">
            <v/>
          </cell>
          <cell r="E47" t="str">
            <v/>
          </cell>
          <cell r="F47" t="str">
            <v/>
          </cell>
        </row>
        <row r="48">
          <cell r="B48" t="str">
            <v>DHP - New</v>
          </cell>
          <cell r="C48">
            <v>1</v>
          </cell>
          <cell r="D48">
            <v>1</v>
          </cell>
          <cell r="E48">
            <v>1</v>
          </cell>
          <cell r="F48">
            <v>1</v>
          </cell>
        </row>
        <row r="49">
          <cell r="B49" t="str">
            <v>DHP - NR</v>
          </cell>
          <cell r="C49">
            <v>6.6666666666666666E-2</v>
          </cell>
          <cell r="D49">
            <v>6.6666666666666666E-2</v>
          </cell>
          <cell r="E49">
            <v>6.6666666666666666E-2</v>
          </cell>
          <cell r="F49">
            <v>6.6666666666666666E-2</v>
          </cell>
        </row>
        <row r="50">
          <cell r="B50" t="str">
            <v>DHP - Retro</v>
          </cell>
          <cell r="C50" t="str">
            <v/>
          </cell>
          <cell r="D50" t="str">
            <v/>
          </cell>
          <cell r="E50" t="str">
            <v/>
          </cell>
          <cell r="F50" t="str">
            <v/>
          </cell>
        </row>
        <row r="51">
          <cell r="B51" t="str">
            <v>Duct Sealing - New</v>
          </cell>
          <cell r="C51">
            <v>1</v>
          </cell>
          <cell r="D51">
            <v>1</v>
          </cell>
          <cell r="E51">
            <v>1</v>
          </cell>
          <cell r="F51">
            <v>1</v>
          </cell>
        </row>
        <row r="52">
          <cell r="B52" t="str">
            <v>Duct Sealing - Retro</v>
          </cell>
          <cell r="C52" t="str">
            <v/>
          </cell>
          <cell r="D52" t="str">
            <v/>
          </cell>
          <cell r="E52" t="str">
            <v/>
          </cell>
          <cell r="F52" t="str">
            <v/>
          </cell>
        </row>
        <row r="53">
          <cell r="B53" t="str">
            <v>WIFI enabled tstats - New</v>
          </cell>
          <cell r="C53">
            <v>1</v>
          </cell>
          <cell r="D53">
            <v>1</v>
          </cell>
          <cell r="E53">
            <v>1</v>
          </cell>
          <cell r="F53">
            <v>1</v>
          </cell>
        </row>
        <row r="54">
          <cell r="B54" t="str">
            <v>WIFI enabled tstats - Retro</v>
          </cell>
          <cell r="C54" t="str">
            <v/>
          </cell>
          <cell r="D54" t="str">
            <v/>
          </cell>
          <cell r="E54" t="str">
            <v/>
          </cell>
          <cell r="F54" t="str">
            <v/>
          </cell>
        </row>
        <row r="55">
          <cell r="B55" t="str">
            <v>Combo DHP/HPWH units - New</v>
          </cell>
          <cell r="C55">
            <v>1</v>
          </cell>
          <cell r="D55">
            <v>1</v>
          </cell>
          <cell r="E55">
            <v>1</v>
          </cell>
          <cell r="F55">
            <v>1</v>
          </cell>
        </row>
        <row r="56">
          <cell r="B56" t="str">
            <v>Combo DHP/HPWH units - NR</v>
          </cell>
          <cell r="C56" t="e">
            <v>#DIV/0!</v>
          </cell>
          <cell r="D56" t="e">
            <v>#DIV/0!</v>
          </cell>
          <cell r="E56" t="e">
            <v>#DIV/0!</v>
          </cell>
          <cell r="F56" t="e">
            <v>#DIV/0!</v>
          </cell>
        </row>
        <row r="57">
          <cell r="B57" t="str">
            <v>Combo DHP/HPWH units - Retro</v>
          </cell>
          <cell r="C57" t="str">
            <v/>
          </cell>
          <cell r="D57" t="str">
            <v/>
          </cell>
          <cell r="E57" t="str">
            <v/>
          </cell>
          <cell r="F57" t="str">
            <v/>
          </cell>
        </row>
        <row r="58">
          <cell r="B58" t="str">
            <v>Aerator - New</v>
          </cell>
          <cell r="C58">
            <v>1</v>
          </cell>
          <cell r="D58">
            <v>1</v>
          </cell>
          <cell r="E58">
            <v>1</v>
          </cell>
          <cell r="F58">
            <v>1</v>
          </cell>
        </row>
        <row r="59">
          <cell r="B59" t="str">
            <v>Aerator - Retro</v>
          </cell>
          <cell r="C59" t="str">
            <v/>
          </cell>
          <cell r="D59" t="str">
            <v/>
          </cell>
          <cell r="E59" t="str">
            <v/>
          </cell>
          <cell r="F59" t="str">
            <v/>
          </cell>
        </row>
        <row r="60">
          <cell r="B60" t="str">
            <v>Behavior - Retro</v>
          </cell>
          <cell r="C60" t="str">
            <v/>
          </cell>
          <cell r="D60" t="str">
            <v/>
          </cell>
          <cell r="E60" t="str">
            <v/>
          </cell>
          <cell r="F60" t="str">
            <v/>
          </cell>
        </row>
        <row r="61">
          <cell r="B61" t="str">
            <v>Behavior - New</v>
          </cell>
          <cell r="C61">
            <v>1</v>
          </cell>
          <cell r="D61">
            <v>1</v>
          </cell>
          <cell r="E61">
            <v>1</v>
          </cell>
          <cell r="F61">
            <v>1</v>
          </cell>
        </row>
        <row r="62">
          <cell r="B62">
            <v>0</v>
          </cell>
          <cell r="C62" t="str">
            <v/>
          </cell>
          <cell r="D62" t="str">
            <v/>
          </cell>
          <cell r="E62" t="str">
            <v/>
          </cell>
          <cell r="F62" t="str">
            <v/>
          </cell>
        </row>
        <row r="63">
          <cell r="B63" t="str">
            <v>Heat Recovery Ventilation - New</v>
          </cell>
          <cell r="C63">
            <v>1</v>
          </cell>
          <cell r="D63">
            <v>1</v>
          </cell>
          <cell r="E63">
            <v>1</v>
          </cell>
          <cell r="F63">
            <v>1</v>
          </cell>
        </row>
        <row r="64">
          <cell r="B64" t="str">
            <v>GSHP - New</v>
          </cell>
          <cell r="C64">
            <v>1</v>
          </cell>
          <cell r="D64">
            <v>1</v>
          </cell>
          <cell r="E64">
            <v>1</v>
          </cell>
          <cell r="F64">
            <v>1</v>
          </cell>
        </row>
        <row r="65">
          <cell r="B65" t="str">
            <v>GSHP - NR</v>
          </cell>
          <cell r="C65">
            <v>6.6666666666666666E-2</v>
          </cell>
          <cell r="D65">
            <v>6.6666666666666666E-2</v>
          </cell>
          <cell r="E65">
            <v>6.6666666666666666E-2</v>
          </cell>
          <cell r="F65">
            <v>6.6666666666666666E-2</v>
          </cell>
        </row>
        <row r="66">
          <cell r="B66">
            <v>0</v>
          </cell>
          <cell r="C66" t="str">
            <v/>
          </cell>
          <cell r="D66" t="str">
            <v/>
          </cell>
          <cell r="E66" t="str">
            <v/>
          </cell>
          <cell r="F66" t="str">
            <v/>
          </cell>
        </row>
        <row r="67">
          <cell r="B67" t="str">
            <v>ECM for HVAC ventilation - New</v>
          </cell>
          <cell r="C67">
            <v>1</v>
          </cell>
          <cell r="D67">
            <v>1</v>
          </cell>
          <cell r="E67">
            <v>1</v>
          </cell>
          <cell r="F67">
            <v>1</v>
          </cell>
        </row>
        <row r="68">
          <cell r="B68" t="str">
            <v>ECM for HVAC ventilation - NR</v>
          </cell>
          <cell r="C68" t="e">
            <v>#DIV/0!</v>
          </cell>
          <cell r="D68" t="e">
            <v>#DIV/0!</v>
          </cell>
          <cell r="E68" t="e">
            <v>#DIV/0!</v>
          </cell>
          <cell r="F68" t="e">
            <v>#DIV/0!</v>
          </cell>
        </row>
        <row r="69">
          <cell r="B69" t="str">
            <v>Whole house/attic fan - New</v>
          </cell>
          <cell r="C69">
            <v>1</v>
          </cell>
          <cell r="D69">
            <v>1</v>
          </cell>
          <cell r="E69">
            <v>1</v>
          </cell>
          <cell r="F69">
            <v>1</v>
          </cell>
        </row>
        <row r="70">
          <cell r="B70" t="str">
            <v>Whole house/attic fan - Retro</v>
          </cell>
          <cell r="C70" t="str">
            <v/>
          </cell>
          <cell r="D70" t="str">
            <v/>
          </cell>
          <cell r="E70" t="str">
            <v/>
          </cell>
          <cell r="F70" t="str">
            <v/>
          </cell>
        </row>
        <row r="71">
          <cell r="B71" t="str">
            <v>WH Pipe insulation - Retro</v>
          </cell>
          <cell r="C71" t="str">
            <v/>
          </cell>
          <cell r="D71" t="str">
            <v/>
          </cell>
          <cell r="E71" t="str">
            <v/>
          </cell>
          <cell r="F71" t="str">
            <v/>
          </cell>
        </row>
        <row r="72">
          <cell r="B72" t="str">
            <v>DHP Ducted - NR</v>
          </cell>
          <cell r="C72">
            <v>6.6666666666666666E-2</v>
          </cell>
          <cell r="D72">
            <v>6.6666666666666666E-2</v>
          </cell>
          <cell r="E72">
            <v>6.6666666666666666E-2</v>
          </cell>
          <cell r="F72">
            <v>6.6666666666666666E-2</v>
          </cell>
        </row>
        <row r="73">
          <cell r="B73" t="str">
            <v>Advanced Power Strips - New</v>
          </cell>
          <cell r="C73">
            <v>1</v>
          </cell>
          <cell r="D73">
            <v>1</v>
          </cell>
          <cell r="E73">
            <v>1</v>
          </cell>
          <cell r="F73">
            <v>1</v>
          </cell>
        </row>
        <row r="74">
          <cell r="B74" t="str">
            <v>Advanced Power Strips - Retro</v>
          </cell>
          <cell r="C74" t="str">
            <v/>
          </cell>
          <cell r="D74" t="str">
            <v/>
          </cell>
          <cell r="E74" t="str">
            <v/>
          </cell>
          <cell r="F74" t="str">
            <v/>
          </cell>
        </row>
        <row r="75">
          <cell r="B75" t="str">
            <v>Controls Commissioning and Sizing - New</v>
          </cell>
          <cell r="C75">
            <v>1</v>
          </cell>
          <cell r="D75">
            <v>1</v>
          </cell>
          <cell r="E75">
            <v>1</v>
          </cell>
          <cell r="F75">
            <v>1</v>
          </cell>
        </row>
        <row r="76">
          <cell r="B76" t="str">
            <v>Controls Commissioning and Sizing - NR</v>
          </cell>
          <cell r="C76">
            <v>6.6666666666666666E-2</v>
          </cell>
          <cell r="D76">
            <v>6.6666666666666666E-2</v>
          </cell>
          <cell r="E76">
            <v>6.6666666666666666E-2</v>
          </cell>
          <cell r="F76">
            <v>6.6666666666666666E-2</v>
          </cell>
        </row>
        <row r="77">
          <cell r="B77" t="str">
            <v>ResWx - Retro</v>
          </cell>
          <cell r="C77" t="str">
            <v/>
          </cell>
          <cell r="D77" t="str">
            <v/>
          </cell>
          <cell r="E77" t="str">
            <v/>
          </cell>
          <cell r="F77" t="str">
            <v/>
          </cell>
        </row>
      </sheetData>
      <sheetData sheetId="9">
        <row r="9">
          <cell r="C9" t="str">
            <v>Retro12Med</v>
          </cell>
          <cell r="D9">
            <v>0.10937459468255628</v>
          </cell>
          <cell r="E9">
            <v>0.10937459468255628</v>
          </cell>
          <cell r="F9">
            <v>0.10937459468255628</v>
          </cell>
          <cell r="G9">
            <v>0.10937459468255628</v>
          </cell>
          <cell r="H9">
            <v>0.10937459468255628</v>
          </cell>
          <cell r="I9">
            <v>9.8437135214300656E-2</v>
          </cell>
          <cell r="J9">
            <v>7.874970817144053E-2</v>
          </cell>
          <cell r="K9">
            <v>6.2999766537152418E-2</v>
          </cell>
          <cell r="L9">
            <v>5.0399813229721938E-2</v>
          </cell>
          <cell r="M9">
            <v>4.0319850583777551E-2</v>
          </cell>
          <cell r="N9">
            <v>3.225588046702204E-2</v>
          </cell>
          <cell r="O9">
            <v>2.5804704373617631E-2</v>
          </cell>
          <cell r="P9">
            <v>2.0643763498894106E-2</v>
          </cell>
          <cell r="Q9">
            <v>1.6515010799115284E-2</v>
          </cell>
          <cell r="R9">
            <v>1.3212008639292228E-2</v>
          </cell>
          <cell r="S9">
            <v>1.0569606911433781E-2</v>
          </cell>
          <cell r="T9">
            <v>7.2092823794611682E-5</v>
          </cell>
          <cell r="U9">
            <v>2.5747437069512102E-5</v>
          </cell>
          <cell r="V9">
            <v>8.7775353646568632E-6</v>
          </cell>
          <cell r="W9">
            <v>2.8622397928446119E-6</v>
          </cell>
        </row>
        <row r="10">
          <cell r="C10" t="str">
            <v>Retro5Med</v>
          </cell>
          <cell r="D10">
            <v>4.2999999999999997E-2</v>
          </cell>
          <cell r="E10">
            <v>5.279714228027832E-2</v>
          </cell>
          <cell r="F10">
            <v>6.4608251467478173E-2</v>
          </cell>
          <cell r="G10">
            <v>7.4999999999999997E-2</v>
          </cell>
          <cell r="H10">
            <v>8.5546997470333563E-2</v>
          </cell>
          <cell r="I10">
            <v>0.10001472303820647</v>
          </cell>
          <cell r="J10">
            <v>0.10971770435235073</v>
          </cell>
          <cell r="K10">
            <v>0.11208438511970376</v>
          </cell>
          <cell r="L10">
            <v>0.10562608162722853</v>
          </cell>
          <cell r="M10">
            <v>9.0794563997872335E-2</v>
          </cell>
          <cell r="N10">
            <v>7.0260666991849297E-2</v>
          </cell>
          <cell r="O10">
            <v>4.8218360404944538E-2</v>
          </cell>
          <cell r="P10">
            <v>2.8854234614640095E-2</v>
          </cell>
          <cell r="Q10">
            <v>1.4773964924806759E-2</v>
          </cell>
          <cell r="R10">
            <v>6.3385343681182649E-3</v>
          </cell>
          <cell r="S10">
            <v>2.2268577196306039E-3</v>
          </cell>
          <cell r="T10">
            <v>6.2471001963848583E-4</v>
          </cell>
          <cell r="U10">
            <v>1.3615841889635938E-4</v>
          </cell>
          <cell r="V10">
            <v>2.2380636622298944E-5</v>
          </cell>
          <cell r="W10">
            <v>2.68643837586513E-6</v>
          </cell>
        </row>
        <row r="11">
          <cell r="C11" t="str">
            <v>Retro1Slow</v>
          </cell>
          <cell r="D11">
            <v>2.5643970768378654E-3</v>
          </cell>
          <cell r="E11">
            <v>5.1260615529385989E-3</v>
          </cell>
          <cell r="F11">
            <v>9.1015544176433795E-3</v>
          </cell>
          <cell r="G11">
            <v>1.4804925730045659E-2</v>
          </cell>
          <cell r="H11">
            <v>2.2471809420486211E-2</v>
          </cell>
          <cell r="I11">
            <v>3.2184432813882391E-2</v>
          </cell>
          <cell r="J11">
            <v>4.3779667172004086E-2</v>
          </cell>
          <cell r="K11">
            <v>5.675426075474499E-2</v>
          </cell>
          <cell r="L11">
            <v>7.0195239068707532E-2</v>
          </cell>
          <cell r="M11">
            <v>8.2776861842756788E-2</v>
          </cell>
          <cell r="N11">
            <v>9.2870259507494834E-2</v>
          </cell>
          <cell r="O11">
            <v>9.8796470678915727E-2</v>
          </cell>
          <cell r="P11">
            <v>9.9208932889988999E-2</v>
          </cell>
          <cell r="Q11">
            <v>9.3521150494244254E-2</v>
          </cell>
          <cell r="R11">
            <v>8.2226007896862296E-2</v>
          </cell>
          <cell r="S11">
            <v>6.6933566027365665E-2</v>
          </cell>
          <cell r="T11">
            <v>5.0029565143448806E-2</v>
          </cell>
          <cell r="U11">
            <v>3.402486521893211E-2</v>
          </cell>
          <cell r="V11">
            <v>2.0846059340774659E-2</v>
          </cell>
          <cell r="W11">
            <v>0.01</v>
          </cell>
        </row>
        <row r="12">
          <cell r="C12" t="str">
            <v>Retro50Fast</v>
          </cell>
          <cell r="D12">
            <v>0.45</v>
          </cell>
          <cell r="E12">
            <v>0.21</v>
          </cell>
          <cell r="F12">
            <v>0.14000000000000001</v>
          </cell>
          <cell r="G12">
            <v>0.09</v>
          </cell>
          <cell r="H12">
            <v>5.9540362609726505E-2</v>
          </cell>
          <cell r="I12">
            <v>2.9770181304863419E-2</v>
          </cell>
          <cell r="J12">
            <v>1.3231191691050248E-2</v>
          </cell>
          <cell r="K12">
            <v>5.2924766764202991E-3</v>
          </cell>
          <cell r="L12">
            <v>1.9245369732436846E-3</v>
          </cell>
          <cell r="M12">
            <v>6.415123244144505E-4</v>
          </cell>
          <cell r="N12">
            <v>1.9738840751215569E-4</v>
          </cell>
          <cell r="O12">
            <v>5.6396687860615913E-5</v>
          </cell>
          <cell r="P12">
            <v>1.5039116763038152E-5</v>
          </cell>
          <cell r="Q12">
            <v>3.7597791905374933E-6</v>
          </cell>
          <cell r="R12">
            <v>8.8465392733549919E-7</v>
          </cell>
          <cell r="S12">
            <v>1.9658976146974538E-7</v>
          </cell>
          <cell r="T12">
            <v>4.13873183502389E-8</v>
          </cell>
          <cell r="U12">
            <v>8.2774636034343985E-9</v>
          </cell>
          <cell r="V12">
            <v>1.5766598027155965E-9</v>
          </cell>
          <cell r="W12">
            <v>2.8666535811794347E-10</v>
          </cell>
        </row>
        <row r="13">
          <cell r="C13" t="str">
            <v>Retro20Fast</v>
          </cell>
          <cell r="D13">
            <v>0.22119921692859512</v>
          </cell>
          <cell r="E13">
            <v>0.15504311102289431</v>
          </cell>
          <cell r="F13">
            <v>0.10733128557729499</v>
          </cell>
          <cell r="G13">
            <v>8.3589689255657879E-2</v>
          </cell>
          <cell r="H13">
            <v>7.3237179880126971E-2</v>
          </cell>
          <cell r="I13">
            <v>6.3374636711760357E-2</v>
          </cell>
          <cell r="J13">
            <v>5.4291838367783084E-2</v>
          </cell>
          <cell r="K13">
            <v>4.612639225659896E-2</v>
          </cell>
          <cell r="L13">
            <v>3.8916876277172864E-2</v>
          </cell>
          <cell r="M13">
            <v>3.2639916313151704E-2</v>
          </cell>
          <cell r="N13">
            <v>2.7235706125786907E-2</v>
          </cell>
          <cell r="O13">
            <v>2.1211189258265428E-2</v>
          </cell>
          <cell r="P13">
            <v>1.6519290804212883E-2</v>
          </cell>
          <cell r="Q13">
            <v>1.2865236614105324E-2</v>
          </cell>
          <cell r="R13">
            <v>1.0019456349464106E-2</v>
          </cell>
          <cell r="S13">
            <v>7.8031604509122832E-3</v>
          </cell>
          <cell r="T13">
            <v>6.077107469602494E-3</v>
          </cell>
          <cell r="U13">
            <v>4.7328560561354371E-3</v>
          </cell>
          <cell r="V13">
            <v>3.6859520026825132E-3</v>
          </cell>
          <cell r="W13">
            <v>2.8706223060526725E-3</v>
          </cell>
        </row>
        <row r="14">
          <cell r="C14" t="str">
            <v>RetroEven20</v>
          </cell>
          <cell r="D14">
            <v>0.05</v>
          </cell>
          <cell r="E14">
            <v>0.05</v>
          </cell>
          <cell r="F14">
            <v>0.05</v>
          </cell>
          <cell r="G14">
            <v>0.05</v>
          </cell>
          <cell r="H14">
            <v>0.05</v>
          </cell>
          <cell r="I14">
            <v>0.05</v>
          </cell>
          <cell r="J14">
            <v>0.05</v>
          </cell>
          <cell r="K14">
            <v>0.05</v>
          </cell>
          <cell r="L14">
            <v>0.05</v>
          </cell>
          <cell r="M14">
            <v>0.05</v>
          </cell>
          <cell r="N14">
            <v>0.05</v>
          </cell>
          <cell r="O14">
            <v>0.05</v>
          </cell>
          <cell r="P14">
            <v>0.05</v>
          </cell>
          <cell r="Q14">
            <v>0.05</v>
          </cell>
          <cell r="R14">
            <v>0.05</v>
          </cell>
          <cell r="S14">
            <v>0.05</v>
          </cell>
          <cell r="T14">
            <v>0.05</v>
          </cell>
          <cell r="U14">
            <v>0.05</v>
          </cell>
          <cell r="V14">
            <v>0.05</v>
          </cell>
          <cell r="W14">
            <v>0.05</v>
          </cell>
        </row>
        <row r="15">
          <cell r="C15" t="str">
            <v>RetroMax60</v>
          </cell>
          <cell r="D15">
            <v>0.01</v>
          </cell>
          <cell r="E15">
            <v>1.9799999999999998E-2</v>
          </cell>
          <cell r="F15">
            <v>2.9106E-2</v>
          </cell>
          <cell r="G15">
            <v>3.7643759999999998E-2</v>
          </cell>
          <cell r="H15">
            <v>4.5172511999999984E-2</v>
          </cell>
          <cell r="I15">
            <v>4.8635737920000005E-2</v>
          </cell>
          <cell r="J15">
            <v>4.587971277120001E-2</v>
          </cell>
          <cell r="K15">
            <v>4.3279862380832007E-2</v>
          </cell>
          <cell r="L15">
            <v>4.0827336845918161E-2</v>
          </cell>
          <cell r="M15">
            <v>3.8513787757982809E-2</v>
          </cell>
          <cell r="N15">
            <v>3.6331339785030448E-2</v>
          </cell>
          <cell r="O15">
            <v>3.4272563863878724E-2</v>
          </cell>
          <cell r="P15">
            <v>3.2330451911592284E-2</v>
          </cell>
          <cell r="Q15">
            <v>3.0498392969935395E-2</v>
          </cell>
          <cell r="R15">
            <v>2.8770150701639075E-2</v>
          </cell>
          <cell r="S15">
            <v>2.7139842161879479E-2</v>
          </cell>
          <cell r="T15">
            <v>2.5601917772706373E-2</v>
          </cell>
          <cell r="U15">
            <v>2.4151142432252914E-2</v>
          </cell>
          <cell r="V15">
            <v>2.2782577694425266E-2</v>
          </cell>
          <cell r="W15">
            <v>2.1491564958407872E-2</v>
          </cell>
        </row>
        <row r="16">
          <cell r="C16" t="str">
            <v>Retro3Slow</v>
          </cell>
          <cell r="D16">
            <v>5.5320496977002724E-3</v>
          </cell>
          <cell r="E16">
            <v>8.6958686465615706E-3</v>
          </cell>
          <cell r="F16">
            <v>1.7391737293123145E-2</v>
          </cell>
          <cell r="G16">
            <v>3.0435540262965514E-2</v>
          </cell>
          <cell r="H16">
            <v>4.7344173742390784E-2</v>
          </cell>
          <cell r="I16">
            <v>6.6281843239347063E-2</v>
          </cell>
          <cell r="J16">
            <v>8.4358709577350838E-2</v>
          </cell>
          <cell r="K16">
            <v>9.8418494506909315E-2</v>
          </cell>
          <cell r="L16">
            <v>0.10598914793051767</v>
          </cell>
          <cell r="M16">
            <v>0.10598914793051767</v>
          </cell>
          <cell r="N16">
            <v>9.8923204735149928E-2</v>
          </cell>
          <cell r="O16">
            <v>8.655780414325609E-2</v>
          </cell>
          <cell r="P16">
            <v>7.1282897529740263E-2</v>
          </cell>
          <cell r="Q16">
            <v>5.5442253634242489E-2</v>
          </cell>
          <cell r="R16">
            <v>4.0852186888389319E-2</v>
          </cell>
          <cell r="S16">
            <v>2.8596530821872412E-2</v>
          </cell>
          <cell r="T16">
            <v>1.9064353881248275E-2</v>
          </cell>
          <cell r="U16">
            <v>1.2131861560794377E-2</v>
          </cell>
          <cell r="V16">
            <v>7.3846113848314854E-3</v>
          </cell>
          <cell r="W16">
            <v>4.3076899744848296E-3</v>
          </cell>
        </row>
        <row r="17">
          <cell r="C17" t="str">
            <v>LightingPPA</v>
          </cell>
          <cell r="D17">
            <v>0.5468729734127814</v>
          </cell>
          <cell r="E17">
            <v>0.43749837873022512</v>
          </cell>
          <cell r="F17">
            <v>0.32812378404766884</v>
          </cell>
          <cell r="G17">
            <v>0.21874918936511256</v>
          </cell>
          <cell r="H17">
            <v>0.10937459468255628</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A19" t="str">
            <v>End Use</v>
          </cell>
          <cell r="B19" t="str">
            <v>Measure Index Name</v>
          </cell>
          <cell r="C19" t="str">
            <v>Ramp</v>
          </cell>
          <cell r="D19">
            <v>2016</v>
          </cell>
          <cell r="E19">
            <v>2017</v>
          </cell>
          <cell r="F19">
            <v>2018</v>
          </cell>
          <cell r="G19">
            <v>2019</v>
          </cell>
          <cell r="H19">
            <v>2020</v>
          </cell>
          <cell r="I19">
            <v>2021</v>
          </cell>
          <cell r="J19">
            <v>2022</v>
          </cell>
          <cell r="K19">
            <v>2023</v>
          </cell>
          <cell r="L19">
            <v>2024</v>
          </cell>
          <cell r="M19">
            <v>2025</v>
          </cell>
          <cell r="N19">
            <v>2026</v>
          </cell>
          <cell r="O19">
            <v>2027</v>
          </cell>
          <cell r="P19">
            <v>2028</v>
          </cell>
          <cell r="Q19">
            <v>2029</v>
          </cell>
          <cell r="R19">
            <v>2030</v>
          </cell>
          <cell r="S19">
            <v>2031</v>
          </cell>
          <cell r="T19">
            <v>2032</v>
          </cell>
          <cell r="U19">
            <v>2033</v>
          </cell>
          <cell r="V19">
            <v>2034</v>
          </cell>
          <cell r="W19">
            <v>2035</v>
          </cell>
        </row>
        <row r="20">
          <cell r="A20" t="str">
            <v>Lighting</v>
          </cell>
          <cell r="B20" t="str">
            <v>Lighting - New</v>
          </cell>
          <cell r="C20" t="str">
            <v>LO20Fast</v>
          </cell>
          <cell r="D20">
            <v>0.22119921692859512</v>
          </cell>
          <cell r="E20">
            <v>0.37624232795148943</v>
          </cell>
          <cell r="F20">
            <v>0.48357361352878442</v>
          </cell>
          <cell r="G20">
            <v>0.56716330278444227</v>
          </cell>
          <cell r="H20">
            <v>0.64040048266456928</v>
          </cell>
          <cell r="I20">
            <v>0.70377511937632964</v>
          </cell>
          <cell r="J20">
            <v>0.7580669577441127</v>
          </cell>
          <cell r="K20">
            <v>0.80419335000071168</v>
          </cell>
          <cell r="L20">
            <v>0.84311022627788457</v>
          </cell>
          <cell r="M20">
            <v>0.87575014259103623</v>
          </cell>
          <cell r="N20">
            <v>0.90298584871682319</v>
          </cell>
          <cell r="O20">
            <v>0.92419703797508856</v>
          </cell>
          <cell r="P20">
            <v>0.94071632877930145</v>
          </cell>
          <cell r="Q20">
            <v>0.95358156539340677</v>
          </cell>
          <cell r="R20">
            <v>0.96360102174287088</v>
          </cell>
          <cell r="S20">
            <v>0.97140418219378311</v>
          </cell>
          <cell r="T20">
            <v>0.97748128966338554</v>
          </cell>
          <cell r="U20">
            <v>0.98221414571952104</v>
          </cell>
          <cell r="V20">
            <v>0.98590009772220355</v>
          </cell>
          <cell r="W20">
            <v>0.98877072002825628</v>
          </cell>
        </row>
        <row r="21">
          <cell r="A21" t="str">
            <v>Lighting</v>
          </cell>
          <cell r="B21" t="str">
            <v>Lighting - NR</v>
          </cell>
          <cell r="C21" t="str">
            <v>LO20Fast</v>
          </cell>
          <cell r="D21">
            <v>0.22119921692859512</v>
          </cell>
          <cell r="E21">
            <v>0.37624232795148943</v>
          </cell>
          <cell r="F21">
            <v>0.48357361352878442</v>
          </cell>
          <cell r="G21">
            <v>0.56716330278444227</v>
          </cell>
          <cell r="H21">
            <v>0.64040048266456928</v>
          </cell>
          <cell r="I21">
            <v>0.70377511937632964</v>
          </cell>
          <cell r="J21">
            <v>0.7580669577441127</v>
          </cell>
          <cell r="K21">
            <v>0.80419335000071168</v>
          </cell>
          <cell r="L21">
            <v>0.84311022627788457</v>
          </cell>
          <cell r="M21">
            <v>0.87575014259103623</v>
          </cell>
          <cell r="N21">
            <v>0.90298584871682319</v>
          </cell>
          <cell r="O21">
            <v>0.92419703797508856</v>
          </cell>
          <cell r="P21">
            <v>0.94071632877930145</v>
          </cell>
          <cell r="Q21">
            <v>0.95358156539340677</v>
          </cell>
          <cell r="R21">
            <v>0.96360102174287088</v>
          </cell>
          <cell r="S21">
            <v>0.97140418219378311</v>
          </cell>
          <cell r="T21">
            <v>0.97748128966338554</v>
          </cell>
          <cell r="U21">
            <v>0.98221414571952104</v>
          </cell>
          <cell r="V21">
            <v>0.98590009772220355</v>
          </cell>
          <cell r="W21">
            <v>0.98877072002825628</v>
          </cell>
        </row>
        <row r="22">
          <cell r="A22" t="str">
            <v>Lighting</v>
          </cell>
          <cell r="B22" t="str">
            <v>Lighting - PPA</v>
          </cell>
          <cell r="C22" t="str">
            <v>Retro20Fast</v>
          </cell>
          <cell r="D22">
            <v>0.22119921692859512</v>
          </cell>
          <cell r="E22">
            <v>0.15504311102289431</v>
          </cell>
          <cell r="F22">
            <v>0.10733128557729499</v>
          </cell>
          <cell r="G22">
            <v>8.3589689255657879E-2</v>
          </cell>
          <cell r="H22">
            <v>7.3237179880126971E-2</v>
          </cell>
          <cell r="I22">
            <v>6.3374636711760357E-2</v>
          </cell>
          <cell r="J22">
            <v>5.4291838367783084E-2</v>
          </cell>
          <cell r="K22">
            <v>4.612639225659896E-2</v>
          </cell>
          <cell r="L22">
            <v>3.8916876277172864E-2</v>
          </cell>
          <cell r="M22">
            <v>3.2639916313151704E-2</v>
          </cell>
          <cell r="N22">
            <v>2.7235706125786907E-2</v>
          </cell>
          <cell r="O22">
            <v>2.1211189258265428E-2</v>
          </cell>
          <cell r="P22">
            <v>1.6519290804212883E-2</v>
          </cell>
          <cell r="Q22">
            <v>1.2865236614105324E-2</v>
          </cell>
          <cell r="R22">
            <v>1.0019456349464106E-2</v>
          </cell>
          <cell r="S22">
            <v>7.8031604509122832E-3</v>
          </cell>
          <cell r="T22">
            <v>6.077107469602494E-3</v>
          </cell>
          <cell r="U22">
            <v>4.7328560561354371E-3</v>
          </cell>
          <cell r="V22">
            <v>3.6859520026825132E-3</v>
          </cell>
          <cell r="W22">
            <v>2.8706223060526725E-3</v>
          </cell>
        </row>
        <row r="23">
          <cell r="A23" t="str">
            <v>Lighting PPA</v>
          </cell>
          <cell r="B23" t="str">
            <v>Lighting PPA</v>
          </cell>
          <cell r="C23" t="str">
            <v>LightingPPA</v>
          </cell>
          <cell r="D23">
            <v>0.5468729734127814</v>
          </cell>
          <cell r="E23">
            <v>0.43749837873022512</v>
          </cell>
          <cell r="F23">
            <v>0.32812378404766884</v>
          </cell>
          <cell r="G23">
            <v>0.21874918936511256</v>
          </cell>
          <cell r="H23">
            <v>0.10937459468255628</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A24" t="str">
            <v>Water Heating</v>
          </cell>
          <cell r="B24" t="str">
            <v>Dishwasher - New</v>
          </cell>
          <cell r="C24" t="str">
            <v>LO12Med</v>
          </cell>
          <cell r="D24">
            <v>0.10937459468255628</v>
          </cell>
          <cell r="E24">
            <v>0.21874918936511256</v>
          </cell>
          <cell r="F24">
            <v>0.32812378404766884</v>
          </cell>
          <cell r="G24">
            <v>0.43749837873022512</v>
          </cell>
          <cell r="H24">
            <v>0.5468729734127814</v>
          </cell>
          <cell r="I24">
            <v>0.64531010862708205</v>
          </cell>
          <cell r="J24">
            <v>0.7240598167985226</v>
          </cell>
          <cell r="K24">
            <v>0.78705958333567505</v>
          </cell>
          <cell r="L24">
            <v>0.83745939656539703</v>
          </cell>
          <cell r="M24">
            <v>0.87777924714917455</v>
          </cell>
          <cell r="N24">
            <v>0.91003512761619654</v>
          </cell>
          <cell r="O24">
            <v>0.93583983198981413</v>
          </cell>
          <cell r="P24">
            <v>0.9564835954887082</v>
          </cell>
          <cell r="Q24">
            <v>0.97299860628782353</v>
          </cell>
          <cell r="R24">
            <v>0.9862106149271157</v>
          </cell>
          <cell r="S24">
            <v>0.99678022183854953</v>
          </cell>
          <cell r="T24">
            <v>0.99685231466234414</v>
          </cell>
          <cell r="U24">
            <v>0.99687806209941365</v>
          </cell>
          <cell r="V24">
            <v>0.99688683963477831</v>
          </cell>
          <cell r="W24">
            <v>0.99688970187457115</v>
          </cell>
        </row>
        <row r="25">
          <cell r="A25" t="str">
            <v>Water Heating</v>
          </cell>
          <cell r="B25" t="str">
            <v>Dishwasher - NR</v>
          </cell>
          <cell r="C25" t="str">
            <v>LO12Med</v>
          </cell>
          <cell r="D25">
            <v>0.10937459468255628</v>
          </cell>
          <cell r="E25">
            <v>0.21874918936511256</v>
          </cell>
          <cell r="F25">
            <v>0.32812378404766884</v>
          </cell>
          <cell r="G25">
            <v>0.43749837873022512</v>
          </cell>
          <cell r="H25">
            <v>0.5468729734127814</v>
          </cell>
          <cell r="I25">
            <v>0.64531010862708205</v>
          </cell>
          <cell r="J25">
            <v>0.7240598167985226</v>
          </cell>
          <cell r="K25">
            <v>0.78705958333567505</v>
          </cell>
          <cell r="L25">
            <v>0.83745939656539703</v>
          </cell>
          <cell r="M25">
            <v>0.87777924714917455</v>
          </cell>
          <cell r="N25">
            <v>0.91003512761619654</v>
          </cell>
          <cell r="O25">
            <v>0.93583983198981413</v>
          </cell>
          <cell r="P25">
            <v>0.9564835954887082</v>
          </cell>
          <cell r="Q25">
            <v>0.97299860628782353</v>
          </cell>
          <cell r="R25">
            <v>0.9862106149271157</v>
          </cell>
          <cell r="S25">
            <v>0.99678022183854953</v>
          </cell>
          <cell r="T25">
            <v>0.99685231466234414</v>
          </cell>
          <cell r="U25">
            <v>0.99687806209941365</v>
          </cell>
          <cell r="V25">
            <v>0.99688683963477831</v>
          </cell>
          <cell r="W25">
            <v>0.99688970187457115</v>
          </cell>
        </row>
        <row r="26">
          <cell r="A26" t="str">
            <v>Water Heating</v>
          </cell>
          <cell r="B26" t="str">
            <v>Clothes Washer - New</v>
          </cell>
          <cell r="C26" t="str">
            <v>LO12Med</v>
          </cell>
          <cell r="D26">
            <v>0.10937459468255628</v>
          </cell>
          <cell r="E26">
            <v>0.21874918936511256</v>
          </cell>
          <cell r="F26">
            <v>0.32812378404766884</v>
          </cell>
          <cell r="G26">
            <v>0.43749837873022512</v>
          </cell>
          <cell r="H26">
            <v>0.5468729734127814</v>
          </cell>
          <cell r="I26">
            <v>0.64531010862708205</v>
          </cell>
          <cell r="J26">
            <v>0.7240598167985226</v>
          </cell>
          <cell r="K26">
            <v>0.78705958333567505</v>
          </cell>
          <cell r="L26">
            <v>0.83745939656539703</v>
          </cell>
          <cell r="M26">
            <v>0.87777924714917455</v>
          </cell>
          <cell r="N26">
            <v>0.91003512761619654</v>
          </cell>
          <cell r="O26">
            <v>0.93583983198981413</v>
          </cell>
          <cell r="P26">
            <v>0.9564835954887082</v>
          </cell>
          <cell r="Q26">
            <v>0.97299860628782353</v>
          </cell>
          <cell r="R26">
            <v>0.9862106149271157</v>
          </cell>
          <cell r="S26">
            <v>0.99678022183854953</v>
          </cell>
          <cell r="T26">
            <v>0.99685231466234414</v>
          </cell>
          <cell r="U26">
            <v>0.99687806209941365</v>
          </cell>
          <cell r="V26">
            <v>0.99688683963477831</v>
          </cell>
          <cell r="W26">
            <v>0.99688970187457115</v>
          </cell>
        </row>
        <row r="27">
          <cell r="A27" t="str">
            <v>Water Heating</v>
          </cell>
          <cell r="B27" t="str">
            <v>Clothes Washer - NR</v>
          </cell>
          <cell r="C27" t="str">
            <v>LO12Med</v>
          </cell>
          <cell r="D27">
            <v>0.10937459468255628</v>
          </cell>
          <cell r="E27">
            <v>0.21874918936511256</v>
          </cell>
          <cell r="F27">
            <v>0.32812378404766884</v>
          </cell>
          <cell r="G27">
            <v>0.43749837873022512</v>
          </cell>
          <cell r="H27">
            <v>0.5468729734127814</v>
          </cell>
          <cell r="I27">
            <v>0.64531010862708205</v>
          </cell>
          <cell r="J27">
            <v>0.7240598167985226</v>
          </cell>
          <cell r="K27">
            <v>0.78705958333567505</v>
          </cell>
          <cell r="L27">
            <v>0.83745939656539703</v>
          </cell>
          <cell r="M27">
            <v>0.87777924714917455</v>
          </cell>
          <cell r="N27">
            <v>0.91003512761619654</v>
          </cell>
          <cell r="O27">
            <v>0.93583983198981413</v>
          </cell>
          <cell r="P27">
            <v>0.9564835954887082</v>
          </cell>
          <cell r="Q27">
            <v>0.97299860628782353</v>
          </cell>
          <cell r="R27">
            <v>0.9862106149271157</v>
          </cell>
          <cell r="S27">
            <v>0.99678022183854953</v>
          </cell>
          <cell r="T27">
            <v>0.99685231466234414</v>
          </cell>
          <cell r="U27">
            <v>0.99687806209941365</v>
          </cell>
          <cell r="V27">
            <v>0.99688683963477831</v>
          </cell>
          <cell r="W27">
            <v>0.99688970187457115</v>
          </cell>
        </row>
        <row r="28">
          <cell r="A28" t="str">
            <v>Water Heating</v>
          </cell>
          <cell r="B28" t="str">
            <v>WasteWater Heat Recovery - New</v>
          </cell>
          <cell r="C28" t="str">
            <v>LO1Slow</v>
          </cell>
          <cell r="D28">
            <v>2.5643970768378654E-3</v>
          </cell>
          <cell r="E28">
            <v>7.6904586297764643E-3</v>
          </cell>
          <cell r="F28">
            <v>1.6792013047419844E-2</v>
          </cell>
          <cell r="G28">
            <v>3.15969387774655E-2</v>
          </cell>
          <cell r="H28">
            <v>5.406874819795171E-2</v>
          </cell>
          <cell r="I28">
            <v>8.6253181011834101E-2</v>
          </cell>
          <cell r="J28">
            <v>0.1300328481838382</v>
          </cell>
          <cell r="K28">
            <v>0.18678710893858319</v>
          </cell>
          <cell r="L28">
            <v>0.2569823480072907</v>
          </cell>
          <cell r="M28">
            <v>0.33975920985004748</v>
          </cell>
          <cell r="N28">
            <v>0.43262946935754232</v>
          </cell>
          <cell r="O28">
            <v>0.53142594003645804</v>
          </cell>
          <cell r="P28">
            <v>0.63063487292644704</v>
          </cell>
          <cell r="Q28">
            <v>0.7241560234206913</v>
          </cell>
          <cell r="R28">
            <v>0.80638203131755359</v>
          </cell>
          <cell r="S28">
            <v>0.87331559734491926</v>
          </cell>
          <cell r="T28">
            <v>0.92334516248836807</v>
          </cell>
          <cell r="U28">
            <v>0.95737002770730018</v>
          </cell>
          <cell r="V28">
            <v>0.97821608704807483</v>
          </cell>
          <cell r="W28">
            <v>0.98821608704807484</v>
          </cell>
        </row>
        <row r="29">
          <cell r="A29" t="str">
            <v>Water Heating</v>
          </cell>
          <cell r="B29" t="str">
            <v>Showerheads - New</v>
          </cell>
          <cell r="C29" t="str">
            <v>LO12MEd</v>
          </cell>
          <cell r="D29">
            <v>0.10937459468255628</v>
          </cell>
          <cell r="E29">
            <v>0.21874918936511256</v>
          </cell>
          <cell r="F29">
            <v>0.32812378404766884</v>
          </cell>
          <cell r="G29">
            <v>0.43749837873022512</v>
          </cell>
          <cell r="H29">
            <v>0.5468729734127814</v>
          </cell>
          <cell r="I29">
            <v>0.64531010862708205</v>
          </cell>
          <cell r="J29">
            <v>0.7240598167985226</v>
          </cell>
          <cell r="K29">
            <v>0.78705958333567505</v>
          </cell>
          <cell r="L29">
            <v>0.83745939656539703</v>
          </cell>
          <cell r="M29">
            <v>0.87777924714917455</v>
          </cell>
          <cell r="N29">
            <v>0.91003512761619654</v>
          </cell>
          <cell r="O29">
            <v>0.93583983198981413</v>
          </cell>
          <cell r="P29">
            <v>0.9564835954887082</v>
          </cell>
          <cell r="Q29">
            <v>0.97299860628782353</v>
          </cell>
          <cell r="R29">
            <v>0.9862106149271157</v>
          </cell>
          <cell r="S29">
            <v>0.99678022183854953</v>
          </cell>
          <cell r="T29">
            <v>0.99685231466234414</v>
          </cell>
          <cell r="U29">
            <v>0.99687806209941365</v>
          </cell>
          <cell r="V29">
            <v>0.99688683963477831</v>
          </cell>
          <cell r="W29">
            <v>0.99688970187457115</v>
          </cell>
        </row>
        <row r="30">
          <cell r="A30" t="str">
            <v>Water Heating</v>
          </cell>
          <cell r="B30" t="str">
            <v>Showerheads - Retro</v>
          </cell>
          <cell r="C30" t="str">
            <v>Retro12Med</v>
          </cell>
          <cell r="D30">
            <v>0.10937459468255628</v>
          </cell>
          <cell r="E30">
            <v>0.10937459468255628</v>
          </cell>
          <cell r="F30">
            <v>0.10937459468255628</v>
          </cell>
          <cell r="G30">
            <v>0.10937459468255628</v>
          </cell>
          <cell r="H30">
            <v>0.10937459468255628</v>
          </cell>
          <cell r="I30">
            <v>9.8437135214300656E-2</v>
          </cell>
          <cell r="J30">
            <v>7.874970817144053E-2</v>
          </cell>
          <cell r="K30">
            <v>6.2999766537152418E-2</v>
          </cell>
          <cell r="L30">
            <v>5.0399813229721938E-2</v>
          </cell>
          <cell r="M30">
            <v>4.0319850583777551E-2</v>
          </cell>
          <cell r="N30">
            <v>3.225588046702204E-2</v>
          </cell>
          <cell r="O30">
            <v>2.5804704373617631E-2</v>
          </cell>
          <cell r="P30">
            <v>2.0643763498894106E-2</v>
          </cell>
          <cell r="Q30">
            <v>1.6515010799115284E-2</v>
          </cell>
          <cell r="R30">
            <v>1.3212008639292228E-2</v>
          </cell>
          <cell r="S30">
            <v>1.0569606911433781E-2</v>
          </cell>
          <cell r="T30">
            <v>7.2092823794611682E-5</v>
          </cell>
          <cell r="U30">
            <v>2.5747437069512102E-5</v>
          </cell>
          <cell r="V30">
            <v>8.7775353646568632E-6</v>
          </cell>
          <cell r="W30">
            <v>2.8622397928446119E-6</v>
          </cell>
        </row>
        <row r="31">
          <cell r="A31" t="str">
            <v>Water Heating</v>
          </cell>
          <cell r="B31" t="str">
            <v>HPWH - New</v>
          </cell>
          <cell r="C31" t="str">
            <v>LO3Slow</v>
          </cell>
          <cell r="D31">
            <v>5.5320496977002724E-3</v>
          </cell>
          <cell r="E31">
            <v>1.4227918344261844E-2</v>
          </cell>
          <cell r="F31">
            <v>3.1619655637384989E-2</v>
          </cell>
          <cell r="G31">
            <v>6.2055195900350503E-2</v>
          </cell>
          <cell r="H31">
            <v>0.10939936964274129</v>
          </cell>
          <cell r="I31">
            <v>0.17568121288208835</v>
          </cell>
          <cell r="J31">
            <v>0.26003992245943919</v>
          </cell>
          <cell r="K31">
            <v>0.3584584169663485</v>
          </cell>
          <cell r="L31">
            <v>0.46444756489686617</v>
          </cell>
          <cell r="M31">
            <v>0.57043671282738384</v>
          </cell>
          <cell r="N31">
            <v>0.66935991756253377</v>
          </cell>
          <cell r="O31">
            <v>0.75591772170578986</v>
          </cell>
          <cell r="P31">
            <v>0.82720061923553012</v>
          </cell>
          <cell r="Q31">
            <v>0.88264287286977261</v>
          </cell>
          <cell r="R31">
            <v>0.92349505975816193</v>
          </cell>
          <cell r="S31">
            <v>0.95209159058003434</v>
          </cell>
          <cell r="T31">
            <v>0.97115594446128262</v>
          </cell>
          <cell r="U31">
            <v>0.98328780602207699</v>
          </cell>
          <cell r="V31">
            <v>0.99067241740690848</v>
          </cell>
          <cell r="W31">
            <v>0.99498010738139331</v>
          </cell>
        </row>
        <row r="32">
          <cell r="A32" t="str">
            <v>Water Heating</v>
          </cell>
          <cell r="B32" t="str">
            <v>HPWH - NR</v>
          </cell>
          <cell r="C32" t="str">
            <v>LO3Slow</v>
          </cell>
          <cell r="D32">
            <v>5.5320496977002724E-3</v>
          </cell>
          <cell r="E32">
            <v>1.4227918344261844E-2</v>
          </cell>
          <cell r="F32">
            <v>3.1619655637384989E-2</v>
          </cell>
          <cell r="G32">
            <v>6.2055195900350503E-2</v>
          </cell>
          <cell r="H32">
            <v>0.10939936964274129</v>
          </cell>
          <cell r="I32">
            <v>0.17568121288208835</v>
          </cell>
          <cell r="J32">
            <v>0.26003992245943919</v>
          </cell>
          <cell r="K32">
            <v>0.3584584169663485</v>
          </cell>
          <cell r="L32">
            <v>0.46444756489686617</v>
          </cell>
          <cell r="M32">
            <v>0.57043671282738384</v>
          </cell>
          <cell r="N32">
            <v>0.66935991756253377</v>
          </cell>
          <cell r="O32">
            <v>0.75591772170578986</v>
          </cell>
          <cell r="P32">
            <v>0.82720061923553012</v>
          </cell>
          <cell r="Q32">
            <v>0.88264287286977261</v>
          </cell>
          <cell r="R32">
            <v>0.92349505975816193</v>
          </cell>
          <cell r="S32">
            <v>0.95209159058003434</v>
          </cell>
          <cell r="T32">
            <v>0.97115594446128262</v>
          </cell>
          <cell r="U32">
            <v>0.98328780602207699</v>
          </cell>
          <cell r="V32">
            <v>0.99067241740690848</v>
          </cell>
          <cell r="W32">
            <v>0.99498010738139331</v>
          </cell>
        </row>
        <row r="33">
          <cell r="A33" t="str">
            <v>Whole Bldg/Meter Level</v>
          </cell>
          <cell r="B33" t="str">
            <v>EV Supply Equip - NR</v>
          </cell>
          <cell r="C33" t="str">
            <v>LOMax60</v>
          </cell>
          <cell r="D33">
            <v>0.01</v>
          </cell>
          <cell r="E33">
            <v>2.98E-2</v>
          </cell>
          <cell r="F33">
            <v>5.8906E-2</v>
          </cell>
          <cell r="G33">
            <v>9.6549759999999998E-2</v>
          </cell>
          <cell r="H33">
            <v>0.14172227199999998</v>
          </cell>
          <cell r="I33">
            <v>0.19035800991999999</v>
          </cell>
          <cell r="J33">
            <v>0.2362377226912</v>
          </cell>
          <cell r="K33">
            <v>0.279517585072032</v>
          </cell>
          <cell r="L33">
            <v>0.32034492191795017</v>
          </cell>
          <cell r="M33">
            <v>0.35885870967593297</v>
          </cell>
          <cell r="N33">
            <v>0.39519004946096342</v>
          </cell>
          <cell r="O33">
            <v>0.42946261332484215</v>
          </cell>
          <cell r="P33">
            <v>0.46179306523643443</v>
          </cell>
          <cell r="Q33">
            <v>0.49229145820636983</v>
          </cell>
          <cell r="R33">
            <v>0.5210616089080089</v>
          </cell>
          <cell r="S33">
            <v>0.54820145106988838</v>
          </cell>
          <cell r="T33">
            <v>0.57380336884259475</v>
          </cell>
          <cell r="U33">
            <v>0.59795451127484767</v>
          </cell>
          <cell r="V33">
            <v>0.62073708896927293</v>
          </cell>
          <cell r="W33">
            <v>0.6422286539276808</v>
          </cell>
        </row>
        <row r="34">
          <cell r="A34" t="str">
            <v>Dryer</v>
          </cell>
          <cell r="B34" t="str">
            <v>Clothes Dryer - New</v>
          </cell>
          <cell r="C34" t="str">
            <v>LOMax60</v>
          </cell>
          <cell r="D34">
            <v>0.01</v>
          </cell>
          <cell r="E34">
            <v>2.98E-2</v>
          </cell>
          <cell r="F34">
            <v>5.8906E-2</v>
          </cell>
          <cell r="G34">
            <v>9.6549759999999998E-2</v>
          </cell>
          <cell r="H34">
            <v>0.14172227199999998</v>
          </cell>
          <cell r="I34">
            <v>0.19035800991999999</v>
          </cell>
          <cell r="J34">
            <v>0.2362377226912</v>
          </cell>
          <cell r="K34">
            <v>0.279517585072032</v>
          </cell>
          <cell r="L34">
            <v>0.32034492191795017</v>
          </cell>
          <cell r="M34">
            <v>0.35885870967593297</v>
          </cell>
          <cell r="N34">
            <v>0.39519004946096342</v>
          </cell>
          <cell r="O34">
            <v>0.42946261332484215</v>
          </cell>
          <cell r="P34">
            <v>0.46179306523643443</v>
          </cell>
          <cell r="Q34">
            <v>0.49229145820636983</v>
          </cell>
          <cell r="R34">
            <v>0.5210616089080089</v>
          </cell>
          <cell r="S34">
            <v>0.54820145106988838</v>
          </cell>
          <cell r="T34">
            <v>0.57380336884259475</v>
          </cell>
          <cell r="U34">
            <v>0.59795451127484767</v>
          </cell>
          <cell r="V34">
            <v>0.62073708896927293</v>
          </cell>
          <cell r="W34">
            <v>0.6422286539276808</v>
          </cell>
        </row>
        <row r="35">
          <cell r="A35" t="str">
            <v>Dryer</v>
          </cell>
          <cell r="B35" t="str">
            <v>Clothes Dryer - NR</v>
          </cell>
          <cell r="C35" t="str">
            <v>LOMax60</v>
          </cell>
          <cell r="D35">
            <v>0.01</v>
          </cell>
          <cell r="E35">
            <v>2.98E-2</v>
          </cell>
          <cell r="F35">
            <v>5.8906E-2</v>
          </cell>
          <cell r="G35">
            <v>9.6549759999999998E-2</v>
          </cell>
          <cell r="H35">
            <v>0.14172227199999998</v>
          </cell>
          <cell r="I35">
            <v>0.19035800991999999</v>
          </cell>
          <cell r="J35">
            <v>0.2362377226912</v>
          </cell>
          <cell r="K35">
            <v>0.279517585072032</v>
          </cell>
          <cell r="L35">
            <v>0.32034492191795017</v>
          </cell>
          <cell r="M35">
            <v>0.35885870967593297</v>
          </cell>
          <cell r="N35">
            <v>0.39519004946096342</v>
          </cell>
          <cell r="O35">
            <v>0.42946261332484215</v>
          </cell>
          <cell r="P35">
            <v>0.46179306523643443</v>
          </cell>
          <cell r="Q35">
            <v>0.49229145820636983</v>
          </cell>
          <cell r="R35">
            <v>0.5210616089080089</v>
          </cell>
          <cell r="S35">
            <v>0.54820145106988838</v>
          </cell>
          <cell r="T35">
            <v>0.57380336884259475</v>
          </cell>
          <cell r="U35">
            <v>0.59795451127484767</v>
          </cell>
          <cell r="V35">
            <v>0.62073708896927293</v>
          </cell>
          <cell r="W35">
            <v>0.6422286539276808</v>
          </cell>
        </row>
        <row r="36">
          <cell r="A36" t="str">
            <v>Refrigeration</v>
          </cell>
          <cell r="B36" t="str">
            <v>Refrigerator - New</v>
          </cell>
          <cell r="C36" t="str">
            <v>LO1Slow</v>
          </cell>
          <cell r="D36">
            <v>2.5643970768378654E-3</v>
          </cell>
          <cell r="E36">
            <v>7.6904586297764643E-3</v>
          </cell>
          <cell r="F36">
            <v>1.6792013047419844E-2</v>
          </cell>
          <cell r="G36">
            <v>3.15969387774655E-2</v>
          </cell>
          <cell r="H36">
            <v>5.406874819795171E-2</v>
          </cell>
          <cell r="I36">
            <v>8.6253181011834101E-2</v>
          </cell>
          <cell r="J36">
            <v>0.1300328481838382</v>
          </cell>
          <cell r="K36">
            <v>0.18678710893858319</v>
          </cell>
          <cell r="L36">
            <v>0.2569823480072907</v>
          </cell>
          <cell r="M36">
            <v>0.33975920985004748</v>
          </cell>
          <cell r="N36">
            <v>0.43262946935754232</v>
          </cell>
          <cell r="O36">
            <v>0.53142594003645804</v>
          </cell>
          <cell r="P36">
            <v>0.63063487292644704</v>
          </cell>
          <cell r="Q36">
            <v>0.7241560234206913</v>
          </cell>
          <cell r="R36">
            <v>0.80638203131755359</v>
          </cell>
          <cell r="S36">
            <v>0.87331559734491926</v>
          </cell>
          <cell r="T36">
            <v>0.92334516248836807</v>
          </cell>
          <cell r="U36">
            <v>0.95737002770730018</v>
          </cell>
          <cell r="V36">
            <v>0.97821608704807483</v>
          </cell>
          <cell r="W36">
            <v>0.98821608704807484</v>
          </cell>
        </row>
        <row r="37">
          <cell r="A37" t="str">
            <v>Refrigeration</v>
          </cell>
          <cell r="B37" t="str">
            <v>Refrigerator - NR</v>
          </cell>
          <cell r="C37" t="str">
            <v>LO1Slow</v>
          </cell>
          <cell r="D37">
            <v>2.5643970768378654E-3</v>
          </cell>
          <cell r="E37">
            <v>7.6904586297764643E-3</v>
          </cell>
          <cell r="F37">
            <v>1.6792013047419844E-2</v>
          </cell>
          <cell r="G37">
            <v>3.15969387774655E-2</v>
          </cell>
          <cell r="H37">
            <v>5.406874819795171E-2</v>
          </cell>
          <cell r="I37">
            <v>8.6253181011834101E-2</v>
          </cell>
          <cell r="J37">
            <v>0.1300328481838382</v>
          </cell>
          <cell r="K37">
            <v>0.18678710893858319</v>
          </cell>
          <cell r="L37">
            <v>0.2569823480072907</v>
          </cell>
          <cell r="M37">
            <v>0.33975920985004748</v>
          </cell>
          <cell r="N37">
            <v>0.43262946935754232</v>
          </cell>
          <cell r="O37">
            <v>0.53142594003645804</v>
          </cell>
          <cell r="P37">
            <v>0.63063487292644704</v>
          </cell>
          <cell r="Q37">
            <v>0.7241560234206913</v>
          </cell>
          <cell r="R37">
            <v>0.80638203131755359</v>
          </cell>
          <cell r="S37">
            <v>0.87331559734491926</v>
          </cell>
          <cell r="T37">
            <v>0.92334516248836807</v>
          </cell>
          <cell r="U37">
            <v>0.95737002770730018</v>
          </cell>
          <cell r="V37">
            <v>0.97821608704807483</v>
          </cell>
          <cell r="W37">
            <v>0.98821608704807484</v>
          </cell>
        </row>
        <row r="38">
          <cell r="A38" t="str">
            <v>Refrigeration</v>
          </cell>
          <cell r="B38" t="str">
            <v>Freezer - New</v>
          </cell>
          <cell r="C38" t="str">
            <v>LO1Slow</v>
          </cell>
          <cell r="D38">
            <v>2.5643970768378654E-3</v>
          </cell>
          <cell r="E38">
            <v>7.6904586297764643E-3</v>
          </cell>
          <cell r="F38">
            <v>1.6792013047419844E-2</v>
          </cell>
          <cell r="G38">
            <v>3.15969387774655E-2</v>
          </cell>
          <cell r="H38">
            <v>5.406874819795171E-2</v>
          </cell>
          <cell r="I38">
            <v>8.6253181011834101E-2</v>
          </cell>
          <cell r="J38">
            <v>0.1300328481838382</v>
          </cell>
          <cell r="K38">
            <v>0.18678710893858319</v>
          </cell>
          <cell r="L38">
            <v>0.2569823480072907</v>
          </cell>
          <cell r="M38">
            <v>0.33975920985004748</v>
          </cell>
          <cell r="N38">
            <v>0.43262946935754232</v>
          </cell>
          <cell r="O38">
            <v>0.53142594003645804</v>
          </cell>
          <cell r="P38">
            <v>0.63063487292644704</v>
          </cell>
          <cell r="Q38">
            <v>0.7241560234206913</v>
          </cell>
          <cell r="R38">
            <v>0.80638203131755359</v>
          </cell>
          <cell r="S38">
            <v>0.87331559734491926</v>
          </cell>
          <cell r="T38">
            <v>0.92334516248836807</v>
          </cell>
          <cell r="U38">
            <v>0.95737002770730018</v>
          </cell>
          <cell r="V38">
            <v>0.97821608704807483</v>
          </cell>
          <cell r="W38">
            <v>0.98821608704807484</v>
          </cell>
        </row>
        <row r="39">
          <cell r="A39" t="str">
            <v>Refrigeration</v>
          </cell>
          <cell r="B39" t="str">
            <v>Freezer - NR</v>
          </cell>
          <cell r="C39" t="str">
            <v>LO1Slow</v>
          </cell>
          <cell r="D39">
            <v>2.5643970768378654E-3</v>
          </cell>
          <cell r="E39">
            <v>7.6904586297764643E-3</v>
          </cell>
          <cell r="F39">
            <v>1.6792013047419844E-2</v>
          </cell>
          <cell r="G39">
            <v>3.15969387774655E-2</v>
          </cell>
          <cell r="H39">
            <v>5.406874819795171E-2</v>
          </cell>
          <cell r="I39">
            <v>8.6253181011834101E-2</v>
          </cell>
          <cell r="J39">
            <v>0.1300328481838382</v>
          </cell>
          <cell r="K39">
            <v>0.18678710893858319</v>
          </cell>
          <cell r="L39">
            <v>0.2569823480072907</v>
          </cell>
          <cell r="M39">
            <v>0.33975920985004748</v>
          </cell>
          <cell r="N39">
            <v>0.43262946935754232</v>
          </cell>
          <cell r="O39">
            <v>0.53142594003645804</v>
          </cell>
          <cell r="P39">
            <v>0.63063487292644704</v>
          </cell>
          <cell r="Q39">
            <v>0.7241560234206913</v>
          </cell>
          <cell r="R39">
            <v>0.80638203131755359</v>
          </cell>
          <cell r="S39">
            <v>0.87331559734491926</v>
          </cell>
          <cell r="T39">
            <v>0.92334516248836807</v>
          </cell>
          <cell r="U39">
            <v>0.95737002770730018</v>
          </cell>
          <cell r="V39">
            <v>0.97821608704807483</v>
          </cell>
          <cell r="W39">
            <v>0.98821608704807484</v>
          </cell>
        </row>
        <row r="40">
          <cell r="A40" t="str">
            <v>Water Heating</v>
          </cell>
          <cell r="B40" t="str">
            <v>Solar Water Heater - New</v>
          </cell>
          <cell r="C40" t="str">
            <v>LOMax60</v>
          </cell>
          <cell r="D40">
            <v>0.01</v>
          </cell>
          <cell r="E40">
            <v>2.98E-2</v>
          </cell>
          <cell r="F40">
            <v>5.8906E-2</v>
          </cell>
          <cell r="G40">
            <v>9.6549759999999998E-2</v>
          </cell>
          <cell r="H40">
            <v>0.14172227199999998</v>
          </cell>
          <cell r="I40">
            <v>0.19035800991999999</v>
          </cell>
          <cell r="J40">
            <v>0.2362377226912</v>
          </cell>
          <cell r="K40">
            <v>0.279517585072032</v>
          </cell>
          <cell r="L40">
            <v>0.32034492191795017</v>
          </cell>
          <cell r="M40">
            <v>0.35885870967593297</v>
          </cell>
          <cell r="N40">
            <v>0.39519004946096342</v>
          </cell>
          <cell r="O40">
            <v>0.42946261332484215</v>
          </cell>
          <cell r="P40">
            <v>0.46179306523643443</v>
          </cell>
          <cell r="Q40">
            <v>0.49229145820636983</v>
          </cell>
          <cell r="R40">
            <v>0.5210616089080089</v>
          </cell>
          <cell r="S40">
            <v>0.54820145106988838</v>
          </cell>
          <cell r="T40">
            <v>0.57380336884259475</v>
          </cell>
          <cell r="U40">
            <v>0.59795451127484767</v>
          </cell>
          <cell r="V40">
            <v>0.62073708896927293</v>
          </cell>
          <cell r="W40">
            <v>0.6422286539276808</v>
          </cell>
        </row>
        <row r="41">
          <cell r="A41" t="str">
            <v>Water Heating</v>
          </cell>
          <cell r="B41" t="str">
            <v>Solar Water Heater - NR</v>
          </cell>
          <cell r="C41" t="str">
            <v>LOMax60</v>
          </cell>
          <cell r="D41">
            <v>0.01</v>
          </cell>
          <cell r="E41">
            <v>2.98E-2</v>
          </cell>
          <cell r="F41">
            <v>5.8906E-2</v>
          </cell>
          <cell r="G41">
            <v>9.6549759999999998E-2</v>
          </cell>
          <cell r="H41">
            <v>0.14172227199999998</v>
          </cell>
          <cell r="I41">
            <v>0.19035800991999999</v>
          </cell>
          <cell r="J41">
            <v>0.2362377226912</v>
          </cell>
          <cell r="K41">
            <v>0.279517585072032</v>
          </cell>
          <cell r="L41">
            <v>0.32034492191795017</v>
          </cell>
          <cell r="M41">
            <v>0.35885870967593297</v>
          </cell>
          <cell r="N41">
            <v>0.39519004946096342</v>
          </cell>
          <cell r="O41">
            <v>0.42946261332484215</v>
          </cell>
          <cell r="P41">
            <v>0.46179306523643443</v>
          </cell>
          <cell r="Q41">
            <v>0.49229145820636983</v>
          </cell>
          <cell r="R41">
            <v>0.5210616089080089</v>
          </cell>
          <cell r="S41">
            <v>0.54820145106988838</v>
          </cell>
          <cell r="T41">
            <v>0.57380336884259475</v>
          </cell>
          <cell r="U41">
            <v>0.59795451127484767</v>
          </cell>
          <cell r="V41">
            <v>0.62073708896927293</v>
          </cell>
          <cell r="W41">
            <v>0.6422286539276808</v>
          </cell>
        </row>
        <row r="42">
          <cell r="A42" t="str">
            <v>Water Heating</v>
          </cell>
          <cell r="B42" t="str">
            <v>Solar Water Heater - Retro</v>
          </cell>
          <cell r="C42" t="str">
            <v>RetroMax60</v>
          </cell>
          <cell r="D42">
            <v>0.01</v>
          </cell>
          <cell r="E42">
            <v>1.9799999999999998E-2</v>
          </cell>
          <cell r="F42">
            <v>2.9106E-2</v>
          </cell>
          <cell r="G42">
            <v>3.7643759999999998E-2</v>
          </cell>
          <cell r="H42">
            <v>4.5172511999999984E-2</v>
          </cell>
          <cell r="I42">
            <v>4.8635737920000005E-2</v>
          </cell>
          <cell r="J42">
            <v>4.587971277120001E-2</v>
          </cell>
          <cell r="K42">
            <v>4.3279862380832007E-2</v>
          </cell>
          <cell r="L42">
            <v>4.0827336845918161E-2</v>
          </cell>
          <cell r="M42">
            <v>3.8513787757982809E-2</v>
          </cell>
          <cell r="N42">
            <v>3.6331339785030448E-2</v>
          </cell>
          <cell r="O42">
            <v>3.4272563863878724E-2</v>
          </cell>
          <cell r="P42">
            <v>3.2330451911592284E-2</v>
          </cell>
          <cell r="Q42">
            <v>3.0498392969935395E-2</v>
          </cell>
          <cell r="R42">
            <v>2.8770150701639075E-2</v>
          </cell>
          <cell r="S42">
            <v>2.7139842161879479E-2</v>
          </cell>
          <cell r="T42">
            <v>2.5601917772706373E-2</v>
          </cell>
          <cell r="U42">
            <v>2.4151142432252914E-2</v>
          </cell>
          <cell r="V42">
            <v>2.2782577694425266E-2</v>
          </cell>
          <cell r="W42">
            <v>2.1491564958407872E-2</v>
          </cell>
        </row>
        <row r="43">
          <cell r="A43">
            <v>0</v>
          </cell>
          <cell r="B43">
            <v>0</v>
          </cell>
          <cell r="C43" t="str">
            <v>LOMax60</v>
          </cell>
          <cell r="D43">
            <v>0.01</v>
          </cell>
          <cell r="E43">
            <v>2.98E-2</v>
          </cell>
          <cell r="F43">
            <v>5.8906E-2</v>
          </cell>
          <cell r="G43">
            <v>9.6549759999999998E-2</v>
          </cell>
          <cell r="H43">
            <v>0.14172227199999998</v>
          </cell>
          <cell r="I43">
            <v>0.19035800991999999</v>
          </cell>
          <cell r="J43">
            <v>0.2362377226912</v>
          </cell>
          <cell r="K43">
            <v>0.279517585072032</v>
          </cell>
          <cell r="L43">
            <v>0.32034492191795017</v>
          </cell>
          <cell r="M43">
            <v>0.35885870967593297</v>
          </cell>
          <cell r="N43">
            <v>0.39519004946096342</v>
          </cell>
          <cell r="O43">
            <v>0.42946261332484215</v>
          </cell>
          <cell r="P43">
            <v>0.46179306523643443</v>
          </cell>
          <cell r="Q43">
            <v>0.49229145820636983</v>
          </cell>
          <cell r="R43">
            <v>0.5210616089080089</v>
          </cell>
          <cell r="S43">
            <v>0.54820145106988838</v>
          </cell>
          <cell r="T43">
            <v>0.57380336884259475</v>
          </cell>
          <cell r="U43">
            <v>0.59795451127484767</v>
          </cell>
          <cell r="V43">
            <v>0.62073708896927293</v>
          </cell>
          <cell r="W43">
            <v>0.6422286539276808</v>
          </cell>
        </row>
        <row r="44">
          <cell r="A44">
            <v>0</v>
          </cell>
          <cell r="B44">
            <v>0</v>
          </cell>
          <cell r="C44" t="str">
            <v>RetroMax60</v>
          </cell>
          <cell r="D44">
            <v>0.01</v>
          </cell>
          <cell r="E44">
            <v>1.9799999999999998E-2</v>
          </cell>
          <cell r="F44">
            <v>2.9106E-2</v>
          </cell>
          <cell r="G44">
            <v>3.7643759999999998E-2</v>
          </cell>
          <cell r="H44">
            <v>4.5172511999999984E-2</v>
          </cell>
          <cell r="I44">
            <v>4.8635737920000005E-2</v>
          </cell>
          <cell r="J44">
            <v>4.587971277120001E-2</v>
          </cell>
          <cell r="K44">
            <v>4.3279862380832007E-2</v>
          </cell>
          <cell r="L44">
            <v>4.0827336845918161E-2</v>
          </cell>
          <cell r="M44">
            <v>3.8513787757982809E-2</v>
          </cell>
          <cell r="N44">
            <v>3.6331339785030448E-2</v>
          </cell>
          <cell r="O44">
            <v>3.4272563863878724E-2</v>
          </cell>
          <cell r="P44">
            <v>3.2330451911592284E-2</v>
          </cell>
          <cell r="Q44">
            <v>3.0498392969935395E-2</v>
          </cell>
          <cell r="R44">
            <v>2.8770150701639075E-2</v>
          </cell>
          <cell r="S44">
            <v>2.7139842161879479E-2</v>
          </cell>
          <cell r="T44">
            <v>2.5601917772706373E-2</v>
          </cell>
          <cell r="U44">
            <v>2.4151142432252914E-2</v>
          </cell>
          <cell r="V44">
            <v>2.2782577694425266E-2</v>
          </cell>
          <cell r="W44">
            <v>2.1491564958407872E-2</v>
          </cell>
        </row>
        <row r="45">
          <cell r="A45" t="str">
            <v>Food Preparation</v>
          </cell>
          <cell r="B45" t="str">
            <v>Electric Oven - New</v>
          </cell>
          <cell r="C45" t="str">
            <v>LO20Fast</v>
          </cell>
          <cell r="D45">
            <v>0.22119921692859512</v>
          </cell>
          <cell r="E45">
            <v>0.37624232795148943</v>
          </cell>
          <cell r="F45">
            <v>0.48357361352878442</v>
          </cell>
          <cell r="G45">
            <v>0.56716330278444227</v>
          </cell>
          <cell r="H45">
            <v>0.64040048266456928</v>
          </cell>
          <cell r="I45">
            <v>0.70377511937632964</v>
          </cell>
          <cell r="J45">
            <v>0.7580669577441127</v>
          </cell>
          <cell r="K45">
            <v>0.80419335000071168</v>
          </cell>
          <cell r="L45">
            <v>0.84311022627788457</v>
          </cell>
          <cell r="M45">
            <v>0.87575014259103623</v>
          </cell>
          <cell r="N45">
            <v>0.90298584871682319</v>
          </cell>
          <cell r="O45">
            <v>0.92419703797508856</v>
          </cell>
          <cell r="P45">
            <v>0.94071632877930145</v>
          </cell>
          <cell r="Q45">
            <v>0.95358156539340677</v>
          </cell>
          <cell r="R45">
            <v>0.96360102174287088</v>
          </cell>
          <cell r="S45">
            <v>0.97140418219378311</v>
          </cell>
          <cell r="T45">
            <v>0.97748128966338554</v>
          </cell>
          <cell r="U45">
            <v>0.98221414571952104</v>
          </cell>
          <cell r="V45">
            <v>0.98590009772220355</v>
          </cell>
          <cell r="W45">
            <v>0.98877072002825628</v>
          </cell>
        </row>
        <row r="46">
          <cell r="A46" t="str">
            <v>Food Preparation</v>
          </cell>
          <cell r="B46" t="str">
            <v>Electric Oven - NR</v>
          </cell>
          <cell r="C46" t="str">
            <v>LO20Fast</v>
          </cell>
          <cell r="D46">
            <v>0.22119921692859512</v>
          </cell>
          <cell r="E46">
            <v>0.37624232795148943</v>
          </cell>
          <cell r="F46">
            <v>0.48357361352878442</v>
          </cell>
          <cell r="G46">
            <v>0.56716330278444227</v>
          </cell>
          <cell r="H46">
            <v>0.64040048266456928</v>
          </cell>
          <cell r="I46">
            <v>0.70377511937632964</v>
          </cell>
          <cell r="J46">
            <v>0.7580669577441127</v>
          </cell>
          <cell r="K46">
            <v>0.80419335000071168</v>
          </cell>
          <cell r="L46">
            <v>0.84311022627788457</v>
          </cell>
          <cell r="M46">
            <v>0.87575014259103623</v>
          </cell>
          <cell r="N46">
            <v>0.90298584871682319</v>
          </cell>
          <cell r="O46">
            <v>0.92419703797508856</v>
          </cell>
          <cell r="P46">
            <v>0.94071632877930145</v>
          </cell>
          <cell r="Q46">
            <v>0.95358156539340677</v>
          </cell>
          <cell r="R46">
            <v>0.96360102174287088</v>
          </cell>
          <cell r="S46">
            <v>0.97140418219378311</v>
          </cell>
          <cell r="T46">
            <v>0.97748128966338554</v>
          </cell>
          <cell r="U46">
            <v>0.98221414571952104</v>
          </cell>
          <cell r="V46">
            <v>0.98590009772220355</v>
          </cell>
          <cell r="W46">
            <v>0.98877072002825628</v>
          </cell>
        </row>
        <row r="47">
          <cell r="A47" t="str">
            <v>Food Preparation</v>
          </cell>
          <cell r="B47" t="str">
            <v>Microwave - New</v>
          </cell>
          <cell r="C47" t="str">
            <v>LO12Med</v>
          </cell>
          <cell r="D47">
            <v>0.10937459468255628</v>
          </cell>
          <cell r="E47">
            <v>0.21874918936511256</v>
          </cell>
          <cell r="F47">
            <v>0.32812378404766884</v>
          </cell>
          <cell r="G47">
            <v>0.43749837873022512</v>
          </cell>
          <cell r="H47">
            <v>0.5468729734127814</v>
          </cell>
          <cell r="I47">
            <v>0.64531010862708205</v>
          </cell>
          <cell r="J47">
            <v>0.7240598167985226</v>
          </cell>
          <cell r="K47">
            <v>0.78705958333567505</v>
          </cell>
          <cell r="L47">
            <v>0.83745939656539703</v>
          </cell>
          <cell r="M47">
            <v>0.87777924714917455</v>
          </cell>
          <cell r="N47">
            <v>0.91003512761619654</v>
          </cell>
          <cell r="O47">
            <v>0.93583983198981413</v>
          </cell>
          <cell r="P47">
            <v>0.9564835954887082</v>
          </cell>
          <cell r="Q47">
            <v>0.97299860628782353</v>
          </cell>
          <cell r="R47">
            <v>0.9862106149271157</v>
          </cell>
          <cell r="S47">
            <v>0.99678022183854953</v>
          </cell>
          <cell r="T47">
            <v>0.99685231466234414</v>
          </cell>
          <cell r="U47">
            <v>0.99687806209941365</v>
          </cell>
          <cell r="V47">
            <v>0.99688683963477831</v>
          </cell>
          <cell r="W47">
            <v>0.99688970187457115</v>
          </cell>
        </row>
        <row r="48">
          <cell r="A48" t="str">
            <v>Food Preparation</v>
          </cell>
          <cell r="B48" t="str">
            <v>Microwave - NR</v>
          </cell>
          <cell r="C48" t="str">
            <v>LO12Med</v>
          </cell>
          <cell r="D48">
            <v>0.10937459468255628</v>
          </cell>
          <cell r="E48">
            <v>0.21874918936511256</v>
          </cell>
          <cell r="F48">
            <v>0.32812378404766884</v>
          </cell>
          <cell r="G48">
            <v>0.43749837873022512</v>
          </cell>
          <cell r="H48">
            <v>0.5468729734127814</v>
          </cell>
          <cell r="I48">
            <v>0.64531010862708205</v>
          </cell>
          <cell r="J48">
            <v>0.7240598167985226</v>
          </cell>
          <cell r="K48">
            <v>0.78705958333567505</v>
          </cell>
          <cell r="L48">
            <v>0.83745939656539703</v>
          </cell>
          <cell r="M48">
            <v>0.87777924714917455</v>
          </cell>
          <cell r="N48">
            <v>0.91003512761619654</v>
          </cell>
          <cell r="O48">
            <v>0.93583983198981413</v>
          </cell>
          <cell r="P48">
            <v>0.9564835954887082</v>
          </cell>
          <cell r="Q48">
            <v>0.97299860628782353</v>
          </cell>
          <cell r="R48">
            <v>0.9862106149271157</v>
          </cell>
          <cell r="S48">
            <v>0.99678022183854953</v>
          </cell>
          <cell r="T48">
            <v>0.99685231466234414</v>
          </cell>
          <cell r="U48">
            <v>0.99687806209941365</v>
          </cell>
          <cell r="V48">
            <v>0.99688683963477831</v>
          </cell>
          <cell r="W48">
            <v>0.99688970187457115</v>
          </cell>
        </row>
        <row r="49">
          <cell r="A49" t="str">
            <v>Electronics</v>
          </cell>
          <cell r="B49" t="str">
            <v>Monitor - New</v>
          </cell>
          <cell r="C49" t="str">
            <v>LO50Fast</v>
          </cell>
          <cell r="D49">
            <v>0.45</v>
          </cell>
          <cell r="E49">
            <v>0.66</v>
          </cell>
          <cell r="F49">
            <v>0.8</v>
          </cell>
          <cell r="G49">
            <v>0.89</v>
          </cell>
          <cell r="H49">
            <v>0.94954036260972652</v>
          </cell>
          <cell r="I49">
            <v>0.97931054391458994</v>
          </cell>
          <cell r="J49">
            <v>0.99254173560564019</v>
          </cell>
          <cell r="K49">
            <v>0.99783421228206048</v>
          </cell>
          <cell r="L49">
            <v>0.99975874925530417</v>
          </cell>
          <cell r="M49">
            <v>1.0004002615797187</v>
          </cell>
          <cell r="N49">
            <v>1.0005976499872309</v>
          </cell>
          <cell r="O49">
            <v>1.0006540466750915</v>
          </cell>
          <cell r="P49">
            <v>1.0006690857918545</v>
          </cell>
          <cell r="Q49">
            <v>1.000672845571045</v>
          </cell>
          <cell r="R49">
            <v>1.0006737302249724</v>
          </cell>
          <cell r="S49">
            <v>1.0006739268147338</v>
          </cell>
          <cell r="T49">
            <v>1.0006739682020522</v>
          </cell>
          <cell r="U49">
            <v>1.0006739764795158</v>
          </cell>
          <cell r="V49">
            <v>1.0006739780561755</v>
          </cell>
          <cell r="W49">
            <v>1.0006739783428409</v>
          </cell>
        </row>
        <row r="50">
          <cell r="A50" t="str">
            <v>Electronics</v>
          </cell>
          <cell r="B50" t="str">
            <v>Monitor - NR</v>
          </cell>
          <cell r="C50" t="str">
            <v>LO50Fast</v>
          </cell>
          <cell r="D50">
            <v>0.45</v>
          </cell>
          <cell r="E50">
            <v>0.66</v>
          </cell>
          <cell r="F50">
            <v>0.8</v>
          </cell>
          <cell r="G50">
            <v>0.89</v>
          </cell>
          <cell r="H50">
            <v>0.94954036260972652</v>
          </cell>
          <cell r="I50">
            <v>0.97931054391458994</v>
          </cell>
          <cell r="J50">
            <v>0.99254173560564019</v>
          </cell>
          <cell r="K50">
            <v>0.99783421228206048</v>
          </cell>
          <cell r="L50">
            <v>0.99975874925530417</v>
          </cell>
          <cell r="M50">
            <v>1.0004002615797187</v>
          </cell>
          <cell r="N50">
            <v>1.0005976499872309</v>
          </cell>
          <cell r="O50">
            <v>1.0006540466750915</v>
          </cell>
          <cell r="P50">
            <v>1.0006690857918545</v>
          </cell>
          <cell r="Q50">
            <v>1.000672845571045</v>
          </cell>
          <cell r="R50">
            <v>1.0006737302249724</v>
          </cell>
          <cell r="S50">
            <v>1.0006739268147338</v>
          </cell>
          <cell r="T50">
            <v>1.0006739682020522</v>
          </cell>
          <cell r="U50">
            <v>1.0006739764795158</v>
          </cell>
          <cell r="V50">
            <v>1.0006739780561755</v>
          </cell>
          <cell r="W50">
            <v>1.0006739783428409</v>
          </cell>
        </row>
        <row r="51">
          <cell r="A51" t="str">
            <v>Electronics</v>
          </cell>
          <cell r="B51" t="str">
            <v>Desktop - New</v>
          </cell>
          <cell r="C51" t="str">
            <v>LO50Fast</v>
          </cell>
          <cell r="D51">
            <v>0.45</v>
          </cell>
          <cell r="E51">
            <v>0.66</v>
          </cell>
          <cell r="F51">
            <v>0.8</v>
          </cell>
          <cell r="G51">
            <v>0.89</v>
          </cell>
          <cell r="H51">
            <v>0.94954036260972652</v>
          </cell>
          <cell r="I51">
            <v>0.97931054391458994</v>
          </cell>
          <cell r="J51">
            <v>0.99254173560564019</v>
          </cell>
          <cell r="K51">
            <v>0.99783421228206048</v>
          </cell>
          <cell r="L51">
            <v>0.99975874925530417</v>
          </cell>
          <cell r="M51">
            <v>1.0004002615797187</v>
          </cell>
          <cell r="N51">
            <v>1.0005976499872309</v>
          </cell>
          <cell r="O51">
            <v>1.0006540466750915</v>
          </cell>
          <cell r="P51">
            <v>1.0006690857918545</v>
          </cell>
          <cell r="Q51">
            <v>1.000672845571045</v>
          </cell>
          <cell r="R51">
            <v>1.0006737302249724</v>
          </cell>
          <cell r="S51">
            <v>1.0006739268147338</v>
          </cell>
          <cell r="T51">
            <v>1.0006739682020522</v>
          </cell>
          <cell r="U51">
            <v>1.0006739764795158</v>
          </cell>
          <cell r="V51">
            <v>1.0006739780561755</v>
          </cell>
          <cell r="W51">
            <v>1.0006739783428409</v>
          </cell>
        </row>
        <row r="52">
          <cell r="A52" t="str">
            <v>Electronics</v>
          </cell>
          <cell r="B52" t="str">
            <v>Desktop - NR</v>
          </cell>
          <cell r="C52" t="str">
            <v>LO50Fast</v>
          </cell>
          <cell r="D52">
            <v>0.45</v>
          </cell>
          <cell r="E52">
            <v>0.66</v>
          </cell>
          <cell r="F52">
            <v>0.8</v>
          </cell>
          <cell r="G52">
            <v>0.89</v>
          </cell>
          <cell r="H52">
            <v>0.94954036260972652</v>
          </cell>
          <cell r="I52">
            <v>0.97931054391458994</v>
          </cell>
          <cell r="J52">
            <v>0.99254173560564019</v>
          </cell>
          <cell r="K52">
            <v>0.99783421228206048</v>
          </cell>
          <cell r="L52">
            <v>0.99975874925530417</v>
          </cell>
          <cell r="M52">
            <v>1.0004002615797187</v>
          </cell>
          <cell r="N52">
            <v>1.0005976499872309</v>
          </cell>
          <cell r="O52">
            <v>1.0006540466750915</v>
          </cell>
          <cell r="P52">
            <v>1.0006690857918545</v>
          </cell>
          <cell r="Q52">
            <v>1.000672845571045</v>
          </cell>
          <cell r="R52">
            <v>1.0006737302249724</v>
          </cell>
          <cell r="S52">
            <v>1.0006739268147338</v>
          </cell>
          <cell r="T52">
            <v>1.0006739682020522</v>
          </cell>
          <cell r="U52">
            <v>1.0006739764795158</v>
          </cell>
          <cell r="V52">
            <v>1.0006739780561755</v>
          </cell>
          <cell r="W52">
            <v>1.0006739783428409</v>
          </cell>
        </row>
        <row r="53">
          <cell r="A53" t="str">
            <v>Electronics</v>
          </cell>
          <cell r="B53" t="str">
            <v>Laptop - New</v>
          </cell>
          <cell r="C53" t="str">
            <v>LO50Fast</v>
          </cell>
          <cell r="D53">
            <v>0.45</v>
          </cell>
          <cell r="E53">
            <v>0.66</v>
          </cell>
          <cell r="F53">
            <v>0.8</v>
          </cell>
          <cell r="G53">
            <v>0.89</v>
          </cell>
          <cell r="H53">
            <v>0.94954036260972652</v>
          </cell>
          <cell r="I53">
            <v>0.97931054391458994</v>
          </cell>
          <cell r="J53">
            <v>0.99254173560564019</v>
          </cell>
          <cell r="K53">
            <v>0.99783421228206048</v>
          </cell>
          <cell r="L53">
            <v>0.99975874925530417</v>
          </cell>
          <cell r="M53">
            <v>1.0004002615797187</v>
          </cell>
          <cell r="N53">
            <v>1.0005976499872309</v>
          </cell>
          <cell r="O53">
            <v>1.0006540466750915</v>
          </cell>
          <cell r="P53">
            <v>1.0006690857918545</v>
          </cell>
          <cell r="Q53">
            <v>1.000672845571045</v>
          </cell>
          <cell r="R53">
            <v>1.0006737302249724</v>
          </cell>
          <cell r="S53">
            <v>1.0006739268147338</v>
          </cell>
          <cell r="T53">
            <v>1.0006739682020522</v>
          </cell>
          <cell r="U53">
            <v>1.0006739764795158</v>
          </cell>
          <cell r="V53">
            <v>1.0006739780561755</v>
          </cell>
          <cell r="W53">
            <v>1.0006739783428409</v>
          </cell>
        </row>
        <row r="54">
          <cell r="A54" t="str">
            <v>Electronics</v>
          </cell>
          <cell r="B54" t="str">
            <v>Laptop - NR</v>
          </cell>
          <cell r="C54" t="str">
            <v>LO50Fast</v>
          </cell>
          <cell r="D54">
            <v>0.45</v>
          </cell>
          <cell r="E54">
            <v>0.66</v>
          </cell>
          <cell r="F54">
            <v>0.8</v>
          </cell>
          <cell r="G54">
            <v>0.89</v>
          </cell>
          <cell r="H54">
            <v>0.94954036260972652</v>
          </cell>
          <cell r="I54">
            <v>0.97931054391458994</v>
          </cell>
          <cell r="J54">
            <v>0.99254173560564019</v>
          </cell>
          <cell r="K54">
            <v>0.99783421228206048</v>
          </cell>
          <cell r="L54">
            <v>0.99975874925530417</v>
          </cell>
          <cell r="M54">
            <v>1.0004002615797187</v>
          </cell>
          <cell r="N54">
            <v>1.0005976499872309</v>
          </cell>
          <cell r="O54">
            <v>1.0006540466750915</v>
          </cell>
          <cell r="P54">
            <v>1.0006690857918545</v>
          </cell>
          <cell r="Q54">
            <v>1.000672845571045</v>
          </cell>
          <cell r="R54">
            <v>1.0006737302249724</v>
          </cell>
          <cell r="S54">
            <v>1.0006739268147338</v>
          </cell>
          <cell r="T54">
            <v>1.0006739682020522</v>
          </cell>
          <cell r="U54">
            <v>1.0006739764795158</v>
          </cell>
          <cell r="V54">
            <v>1.0006739780561755</v>
          </cell>
          <cell r="W54">
            <v>1.0006739783428409</v>
          </cell>
        </row>
        <row r="55">
          <cell r="A55" t="str">
            <v>Electronics</v>
          </cell>
          <cell r="B55" t="str">
            <v>Computer - New</v>
          </cell>
          <cell r="C55" t="str">
            <v>LO50Fast</v>
          </cell>
          <cell r="D55">
            <v>0.45</v>
          </cell>
          <cell r="E55">
            <v>0.66</v>
          </cell>
          <cell r="F55">
            <v>0.8</v>
          </cell>
          <cell r="G55">
            <v>0.89</v>
          </cell>
          <cell r="H55">
            <v>0.94954036260972652</v>
          </cell>
          <cell r="I55">
            <v>0.97931054391458994</v>
          </cell>
          <cell r="J55">
            <v>0.99254173560564019</v>
          </cell>
          <cell r="K55">
            <v>0.99783421228206048</v>
          </cell>
          <cell r="L55">
            <v>0.99975874925530417</v>
          </cell>
          <cell r="M55">
            <v>1.0004002615797187</v>
          </cell>
          <cell r="N55">
            <v>1.0005976499872309</v>
          </cell>
          <cell r="O55">
            <v>1.0006540466750915</v>
          </cell>
          <cell r="P55">
            <v>1.0006690857918545</v>
          </cell>
          <cell r="Q55">
            <v>1.000672845571045</v>
          </cell>
          <cell r="R55">
            <v>1.0006737302249724</v>
          </cell>
          <cell r="S55">
            <v>1.0006739268147338</v>
          </cell>
          <cell r="T55">
            <v>1.0006739682020522</v>
          </cell>
          <cell r="U55">
            <v>1.0006739764795158</v>
          </cell>
          <cell r="V55">
            <v>1.0006739780561755</v>
          </cell>
          <cell r="W55">
            <v>1.0006739783428409</v>
          </cell>
        </row>
        <row r="56">
          <cell r="A56" t="str">
            <v>Electronics</v>
          </cell>
          <cell r="B56" t="str">
            <v>Computer - NR</v>
          </cell>
          <cell r="C56" t="str">
            <v>LO50Fast</v>
          </cell>
          <cell r="D56">
            <v>0.45</v>
          </cell>
          <cell r="E56">
            <v>0.66</v>
          </cell>
          <cell r="F56">
            <v>0.8</v>
          </cell>
          <cell r="G56">
            <v>0.89</v>
          </cell>
          <cell r="H56">
            <v>0.94954036260972652</v>
          </cell>
          <cell r="I56">
            <v>0.97931054391458994</v>
          </cell>
          <cell r="J56">
            <v>0.99254173560564019</v>
          </cell>
          <cell r="K56">
            <v>0.99783421228206048</v>
          </cell>
          <cell r="L56">
            <v>0.99975874925530417</v>
          </cell>
          <cell r="M56">
            <v>1.0004002615797187</v>
          </cell>
          <cell r="N56">
            <v>1.0005976499872309</v>
          </cell>
          <cell r="O56">
            <v>1.0006540466750915</v>
          </cell>
          <cell r="P56">
            <v>1.0006690857918545</v>
          </cell>
          <cell r="Q56">
            <v>1.000672845571045</v>
          </cell>
          <cell r="R56">
            <v>1.0006737302249724</v>
          </cell>
          <cell r="S56">
            <v>1.0006739268147338</v>
          </cell>
          <cell r="T56">
            <v>1.0006739682020522</v>
          </cell>
          <cell r="U56">
            <v>1.0006739764795158</v>
          </cell>
          <cell r="V56">
            <v>1.0006739780561755</v>
          </cell>
          <cell r="W56">
            <v>1.0006739783428409</v>
          </cell>
        </row>
        <row r="57">
          <cell r="A57" t="str">
            <v>HVAC</v>
          </cell>
          <cell r="B57" t="str">
            <v>ASHP - New</v>
          </cell>
          <cell r="C57" t="str">
            <v>LO5Med</v>
          </cell>
          <cell r="D57">
            <v>4.2999999999999997E-2</v>
          </cell>
          <cell r="E57">
            <v>9.5797142280278316E-2</v>
          </cell>
          <cell r="F57">
            <v>0.16040539374775648</v>
          </cell>
          <cell r="G57">
            <v>0.23540539374775649</v>
          </cell>
          <cell r="H57">
            <v>0.32095239121809005</v>
          </cell>
          <cell r="I57">
            <v>0.42096711425629652</v>
          </cell>
          <cell r="J57">
            <v>0.53068481860864725</v>
          </cell>
          <cell r="K57">
            <v>0.642769203728351</v>
          </cell>
          <cell r="L57">
            <v>0.74839528535557953</v>
          </cell>
          <cell r="M57">
            <v>0.83918984935345187</v>
          </cell>
          <cell r="N57">
            <v>0.90945051634530116</v>
          </cell>
          <cell r="O57">
            <v>0.9576688767502457</v>
          </cell>
          <cell r="P57">
            <v>0.9865231113648858</v>
          </cell>
          <cell r="Q57">
            <v>1.0012970762896924</v>
          </cell>
          <cell r="R57">
            <v>1.0076356106578106</v>
          </cell>
          <cell r="S57">
            <v>1.0098624683774413</v>
          </cell>
          <cell r="T57">
            <v>1.0104871783970797</v>
          </cell>
          <cell r="U57">
            <v>1.010623336815976</v>
          </cell>
          <cell r="V57">
            <v>1.0106457174525985</v>
          </cell>
          <cell r="W57">
            <v>1.0106484038909742</v>
          </cell>
        </row>
        <row r="58">
          <cell r="A58" t="str">
            <v>HVAC</v>
          </cell>
          <cell r="B58" t="str">
            <v>ASHP - NR</v>
          </cell>
          <cell r="C58" t="str">
            <v>LO5Med</v>
          </cell>
          <cell r="D58">
            <v>4.2999999999999997E-2</v>
          </cell>
          <cell r="E58">
            <v>9.5797142280278316E-2</v>
          </cell>
          <cell r="F58">
            <v>0.16040539374775648</v>
          </cell>
          <cell r="G58">
            <v>0.23540539374775649</v>
          </cell>
          <cell r="H58">
            <v>0.32095239121809005</v>
          </cell>
          <cell r="I58">
            <v>0.42096711425629652</v>
          </cell>
          <cell r="J58">
            <v>0.53068481860864725</v>
          </cell>
          <cell r="K58">
            <v>0.642769203728351</v>
          </cell>
          <cell r="L58">
            <v>0.74839528535557953</v>
          </cell>
          <cell r="M58">
            <v>0.83918984935345187</v>
          </cell>
          <cell r="N58">
            <v>0.90945051634530116</v>
          </cell>
          <cell r="O58">
            <v>0.9576688767502457</v>
          </cell>
          <cell r="P58">
            <v>0.9865231113648858</v>
          </cell>
          <cell r="Q58">
            <v>1.0012970762896924</v>
          </cell>
          <cell r="R58">
            <v>1.0076356106578106</v>
          </cell>
          <cell r="S58">
            <v>1.0098624683774413</v>
          </cell>
          <cell r="T58">
            <v>1.0104871783970797</v>
          </cell>
          <cell r="U58">
            <v>1.010623336815976</v>
          </cell>
          <cell r="V58">
            <v>1.0106457174525985</v>
          </cell>
          <cell r="W58">
            <v>1.0106484038909742</v>
          </cell>
        </row>
        <row r="59">
          <cell r="A59" t="str">
            <v>HVAC</v>
          </cell>
          <cell r="B59" t="str">
            <v>HP - Retro</v>
          </cell>
          <cell r="C59" t="str">
            <v>Retro12Med</v>
          </cell>
          <cell r="D59">
            <v>0.10937459468255628</v>
          </cell>
          <cell r="E59">
            <v>0.10937459468255628</v>
          </cell>
          <cell r="F59">
            <v>0.10937459468255628</v>
          </cell>
          <cell r="G59">
            <v>0.10937459468255628</v>
          </cell>
          <cell r="H59">
            <v>0.10937459468255628</v>
          </cell>
          <cell r="I59">
            <v>9.8437135214300656E-2</v>
          </cell>
          <cell r="J59">
            <v>7.874970817144053E-2</v>
          </cell>
          <cell r="K59">
            <v>6.2999766537152418E-2</v>
          </cell>
          <cell r="L59">
            <v>5.0399813229721938E-2</v>
          </cell>
          <cell r="M59">
            <v>4.0319850583777551E-2</v>
          </cell>
          <cell r="N59">
            <v>3.225588046702204E-2</v>
          </cell>
          <cell r="O59">
            <v>2.5804704373617631E-2</v>
          </cell>
          <cell r="P59">
            <v>2.0643763498894106E-2</v>
          </cell>
          <cell r="Q59">
            <v>1.6515010799115284E-2</v>
          </cell>
          <cell r="R59">
            <v>1.3212008639292228E-2</v>
          </cell>
          <cell r="S59">
            <v>1.0569606911433781E-2</v>
          </cell>
          <cell r="T59">
            <v>7.2092823794611682E-5</v>
          </cell>
          <cell r="U59">
            <v>2.5747437069512102E-5</v>
          </cell>
          <cell r="V59">
            <v>8.7775353646568632E-6</v>
          </cell>
          <cell r="W59">
            <v>2.8622397928446119E-6</v>
          </cell>
        </row>
        <row r="60">
          <cell r="A60" t="str">
            <v>HVAC</v>
          </cell>
          <cell r="B60" t="str">
            <v>DHP - New</v>
          </cell>
          <cell r="C60" t="str">
            <v>LO5Med</v>
          </cell>
          <cell r="D60">
            <v>4.2999999999999997E-2</v>
          </cell>
          <cell r="E60">
            <v>9.5797142280278316E-2</v>
          </cell>
          <cell r="F60">
            <v>0.16040539374775648</v>
          </cell>
          <cell r="G60">
            <v>0.23540539374775649</v>
          </cell>
          <cell r="H60">
            <v>0.32095239121809005</v>
          </cell>
          <cell r="I60">
            <v>0.42096711425629652</v>
          </cell>
          <cell r="J60">
            <v>0.53068481860864725</v>
          </cell>
          <cell r="K60">
            <v>0.642769203728351</v>
          </cell>
          <cell r="L60">
            <v>0.74839528535557953</v>
          </cell>
          <cell r="M60">
            <v>0.83918984935345187</v>
          </cell>
          <cell r="N60">
            <v>0.90945051634530116</v>
          </cell>
          <cell r="O60">
            <v>0.9576688767502457</v>
          </cell>
          <cell r="P60">
            <v>0.9865231113648858</v>
          </cell>
          <cell r="Q60">
            <v>1.0012970762896924</v>
          </cell>
          <cell r="R60">
            <v>1.0076356106578106</v>
          </cell>
          <cell r="S60">
            <v>1.0098624683774413</v>
          </cell>
          <cell r="T60">
            <v>1.0104871783970797</v>
          </cell>
          <cell r="U60">
            <v>1.010623336815976</v>
          </cell>
          <cell r="V60">
            <v>1.0106457174525985</v>
          </cell>
          <cell r="W60">
            <v>1.0106484038909742</v>
          </cell>
        </row>
        <row r="61">
          <cell r="A61" t="str">
            <v>HVAC</v>
          </cell>
          <cell r="B61" t="str">
            <v>DHP - NR</v>
          </cell>
          <cell r="C61" t="str">
            <v>LO5Med</v>
          </cell>
          <cell r="D61">
            <v>4.2999999999999997E-2</v>
          </cell>
          <cell r="E61">
            <v>9.5797142280278316E-2</v>
          </cell>
          <cell r="F61">
            <v>0.16040539374775648</v>
          </cell>
          <cell r="G61">
            <v>0.23540539374775649</v>
          </cell>
          <cell r="H61">
            <v>0.32095239121809005</v>
          </cell>
          <cell r="I61">
            <v>0.42096711425629652</v>
          </cell>
          <cell r="J61">
            <v>0.53068481860864725</v>
          </cell>
          <cell r="K61">
            <v>0.642769203728351</v>
          </cell>
          <cell r="L61">
            <v>0.74839528535557953</v>
          </cell>
          <cell r="M61">
            <v>0.83918984935345187</v>
          </cell>
          <cell r="N61">
            <v>0.90945051634530116</v>
          </cell>
          <cell r="O61">
            <v>0.9576688767502457</v>
          </cell>
          <cell r="P61">
            <v>0.9865231113648858</v>
          </cell>
          <cell r="Q61">
            <v>1.0012970762896924</v>
          </cell>
          <cell r="R61">
            <v>1.0076356106578106</v>
          </cell>
          <cell r="S61">
            <v>1.0098624683774413</v>
          </cell>
          <cell r="T61">
            <v>1.0104871783970797</v>
          </cell>
          <cell r="U61">
            <v>1.010623336815976</v>
          </cell>
          <cell r="V61">
            <v>1.0106457174525985</v>
          </cell>
          <cell r="W61">
            <v>1.0106484038909742</v>
          </cell>
        </row>
        <row r="62">
          <cell r="A62" t="str">
            <v>HVAC</v>
          </cell>
          <cell r="B62" t="str">
            <v>DHP - Retro</v>
          </cell>
          <cell r="C62" t="str">
            <v>Retro5Med</v>
          </cell>
          <cell r="D62">
            <v>4.2999999999999997E-2</v>
          </cell>
          <cell r="E62">
            <v>5.279714228027832E-2</v>
          </cell>
          <cell r="F62">
            <v>6.4608251467478173E-2</v>
          </cell>
          <cell r="G62">
            <v>7.4999999999999997E-2</v>
          </cell>
          <cell r="H62">
            <v>8.5546997470333563E-2</v>
          </cell>
          <cell r="I62">
            <v>0.10001472303820647</v>
          </cell>
          <cell r="J62">
            <v>0.10971770435235073</v>
          </cell>
          <cell r="K62">
            <v>0.11208438511970376</v>
          </cell>
          <cell r="L62">
            <v>0.10562608162722853</v>
          </cell>
          <cell r="M62">
            <v>9.0794563997872335E-2</v>
          </cell>
          <cell r="N62">
            <v>7.0260666991849297E-2</v>
          </cell>
          <cell r="O62">
            <v>4.8218360404944538E-2</v>
          </cell>
          <cell r="P62">
            <v>2.8854234614640095E-2</v>
          </cell>
          <cell r="Q62">
            <v>1.4773964924806759E-2</v>
          </cell>
          <cell r="R62">
            <v>6.3385343681182649E-3</v>
          </cell>
          <cell r="S62">
            <v>2.2268577196306039E-3</v>
          </cell>
          <cell r="T62">
            <v>6.2471001963848583E-4</v>
          </cell>
          <cell r="U62">
            <v>1.3615841889635938E-4</v>
          </cell>
          <cell r="V62">
            <v>2.2380636622298944E-5</v>
          </cell>
          <cell r="W62">
            <v>2.68643837586513E-6</v>
          </cell>
        </row>
        <row r="63">
          <cell r="A63" t="str">
            <v>HVAC</v>
          </cell>
          <cell r="B63" t="str">
            <v>Duct Sealing - New</v>
          </cell>
          <cell r="C63" t="str">
            <v>LO12Med</v>
          </cell>
          <cell r="D63">
            <v>0.10937459468255628</v>
          </cell>
          <cell r="E63">
            <v>0.21874918936511256</v>
          </cell>
          <cell r="F63">
            <v>0.32812378404766884</v>
          </cell>
          <cell r="G63">
            <v>0.43749837873022512</v>
          </cell>
          <cell r="H63">
            <v>0.5468729734127814</v>
          </cell>
          <cell r="I63">
            <v>0.64531010862708205</v>
          </cell>
          <cell r="J63">
            <v>0.7240598167985226</v>
          </cell>
          <cell r="K63">
            <v>0.78705958333567505</v>
          </cell>
          <cell r="L63">
            <v>0.83745939656539703</v>
          </cell>
          <cell r="M63">
            <v>0.87777924714917455</v>
          </cell>
          <cell r="N63">
            <v>0.91003512761619654</v>
          </cell>
          <cell r="O63">
            <v>0.93583983198981413</v>
          </cell>
          <cell r="P63">
            <v>0.9564835954887082</v>
          </cell>
          <cell r="Q63">
            <v>0.97299860628782353</v>
          </cell>
          <cell r="R63">
            <v>0.9862106149271157</v>
          </cell>
          <cell r="S63">
            <v>0.99678022183854953</v>
          </cell>
          <cell r="T63">
            <v>0.99685231466234414</v>
          </cell>
          <cell r="U63">
            <v>0.99687806209941365</v>
          </cell>
          <cell r="V63">
            <v>0.99688683963477831</v>
          </cell>
          <cell r="W63">
            <v>0.99688970187457115</v>
          </cell>
        </row>
        <row r="64">
          <cell r="A64" t="str">
            <v>HVAC</v>
          </cell>
          <cell r="B64" t="str">
            <v>Duct Sealing - Retro</v>
          </cell>
          <cell r="C64" t="str">
            <v>Retro12Med</v>
          </cell>
          <cell r="D64">
            <v>0.10937459468255628</v>
          </cell>
          <cell r="E64">
            <v>0.10937459468255628</v>
          </cell>
          <cell r="F64">
            <v>0.10937459468255628</v>
          </cell>
          <cell r="G64">
            <v>0.10937459468255628</v>
          </cell>
          <cell r="H64">
            <v>0.10937459468255628</v>
          </cell>
          <cell r="I64">
            <v>9.8437135214300656E-2</v>
          </cell>
          <cell r="J64">
            <v>7.874970817144053E-2</v>
          </cell>
          <cell r="K64">
            <v>6.2999766537152418E-2</v>
          </cell>
          <cell r="L64">
            <v>5.0399813229721938E-2</v>
          </cell>
          <cell r="M64">
            <v>4.0319850583777551E-2</v>
          </cell>
          <cell r="N64">
            <v>3.225588046702204E-2</v>
          </cell>
          <cell r="O64">
            <v>2.5804704373617631E-2</v>
          </cell>
          <cell r="P64">
            <v>2.0643763498894106E-2</v>
          </cell>
          <cell r="Q64">
            <v>1.6515010799115284E-2</v>
          </cell>
          <cell r="R64">
            <v>1.3212008639292228E-2</v>
          </cell>
          <cell r="S64">
            <v>1.0569606911433781E-2</v>
          </cell>
          <cell r="T64">
            <v>7.2092823794611682E-5</v>
          </cell>
          <cell r="U64">
            <v>2.5747437069512102E-5</v>
          </cell>
          <cell r="V64">
            <v>8.7775353646568632E-6</v>
          </cell>
          <cell r="W64">
            <v>2.8622397928446119E-6</v>
          </cell>
        </row>
        <row r="65">
          <cell r="A65" t="str">
            <v>HVAC</v>
          </cell>
          <cell r="B65" t="str">
            <v>WIFI enabled tstats - New</v>
          </cell>
          <cell r="C65" t="str">
            <v>LO5Med</v>
          </cell>
          <cell r="D65">
            <v>4.2999999999999997E-2</v>
          </cell>
          <cell r="E65">
            <v>9.5797142280278316E-2</v>
          </cell>
          <cell r="F65">
            <v>0.16040539374775648</v>
          </cell>
          <cell r="G65">
            <v>0.23540539374775649</v>
          </cell>
          <cell r="H65">
            <v>0.32095239121809005</v>
          </cell>
          <cell r="I65">
            <v>0.42096711425629652</v>
          </cell>
          <cell r="J65">
            <v>0.53068481860864725</v>
          </cell>
          <cell r="K65">
            <v>0.642769203728351</v>
          </cell>
          <cell r="L65">
            <v>0.74839528535557953</v>
          </cell>
          <cell r="M65">
            <v>0.83918984935345187</v>
          </cell>
          <cell r="N65">
            <v>0.90945051634530116</v>
          </cell>
          <cell r="O65">
            <v>0.9576688767502457</v>
          </cell>
          <cell r="P65">
            <v>0.9865231113648858</v>
          </cell>
          <cell r="Q65">
            <v>1.0012970762896924</v>
          </cell>
          <cell r="R65">
            <v>1.0076356106578106</v>
          </cell>
          <cell r="S65">
            <v>1.0098624683774413</v>
          </cell>
          <cell r="T65">
            <v>1.0104871783970797</v>
          </cell>
          <cell r="U65">
            <v>1.010623336815976</v>
          </cell>
          <cell r="V65">
            <v>1.0106457174525985</v>
          </cell>
          <cell r="W65">
            <v>1.0106484038909742</v>
          </cell>
        </row>
        <row r="66">
          <cell r="A66" t="str">
            <v>HVAC</v>
          </cell>
          <cell r="B66" t="str">
            <v>WIFI enabled tstats - Retro</v>
          </cell>
          <cell r="C66" t="str">
            <v>Retro5Med</v>
          </cell>
          <cell r="D66">
            <v>4.2999999999999997E-2</v>
          </cell>
          <cell r="E66">
            <v>5.279714228027832E-2</v>
          </cell>
          <cell r="F66">
            <v>6.4608251467478173E-2</v>
          </cell>
          <cell r="G66">
            <v>7.4999999999999997E-2</v>
          </cell>
          <cell r="H66">
            <v>8.5546997470333563E-2</v>
          </cell>
          <cell r="I66">
            <v>0.10001472303820647</v>
          </cell>
          <cell r="J66">
            <v>0.10971770435235073</v>
          </cell>
          <cell r="K66">
            <v>0.11208438511970376</v>
          </cell>
          <cell r="L66">
            <v>0.10562608162722853</v>
          </cell>
          <cell r="M66">
            <v>9.0794563997872335E-2</v>
          </cell>
          <cell r="N66">
            <v>7.0260666991849297E-2</v>
          </cell>
          <cell r="O66">
            <v>4.8218360404944538E-2</v>
          </cell>
          <cell r="P66">
            <v>2.8854234614640095E-2</v>
          </cell>
          <cell r="Q66">
            <v>1.4773964924806759E-2</v>
          </cell>
          <cell r="R66">
            <v>6.3385343681182649E-3</v>
          </cell>
          <cell r="S66">
            <v>2.2268577196306039E-3</v>
          </cell>
          <cell r="T66">
            <v>6.2471001963848583E-4</v>
          </cell>
          <cell r="U66">
            <v>1.3615841889635938E-4</v>
          </cell>
          <cell r="V66">
            <v>2.2380636622298944E-5</v>
          </cell>
          <cell r="W66">
            <v>2.68643837586513E-6</v>
          </cell>
        </row>
        <row r="67">
          <cell r="A67" t="str">
            <v>HVAC</v>
          </cell>
          <cell r="B67" t="str">
            <v>Combo DHP/HPWH units - New</v>
          </cell>
          <cell r="C67" t="str">
            <v>LO5Med</v>
          </cell>
          <cell r="D67">
            <v>4.2999999999999997E-2</v>
          </cell>
          <cell r="E67">
            <v>9.5797142280278316E-2</v>
          </cell>
          <cell r="F67">
            <v>0.16040539374775648</v>
          </cell>
          <cell r="G67">
            <v>0.23540539374775649</v>
          </cell>
          <cell r="H67">
            <v>0.32095239121809005</v>
          </cell>
          <cell r="I67">
            <v>0.42096711425629652</v>
          </cell>
          <cell r="J67">
            <v>0.53068481860864725</v>
          </cell>
          <cell r="K67">
            <v>0.642769203728351</v>
          </cell>
          <cell r="L67">
            <v>0.74839528535557953</v>
          </cell>
          <cell r="M67">
            <v>0.83918984935345187</v>
          </cell>
          <cell r="N67">
            <v>0.90945051634530116</v>
          </cell>
          <cell r="O67">
            <v>0.9576688767502457</v>
          </cell>
          <cell r="P67">
            <v>0.9865231113648858</v>
          </cell>
          <cell r="Q67">
            <v>1.0012970762896924</v>
          </cell>
          <cell r="R67">
            <v>1.0076356106578106</v>
          </cell>
          <cell r="S67">
            <v>1.0098624683774413</v>
          </cell>
          <cell r="T67">
            <v>1.0104871783970797</v>
          </cell>
          <cell r="U67">
            <v>1.010623336815976</v>
          </cell>
          <cell r="V67">
            <v>1.0106457174525985</v>
          </cell>
          <cell r="W67">
            <v>1.0106484038909742</v>
          </cell>
        </row>
        <row r="68">
          <cell r="A68" t="str">
            <v>HVAC</v>
          </cell>
          <cell r="B68" t="str">
            <v>Combo DHP/HPWH units - NR</v>
          </cell>
          <cell r="C68" t="str">
            <v>LO5Med</v>
          </cell>
          <cell r="D68">
            <v>4.2999999999999997E-2</v>
          </cell>
          <cell r="E68">
            <v>9.5797142280278316E-2</v>
          </cell>
          <cell r="F68">
            <v>0.16040539374775648</v>
          </cell>
          <cell r="G68">
            <v>0.23540539374775649</v>
          </cell>
          <cell r="H68">
            <v>0.32095239121809005</v>
          </cell>
          <cell r="I68">
            <v>0.42096711425629652</v>
          </cell>
          <cell r="J68">
            <v>0.53068481860864725</v>
          </cell>
          <cell r="K68">
            <v>0.642769203728351</v>
          </cell>
          <cell r="L68">
            <v>0.74839528535557953</v>
          </cell>
          <cell r="M68">
            <v>0.83918984935345187</v>
          </cell>
          <cell r="N68">
            <v>0.90945051634530116</v>
          </cell>
          <cell r="O68">
            <v>0.9576688767502457</v>
          </cell>
          <cell r="P68">
            <v>0.9865231113648858</v>
          </cell>
          <cell r="Q68">
            <v>1.0012970762896924</v>
          </cell>
          <cell r="R68">
            <v>1.0076356106578106</v>
          </cell>
          <cell r="S68">
            <v>1.0098624683774413</v>
          </cell>
          <cell r="T68">
            <v>1.0104871783970797</v>
          </cell>
          <cell r="U68">
            <v>1.010623336815976</v>
          </cell>
          <cell r="V68">
            <v>1.0106457174525985</v>
          </cell>
          <cell r="W68">
            <v>1.0106484038909742</v>
          </cell>
        </row>
        <row r="69">
          <cell r="A69" t="str">
            <v>HVAC</v>
          </cell>
          <cell r="B69" t="str">
            <v>Combo DHP/HPWH units - Retro</v>
          </cell>
          <cell r="C69" t="str">
            <v>Retro5Med</v>
          </cell>
          <cell r="D69">
            <v>4.2999999999999997E-2</v>
          </cell>
          <cell r="E69">
            <v>5.279714228027832E-2</v>
          </cell>
          <cell r="F69">
            <v>6.4608251467478173E-2</v>
          </cell>
          <cell r="G69">
            <v>7.4999999999999997E-2</v>
          </cell>
          <cell r="H69">
            <v>8.5546997470333563E-2</v>
          </cell>
          <cell r="I69">
            <v>0.10001472303820647</v>
          </cell>
          <cell r="J69">
            <v>0.10971770435235073</v>
          </cell>
          <cell r="K69">
            <v>0.11208438511970376</v>
          </cell>
          <cell r="L69">
            <v>0.10562608162722853</v>
          </cell>
          <cell r="M69">
            <v>9.0794563997872335E-2</v>
          </cell>
          <cell r="N69">
            <v>7.0260666991849297E-2</v>
          </cell>
          <cell r="O69">
            <v>4.8218360404944538E-2</v>
          </cell>
          <cell r="P69">
            <v>2.8854234614640095E-2</v>
          </cell>
          <cell r="Q69">
            <v>1.4773964924806759E-2</v>
          </cell>
          <cell r="R69">
            <v>6.3385343681182649E-3</v>
          </cell>
          <cell r="S69">
            <v>2.2268577196306039E-3</v>
          </cell>
          <cell r="T69">
            <v>6.2471001963848583E-4</v>
          </cell>
          <cell r="U69">
            <v>1.3615841889635938E-4</v>
          </cell>
          <cell r="V69">
            <v>2.2380636622298944E-5</v>
          </cell>
          <cell r="W69">
            <v>2.68643837586513E-6</v>
          </cell>
        </row>
        <row r="70">
          <cell r="A70" t="str">
            <v>Water Heating</v>
          </cell>
          <cell r="B70" t="str">
            <v>Aerator - New</v>
          </cell>
          <cell r="C70" t="str">
            <v>LO3Slow</v>
          </cell>
          <cell r="D70">
            <v>5.5320496977002724E-3</v>
          </cell>
          <cell r="E70">
            <v>1.4227918344261844E-2</v>
          </cell>
          <cell r="F70">
            <v>3.1619655637384989E-2</v>
          </cell>
          <cell r="G70">
            <v>6.2055195900350503E-2</v>
          </cell>
          <cell r="H70">
            <v>0.10939936964274129</v>
          </cell>
          <cell r="I70">
            <v>0.17568121288208835</v>
          </cell>
          <cell r="J70">
            <v>0.26003992245943919</v>
          </cell>
          <cell r="K70">
            <v>0.3584584169663485</v>
          </cell>
          <cell r="L70">
            <v>0.46444756489686617</v>
          </cell>
          <cell r="M70">
            <v>0.57043671282738384</v>
          </cell>
          <cell r="N70">
            <v>0.66935991756253377</v>
          </cell>
          <cell r="O70">
            <v>0.75591772170578986</v>
          </cell>
          <cell r="P70">
            <v>0.82720061923553012</v>
          </cell>
          <cell r="Q70">
            <v>0.88264287286977261</v>
          </cell>
          <cell r="R70">
            <v>0.92349505975816193</v>
          </cell>
          <cell r="S70">
            <v>0.95209159058003434</v>
          </cell>
          <cell r="T70">
            <v>0.97115594446128262</v>
          </cell>
          <cell r="U70">
            <v>0.98328780602207699</v>
          </cell>
          <cell r="V70">
            <v>0.99067241740690848</v>
          </cell>
          <cell r="W70">
            <v>0.99498010738139331</v>
          </cell>
        </row>
        <row r="71">
          <cell r="A71" t="str">
            <v>Water Heating</v>
          </cell>
          <cell r="B71" t="str">
            <v>Aerator - Retro</v>
          </cell>
          <cell r="C71" t="str">
            <v>Retro3Slow</v>
          </cell>
          <cell r="D71">
            <v>5.5320496977002724E-3</v>
          </cell>
          <cell r="E71">
            <v>8.6958686465615706E-3</v>
          </cell>
          <cell r="F71">
            <v>1.7391737293123145E-2</v>
          </cell>
          <cell r="G71">
            <v>3.0435540262965514E-2</v>
          </cell>
          <cell r="H71">
            <v>4.7344173742390784E-2</v>
          </cell>
          <cell r="I71">
            <v>6.6281843239347063E-2</v>
          </cell>
          <cell r="J71">
            <v>8.4358709577350838E-2</v>
          </cell>
          <cell r="K71">
            <v>9.8418494506909315E-2</v>
          </cell>
          <cell r="L71">
            <v>0.10598914793051767</v>
          </cell>
          <cell r="M71">
            <v>0.10598914793051767</v>
          </cell>
          <cell r="N71">
            <v>9.8923204735149928E-2</v>
          </cell>
          <cell r="O71">
            <v>8.655780414325609E-2</v>
          </cell>
          <cell r="P71">
            <v>7.1282897529740263E-2</v>
          </cell>
          <cell r="Q71">
            <v>5.5442253634242489E-2</v>
          </cell>
          <cell r="R71">
            <v>4.0852186888389319E-2</v>
          </cell>
          <cell r="S71">
            <v>2.8596530821872412E-2</v>
          </cell>
          <cell r="T71">
            <v>1.9064353881248275E-2</v>
          </cell>
          <cell r="U71">
            <v>1.2131861560794377E-2</v>
          </cell>
          <cell r="V71">
            <v>7.3846113848314854E-3</v>
          </cell>
          <cell r="W71">
            <v>4.3076899744848296E-3</v>
          </cell>
        </row>
        <row r="72">
          <cell r="A72" t="str">
            <v>Water Heating</v>
          </cell>
          <cell r="B72" t="str">
            <v>Behavior - Retro</v>
          </cell>
          <cell r="C72" t="str">
            <v>Retro5Med</v>
          </cell>
          <cell r="D72">
            <v>4.2999999999999997E-2</v>
          </cell>
          <cell r="E72">
            <v>5.279714228027832E-2</v>
          </cell>
          <cell r="F72">
            <v>6.4608251467478173E-2</v>
          </cell>
          <cell r="G72">
            <v>7.4999999999999997E-2</v>
          </cell>
          <cell r="H72">
            <v>8.5546997470333563E-2</v>
          </cell>
          <cell r="I72">
            <v>0.10001472303820647</v>
          </cell>
          <cell r="J72">
            <v>0.10971770435235073</v>
          </cell>
          <cell r="K72">
            <v>0.11208438511970376</v>
          </cell>
          <cell r="L72">
            <v>0.10562608162722853</v>
          </cell>
          <cell r="M72">
            <v>9.0794563997872335E-2</v>
          </cell>
          <cell r="N72">
            <v>7.0260666991849297E-2</v>
          </cell>
          <cell r="O72">
            <v>4.8218360404944538E-2</v>
          </cell>
          <cell r="P72">
            <v>2.8854234614640095E-2</v>
          </cell>
          <cell r="Q72">
            <v>1.4773964924806759E-2</v>
          </cell>
          <cell r="R72">
            <v>6.3385343681182649E-3</v>
          </cell>
          <cell r="S72">
            <v>2.2268577196306039E-3</v>
          </cell>
          <cell r="T72">
            <v>6.2471001963848583E-4</v>
          </cell>
          <cell r="U72">
            <v>1.3615841889635938E-4</v>
          </cell>
          <cell r="V72">
            <v>2.2380636622298944E-5</v>
          </cell>
          <cell r="W72">
            <v>2.68643837586513E-6</v>
          </cell>
        </row>
        <row r="73">
          <cell r="A73" t="str">
            <v>Water Heating</v>
          </cell>
          <cell r="B73" t="str">
            <v>Behavior - New</v>
          </cell>
          <cell r="C73" t="str">
            <v>LO5Med</v>
          </cell>
          <cell r="D73">
            <v>4.2999999999999997E-2</v>
          </cell>
          <cell r="E73">
            <v>9.5797142280278316E-2</v>
          </cell>
          <cell r="F73">
            <v>0.16040539374775648</v>
          </cell>
          <cell r="G73">
            <v>0.23540539374775649</v>
          </cell>
          <cell r="H73">
            <v>0.32095239121809005</v>
          </cell>
          <cell r="I73">
            <v>0.42096711425629652</v>
          </cell>
          <cell r="J73">
            <v>0.53068481860864725</v>
          </cell>
          <cell r="K73">
            <v>0.642769203728351</v>
          </cell>
          <cell r="L73">
            <v>0.74839528535557953</v>
          </cell>
          <cell r="M73">
            <v>0.83918984935345187</v>
          </cell>
          <cell r="N73">
            <v>0.90945051634530116</v>
          </cell>
          <cell r="O73">
            <v>0.9576688767502457</v>
          </cell>
          <cell r="P73">
            <v>0.9865231113648858</v>
          </cell>
          <cell r="Q73">
            <v>1.0012970762896924</v>
          </cell>
          <cell r="R73">
            <v>1.0076356106578106</v>
          </cell>
          <cell r="S73">
            <v>1.0098624683774413</v>
          </cell>
          <cell r="T73">
            <v>1.0104871783970797</v>
          </cell>
          <cell r="U73">
            <v>1.010623336815976</v>
          </cell>
          <cell r="V73">
            <v>1.0106457174525985</v>
          </cell>
          <cell r="W73">
            <v>1.0106484038909742</v>
          </cell>
        </row>
        <row r="74">
          <cell r="A74">
            <v>0</v>
          </cell>
          <cell r="B74">
            <v>0</v>
          </cell>
          <cell r="C74" t="str">
            <v>Retro1Slow</v>
          </cell>
          <cell r="D74">
            <v>2.5643970768378654E-3</v>
          </cell>
          <cell r="E74">
            <v>5.1260615529385989E-3</v>
          </cell>
          <cell r="F74">
            <v>9.1015544176433795E-3</v>
          </cell>
          <cell r="G74">
            <v>1.4804925730045659E-2</v>
          </cell>
          <cell r="H74">
            <v>2.2471809420486211E-2</v>
          </cell>
          <cell r="I74">
            <v>3.2184432813882391E-2</v>
          </cell>
          <cell r="J74">
            <v>4.3779667172004086E-2</v>
          </cell>
          <cell r="K74">
            <v>5.675426075474499E-2</v>
          </cell>
          <cell r="L74">
            <v>7.0195239068707532E-2</v>
          </cell>
          <cell r="M74">
            <v>8.2776861842756788E-2</v>
          </cell>
          <cell r="N74">
            <v>9.2870259507494834E-2</v>
          </cell>
          <cell r="O74">
            <v>9.8796470678915727E-2</v>
          </cell>
          <cell r="P74">
            <v>9.9208932889988999E-2</v>
          </cell>
          <cell r="Q74">
            <v>9.3521150494244254E-2</v>
          </cell>
          <cell r="R74">
            <v>8.2226007896862296E-2</v>
          </cell>
          <cell r="S74">
            <v>6.6933566027365665E-2</v>
          </cell>
          <cell r="T74">
            <v>5.0029565143448806E-2</v>
          </cell>
          <cell r="U74">
            <v>3.402486521893211E-2</v>
          </cell>
          <cell r="V74">
            <v>2.0846059340774659E-2</v>
          </cell>
          <cell r="W74">
            <v>0.01</v>
          </cell>
        </row>
        <row r="75">
          <cell r="A75" t="str">
            <v>HVAC</v>
          </cell>
          <cell r="B75" t="str">
            <v>Heat Recovery Ventilation - New</v>
          </cell>
          <cell r="C75" t="str">
            <v>LO1Slow</v>
          </cell>
          <cell r="D75">
            <v>2.5643970768378654E-3</v>
          </cell>
          <cell r="E75">
            <v>7.6904586297764643E-3</v>
          </cell>
          <cell r="F75">
            <v>1.6792013047419844E-2</v>
          </cell>
          <cell r="G75">
            <v>3.15969387774655E-2</v>
          </cell>
          <cell r="H75">
            <v>5.406874819795171E-2</v>
          </cell>
          <cell r="I75">
            <v>8.6253181011834101E-2</v>
          </cell>
          <cell r="J75">
            <v>0.1300328481838382</v>
          </cell>
          <cell r="K75">
            <v>0.18678710893858319</v>
          </cell>
          <cell r="L75">
            <v>0.2569823480072907</v>
          </cell>
          <cell r="M75">
            <v>0.33975920985004748</v>
          </cell>
          <cell r="N75">
            <v>0.43262946935754232</v>
          </cell>
          <cell r="O75">
            <v>0.53142594003645804</v>
          </cell>
          <cell r="P75">
            <v>0.63063487292644704</v>
          </cell>
          <cell r="Q75">
            <v>0.7241560234206913</v>
          </cell>
          <cell r="R75">
            <v>0.80638203131755359</v>
          </cell>
          <cell r="S75">
            <v>0.87331559734491926</v>
          </cell>
          <cell r="T75">
            <v>0.92334516248836807</v>
          </cell>
          <cell r="U75">
            <v>0.95737002770730018</v>
          </cell>
          <cell r="V75">
            <v>0.97821608704807483</v>
          </cell>
          <cell r="W75">
            <v>0.98821608704807484</v>
          </cell>
        </row>
        <row r="76">
          <cell r="A76" t="str">
            <v>HVAC</v>
          </cell>
          <cell r="B76" t="str">
            <v>GSHP - New</v>
          </cell>
          <cell r="C76" t="str">
            <v>LO1Slow</v>
          </cell>
          <cell r="D76">
            <v>2.5643970768378654E-3</v>
          </cell>
          <cell r="E76">
            <v>7.6904586297764643E-3</v>
          </cell>
          <cell r="F76">
            <v>1.6792013047419844E-2</v>
          </cell>
          <cell r="G76">
            <v>3.15969387774655E-2</v>
          </cell>
          <cell r="H76">
            <v>5.406874819795171E-2</v>
          </cell>
          <cell r="I76">
            <v>8.6253181011834101E-2</v>
          </cell>
          <cell r="J76">
            <v>0.1300328481838382</v>
          </cell>
          <cell r="K76">
            <v>0.18678710893858319</v>
          </cell>
          <cell r="L76">
            <v>0.2569823480072907</v>
          </cell>
          <cell r="M76">
            <v>0.33975920985004748</v>
          </cell>
          <cell r="N76">
            <v>0.43262946935754232</v>
          </cell>
          <cell r="O76">
            <v>0.53142594003645804</v>
          </cell>
          <cell r="P76">
            <v>0.63063487292644704</v>
          </cell>
          <cell r="Q76">
            <v>0.7241560234206913</v>
          </cell>
          <cell r="R76">
            <v>0.80638203131755359</v>
          </cell>
          <cell r="S76">
            <v>0.87331559734491926</v>
          </cell>
          <cell r="T76">
            <v>0.92334516248836807</v>
          </cell>
          <cell r="U76">
            <v>0.95737002770730018</v>
          </cell>
          <cell r="V76">
            <v>0.97821608704807483</v>
          </cell>
          <cell r="W76">
            <v>0.98821608704807484</v>
          </cell>
        </row>
        <row r="77">
          <cell r="A77" t="str">
            <v>HVAC</v>
          </cell>
          <cell r="B77" t="str">
            <v>GSHP - NR</v>
          </cell>
          <cell r="C77" t="str">
            <v>LO1Slow</v>
          </cell>
          <cell r="D77">
            <v>2.5643970768378654E-3</v>
          </cell>
          <cell r="E77">
            <v>7.6904586297764643E-3</v>
          </cell>
          <cell r="F77">
            <v>1.6792013047419844E-2</v>
          </cell>
          <cell r="G77">
            <v>3.15969387774655E-2</v>
          </cell>
          <cell r="H77">
            <v>5.406874819795171E-2</v>
          </cell>
          <cell r="I77">
            <v>8.6253181011834101E-2</v>
          </cell>
          <cell r="J77">
            <v>0.1300328481838382</v>
          </cell>
          <cell r="K77">
            <v>0.18678710893858319</v>
          </cell>
          <cell r="L77">
            <v>0.2569823480072907</v>
          </cell>
          <cell r="M77">
            <v>0.33975920985004748</v>
          </cell>
          <cell r="N77">
            <v>0.43262946935754232</v>
          </cell>
          <cell r="O77">
            <v>0.53142594003645804</v>
          </cell>
          <cell r="P77">
            <v>0.63063487292644704</v>
          </cell>
          <cell r="Q77">
            <v>0.7241560234206913</v>
          </cell>
          <cell r="R77">
            <v>0.80638203131755359</v>
          </cell>
          <cell r="S77">
            <v>0.87331559734491926</v>
          </cell>
          <cell r="T77">
            <v>0.92334516248836807</v>
          </cell>
          <cell r="U77">
            <v>0.95737002770730018</v>
          </cell>
          <cell r="V77">
            <v>0.97821608704807483</v>
          </cell>
          <cell r="W77">
            <v>0.98821608704807484</v>
          </cell>
        </row>
        <row r="78">
          <cell r="A78">
            <v>0</v>
          </cell>
          <cell r="B78">
            <v>0</v>
          </cell>
          <cell r="C78" t="str">
            <v>Retro5Med</v>
          </cell>
          <cell r="D78">
            <v>4.2999999999999997E-2</v>
          </cell>
          <cell r="E78">
            <v>5.279714228027832E-2</v>
          </cell>
          <cell r="F78">
            <v>6.4608251467478173E-2</v>
          </cell>
          <cell r="G78">
            <v>7.4999999999999997E-2</v>
          </cell>
          <cell r="H78">
            <v>8.5546997470333563E-2</v>
          </cell>
          <cell r="I78">
            <v>0.10001472303820647</v>
          </cell>
          <cell r="J78">
            <v>0.10971770435235073</v>
          </cell>
          <cell r="K78">
            <v>0.11208438511970376</v>
          </cell>
          <cell r="L78">
            <v>0.10562608162722853</v>
          </cell>
          <cell r="M78">
            <v>9.0794563997872335E-2</v>
          </cell>
          <cell r="N78">
            <v>7.0260666991849297E-2</v>
          </cell>
          <cell r="O78">
            <v>4.8218360404944538E-2</v>
          </cell>
          <cell r="P78">
            <v>2.8854234614640095E-2</v>
          </cell>
          <cell r="Q78">
            <v>1.4773964924806759E-2</v>
          </cell>
          <cell r="R78">
            <v>6.3385343681182649E-3</v>
          </cell>
          <cell r="S78">
            <v>2.2268577196306039E-3</v>
          </cell>
          <cell r="T78">
            <v>6.2471001963848583E-4</v>
          </cell>
          <cell r="U78">
            <v>1.3615841889635938E-4</v>
          </cell>
          <cell r="V78">
            <v>2.2380636622298944E-5</v>
          </cell>
          <cell r="W78">
            <v>2.68643837586513E-6</v>
          </cell>
        </row>
        <row r="79">
          <cell r="A79" t="str">
            <v>HVAC</v>
          </cell>
          <cell r="B79" t="str">
            <v>ECM for HVAC ventilation - New</v>
          </cell>
          <cell r="C79" t="str">
            <v>LO12Med</v>
          </cell>
          <cell r="D79">
            <v>0.10937459468255628</v>
          </cell>
          <cell r="E79">
            <v>0.21874918936511256</v>
          </cell>
          <cell r="F79">
            <v>0.32812378404766884</v>
          </cell>
          <cell r="G79">
            <v>0.43749837873022512</v>
          </cell>
          <cell r="H79">
            <v>0.5468729734127814</v>
          </cell>
          <cell r="I79">
            <v>0.64531010862708205</v>
          </cell>
          <cell r="J79">
            <v>0.7240598167985226</v>
          </cell>
          <cell r="K79">
            <v>0.78705958333567505</v>
          </cell>
          <cell r="L79">
            <v>0.83745939656539703</v>
          </cell>
          <cell r="M79">
            <v>0.87777924714917455</v>
          </cell>
          <cell r="N79">
            <v>0.91003512761619654</v>
          </cell>
          <cell r="O79">
            <v>0.93583983198981413</v>
          </cell>
          <cell r="P79">
            <v>0.9564835954887082</v>
          </cell>
          <cell r="Q79">
            <v>0.97299860628782353</v>
          </cell>
          <cell r="R79">
            <v>0.9862106149271157</v>
          </cell>
          <cell r="S79">
            <v>0.99678022183854953</v>
          </cell>
          <cell r="T79">
            <v>0.99685231466234414</v>
          </cell>
          <cell r="U79">
            <v>0.99687806209941365</v>
          </cell>
          <cell r="V79">
            <v>0.99688683963477831</v>
          </cell>
          <cell r="W79">
            <v>0.99688970187457115</v>
          </cell>
        </row>
        <row r="80">
          <cell r="A80" t="str">
            <v>HVAC</v>
          </cell>
          <cell r="B80" t="str">
            <v>ECM for HVAC ventilation - NR</v>
          </cell>
          <cell r="C80" t="str">
            <v>LO12Med</v>
          </cell>
          <cell r="D80">
            <v>0.10937459468255628</v>
          </cell>
          <cell r="E80">
            <v>0.21874918936511256</v>
          </cell>
          <cell r="F80">
            <v>0.32812378404766884</v>
          </cell>
          <cell r="G80">
            <v>0.43749837873022512</v>
          </cell>
          <cell r="H80">
            <v>0.5468729734127814</v>
          </cell>
          <cell r="I80">
            <v>0.64531010862708205</v>
          </cell>
          <cell r="J80">
            <v>0.7240598167985226</v>
          </cell>
          <cell r="K80">
            <v>0.78705958333567505</v>
          </cell>
          <cell r="L80">
            <v>0.83745939656539703</v>
          </cell>
          <cell r="M80">
            <v>0.87777924714917455</v>
          </cell>
          <cell r="N80">
            <v>0.91003512761619654</v>
          </cell>
          <cell r="O80">
            <v>0.93583983198981413</v>
          </cell>
          <cell r="P80">
            <v>0.9564835954887082</v>
          </cell>
          <cell r="Q80">
            <v>0.97299860628782353</v>
          </cell>
          <cell r="R80">
            <v>0.9862106149271157</v>
          </cell>
          <cell r="S80">
            <v>0.99678022183854953</v>
          </cell>
          <cell r="T80">
            <v>0.99685231466234414</v>
          </cell>
          <cell r="U80">
            <v>0.99687806209941365</v>
          </cell>
          <cell r="V80">
            <v>0.99688683963477831</v>
          </cell>
          <cell r="W80">
            <v>0.99688970187457115</v>
          </cell>
        </row>
        <row r="81">
          <cell r="A81" t="str">
            <v>HVAC</v>
          </cell>
          <cell r="B81" t="str">
            <v>Whole house/attic fan - New</v>
          </cell>
          <cell r="C81" t="str">
            <v>LO12Med</v>
          </cell>
          <cell r="D81">
            <v>0.10937459468255628</v>
          </cell>
          <cell r="E81">
            <v>0.21874918936511256</v>
          </cell>
          <cell r="F81">
            <v>0.32812378404766884</v>
          </cell>
          <cell r="G81">
            <v>0.43749837873022512</v>
          </cell>
          <cell r="H81">
            <v>0.5468729734127814</v>
          </cell>
          <cell r="I81">
            <v>0.64531010862708205</v>
          </cell>
          <cell r="J81">
            <v>0.7240598167985226</v>
          </cell>
          <cell r="K81">
            <v>0.78705958333567505</v>
          </cell>
          <cell r="L81">
            <v>0.83745939656539703</v>
          </cell>
          <cell r="M81">
            <v>0.87777924714917455</v>
          </cell>
          <cell r="N81">
            <v>0.91003512761619654</v>
          </cell>
          <cell r="O81">
            <v>0.93583983198981413</v>
          </cell>
          <cell r="P81">
            <v>0.9564835954887082</v>
          </cell>
          <cell r="Q81">
            <v>0.97299860628782353</v>
          </cell>
          <cell r="R81">
            <v>0.9862106149271157</v>
          </cell>
          <cell r="S81">
            <v>0.99678022183854953</v>
          </cell>
          <cell r="T81">
            <v>0.99685231466234414</v>
          </cell>
          <cell r="U81">
            <v>0.99687806209941365</v>
          </cell>
          <cell r="V81">
            <v>0.99688683963477831</v>
          </cell>
          <cell r="W81">
            <v>0.99688970187457115</v>
          </cell>
        </row>
        <row r="82">
          <cell r="A82" t="str">
            <v>HVAC</v>
          </cell>
          <cell r="B82" t="str">
            <v>Whole house/attic fan - Retro</v>
          </cell>
          <cell r="C82" t="str">
            <v>Retro12Med</v>
          </cell>
          <cell r="D82">
            <v>0.10937459468255628</v>
          </cell>
          <cell r="E82">
            <v>0.10937459468255628</v>
          </cell>
          <cell r="F82">
            <v>0.10937459468255628</v>
          </cell>
          <cell r="G82">
            <v>0.10937459468255628</v>
          </cell>
          <cell r="H82">
            <v>0.10937459468255628</v>
          </cell>
          <cell r="I82">
            <v>9.8437135214300656E-2</v>
          </cell>
          <cell r="J82">
            <v>7.874970817144053E-2</v>
          </cell>
          <cell r="K82">
            <v>6.2999766537152418E-2</v>
          </cell>
          <cell r="L82">
            <v>5.0399813229721938E-2</v>
          </cell>
          <cell r="M82">
            <v>4.0319850583777551E-2</v>
          </cell>
          <cell r="N82">
            <v>3.225588046702204E-2</v>
          </cell>
          <cell r="O82">
            <v>2.5804704373617631E-2</v>
          </cell>
          <cell r="P82">
            <v>2.0643763498894106E-2</v>
          </cell>
          <cell r="Q82">
            <v>1.6515010799115284E-2</v>
          </cell>
          <cell r="R82">
            <v>1.3212008639292228E-2</v>
          </cell>
          <cell r="S82">
            <v>1.0569606911433781E-2</v>
          </cell>
          <cell r="T82">
            <v>7.2092823794611682E-5</v>
          </cell>
          <cell r="U82">
            <v>2.5747437069512102E-5</v>
          </cell>
          <cell r="V82">
            <v>8.7775353646568632E-6</v>
          </cell>
          <cell r="W82">
            <v>2.8622397928446119E-6</v>
          </cell>
        </row>
        <row r="83">
          <cell r="A83" t="str">
            <v>Water heating</v>
          </cell>
          <cell r="B83" t="str">
            <v>WH Pipe insulation - Retro</v>
          </cell>
          <cell r="C83" t="str">
            <v>Retro12Med</v>
          </cell>
          <cell r="D83">
            <v>0.10937459468255628</v>
          </cell>
          <cell r="E83">
            <v>0.10937459468255628</v>
          </cell>
          <cell r="F83">
            <v>0.10937459468255628</v>
          </cell>
          <cell r="G83">
            <v>0.10937459468255628</v>
          </cell>
          <cell r="H83">
            <v>0.10937459468255628</v>
          </cell>
          <cell r="I83">
            <v>9.8437135214300656E-2</v>
          </cell>
          <cell r="J83">
            <v>7.874970817144053E-2</v>
          </cell>
          <cell r="K83">
            <v>6.2999766537152418E-2</v>
          </cell>
          <cell r="L83">
            <v>5.0399813229721938E-2</v>
          </cell>
          <cell r="M83">
            <v>4.0319850583777551E-2</v>
          </cell>
          <cell r="N83">
            <v>3.225588046702204E-2</v>
          </cell>
          <cell r="O83">
            <v>2.5804704373617631E-2</v>
          </cell>
          <cell r="P83">
            <v>2.0643763498894106E-2</v>
          </cell>
          <cell r="Q83">
            <v>1.6515010799115284E-2</v>
          </cell>
          <cell r="R83">
            <v>1.3212008639292228E-2</v>
          </cell>
          <cell r="S83">
            <v>1.0569606911433781E-2</v>
          </cell>
          <cell r="T83">
            <v>7.2092823794611682E-5</v>
          </cell>
          <cell r="U83">
            <v>2.5747437069512102E-5</v>
          </cell>
          <cell r="V83">
            <v>8.7775353646568632E-6</v>
          </cell>
          <cell r="W83">
            <v>2.8622397928446119E-6</v>
          </cell>
        </row>
        <row r="84">
          <cell r="A84" t="str">
            <v>HVAC</v>
          </cell>
          <cell r="B84" t="str">
            <v>DHP Ducted - NR</v>
          </cell>
          <cell r="C84" t="str">
            <v>LO12Med</v>
          </cell>
          <cell r="D84">
            <v>0.10937459468255628</v>
          </cell>
          <cell r="E84">
            <v>0.21874918936511256</v>
          </cell>
          <cell r="F84">
            <v>0.32812378404766884</v>
          </cell>
          <cell r="G84">
            <v>0.43749837873022512</v>
          </cell>
          <cell r="H84">
            <v>0.5468729734127814</v>
          </cell>
          <cell r="I84">
            <v>0.64531010862708205</v>
          </cell>
          <cell r="J84">
            <v>0.7240598167985226</v>
          </cell>
          <cell r="K84">
            <v>0.78705958333567505</v>
          </cell>
          <cell r="L84">
            <v>0.83745939656539703</v>
          </cell>
          <cell r="M84">
            <v>0.87777924714917455</v>
          </cell>
          <cell r="N84">
            <v>0.91003512761619654</v>
          </cell>
          <cell r="O84">
            <v>0.93583983198981413</v>
          </cell>
          <cell r="P84">
            <v>0.9564835954887082</v>
          </cell>
          <cell r="Q84">
            <v>0.97299860628782353</v>
          </cell>
          <cell r="R84">
            <v>0.9862106149271157</v>
          </cell>
          <cell r="S84">
            <v>0.99678022183854953</v>
          </cell>
          <cell r="T84">
            <v>0.99685231466234414</v>
          </cell>
          <cell r="U84">
            <v>0.99687806209941365</v>
          </cell>
          <cell r="V84">
            <v>0.99688683963477831</v>
          </cell>
          <cell r="W84">
            <v>0.99688970187457115</v>
          </cell>
        </row>
        <row r="85">
          <cell r="A85" t="str">
            <v>Electronics</v>
          </cell>
          <cell r="B85" t="str">
            <v>Advanced Power Strips - New</v>
          </cell>
          <cell r="C85" t="str">
            <v>LO5Med</v>
          </cell>
          <cell r="D85">
            <v>4.2999999999999997E-2</v>
          </cell>
          <cell r="E85">
            <v>9.5797142280278316E-2</v>
          </cell>
          <cell r="F85">
            <v>0.16040539374775648</v>
          </cell>
          <cell r="G85">
            <v>0.23540539374775649</v>
          </cell>
          <cell r="H85">
            <v>0.32095239121809005</v>
          </cell>
          <cell r="I85">
            <v>0.42096711425629652</v>
          </cell>
          <cell r="J85">
            <v>0.53068481860864725</v>
          </cell>
          <cell r="K85">
            <v>0.642769203728351</v>
          </cell>
          <cell r="L85">
            <v>0.74839528535557953</v>
          </cell>
          <cell r="M85">
            <v>0.83918984935345187</v>
          </cell>
          <cell r="N85">
            <v>0.90945051634530116</v>
          </cell>
          <cell r="O85">
            <v>0.9576688767502457</v>
          </cell>
          <cell r="P85">
            <v>0.9865231113648858</v>
          </cell>
          <cell r="Q85">
            <v>1.0012970762896924</v>
          </cell>
          <cell r="R85">
            <v>1.0076356106578106</v>
          </cell>
          <cell r="S85">
            <v>1.0098624683774413</v>
          </cell>
          <cell r="T85">
            <v>1.0104871783970797</v>
          </cell>
          <cell r="U85">
            <v>1.010623336815976</v>
          </cell>
          <cell r="V85">
            <v>1.0106457174525985</v>
          </cell>
          <cell r="W85">
            <v>1.0106484038909742</v>
          </cell>
        </row>
        <row r="86">
          <cell r="A86" t="str">
            <v>Electronics</v>
          </cell>
          <cell r="B86" t="str">
            <v>Advanced Power Strips - Retro</v>
          </cell>
          <cell r="C86" t="str">
            <v>Retro5Med</v>
          </cell>
          <cell r="D86">
            <v>4.2999999999999997E-2</v>
          </cell>
          <cell r="E86">
            <v>5.279714228027832E-2</v>
          </cell>
          <cell r="F86">
            <v>6.4608251467478173E-2</v>
          </cell>
          <cell r="G86">
            <v>7.4999999999999997E-2</v>
          </cell>
          <cell r="H86">
            <v>8.5546997470333563E-2</v>
          </cell>
          <cell r="I86">
            <v>0.10001472303820647</v>
          </cell>
          <cell r="J86">
            <v>0.10971770435235073</v>
          </cell>
          <cell r="K86">
            <v>0.11208438511970376</v>
          </cell>
          <cell r="L86">
            <v>0.10562608162722853</v>
          </cell>
          <cell r="M86">
            <v>9.0794563997872335E-2</v>
          </cell>
          <cell r="N86">
            <v>7.0260666991849297E-2</v>
          </cell>
          <cell r="O86">
            <v>4.8218360404944538E-2</v>
          </cell>
          <cell r="P86">
            <v>2.8854234614640095E-2</v>
          </cell>
          <cell r="Q86">
            <v>1.4773964924806759E-2</v>
          </cell>
          <cell r="R86">
            <v>6.3385343681182649E-3</v>
          </cell>
          <cell r="S86">
            <v>2.2268577196306039E-3</v>
          </cell>
          <cell r="T86">
            <v>6.2471001963848583E-4</v>
          </cell>
          <cell r="U86">
            <v>1.3615841889635938E-4</v>
          </cell>
          <cell r="V86">
            <v>2.2380636622298944E-5</v>
          </cell>
          <cell r="W86">
            <v>2.68643837586513E-6</v>
          </cell>
        </row>
        <row r="87">
          <cell r="A87" t="str">
            <v>HVAC</v>
          </cell>
          <cell r="B87" t="str">
            <v>Controls Commissioning and Sizing - New</v>
          </cell>
          <cell r="C87" t="str">
            <v>LO5Med</v>
          </cell>
          <cell r="D87">
            <v>4.2999999999999997E-2</v>
          </cell>
          <cell r="E87">
            <v>9.5797142280278316E-2</v>
          </cell>
          <cell r="F87">
            <v>0.16040539374775648</v>
          </cell>
          <cell r="G87">
            <v>0.23540539374775649</v>
          </cell>
          <cell r="H87">
            <v>0.32095239121809005</v>
          </cell>
          <cell r="I87">
            <v>0.42096711425629652</v>
          </cell>
          <cell r="J87">
            <v>0.53068481860864725</v>
          </cell>
          <cell r="K87">
            <v>0.642769203728351</v>
          </cell>
          <cell r="L87">
            <v>0.74839528535557953</v>
          </cell>
          <cell r="M87">
            <v>0.83918984935345187</v>
          </cell>
          <cell r="N87">
            <v>0.90945051634530116</v>
          </cell>
          <cell r="O87">
            <v>0.9576688767502457</v>
          </cell>
          <cell r="P87">
            <v>0.9865231113648858</v>
          </cell>
          <cell r="Q87">
            <v>1.0012970762896924</v>
          </cell>
          <cell r="R87">
            <v>1.0076356106578106</v>
          </cell>
          <cell r="S87">
            <v>1.0098624683774413</v>
          </cell>
          <cell r="T87">
            <v>1.0104871783970797</v>
          </cell>
          <cell r="U87">
            <v>1.010623336815976</v>
          </cell>
          <cell r="V87">
            <v>1.0106457174525985</v>
          </cell>
          <cell r="W87">
            <v>1.0106484038909742</v>
          </cell>
        </row>
        <row r="88">
          <cell r="A88" t="str">
            <v>HVAC</v>
          </cell>
          <cell r="B88" t="str">
            <v>Controls Commissioning and Sizing - NR</v>
          </cell>
          <cell r="C88" t="str">
            <v>LO5Med</v>
          </cell>
          <cell r="D88">
            <v>4.2999999999999997E-2</v>
          </cell>
          <cell r="E88">
            <v>9.5797142280278316E-2</v>
          </cell>
          <cell r="F88">
            <v>0.16040539374775648</v>
          </cell>
          <cell r="G88">
            <v>0.23540539374775649</v>
          </cell>
          <cell r="H88">
            <v>0.32095239121809005</v>
          </cell>
          <cell r="I88">
            <v>0.42096711425629652</v>
          </cell>
          <cell r="J88">
            <v>0.53068481860864725</v>
          </cell>
          <cell r="K88">
            <v>0.642769203728351</v>
          </cell>
          <cell r="L88">
            <v>0.74839528535557953</v>
          </cell>
          <cell r="M88">
            <v>0.83918984935345187</v>
          </cell>
          <cell r="N88">
            <v>0.90945051634530116</v>
          </cell>
          <cell r="O88">
            <v>0.9576688767502457</v>
          </cell>
          <cell r="P88">
            <v>0.9865231113648858</v>
          </cell>
          <cell r="Q88">
            <v>1.0012970762896924</v>
          </cell>
          <cell r="R88">
            <v>1.0076356106578106</v>
          </cell>
          <cell r="S88">
            <v>1.0098624683774413</v>
          </cell>
          <cell r="T88">
            <v>1.0104871783970797</v>
          </cell>
          <cell r="U88">
            <v>1.010623336815976</v>
          </cell>
          <cell r="V88">
            <v>1.0106457174525985</v>
          </cell>
          <cell r="W88">
            <v>1.0106484038909742</v>
          </cell>
        </row>
        <row r="89">
          <cell r="A89" t="str">
            <v>HVAC</v>
          </cell>
          <cell r="B89" t="str">
            <v>ResWx - Retro</v>
          </cell>
          <cell r="C89" t="str">
            <v>Retro12Med</v>
          </cell>
          <cell r="D89">
            <v>0.10937459468255628</v>
          </cell>
          <cell r="E89">
            <v>0.10937459468255628</v>
          </cell>
          <cell r="F89">
            <v>0.10937459468255628</v>
          </cell>
          <cell r="G89">
            <v>0.10937459468255628</v>
          </cell>
          <cell r="H89">
            <v>0.10937459468255628</v>
          </cell>
          <cell r="I89">
            <v>9.8437135214300656E-2</v>
          </cell>
          <cell r="J89">
            <v>7.874970817144053E-2</v>
          </cell>
          <cell r="K89">
            <v>6.2999766537152418E-2</v>
          </cell>
          <cell r="L89">
            <v>5.0399813229721938E-2</v>
          </cell>
          <cell r="M89">
            <v>4.0319850583777551E-2</v>
          </cell>
          <cell r="N89">
            <v>3.225588046702204E-2</v>
          </cell>
          <cell r="O89">
            <v>2.5804704373617631E-2</v>
          </cell>
          <cell r="P89">
            <v>2.0643763498894106E-2</v>
          </cell>
          <cell r="Q89">
            <v>1.6515010799115284E-2</v>
          </cell>
          <cell r="R89">
            <v>1.3212008639292228E-2</v>
          </cell>
          <cell r="S89">
            <v>1.0569606911433781E-2</v>
          </cell>
          <cell r="T89">
            <v>7.2092823794611682E-5</v>
          </cell>
          <cell r="U89">
            <v>2.5747437069512102E-5</v>
          </cell>
          <cell r="V89">
            <v>8.7775353646568632E-6</v>
          </cell>
          <cell r="W89">
            <v>2.8622397928446119E-6</v>
          </cell>
        </row>
      </sheetData>
      <sheetData sheetId="10">
        <row r="10">
          <cell r="B10" t="str">
            <v>Lighting - New</v>
          </cell>
        </row>
        <row r="11">
          <cell r="B11" t="str">
            <v>Lighting - NR</v>
          </cell>
        </row>
        <row r="12">
          <cell r="B12" t="str">
            <v>Lighting - PPA</v>
          </cell>
        </row>
        <row r="13">
          <cell r="B13" t="str">
            <v>Dishwasher - New</v>
          </cell>
        </row>
        <row r="14">
          <cell r="B14" t="str">
            <v>Dishwasher - NR</v>
          </cell>
        </row>
        <row r="15">
          <cell r="B15" t="str">
            <v>Clothes Washer - New</v>
          </cell>
        </row>
        <row r="16">
          <cell r="B16" t="str">
            <v>Clothes Washer - NR</v>
          </cell>
        </row>
        <row r="17">
          <cell r="B17" t="str">
            <v>WasteWater Heat Recovery - New</v>
          </cell>
        </row>
        <row r="18">
          <cell r="B18" t="str">
            <v>Showerheads - New</v>
          </cell>
        </row>
        <row r="19">
          <cell r="B19" t="str">
            <v>Showerheads - Retro</v>
          </cell>
        </row>
        <row r="20">
          <cell r="B20" t="str">
            <v>HPWH - New</v>
          </cell>
        </row>
        <row r="21">
          <cell r="B21" t="str">
            <v>HPWH - NR</v>
          </cell>
        </row>
        <row r="22">
          <cell r="B22" t="str">
            <v>EV Supply Equip - NR</v>
          </cell>
        </row>
        <row r="23">
          <cell r="B23" t="str">
            <v>Clothes Dryer - New</v>
          </cell>
        </row>
        <row r="24">
          <cell r="B24" t="str">
            <v>Clothes Dryer - NR</v>
          </cell>
        </row>
        <row r="25">
          <cell r="B25" t="str">
            <v>Refrigerator - New</v>
          </cell>
        </row>
        <row r="26">
          <cell r="B26" t="str">
            <v>Refrigerator - NR</v>
          </cell>
        </row>
        <row r="27">
          <cell r="B27" t="str">
            <v>Freezer - New</v>
          </cell>
        </row>
        <row r="28">
          <cell r="B28" t="str">
            <v>Freezer - NR</v>
          </cell>
        </row>
        <row r="29">
          <cell r="B29" t="str">
            <v>Solar Water Heater - New</v>
          </cell>
        </row>
        <row r="30">
          <cell r="B30" t="str">
            <v>Solar Water Heater - NR</v>
          </cell>
        </row>
        <row r="31">
          <cell r="B31" t="str">
            <v>Solar Water Heater - Retro</v>
          </cell>
        </row>
        <row r="32">
          <cell r="B32">
            <v>0</v>
          </cell>
        </row>
        <row r="33">
          <cell r="B33">
            <v>0</v>
          </cell>
        </row>
        <row r="34">
          <cell r="B34" t="str">
            <v>Microwave - New</v>
          </cell>
        </row>
        <row r="35">
          <cell r="B35" t="str">
            <v>Microwave - NR</v>
          </cell>
        </row>
        <row r="36">
          <cell r="B36" t="str">
            <v>Monitor - New</v>
          </cell>
        </row>
        <row r="37">
          <cell r="B37" t="str">
            <v>Monitor - NR</v>
          </cell>
        </row>
        <row r="38">
          <cell r="B38" t="str">
            <v>Desktop - New</v>
          </cell>
        </row>
        <row r="39">
          <cell r="B39" t="str">
            <v>Desktop - NR</v>
          </cell>
        </row>
        <row r="40">
          <cell r="B40" t="str">
            <v>Laptop - New</v>
          </cell>
        </row>
        <row r="41">
          <cell r="B41" t="str">
            <v>Laptop - NR</v>
          </cell>
        </row>
        <row r="42">
          <cell r="B42" t="str">
            <v>Computer - New</v>
          </cell>
        </row>
        <row r="43">
          <cell r="B43" t="str">
            <v>Computer - NR</v>
          </cell>
        </row>
        <row r="44">
          <cell r="B44" t="str">
            <v>ASHP - New</v>
          </cell>
        </row>
        <row r="45">
          <cell r="B45" t="str">
            <v>ASHP - NR</v>
          </cell>
        </row>
        <row r="46">
          <cell r="B46" t="str">
            <v>HP - Retro</v>
          </cell>
        </row>
        <row r="47">
          <cell r="B47" t="str">
            <v>DHP - New</v>
          </cell>
        </row>
        <row r="48">
          <cell r="B48" t="str">
            <v>DHP - NR</v>
          </cell>
        </row>
        <row r="49">
          <cell r="B49" t="str">
            <v>DHP - Retro</v>
          </cell>
        </row>
        <row r="50">
          <cell r="B50" t="str">
            <v>Duct Sealing - New</v>
          </cell>
        </row>
        <row r="51">
          <cell r="B51" t="str">
            <v>Duct Sealing - Retro</v>
          </cell>
        </row>
        <row r="52">
          <cell r="B52" t="str">
            <v>WIFI enabled tstats - New</v>
          </cell>
        </row>
        <row r="53">
          <cell r="B53" t="str">
            <v>WIFI enabled tstats - Retro</v>
          </cell>
        </row>
        <row r="54">
          <cell r="B54" t="str">
            <v>Combo DHP/HPWH units - New</v>
          </cell>
        </row>
        <row r="55">
          <cell r="B55" t="str">
            <v>Combo DHP/HPWH units - NR</v>
          </cell>
        </row>
        <row r="56">
          <cell r="B56" t="str">
            <v>Combo DHP/HPWH units - Retro</v>
          </cell>
        </row>
        <row r="57">
          <cell r="B57" t="str">
            <v>Aerator - New</v>
          </cell>
        </row>
        <row r="58">
          <cell r="B58" t="str">
            <v>Aerator - Retro</v>
          </cell>
        </row>
        <row r="59">
          <cell r="B59" t="str">
            <v>Behavior - Retro</v>
          </cell>
        </row>
        <row r="60">
          <cell r="B60" t="str">
            <v>Behavior - New</v>
          </cell>
        </row>
        <row r="61">
          <cell r="B61">
            <v>0</v>
          </cell>
        </row>
        <row r="62">
          <cell r="B62" t="str">
            <v>Heat Recovery Ventilation - New</v>
          </cell>
        </row>
        <row r="63">
          <cell r="B63" t="str">
            <v>GSHP - New</v>
          </cell>
        </row>
        <row r="64">
          <cell r="B64" t="str">
            <v>GSHP - NR</v>
          </cell>
        </row>
        <row r="65">
          <cell r="B65">
            <v>0</v>
          </cell>
        </row>
        <row r="66">
          <cell r="B66" t="str">
            <v>ECM for HVAC ventilation - New</v>
          </cell>
        </row>
        <row r="67">
          <cell r="B67" t="str">
            <v>ECM for HVAC ventilation - NR</v>
          </cell>
        </row>
        <row r="68">
          <cell r="B68" t="str">
            <v>Whole house/attic fan - New</v>
          </cell>
        </row>
        <row r="69">
          <cell r="B69" t="str">
            <v>Whole house/attic fan - Retro</v>
          </cell>
        </row>
        <row r="70">
          <cell r="B70" t="str">
            <v>WH Pipe insulation - Retro</v>
          </cell>
        </row>
        <row r="71">
          <cell r="B71" t="str">
            <v>DHP Ducted - NR</v>
          </cell>
        </row>
        <row r="72">
          <cell r="B72" t="str">
            <v>Advanced Power Strips - New</v>
          </cell>
        </row>
        <row r="73">
          <cell r="B73" t="str">
            <v>Advanced Power Strips - Retro</v>
          </cell>
        </row>
        <row r="74">
          <cell r="B74" t="str">
            <v>ResWx - Retro</v>
          </cell>
        </row>
        <row r="75">
          <cell r="B75" t="str">
            <v>ATTIC R0 - R19 - Retro</v>
          </cell>
        </row>
        <row r="76">
          <cell r="B76" t="str">
            <v>ATTIC R0 - R38 - Retro</v>
          </cell>
        </row>
        <row r="77">
          <cell r="B77" t="str">
            <v>ATTIC R0 - R49 - Retro</v>
          </cell>
        </row>
        <row r="78">
          <cell r="B78" t="str">
            <v>ATTIC R11 - R38 - Retro</v>
          </cell>
        </row>
        <row r="79">
          <cell r="B79" t="str">
            <v>ATTIC R11 - R49 - Retro</v>
          </cell>
        </row>
        <row r="80">
          <cell r="B80" t="str">
            <v>ATTIC R19 - R30 - Retro</v>
          </cell>
        </row>
        <row r="81">
          <cell r="B81" t="str">
            <v>ATTIC R19 - R38 - Retro</v>
          </cell>
        </row>
        <row r="82">
          <cell r="B82" t="str">
            <v>ATTIC R19 - R49 - Retro</v>
          </cell>
        </row>
        <row r="83">
          <cell r="B83" t="str">
            <v>WALL R0 - R11 - Retro</v>
          </cell>
        </row>
        <row r="84">
          <cell r="B84" t="str">
            <v>FLOOR R0 - R19 - Retro</v>
          </cell>
        </row>
      </sheetData>
      <sheetData sheetId="11">
        <row r="10">
          <cell r="B10" t="str">
            <v>Vars</v>
          </cell>
          <cell r="C10" t="str">
            <v>Single Family</v>
          </cell>
          <cell r="D10" t="str">
            <v>Multifamily - Low Rise</v>
          </cell>
          <cell r="E10" t="str">
            <v>Multifamily - High Rise</v>
          </cell>
          <cell r="F10" t="str">
            <v>Manufactured</v>
          </cell>
        </row>
        <row r="11">
          <cell r="B11" t="str">
            <v>Electric FAF - HZ1CZ1</v>
          </cell>
          <cell r="C11">
            <v>6.8910359437455118E-2</v>
          </cell>
          <cell r="D11">
            <v>2.9671514740017984E-2</v>
          </cell>
          <cell r="E11">
            <v>2.9671514740017984E-2</v>
          </cell>
          <cell r="F11">
            <v>0.68310644913823848</v>
          </cell>
        </row>
        <row r="12">
          <cell r="B12" t="str">
            <v>Electric FAF - HZ1CZ23</v>
          </cell>
          <cell r="C12">
            <v>5.5704832325126567E-2</v>
          </cell>
          <cell r="D12">
            <v>0</v>
          </cell>
          <cell r="E12">
            <v>0</v>
          </cell>
          <cell r="F12">
            <v>0.53068387215316171</v>
          </cell>
        </row>
        <row r="13">
          <cell r="B13" t="str">
            <v>Electric FAF - HZ23CZ1</v>
          </cell>
          <cell r="C13">
            <v>6.6557500117039647E-2</v>
          </cell>
          <cell r="D13">
            <v>0</v>
          </cell>
          <cell r="E13">
            <v>0</v>
          </cell>
          <cell r="F13">
            <v>0.29641575914254098</v>
          </cell>
        </row>
        <row r="14">
          <cell r="B14" t="str">
            <v>Electric FAF - HZ23CZ23</v>
          </cell>
          <cell r="C14">
            <v>4.1453999442898203E-2</v>
          </cell>
          <cell r="D14">
            <v>0</v>
          </cell>
          <cell r="E14">
            <v>0</v>
          </cell>
          <cell r="F14">
            <v>0.49242118699820225</v>
          </cell>
        </row>
        <row r="15">
          <cell r="B15" t="str">
            <v>Electric FAF - HZ1</v>
          </cell>
          <cell r="C15">
            <v>6.3764394229545662E-2</v>
          </cell>
          <cell r="D15">
            <v>2.279607208754721E-2</v>
          </cell>
          <cell r="E15">
            <v>2.279607208754721E-2</v>
          </cell>
          <cell r="F15">
            <v>0.6103855317692306</v>
          </cell>
        </row>
        <row r="16">
          <cell r="B16" t="str">
            <v>Electric FAF - HZ23</v>
          </cell>
          <cell r="C16">
            <v>4.8202841751037277E-2</v>
          </cell>
          <cell r="D16">
            <v>0</v>
          </cell>
          <cell r="E16">
            <v>0</v>
          </cell>
          <cell r="F16">
            <v>0.42117367880782697</v>
          </cell>
        </row>
        <row r="17">
          <cell r="B17" t="str">
            <v>Electric FAF - Region</v>
          </cell>
          <cell r="C17">
            <v>5.9888429585079297E-2</v>
          </cell>
          <cell r="D17">
            <v>1.96145349060163E-2</v>
          </cell>
          <cell r="E17">
            <v>1.96145349060163E-2</v>
          </cell>
          <cell r="F17">
            <v>0.54052539788177201</v>
          </cell>
        </row>
        <row r="18">
          <cell r="B18" t="str">
            <v>Electric FAF w/ CAC - HZ1CZ1</v>
          </cell>
          <cell r="C18">
            <v>1.5601272192892677E-2</v>
          </cell>
          <cell r="D18">
            <v>0</v>
          </cell>
          <cell r="E18">
            <v>0</v>
          </cell>
          <cell r="F18">
            <v>0.15868069027846163</v>
          </cell>
        </row>
        <row r="19">
          <cell r="B19" t="str">
            <v>Electric FAF w/ CAC - HZ1CZ23</v>
          </cell>
          <cell r="C19">
            <v>0</v>
          </cell>
          <cell r="D19">
            <v>0</v>
          </cell>
          <cell r="E19">
            <v>0</v>
          </cell>
          <cell r="F19">
            <v>4.8523578535561704E-2</v>
          </cell>
        </row>
        <row r="20">
          <cell r="B20" t="str">
            <v>Electric FAF w/ CAC - HZ23CZ1</v>
          </cell>
          <cell r="C20">
            <v>0</v>
          </cell>
          <cell r="D20">
            <v>0</v>
          </cell>
          <cell r="E20">
            <v>0</v>
          </cell>
          <cell r="F20">
            <v>8.6847892074621388E-2</v>
          </cell>
        </row>
        <row r="21">
          <cell r="B21" t="str">
            <v>Electric FAF w/ CAC - HZ23CZ23</v>
          </cell>
          <cell r="C21">
            <v>0</v>
          </cell>
          <cell r="D21">
            <v>0</v>
          </cell>
          <cell r="E21">
            <v>0</v>
          </cell>
          <cell r="F21">
            <v>6.4577174474630405E-2</v>
          </cell>
        </row>
        <row r="22">
          <cell r="B22" t="str">
            <v>Heat Pump - HZ1CZ1</v>
          </cell>
          <cell r="C22">
            <v>0.13597821666189061</v>
          </cell>
          <cell r="D22">
            <v>1.0945836048995988E-3</v>
          </cell>
          <cell r="E22">
            <v>1.0945836048995988E-3</v>
          </cell>
          <cell r="F22">
            <v>0.11042200533666623</v>
          </cell>
        </row>
        <row r="23">
          <cell r="B23" t="str">
            <v>Heat Pump - HZ1CZ23</v>
          </cell>
          <cell r="C23">
            <v>0.23487960154215734</v>
          </cell>
          <cell r="D23">
            <v>4.9999998343195358E-2</v>
          </cell>
          <cell r="E23">
            <v>4.9999998343195358E-2</v>
          </cell>
          <cell r="F23">
            <v>0.3014354043468136</v>
          </cell>
        </row>
        <row r="24">
          <cell r="B24" t="str">
            <v>Heat Pump - HZ23CZ1</v>
          </cell>
          <cell r="C24">
            <v>5.8367674105625697E-2</v>
          </cell>
          <cell r="D24">
            <v>0</v>
          </cell>
          <cell r="E24">
            <v>0</v>
          </cell>
          <cell r="F24">
            <v>1.6598912836278519E-2</v>
          </cell>
        </row>
        <row r="25">
          <cell r="B25" t="str">
            <v>Heat Pump - HZ23CZ23</v>
          </cell>
          <cell r="C25">
            <v>0.12819607887593021</v>
          </cell>
          <cell r="D25">
            <v>0</v>
          </cell>
          <cell r="E25">
            <v>0</v>
          </cell>
          <cell r="F25">
            <v>7.8940309013942875E-2</v>
          </cell>
        </row>
        <row r="26">
          <cell r="B26" t="str">
            <v>Heat Pump - HZ1</v>
          </cell>
          <cell r="C26">
            <v>0.17451837346735202</v>
          </cell>
          <cell r="D26">
            <v>1.2426879154171162E-2</v>
          </cell>
          <cell r="E26">
            <v>1.2426879154171162E-2</v>
          </cell>
          <cell r="F26">
            <v>0.20155463070325005</v>
          </cell>
        </row>
        <row r="27">
          <cell r="B27" t="str">
            <v>Heat Pump - HZ23</v>
          </cell>
          <cell r="C27">
            <v>0.10942336273004506</v>
          </cell>
          <cell r="D27">
            <v>0</v>
          </cell>
          <cell r="E27">
            <v>0</v>
          </cell>
          <cell r="F27">
            <v>5.6279359348618191E-2</v>
          </cell>
        </row>
        <row r="28">
          <cell r="B28" t="str">
            <v>Heat Pump - Region</v>
          </cell>
          <cell r="C28">
            <v>0.15830495514052295</v>
          </cell>
          <cell r="D28">
            <v>1.0692519922126772E-2</v>
          </cell>
          <cell r="E28">
            <v>1.0692519922126772E-2</v>
          </cell>
          <cell r="F28">
            <v>0.14791660671834839</v>
          </cell>
        </row>
        <row r="29">
          <cell r="B29" t="str">
            <v>Electric Zonal - HZ1CZ1</v>
          </cell>
          <cell r="C29">
            <v>0.1649901802637759</v>
          </cell>
          <cell r="D29">
            <v>0.85383980263040493</v>
          </cell>
          <cell r="E29">
            <v>0.85383980263040493</v>
          </cell>
          <cell r="F29">
            <v>3.0024948086295324E-2</v>
          </cell>
        </row>
        <row r="30">
          <cell r="B30" t="str">
            <v>Electric Zonal - HZ1CZ23</v>
          </cell>
          <cell r="C30">
            <v>9.8631712913821959E-2</v>
          </cell>
          <cell r="D30">
            <v>0.73333333554240632</v>
          </cell>
          <cell r="E30">
            <v>0.73333333554240632</v>
          </cell>
          <cell r="F30">
            <v>2.9788775817665265E-2</v>
          </cell>
        </row>
        <row r="31">
          <cell r="B31" t="str">
            <v>Electric Zonal - HZ23CZ1</v>
          </cell>
          <cell r="C31">
            <v>0.12476331328161443</v>
          </cell>
          <cell r="D31">
            <v>0.59999998409467525</v>
          </cell>
          <cell r="E31">
            <v>0.59999998409467525</v>
          </cell>
          <cell r="F31">
            <v>3.3197825672557038E-2</v>
          </cell>
        </row>
        <row r="32">
          <cell r="B32" t="str">
            <v>Electric Zonal - HZ23CZ23</v>
          </cell>
          <cell r="C32">
            <v>0.1649470283041021</v>
          </cell>
          <cell r="D32">
            <v>0.77777778759587934</v>
          </cell>
          <cell r="E32">
            <v>0.77777778759587934</v>
          </cell>
          <cell r="F32">
            <v>3.9084849826646118E-2</v>
          </cell>
        </row>
        <row r="33">
          <cell r="B33" t="str">
            <v>Electric Zonal - HZ1</v>
          </cell>
          <cell r="C33">
            <v>0.1391314348060306</v>
          </cell>
          <cell r="D33">
            <v>0.82591620954879041</v>
          </cell>
          <cell r="E33">
            <v>0.82591620954879041</v>
          </cell>
          <cell r="F33">
            <v>2.9912270132860779E-2</v>
          </cell>
        </row>
        <row r="34">
          <cell r="B34" t="str">
            <v>Electric Zonal - HZ23</v>
          </cell>
          <cell r="C34">
            <v>0.15414401084601026</v>
          </cell>
          <cell r="D34">
            <v>0.71428571563820797</v>
          </cell>
          <cell r="E34">
            <v>0.71428571563820797</v>
          </cell>
          <cell r="F34">
            <v>3.6944930507961368E-2</v>
          </cell>
        </row>
        <row r="35">
          <cell r="B35" t="str">
            <v>Electric Zonal - Region</v>
          </cell>
          <cell r="C35">
            <v>0.14287066416850494</v>
          </cell>
          <cell r="D35">
            <v>0.81033648311148054</v>
          </cell>
          <cell r="E35">
            <v>0.81033648311148054</v>
          </cell>
          <cell r="F35">
            <v>3.2508844225339915E-2</v>
          </cell>
        </row>
        <row r="36">
          <cell r="B36" t="str">
            <v>DHP - HZ1CZ1</v>
          </cell>
          <cell r="C36">
            <v>3.2261403645206709E-2</v>
          </cell>
          <cell r="D36">
            <v>2.3692380398754449E-2</v>
          </cell>
          <cell r="E36">
            <v>2.3692380398754449E-2</v>
          </cell>
          <cell r="F36">
            <v>1.2931050080460879E-2</v>
          </cell>
        </row>
        <row r="37">
          <cell r="B37" t="str">
            <v>DHP - HZ1CZ23</v>
          </cell>
          <cell r="C37">
            <v>1.0644758975689617E-2</v>
          </cell>
          <cell r="D37">
            <v>0</v>
          </cell>
          <cell r="E37">
            <v>0</v>
          </cell>
          <cell r="F37">
            <v>0</v>
          </cell>
        </row>
        <row r="38">
          <cell r="B38" t="str">
            <v>DHP - HZ23CZ1</v>
          </cell>
          <cell r="C38">
            <v>0</v>
          </cell>
          <cell r="D38">
            <v>0</v>
          </cell>
          <cell r="E38">
            <v>0</v>
          </cell>
          <cell r="F38">
            <v>2.3801185576297144E-2</v>
          </cell>
        </row>
        <row r="39">
          <cell r="B39" t="str">
            <v>DHP - HZ23CZ23</v>
          </cell>
          <cell r="C39">
            <v>2.8613550828090885E-3</v>
          </cell>
          <cell r="D39">
            <v>0</v>
          </cell>
          <cell r="E39">
            <v>0</v>
          </cell>
          <cell r="F39">
            <v>9.4794076514498494E-3</v>
          </cell>
        </row>
        <row r="40">
          <cell r="B40" t="str">
            <v>DHP - HZ1</v>
          </cell>
          <cell r="C40">
            <v>2.3837771598196254E-2</v>
          </cell>
          <cell r="D40">
            <v>1.8202414545664333E-2</v>
          </cell>
          <cell r="E40">
            <v>1.8202414545664333E-2</v>
          </cell>
          <cell r="F40">
            <v>6.761637103748332E-3</v>
          </cell>
        </row>
        <row r="41">
          <cell r="B41" t="str">
            <v>DHP - HZ23</v>
          </cell>
          <cell r="C41">
            <v>2.0921064233437379E-3</v>
          </cell>
          <cell r="D41">
            <v>0</v>
          </cell>
          <cell r="E41">
            <v>0</v>
          </cell>
          <cell r="F41">
            <v>1.4685339962430082E-2</v>
          </cell>
        </row>
        <row r="42">
          <cell r="B42" t="str">
            <v>DHP - Region</v>
          </cell>
          <cell r="C42">
            <v>1.8421510623943455E-2</v>
          </cell>
          <cell r="D42">
            <v>1.5661991860200661E-2</v>
          </cell>
          <cell r="E42">
            <v>1.5661991860200661E-2</v>
          </cell>
          <cell r="F42">
            <v>9.6871987634867523E-3</v>
          </cell>
        </row>
        <row r="43">
          <cell r="B43" t="str">
            <v>Central AC - CZ1</v>
          </cell>
          <cell r="C43">
            <v>8.7547645191238574E-2</v>
          </cell>
          <cell r="D43">
            <v>1.2325175673207357E-2</v>
          </cell>
          <cell r="E43">
            <v>1.2325175673207357E-2</v>
          </cell>
          <cell r="F43">
            <v>0.14076353391268348</v>
          </cell>
        </row>
        <row r="44">
          <cell r="B44" t="str">
            <v>Central AC - CZ23</v>
          </cell>
          <cell r="C44">
            <v>0.27842841395843276</v>
          </cell>
          <cell r="D44">
            <v>6.8965519290222155E-2</v>
          </cell>
          <cell r="E44">
            <v>6.8965519290222155E-2</v>
          </cell>
          <cell r="F44">
            <v>0.17641272113455647</v>
          </cell>
        </row>
        <row r="45">
          <cell r="B45" t="str">
            <v>Room A/C - CZ1</v>
          </cell>
          <cell r="C45">
            <v>3.8197963209166262E-2</v>
          </cell>
          <cell r="D45">
            <v>5.3226756579866766E-2</v>
          </cell>
          <cell r="E45">
            <v>5.3226756579866766E-2</v>
          </cell>
          <cell r="F45">
            <v>0.21069287259219041</v>
          </cell>
        </row>
        <row r="46">
          <cell r="B46" t="str">
            <v>Room A/C - CZ23</v>
          </cell>
          <cell r="C46">
            <v>9.88884449045868E-2</v>
          </cell>
          <cell r="D46">
            <v>0.10344827665008544</v>
          </cell>
          <cell r="E46">
            <v>0.10344827665008544</v>
          </cell>
          <cell r="F46">
            <v>0.16156829862253547</v>
          </cell>
        </row>
        <row r="47">
          <cell r="B47" t="str">
            <v>Electric WH</v>
          </cell>
          <cell r="C47">
            <v>0.55200000000000005</v>
          </cell>
          <cell r="D47">
            <v>0.94699999999999995</v>
          </cell>
          <cell r="E47">
            <v>0.94699999999999995</v>
          </cell>
          <cell r="F47">
            <v>0.88900000000000001</v>
          </cell>
        </row>
        <row r="48">
          <cell r="B48" t="str">
            <v>DWH &lt;55 inside</v>
          </cell>
          <cell r="C48">
            <v>0.34060273187152323</v>
          </cell>
          <cell r="D48">
            <v>0.69037391065424225</v>
          </cell>
          <cell r="E48">
            <v>0.69037391065424225</v>
          </cell>
          <cell r="F48">
            <v>0.64044035004660882</v>
          </cell>
        </row>
        <row r="49">
          <cell r="B49" t="str">
            <v>DHW &lt;55 outside buffer</v>
          </cell>
          <cell r="C49">
            <v>0.13278888545034082</v>
          </cell>
          <cell r="D49">
            <v>0</v>
          </cell>
          <cell r="E49">
            <v>0</v>
          </cell>
          <cell r="F49">
            <v>3.5084497934898207E-2</v>
          </cell>
        </row>
        <row r="50">
          <cell r="B50" t="str">
            <v>DHW &lt; 55 outside unbuffer</v>
          </cell>
          <cell r="C50">
            <v>0</v>
          </cell>
          <cell r="D50">
            <v>0</v>
          </cell>
          <cell r="E50">
            <v>0</v>
          </cell>
          <cell r="F50">
            <v>0.19050866802895391</v>
          </cell>
        </row>
        <row r="51">
          <cell r="B51" t="str">
            <v>DHW &gt;55 inside</v>
          </cell>
          <cell r="C51">
            <v>4.0633005829326954E-2</v>
          </cell>
          <cell r="D51">
            <v>5.571349522752414E-2</v>
          </cell>
          <cell r="E51">
            <v>5.571349522752414E-2</v>
          </cell>
          <cell r="F51">
            <v>0</v>
          </cell>
        </row>
        <row r="52">
          <cell r="B52" t="str">
            <v>DHW &gt;55 outside buffer</v>
          </cell>
          <cell r="C52">
            <v>1.9105116539180608E-2</v>
          </cell>
          <cell r="D52">
            <v>0</v>
          </cell>
          <cell r="E52">
            <v>0</v>
          </cell>
          <cell r="F52">
            <v>0</v>
          </cell>
        </row>
        <row r="53">
          <cell r="B53" t="str">
            <v>DHW &gt;55 outside unbuffer</v>
          </cell>
          <cell r="C53">
            <v>7.8395734639023578E-4</v>
          </cell>
          <cell r="D53">
            <v>0</v>
          </cell>
          <cell r="E53">
            <v>0</v>
          </cell>
          <cell r="F53">
            <v>0</v>
          </cell>
        </row>
        <row r="54">
          <cell r="B54" t="str">
            <v>Refrigerator</v>
          </cell>
          <cell r="C54">
            <v>1.2831400506742725</v>
          </cell>
          <cell r="D54">
            <v>1.0236201688615751</v>
          </cell>
          <cell r="E54">
            <v>1.0236201688615751</v>
          </cell>
          <cell r="F54">
            <v>1.1963734390534748</v>
          </cell>
        </row>
        <row r="55">
          <cell r="B55" t="str">
            <v>Freezer</v>
          </cell>
          <cell r="C55">
            <v>0.52766223341265472</v>
          </cell>
          <cell r="D55">
            <v>4.7085148422193572E-2</v>
          </cell>
          <cell r="E55">
            <v>4.7085148422193572E-2</v>
          </cell>
          <cell r="F55">
            <v>0.44147575101117187</v>
          </cell>
        </row>
        <row r="56">
          <cell r="B56" t="str">
            <v>Clothes Washer</v>
          </cell>
          <cell r="C56">
            <v>0.98546930096285335</v>
          </cell>
          <cell r="D56">
            <v>0.46477658924872384</v>
          </cell>
          <cell r="E56">
            <v>0.46477658924872384</v>
          </cell>
          <cell r="F56">
            <v>0.95368270905809616</v>
          </cell>
        </row>
        <row r="57">
          <cell r="B57" t="str">
            <v>Clothes Dryer</v>
          </cell>
          <cell r="C57">
            <v>0.93640551858187504</v>
          </cell>
          <cell r="D57">
            <v>0.46266057162974022</v>
          </cell>
          <cell r="E57">
            <v>0.46266057162974022</v>
          </cell>
          <cell r="F57">
            <v>0.88480083438048951</v>
          </cell>
        </row>
        <row r="58">
          <cell r="B58" t="str">
            <v>Dishwasher</v>
          </cell>
          <cell r="C58">
            <v>0.87764489634961651</v>
          </cell>
          <cell r="D58">
            <v>0.78113749066870952</v>
          </cell>
          <cell r="E58">
            <v>0.78113749066870952</v>
          </cell>
          <cell r="F58">
            <v>0.76196535734220561</v>
          </cell>
        </row>
        <row r="59">
          <cell r="B59" t="str">
            <v>Microwave</v>
          </cell>
          <cell r="C59">
            <v>0.95</v>
          </cell>
          <cell r="D59">
            <v>0.95</v>
          </cell>
          <cell r="E59">
            <v>0.95</v>
          </cell>
          <cell r="F59">
            <v>0.95</v>
          </cell>
        </row>
        <row r="60">
          <cell r="B60" t="str">
            <v>Electric Oven</v>
          </cell>
          <cell r="C60">
            <v>0.86895503473004965</v>
          </cell>
          <cell r="D60">
            <v>0.96585088459989477</v>
          </cell>
          <cell r="E60">
            <v>0.96585088459989477</v>
          </cell>
          <cell r="F60">
            <v>0.89920410170315002</v>
          </cell>
        </row>
        <row r="61">
          <cell r="B61" t="str">
            <v>TV</v>
          </cell>
          <cell r="C61">
            <v>2.2906090340948593</v>
          </cell>
          <cell r="D61">
            <v>1.5145007606068333</v>
          </cell>
          <cell r="E61">
            <v>1.5145007606068333</v>
          </cell>
          <cell r="F61">
            <v>2.0454162110233622</v>
          </cell>
        </row>
        <row r="62">
          <cell r="B62" t="str">
            <v>Set top box</v>
          </cell>
          <cell r="C62">
            <v>1.0654190989347723</v>
          </cell>
          <cell r="D62">
            <v>1.038434724492763</v>
          </cell>
          <cell r="E62">
            <v>1.038434724492763</v>
          </cell>
          <cell r="F62">
            <v>1.3170555258448295</v>
          </cell>
        </row>
        <row r="63">
          <cell r="B63" t="str">
            <v>Computer</v>
          </cell>
          <cell r="C63">
            <v>1.6655502145549572</v>
          </cell>
          <cell r="D63">
            <v>0.71239882016544165</v>
          </cell>
          <cell r="E63">
            <v>0.71239882016544165</v>
          </cell>
          <cell r="F63">
            <v>1.1331497454290105</v>
          </cell>
        </row>
        <row r="64">
          <cell r="B64" t="str">
            <v>Monitor</v>
          </cell>
          <cell r="C64">
            <v>1.0109839382712824</v>
          </cell>
          <cell r="D64">
            <v>0.45062457275939666</v>
          </cell>
          <cell r="E64">
            <v>0.45062457275939666</v>
          </cell>
          <cell r="F64">
            <v>0.72198913200149617</v>
          </cell>
        </row>
        <row r="65">
          <cell r="B65" t="str">
            <v>EISA nx</v>
          </cell>
          <cell r="C65">
            <v>0.73183262488926393</v>
          </cell>
          <cell r="D65">
            <v>0.41826483853544827</v>
          </cell>
          <cell r="E65">
            <v>0.41826483853544827</v>
          </cell>
          <cell r="F65">
            <v>0.81140182193357802</v>
          </cell>
        </row>
        <row r="66">
          <cell r="B66" t="str">
            <v>EISA x</v>
          </cell>
          <cell r="C66">
            <v>0.26816737511073607</v>
          </cell>
          <cell r="D66">
            <v>0.58148897029728519</v>
          </cell>
          <cell r="E66">
            <v>0.58148897029728519</v>
          </cell>
          <cell r="F66">
            <v>0.18859817806642193</v>
          </cell>
        </row>
        <row r="67">
          <cell r="B67" t="str">
            <v>WallSqft</v>
          </cell>
          <cell r="C67">
            <v>1802.7725325176218</v>
          </cell>
          <cell r="D67">
            <v>487</v>
          </cell>
          <cell r="F67">
            <v>1216.4209797598855</v>
          </cell>
        </row>
        <row r="68">
          <cell r="B68" t="str">
            <v>AtticSqft</v>
          </cell>
          <cell r="C68">
            <v>1431.3235818765609</v>
          </cell>
          <cell r="D68">
            <v>407</v>
          </cell>
          <cell r="F68">
            <v>1280</v>
          </cell>
        </row>
        <row r="69">
          <cell r="B69" t="str">
            <v>FloorSqft</v>
          </cell>
          <cell r="C69">
            <v>1431.3235818765609</v>
          </cell>
          <cell r="D69">
            <v>390</v>
          </cell>
          <cell r="F69">
            <v>1280</v>
          </cell>
        </row>
        <row r="70">
          <cell r="B70" t="str">
            <v>WindowSqft</v>
          </cell>
          <cell r="C70">
            <v>178.91544773457011</v>
          </cell>
          <cell r="D70">
            <v>174</v>
          </cell>
          <cell r="F70">
            <v>160</v>
          </cell>
        </row>
        <row r="71">
          <cell r="B71" t="str">
            <v>HomeSqft</v>
          </cell>
          <cell r="C71">
            <v>2006</v>
          </cell>
          <cell r="D71">
            <v>1150</v>
          </cell>
          <cell r="E71">
            <v>1150</v>
          </cell>
          <cell r="F71">
            <v>1280</v>
          </cell>
        </row>
        <row r="72">
          <cell r="B72" t="str">
            <v>Lighting</v>
          </cell>
          <cell r="C72">
            <v>63</v>
          </cell>
          <cell r="D72">
            <v>23</v>
          </cell>
          <cell r="E72">
            <v>23</v>
          </cell>
          <cell r="F72">
            <v>34.5</v>
          </cell>
        </row>
      </sheetData>
      <sheetData sheetId="12">
        <row r="10">
          <cell r="B10" t="str">
            <v>Manufactured</v>
          </cell>
        </row>
        <row r="12">
          <cell r="C12">
            <v>0</v>
          </cell>
          <cell r="D12">
            <v>0</v>
          </cell>
          <cell r="E12">
            <v>0</v>
          </cell>
          <cell r="F12">
            <v>0</v>
          </cell>
        </row>
      </sheetData>
      <sheetData sheetId="13">
        <row r="10">
          <cell r="B10" t="str">
            <v>forced air furnace saturation in heating zone 1</v>
          </cell>
          <cell r="C10">
            <v>5</v>
          </cell>
        </row>
        <row r="11">
          <cell r="B11" t="str">
            <v>forced air furnace saturation in heating zone 2&amp;3</v>
          </cell>
          <cell r="C11">
            <v>6</v>
          </cell>
        </row>
        <row r="12">
          <cell r="B12" t="str">
            <v>forced air furnace saturation across region</v>
          </cell>
        </row>
        <row r="13">
          <cell r="B13" t="str">
            <v>forced air furnace saturation w/CAC in heating zone 1 cooling zone 1</v>
          </cell>
          <cell r="C13">
            <v>8</v>
          </cell>
        </row>
        <row r="14">
          <cell r="B14" t="str">
            <v>forced air furnace saturation w/CAC in heating zone 1 cooling zone 2&amp;3</v>
          </cell>
          <cell r="C14">
            <v>9</v>
          </cell>
        </row>
        <row r="15">
          <cell r="B15" t="str">
            <v>forced air furnace saturation w/CAC in heating zone 2&amp;3 cooling zone 1</v>
          </cell>
          <cell r="C15">
            <v>10</v>
          </cell>
        </row>
        <row r="16">
          <cell r="B16" t="str">
            <v>forced air furnace saturation w/CAC in heating zone 2&amp;3 cooling zone 2&amp;3</v>
          </cell>
          <cell r="C16">
            <v>11</v>
          </cell>
        </row>
        <row r="17">
          <cell r="B17" t="str">
            <v>air source heat pump saturation in heating zone 1 cooling zone 1</v>
          </cell>
          <cell r="C17">
            <v>12</v>
          </cell>
        </row>
        <row r="18">
          <cell r="B18" t="str">
            <v>air source heat pump saturation in heating zone 1 cooling zone 2&amp;3</v>
          </cell>
          <cell r="C18">
            <v>13</v>
          </cell>
        </row>
        <row r="19">
          <cell r="B19" t="str">
            <v>air source heat pump saturation in heating zone 2&amp;3 cooling zone 1</v>
          </cell>
          <cell r="C19">
            <v>14</v>
          </cell>
        </row>
        <row r="20">
          <cell r="B20" t="str">
            <v>air source heat pump saturation in heating zone 2&amp;3 cooling zone 2&amp;3</v>
          </cell>
          <cell r="C20">
            <v>15</v>
          </cell>
        </row>
        <row r="21">
          <cell r="B21" t="str">
            <v>air source heat pump saturation in heating zone 1</v>
          </cell>
        </row>
        <row r="22">
          <cell r="B22" t="str">
            <v>air source heat pump saturation in heating zone 2&amp;3</v>
          </cell>
        </row>
        <row r="23">
          <cell r="B23" t="str">
            <v>air source heat pump saturation across region</v>
          </cell>
        </row>
        <row r="24">
          <cell r="B24" t="str">
            <v>forced air furnace saturation in heating zone 1 cooling zone 1</v>
          </cell>
          <cell r="C24">
            <v>19</v>
          </cell>
        </row>
        <row r="25">
          <cell r="B25" t="str">
            <v>forced air furnace saturation in heating zone 1 cooling zone 2&amp;3</v>
          </cell>
          <cell r="C25">
            <v>20</v>
          </cell>
        </row>
        <row r="26">
          <cell r="B26" t="str">
            <v>forced air furnace saturation in heating zone 2&amp;3 cooling zone 1</v>
          </cell>
          <cell r="C26">
            <v>21</v>
          </cell>
        </row>
        <row r="27">
          <cell r="B27" t="str">
            <v>forced air furnace saturation in heating zone 2&amp;3 cooling zone 2&amp;3</v>
          </cell>
          <cell r="C27">
            <v>22</v>
          </cell>
        </row>
        <row r="28">
          <cell r="B28" t="str">
            <v>forced air furnace saturation in heating zone 1</v>
          </cell>
          <cell r="C28">
            <v>23</v>
          </cell>
        </row>
        <row r="29">
          <cell r="B29" t="str">
            <v>forced air furnace saturation in heating zone 2&amp;3</v>
          </cell>
          <cell r="C29">
            <v>24</v>
          </cell>
        </row>
        <row r="30">
          <cell r="B30" t="str">
            <v>forced air furnace saturation across region</v>
          </cell>
        </row>
        <row r="31">
          <cell r="B31" t="str">
            <v>ductless heat pump saturation in heating zone 1 cooling zone 1</v>
          </cell>
          <cell r="C31">
            <v>26</v>
          </cell>
        </row>
        <row r="32">
          <cell r="B32" t="str">
            <v>ductless heat pump saturation in heating zone 1 cooling zone 2&amp;3</v>
          </cell>
          <cell r="C32">
            <v>27</v>
          </cell>
        </row>
        <row r="33">
          <cell r="B33" t="str">
            <v>ductless heat pump saturation in heating zone 2&amp;3 cooling zone 1</v>
          </cell>
          <cell r="C33">
            <v>28</v>
          </cell>
        </row>
        <row r="34">
          <cell r="B34" t="str">
            <v>ductless heat pump saturation in heating zone 2&amp;3 cooling zone 2&amp;3</v>
          </cell>
          <cell r="C34">
            <v>29</v>
          </cell>
        </row>
        <row r="35">
          <cell r="B35" t="str">
            <v>ductless heat pump saturation in heating zone 1</v>
          </cell>
          <cell r="C35">
            <v>30</v>
          </cell>
        </row>
        <row r="36">
          <cell r="B36" t="str">
            <v>ductless heat pump saturation in heating zone 2&amp;3</v>
          </cell>
          <cell r="C36">
            <v>31</v>
          </cell>
        </row>
        <row r="37">
          <cell r="B37" t="str">
            <v>ductless heat pump saturation across region</v>
          </cell>
        </row>
        <row r="38">
          <cell r="B38" t="str">
            <v>central air conditioner saturation in cooling zone 1</v>
          </cell>
          <cell r="C38">
            <v>33</v>
          </cell>
        </row>
        <row r="39">
          <cell r="B39" t="str">
            <v>central air conditioner saturation in cooling zone 2&amp;3</v>
          </cell>
          <cell r="C39">
            <v>34</v>
          </cell>
        </row>
        <row r="40">
          <cell r="B40" t="str">
            <v>room air conditioner saturation in cooling zone 1</v>
          </cell>
          <cell r="C40">
            <v>35</v>
          </cell>
        </row>
        <row r="41">
          <cell r="B41" t="str">
            <v>room air conditioner saturation in cooling zone 2&amp;3</v>
          </cell>
          <cell r="C41">
            <v>36</v>
          </cell>
        </row>
        <row r="42">
          <cell r="B42" t="str">
            <v>Electric water heater saturation in region</v>
          </cell>
        </row>
        <row r="43">
          <cell r="B43" t="str">
            <v>Electric water heater &lt; 55 gal inside conditioned space</v>
          </cell>
          <cell r="C43">
            <v>38</v>
          </cell>
        </row>
        <row r="44">
          <cell r="B44" t="str">
            <v>Electric water heater &lt; 55 gal in buffered space</v>
          </cell>
          <cell r="C44">
            <v>39</v>
          </cell>
        </row>
        <row r="45">
          <cell r="B45" t="str">
            <v>Electric water heater &lt; 55 gal in unbuffered space</v>
          </cell>
        </row>
        <row r="46">
          <cell r="B46" t="str">
            <v>Electric water heater &gt;= 55 gal inside conditioned space</v>
          </cell>
          <cell r="C46">
            <v>41</v>
          </cell>
        </row>
        <row r="47">
          <cell r="B47" t="str">
            <v>Electric water heater &gt;= 55 gal in buffered space</v>
          </cell>
          <cell r="C47">
            <v>42</v>
          </cell>
        </row>
        <row r="48">
          <cell r="B48" t="str">
            <v>Electric water heater &gt;= 55 gal in unbuffered space</v>
          </cell>
        </row>
        <row r="49">
          <cell r="B49" t="str">
            <v>Saturation of Refrigerator in homes</v>
          </cell>
          <cell r="C49">
            <v>44</v>
          </cell>
        </row>
        <row r="50">
          <cell r="B50" t="str">
            <v>Saturation of Freezer in homes</v>
          </cell>
          <cell r="C50">
            <v>45</v>
          </cell>
        </row>
        <row r="51">
          <cell r="B51" t="str">
            <v>Saturation of Clothes Washer in homes</v>
          </cell>
          <cell r="C51">
            <v>46</v>
          </cell>
        </row>
        <row r="52">
          <cell r="B52" t="str">
            <v>Saturation of Clothes Dryer in homes</v>
          </cell>
          <cell r="C52">
            <v>47</v>
          </cell>
        </row>
        <row r="53">
          <cell r="B53" t="str">
            <v>Saturation of Dishwasher in homes</v>
          </cell>
          <cell r="C53">
            <v>48</v>
          </cell>
        </row>
        <row r="54">
          <cell r="B54" t="str">
            <v>Saturation of Microwave in homes</v>
          </cell>
          <cell r="C54">
            <v>49</v>
          </cell>
        </row>
        <row r="55">
          <cell r="B55" t="str">
            <v>Saturation of Electric Oven in homes</v>
          </cell>
          <cell r="C55">
            <v>50</v>
          </cell>
        </row>
        <row r="56">
          <cell r="B56" t="str">
            <v>Saturation of TV in homes</v>
          </cell>
          <cell r="C56">
            <v>51</v>
          </cell>
        </row>
        <row r="57">
          <cell r="B57" t="str">
            <v>Saturation of Set top box in homes</v>
          </cell>
          <cell r="C57">
            <v>52</v>
          </cell>
        </row>
        <row r="58">
          <cell r="B58" t="str">
            <v>Saturation of Computer in homes</v>
          </cell>
          <cell r="C58">
            <v>53</v>
          </cell>
        </row>
        <row r="59">
          <cell r="B59" t="str">
            <v>Saturation of Monitor in homes</v>
          </cell>
          <cell r="C59">
            <v>54</v>
          </cell>
        </row>
        <row r="60">
          <cell r="B60" t="str">
            <v>Saturation of EISA-nonexempt bulbs in homes</v>
          </cell>
          <cell r="C60">
            <v>55</v>
          </cell>
        </row>
        <row r="61">
          <cell r="B61" t="str">
            <v>Saturation of EISA-exempt bulbs in homes</v>
          </cell>
          <cell r="C61">
            <v>56</v>
          </cell>
        </row>
        <row r="62">
          <cell r="B62" t="str">
            <v>Average square feet of walls</v>
          </cell>
        </row>
        <row r="63">
          <cell r="B63" t="str">
            <v>Average square feet of attic</v>
          </cell>
        </row>
        <row r="64">
          <cell r="B64" t="str">
            <v>Average square feet of floors</v>
          </cell>
        </row>
        <row r="65">
          <cell r="B65" t="str">
            <v>Average square feet of windows</v>
          </cell>
        </row>
        <row r="66">
          <cell r="B66" t="str">
            <v>Averagetotal square feet of homes</v>
          </cell>
        </row>
        <row r="67">
          <cell r="B67" t="str">
            <v>Number of bulbs per house</v>
          </cell>
        </row>
      </sheetData>
      <sheetData sheetId="14">
        <row r="10">
          <cell r="B10" t="str">
            <v>Warehouse</v>
          </cell>
        </row>
        <row r="11">
          <cell r="B11" t="str">
            <v>Other</v>
          </cell>
        </row>
        <row r="13">
          <cell r="D13" t="str">
            <v>Characteristics</v>
          </cell>
        </row>
        <row r="14">
          <cell r="C14" t="str">
            <v>NPPC BUILDTYPE</v>
          </cell>
          <cell r="D14" t="str">
            <v>Primary Activity</v>
          </cell>
          <cell r="E14" t="str">
            <v>Gross Floor Area</v>
          </cell>
          <cell r="F14" t="str">
            <v>Number of Stories</v>
          </cell>
        </row>
        <row r="15">
          <cell r="C15" t="str">
            <v>Large Off</v>
          </cell>
          <cell r="D15" t="str">
            <v>Office</v>
          </cell>
          <cell r="E15" t="str">
            <v>&gt; 100,000</v>
          </cell>
          <cell r="F15" t="str">
            <v>Any</v>
          </cell>
        </row>
        <row r="16">
          <cell r="C16" t="str">
            <v>Medium Off</v>
          </cell>
          <cell r="D16" t="str">
            <v>Office</v>
          </cell>
          <cell r="E16" t="str">
            <v>20,000 to 100,000</v>
          </cell>
          <cell r="F16" t="str">
            <v>Any</v>
          </cell>
        </row>
        <row r="17">
          <cell r="C17" t="str">
            <v>Small Off</v>
          </cell>
          <cell r="D17" t="str">
            <v>Office</v>
          </cell>
          <cell r="E17" t="str">
            <v>&lt; 20,000</v>
          </cell>
          <cell r="F17" t="str">
            <v>Any</v>
          </cell>
        </row>
        <row r="18">
          <cell r="C18" t="str">
            <v>Big Box</v>
          </cell>
          <cell r="D18" t="str">
            <v>Retail</v>
          </cell>
          <cell r="E18" t="str">
            <v>&gt; 50,000</v>
          </cell>
          <cell r="F18">
            <v>1</v>
          </cell>
        </row>
        <row r="19">
          <cell r="C19" t="str">
            <v>Small Box</v>
          </cell>
          <cell r="D19" t="str">
            <v>Retail</v>
          </cell>
          <cell r="E19" t="str">
            <v>&lt;50,000</v>
          </cell>
          <cell r="F19">
            <v>1</v>
          </cell>
        </row>
        <row r="20">
          <cell r="C20" t="str">
            <v>High End</v>
          </cell>
          <cell r="D20" t="str">
            <v>Retail</v>
          </cell>
          <cell r="E20" t="str">
            <v>&lt; 20,000</v>
          </cell>
          <cell r="F20">
            <v>1</v>
          </cell>
        </row>
        <row r="21">
          <cell r="C21" t="str">
            <v>Anchor</v>
          </cell>
          <cell r="D21" t="str">
            <v>Retail</v>
          </cell>
          <cell r="E21" t="str">
            <v>&gt; 50,000</v>
          </cell>
          <cell r="F21" t="str">
            <v>&gt;1</v>
          </cell>
        </row>
        <row r="22">
          <cell r="C22" t="str">
            <v>K-12</v>
          </cell>
          <cell r="D22" t="str">
            <v>School</v>
          </cell>
          <cell r="E22" t="str">
            <v>Any</v>
          </cell>
          <cell r="F22" t="str">
            <v>Any</v>
          </cell>
        </row>
        <row r="23">
          <cell r="C23" t="str">
            <v>University</v>
          </cell>
          <cell r="D23" t="str">
            <v>School</v>
          </cell>
          <cell r="E23" t="str">
            <v>Any</v>
          </cell>
          <cell r="F23" t="str">
            <v>Any</v>
          </cell>
        </row>
        <row r="24">
          <cell r="C24" t="str">
            <v>Warehouse</v>
          </cell>
          <cell r="D24" t="str">
            <v>Warehouse</v>
          </cell>
          <cell r="E24" t="str">
            <v>Any</v>
          </cell>
          <cell r="F24" t="str">
            <v>Any</v>
          </cell>
        </row>
        <row r="25">
          <cell r="C25" t="str">
            <v>Supermarket</v>
          </cell>
          <cell r="D25" t="str">
            <v>Retail Food</v>
          </cell>
          <cell r="E25" t="str">
            <v>&gt; 5000</v>
          </cell>
          <cell r="F25" t="str">
            <v>Any</v>
          </cell>
        </row>
        <row r="26">
          <cell r="C26" t="str">
            <v>MIniMart</v>
          </cell>
          <cell r="D26" t="str">
            <v>Retail Food</v>
          </cell>
          <cell r="E26" t="str">
            <v>&lt;= 5000</v>
          </cell>
          <cell r="F26" t="str">
            <v>Any</v>
          </cell>
        </row>
        <row r="27">
          <cell r="C27" t="str">
            <v>Restaurant</v>
          </cell>
          <cell r="D27" t="str">
            <v>Retail Food</v>
          </cell>
          <cell r="E27" t="str">
            <v>Any</v>
          </cell>
          <cell r="F27" t="str">
            <v>Any</v>
          </cell>
        </row>
        <row r="28">
          <cell r="C28" t="str">
            <v>Lodging</v>
          </cell>
          <cell r="D28" t="str">
            <v>Lodging</v>
          </cell>
          <cell r="E28" t="str">
            <v>Any</v>
          </cell>
          <cell r="F28" t="str">
            <v>Any</v>
          </cell>
        </row>
        <row r="29">
          <cell r="C29" t="str">
            <v>Hospital</v>
          </cell>
          <cell r="D29" t="str">
            <v>Health Care</v>
          </cell>
          <cell r="E29" t="str">
            <v>Any</v>
          </cell>
          <cell r="F29" t="str">
            <v>Any</v>
          </cell>
        </row>
        <row r="30">
          <cell r="C30" t="str">
            <v>OtherHealth</v>
          </cell>
          <cell r="D30" t="str">
            <v>Health Care</v>
          </cell>
          <cell r="E30" t="str">
            <v>Any</v>
          </cell>
          <cell r="F30" t="str">
            <v>Any</v>
          </cell>
        </row>
        <row r="31">
          <cell r="C31" t="str">
            <v>Other</v>
          </cell>
          <cell r="D31" t="str">
            <v>Other</v>
          </cell>
          <cell r="E31" t="str">
            <v>Any</v>
          </cell>
          <cell r="F31" t="str">
            <v>Any</v>
          </cell>
        </row>
      </sheetData>
      <sheetData sheetId="15">
        <row r="10">
          <cell r="C10" t="str">
            <v>WA new homes</v>
          </cell>
        </row>
        <row r="11">
          <cell r="C11" t="str">
            <v>WA existing homes</v>
          </cell>
        </row>
        <row r="12">
          <cell r="C12" t="str">
            <v>Region new homes</v>
          </cell>
        </row>
        <row r="13">
          <cell r="C13" t="str">
            <v>Region existing homes</v>
          </cell>
        </row>
      </sheetData>
      <sheetData sheetId="16">
        <row r="10">
          <cell r="B10" t="str">
            <v>Electric FAF - Region</v>
          </cell>
        </row>
        <row r="11">
          <cell r="B11" t="str">
            <v>Electric FAF w/ CAC - HZ1CZ1</v>
          </cell>
        </row>
        <row r="12">
          <cell r="B12" t="str">
            <v>Electric FAF w/ CAC - HZ1CZ23</v>
          </cell>
        </row>
        <row r="13">
          <cell r="B13" t="str">
            <v>Electric FAF w/ CAC - HZ23CZ1</v>
          </cell>
        </row>
        <row r="14">
          <cell r="B14" t="str">
            <v>Electric FAF w/ CAC - HZ23CZ23</v>
          </cell>
        </row>
        <row r="15">
          <cell r="B15" t="str">
            <v>Heat Pump - HZ1CZ1</v>
          </cell>
        </row>
        <row r="16">
          <cell r="B16" t="str">
            <v>Heat Pump - HZ1CZ23</v>
          </cell>
        </row>
        <row r="17">
          <cell r="B17" t="str">
            <v>Heat Pump - HZ23CZ1</v>
          </cell>
        </row>
        <row r="18">
          <cell r="B18" t="str">
            <v>Heat Pump - HZ23CZ23</v>
          </cell>
        </row>
        <row r="19">
          <cell r="B19" t="str">
            <v>Heat Pump - HZ1</v>
          </cell>
        </row>
        <row r="20">
          <cell r="B20" t="str">
            <v>Heat Pump - HZ23</v>
          </cell>
        </row>
        <row r="21">
          <cell r="B21" t="str">
            <v>Heat Pump - Region</v>
          </cell>
        </row>
        <row r="22">
          <cell r="B22" t="str">
            <v>Electric Zonal - HZ1CZ1</v>
          </cell>
        </row>
        <row r="23">
          <cell r="B23" t="str">
            <v>Electric Zonal - HZ1CZ23</v>
          </cell>
        </row>
        <row r="24">
          <cell r="B24" t="str">
            <v>Electric Zonal - HZ23CZ1</v>
          </cell>
        </row>
        <row r="25">
          <cell r="B25" t="str">
            <v>Electric Zonal - HZ23CZ23</v>
          </cell>
        </row>
        <row r="26">
          <cell r="B26" t="str">
            <v>Electric Zonal - HZ1</v>
          </cell>
        </row>
        <row r="27">
          <cell r="B27" t="str">
            <v>Electric Zonal - HZ23</v>
          </cell>
        </row>
        <row r="28">
          <cell r="B28" t="str">
            <v>Electric Zonal - Region</v>
          </cell>
        </row>
        <row r="29">
          <cell r="B29" t="str">
            <v>DHP - HZ1CZ1</v>
          </cell>
        </row>
        <row r="30">
          <cell r="B30" t="str">
            <v>DHP - HZ1CZ23</v>
          </cell>
        </row>
        <row r="31">
          <cell r="B31" t="str">
            <v>DHP - HZ23CZ1</v>
          </cell>
        </row>
        <row r="32">
          <cell r="B32" t="str">
            <v>DHP - HZ23CZ23</v>
          </cell>
        </row>
        <row r="33">
          <cell r="B33" t="str">
            <v>DHP - HZ1</v>
          </cell>
        </row>
        <row r="34">
          <cell r="B34" t="str">
            <v>DHP - HZ23</v>
          </cell>
        </row>
        <row r="35">
          <cell r="B35" t="str">
            <v>DHP - Region</v>
          </cell>
        </row>
        <row r="36">
          <cell r="B36" t="str">
            <v>Central AC - CZ1</v>
          </cell>
        </row>
        <row r="37">
          <cell r="B37" t="str">
            <v>Central AC - CZ23</v>
          </cell>
        </row>
        <row r="38">
          <cell r="B38" t="str">
            <v>Room A/C - CZ1</v>
          </cell>
        </row>
        <row r="39">
          <cell r="B39" t="str">
            <v>Room A/C - CZ23</v>
          </cell>
        </row>
        <row r="40">
          <cell r="B40" t="str">
            <v>DWH &lt;55 inside</v>
          </cell>
        </row>
        <row r="41">
          <cell r="B41" t="str">
            <v>DHW &lt;55 outside buffer</v>
          </cell>
        </row>
        <row r="42">
          <cell r="B42" t="str">
            <v>DHW &lt; 55 outside unbuffer</v>
          </cell>
        </row>
        <row r="43">
          <cell r="B43" t="str">
            <v>DHW &gt;55 inside</v>
          </cell>
        </row>
        <row r="44">
          <cell r="B44" t="str">
            <v>DHW &gt;55 outside buffer</v>
          </cell>
        </row>
        <row r="45">
          <cell r="B45" t="str">
            <v>DHW &gt;55 outside unbuffer</v>
          </cell>
        </row>
        <row r="46">
          <cell r="B46" t="str">
            <v>Refrigerator</v>
          </cell>
        </row>
        <row r="47">
          <cell r="B47" t="str">
            <v>Freezer</v>
          </cell>
        </row>
        <row r="48">
          <cell r="B48" t="str">
            <v>Clothes Washer</v>
          </cell>
        </row>
        <row r="49">
          <cell r="B49" t="str">
            <v>Clothes Dryer</v>
          </cell>
        </row>
        <row r="50">
          <cell r="B50" t="str">
            <v>Dishwasher</v>
          </cell>
        </row>
        <row r="51">
          <cell r="B51" t="str">
            <v>Microwave</v>
          </cell>
        </row>
        <row r="52">
          <cell r="B52" t="str">
            <v>Electric Oven</v>
          </cell>
        </row>
        <row r="53">
          <cell r="B53" t="str">
            <v>Computer</v>
          </cell>
        </row>
        <row r="54">
          <cell r="B54" t="str">
            <v>Monitor</v>
          </cell>
        </row>
        <row r="55">
          <cell r="B55" t="str">
            <v>EISA nx</v>
          </cell>
        </row>
        <row r="56">
          <cell r="B56" t="str">
            <v>EISA x</v>
          </cell>
        </row>
        <row r="57">
          <cell r="B57" t="str">
            <v>WallSqft</v>
          </cell>
        </row>
        <row r="58">
          <cell r="B58" t="str">
            <v>AtticSqft</v>
          </cell>
        </row>
        <row r="59">
          <cell r="B59" t="str">
            <v>FloorSqft</v>
          </cell>
        </row>
        <row r="60">
          <cell r="B60" t="str">
            <v>WindowSqft</v>
          </cell>
        </row>
        <row r="61">
          <cell r="B61" t="str">
            <v>HomeSqft</v>
          </cell>
        </row>
        <row r="62">
          <cell r="B62" t="str">
            <v>Lighting</v>
          </cell>
        </row>
        <row r="63">
          <cell r="B63">
            <v>0</v>
          </cell>
        </row>
        <row r="64">
          <cell r="B64">
            <v>0</v>
          </cell>
        </row>
        <row r="65">
          <cell r="B65">
            <v>0</v>
          </cell>
        </row>
        <row r="66">
          <cell r="B66">
            <v>0</v>
          </cell>
        </row>
        <row r="67">
          <cell r="B67">
            <v>0</v>
          </cell>
        </row>
        <row r="68">
          <cell r="B68">
            <v>0</v>
          </cell>
        </row>
      </sheetData>
      <sheetData sheetId="17">
        <row r="10">
          <cell r="B10" t="str">
            <v>HVAC</v>
          </cell>
          <cell r="C10" t="str">
            <v>Envelope</v>
          </cell>
          <cell r="D10" t="str">
            <v>Insulation</v>
          </cell>
          <cell r="E10" t="str">
            <v xml:space="preserve">Floor Insulation </v>
          </cell>
          <cell r="F10" t="str">
            <v>Low/No insulation</v>
          </cell>
        </row>
        <row r="11">
          <cell r="B11" t="str">
            <v>HVAC</v>
          </cell>
          <cell r="C11" t="str">
            <v>Envelope</v>
          </cell>
          <cell r="D11" t="str">
            <v>Insulation</v>
          </cell>
          <cell r="E11" t="str">
            <v>Windows</v>
          </cell>
          <cell r="F11" t="str">
            <v>Single/Double Pane</v>
          </cell>
        </row>
        <row r="12">
          <cell r="B12" t="str">
            <v>HVAC</v>
          </cell>
          <cell r="C12" t="str">
            <v>Envelope</v>
          </cell>
          <cell r="D12" t="str">
            <v>Insulation</v>
          </cell>
          <cell r="E12" t="str">
            <v>Infiltration</v>
          </cell>
          <cell r="F12" t="str">
            <v>High leakage</v>
          </cell>
        </row>
        <row r="13">
          <cell r="B13" t="str">
            <v>HVAC</v>
          </cell>
          <cell r="C13" t="str">
            <v>Envelope</v>
          </cell>
          <cell r="D13" t="str">
            <v>Insulation</v>
          </cell>
          <cell r="E13" t="str">
            <v>Attic Insulation</v>
          </cell>
          <cell r="F13" t="str">
            <v>Code-avg</v>
          </cell>
        </row>
        <row r="14">
          <cell r="B14" t="str">
            <v>HVAC</v>
          </cell>
          <cell r="C14" t="str">
            <v>Envelope</v>
          </cell>
          <cell r="D14" t="str">
            <v>Insulation</v>
          </cell>
          <cell r="E14" t="str">
            <v>Wall Insulation</v>
          </cell>
          <cell r="F14" t="str">
            <v>Code-avg</v>
          </cell>
        </row>
        <row r="15">
          <cell r="B15" t="str">
            <v>HVAC</v>
          </cell>
          <cell r="C15" t="str">
            <v>Envelope</v>
          </cell>
          <cell r="D15" t="str">
            <v>Insulation</v>
          </cell>
          <cell r="E15" t="str">
            <v xml:space="preserve">Floor Insulation </v>
          </cell>
          <cell r="F15" t="str">
            <v>Code-avg</v>
          </cell>
        </row>
        <row r="16">
          <cell r="B16" t="str">
            <v>HVAC</v>
          </cell>
          <cell r="C16" t="str">
            <v>Envelope</v>
          </cell>
          <cell r="D16" t="str">
            <v>Insulation</v>
          </cell>
          <cell r="E16" t="str">
            <v>Windows</v>
          </cell>
          <cell r="F16" t="str">
            <v>Code-avg</v>
          </cell>
        </row>
        <row r="17">
          <cell r="B17" t="str">
            <v>HVAC</v>
          </cell>
          <cell r="C17" t="str">
            <v>Envelope</v>
          </cell>
          <cell r="D17" t="str">
            <v>Insulation</v>
          </cell>
          <cell r="E17" t="str">
            <v>Infiltration</v>
          </cell>
          <cell r="F17" t="str">
            <v>Code-avg</v>
          </cell>
        </row>
        <row r="18">
          <cell r="B18" t="str">
            <v>HVAC</v>
          </cell>
          <cell r="C18" t="str">
            <v>Heat Recovery</v>
          </cell>
          <cell r="D18" t="str">
            <v>Heat Recovery Improvements</v>
          </cell>
          <cell r="E18" t="str">
            <v>HRV</v>
          </cell>
          <cell r="F18" t="str">
            <v>Natural Ventilation</v>
          </cell>
        </row>
        <row r="19">
          <cell r="B19" t="str">
            <v>HVAC</v>
          </cell>
          <cell r="C19" t="str">
            <v>HVAC System</v>
          </cell>
          <cell r="D19" t="str">
            <v>Variable Speed Heat Pumps</v>
          </cell>
          <cell r="E19" t="str">
            <v>VS ASHP 12.0 HSPF/18 SEER + PTCS</v>
          </cell>
          <cell r="F19" t="str">
            <v>8.5HSPF/14SEER</v>
          </cell>
        </row>
        <row r="20">
          <cell r="B20" t="str">
            <v>HVAC</v>
          </cell>
          <cell r="C20" t="str">
            <v>HVAC System</v>
          </cell>
          <cell r="D20" t="str">
            <v>Air Source Heat Pump</v>
          </cell>
          <cell r="E20" t="str">
            <v>ASHP 9.0 HSPF/14 SEER</v>
          </cell>
          <cell r="F20" t="str">
            <v>8.5HSPF/14SEER</v>
          </cell>
        </row>
        <row r="21">
          <cell r="B21" t="str">
            <v>HVAC</v>
          </cell>
          <cell r="C21" t="str">
            <v>HVAC System</v>
          </cell>
          <cell r="D21" t="str">
            <v>Air Source Heat Pump</v>
          </cell>
          <cell r="E21" t="str">
            <v>ASHP 8.5 HSPF/14 SEER</v>
          </cell>
          <cell r="F21" t="str">
            <v>Electric FAF</v>
          </cell>
        </row>
        <row r="22">
          <cell r="B22" t="str">
            <v>HVAC</v>
          </cell>
          <cell r="C22" t="str">
            <v>HVAC System</v>
          </cell>
          <cell r="D22" t="str">
            <v>Ductless Heat Pump</v>
          </cell>
          <cell r="E22" t="str">
            <v>DHP 9.5 HSPF</v>
          </cell>
          <cell r="F22" t="str">
            <v>Zonal</v>
          </cell>
        </row>
        <row r="23">
          <cell r="B23" t="str">
            <v>HVAC</v>
          </cell>
          <cell r="C23" t="str">
            <v>HVAC System</v>
          </cell>
          <cell r="D23" t="str">
            <v>Ductless Heat Pump</v>
          </cell>
          <cell r="E23" t="str">
            <v>DHP 9.5 HSPF</v>
          </cell>
          <cell r="F23" t="str">
            <v>Electric FAF</v>
          </cell>
        </row>
        <row r="24">
          <cell r="B24" t="str">
            <v>HVAC</v>
          </cell>
          <cell r="C24" t="str">
            <v>HVAC System</v>
          </cell>
          <cell r="D24" t="str">
            <v>Duct Sealing</v>
          </cell>
          <cell r="E24" t="str">
            <v>PTCS-level sealing</v>
          </cell>
          <cell r="F24" t="str">
            <v>Leaky ducts</v>
          </cell>
        </row>
        <row r="25">
          <cell r="B25" t="str">
            <v>HVAC</v>
          </cell>
          <cell r="C25" t="str">
            <v>HVAC System</v>
          </cell>
          <cell r="D25" t="str">
            <v>Furnace Fan</v>
          </cell>
          <cell r="E25" t="str">
            <v>BPM motor</v>
          </cell>
          <cell r="F25" t="str">
            <v>PSC motor</v>
          </cell>
        </row>
        <row r="26">
          <cell r="B26" t="str">
            <v>HVAC</v>
          </cell>
          <cell r="C26" t="str">
            <v>HVAC System</v>
          </cell>
          <cell r="D26" t="str">
            <v>Whole House Fan</v>
          </cell>
          <cell r="E26" t="str">
            <v>Whole House Fan</v>
          </cell>
          <cell r="F26" t="str">
            <v>No Fan</v>
          </cell>
        </row>
        <row r="27">
          <cell r="B27" t="str">
            <v>HVAC</v>
          </cell>
          <cell r="C27" t="str">
            <v>HVAC System Controls</v>
          </cell>
          <cell r="D27" t="str">
            <v>Thermostats</v>
          </cell>
          <cell r="E27" t="str">
            <v>WIFI enabled tstats</v>
          </cell>
          <cell r="F27" t="str">
            <v>Manual thermostat</v>
          </cell>
        </row>
        <row r="28">
          <cell r="B28" t="str">
            <v>HVAC/Water Heating</v>
          </cell>
          <cell r="C28" t="str">
            <v>HVAC System/Water Heaters</v>
          </cell>
          <cell r="D28" t="str">
            <v>Combo DHP/HPWH units</v>
          </cell>
          <cell r="E28" t="str">
            <v>DHP + HPWH</v>
          </cell>
          <cell r="F28" t="str">
            <v>ER space heat/0.95 EF WH</v>
          </cell>
        </row>
        <row r="29">
          <cell r="B29" t="str">
            <v>Lighting</v>
          </cell>
          <cell r="C29" t="str">
            <v>Lamps/Fixtures</v>
          </cell>
          <cell r="D29" t="str">
            <v>Lamps</v>
          </cell>
          <cell r="E29" t="str">
            <v>LED/CFL Standard</v>
          </cell>
          <cell r="F29" t="str">
            <v>EISA 2014 &amp; 2020</v>
          </cell>
        </row>
        <row r="30">
          <cell r="B30" t="str">
            <v>Lighting</v>
          </cell>
          <cell r="C30" t="str">
            <v>Lamps/Fixtures</v>
          </cell>
          <cell r="D30" t="str">
            <v>Lamps</v>
          </cell>
          <cell r="E30" t="str">
            <v>LED/CFL Specialty</v>
          </cell>
          <cell r="F30" t="str">
            <v>Incandescent</v>
          </cell>
        </row>
        <row r="31">
          <cell r="B31" t="str">
            <v>Lighting</v>
          </cell>
          <cell r="C31" t="str">
            <v>Lighting Controls</v>
          </cell>
          <cell r="D31" t="str">
            <v>Lighting Controls</v>
          </cell>
          <cell r="E31" t="str">
            <v>Daylighting/Occ Sensors</v>
          </cell>
          <cell r="F31" t="str">
            <v>No Controls</v>
          </cell>
        </row>
        <row r="32">
          <cell r="B32" t="str">
            <v>Motors/Drives</v>
          </cell>
          <cell r="C32" t="str">
            <v>Motors/Drives Controls</v>
          </cell>
          <cell r="D32" t="str">
            <v>Motors/Drives Control Improvements (VFD)</v>
          </cell>
          <cell r="E32" t="str">
            <v>VSD Pump for well water</v>
          </cell>
          <cell r="F32" t="str">
            <v>Single-Speed Motor</v>
          </cell>
        </row>
        <row r="33">
          <cell r="B33" t="str">
            <v>Refrigeration</v>
          </cell>
          <cell r="C33" t="str">
            <v>Freezers</v>
          </cell>
          <cell r="D33" t="str">
            <v>Freezers</v>
          </cell>
          <cell r="E33" t="str">
            <v>ENERGY STAR freezer</v>
          </cell>
          <cell r="F33" t="str">
            <v>Fed Std 2014</v>
          </cell>
        </row>
        <row r="34">
          <cell r="B34" t="str">
            <v>Refrigeration</v>
          </cell>
          <cell r="C34" t="str">
            <v>Refrigerators</v>
          </cell>
          <cell r="D34" t="str">
            <v>Refrigerators</v>
          </cell>
          <cell r="E34" t="str">
            <v>ENERGY STAR fridge</v>
          </cell>
          <cell r="F34" t="str">
            <v>Fed Std 2014</v>
          </cell>
        </row>
        <row r="35">
          <cell r="B35" t="str">
            <v>Water Heating</v>
          </cell>
          <cell r="C35" t="str">
            <v>Pipe Insulation</v>
          </cell>
          <cell r="D35" t="str">
            <v>Pipe Insulation</v>
          </cell>
          <cell r="E35" t="str">
            <v>R4 insulation</v>
          </cell>
          <cell r="F35" t="str">
            <v>No Insulation</v>
          </cell>
        </row>
        <row r="36">
          <cell r="B36" t="str">
            <v>Water Heating</v>
          </cell>
          <cell r="C36" t="str">
            <v>Water Heaters</v>
          </cell>
          <cell r="D36" t="str">
            <v>Drain Water Heat Recovery</v>
          </cell>
          <cell r="E36" t="str">
            <v>Heat recovery unit</v>
          </cell>
          <cell r="F36" t="str">
            <v>No Heat Recovery</v>
          </cell>
        </row>
        <row r="37">
          <cell r="B37" t="str">
            <v>Water Heating</v>
          </cell>
          <cell r="C37" t="str">
            <v>Water Heaters</v>
          </cell>
          <cell r="D37" t="str">
            <v>Heat Pump Water Heaters</v>
          </cell>
          <cell r="E37" t="str">
            <v>HPWH Tier 1+</v>
          </cell>
          <cell r="F37" t="str">
            <v>0.95 EF WH</v>
          </cell>
        </row>
        <row r="38">
          <cell r="B38" t="str">
            <v>Water Heating</v>
          </cell>
          <cell r="C38" t="str">
            <v>Water Heaters</v>
          </cell>
          <cell r="D38" t="str">
            <v>Solar Water Heaters</v>
          </cell>
          <cell r="E38" t="str">
            <v>SRCC certified SWH</v>
          </cell>
          <cell r="F38" t="str">
            <v>Standard WH</v>
          </cell>
        </row>
        <row r="39">
          <cell r="B39" t="str">
            <v>Water Heating</v>
          </cell>
          <cell r="C39" t="str">
            <v>Water Using Devices</v>
          </cell>
          <cell r="D39" t="str">
            <v>Dishwashers</v>
          </cell>
          <cell r="E39" t="str">
            <v>ENERGY STAR Dishwasher</v>
          </cell>
          <cell r="F39" t="str">
            <v>Fed Std 2013</v>
          </cell>
        </row>
        <row r="40">
          <cell r="B40" t="str">
            <v>Water Heating</v>
          </cell>
          <cell r="C40" t="str">
            <v>Water Using Devices</v>
          </cell>
          <cell r="D40" t="str">
            <v>Clothes Washers</v>
          </cell>
          <cell r="E40" t="str">
            <v>ENERGY STAR Clothes Washer</v>
          </cell>
          <cell r="F40" t="str">
            <v>Fed Std 2015</v>
          </cell>
        </row>
        <row r="41">
          <cell r="B41" t="str">
            <v>Water Heating</v>
          </cell>
          <cell r="C41" t="str">
            <v>Water Using Devices</v>
          </cell>
          <cell r="D41" t="str">
            <v>Showerheads</v>
          </cell>
          <cell r="E41" t="str">
            <v>1.5 GPM</v>
          </cell>
          <cell r="F41" t="str">
            <v>2.5 GPM</v>
          </cell>
        </row>
        <row r="42">
          <cell r="B42" t="str">
            <v>Water Heating</v>
          </cell>
          <cell r="C42" t="str">
            <v>Water Using Devices</v>
          </cell>
          <cell r="D42" t="str">
            <v>Aerators</v>
          </cell>
          <cell r="E42" t="str">
            <v>1.0 GPM</v>
          </cell>
          <cell r="F42" t="str">
            <v>2.5 GPM</v>
          </cell>
        </row>
        <row r="43">
          <cell r="B43" t="str">
            <v>Whole Bldg/Meter Level</v>
          </cell>
          <cell r="C43" t="str">
            <v>Whole Bldg/Meter Level System Improvements</v>
          </cell>
          <cell r="D43" t="str">
            <v>Photovoltaics</v>
          </cell>
          <cell r="E43" t="str">
            <v>PV system</v>
          </cell>
          <cell r="F43" t="str">
            <v>No PV system</v>
          </cell>
        </row>
        <row r="44">
          <cell r="B44" t="str">
            <v>Whole Bldg/Meter Level</v>
          </cell>
          <cell r="C44" t="str">
            <v>Whole Bldg/Meter Level System Improvements</v>
          </cell>
          <cell r="D44" t="str">
            <v>Behavioral</v>
          </cell>
          <cell r="E44" t="str">
            <v>Home Energy Reports</v>
          </cell>
          <cell r="F44" t="str">
            <v>No Report</v>
          </cell>
        </row>
        <row r="45">
          <cell r="B45" t="str">
            <v>Whole Bldg/Meter Level</v>
          </cell>
          <cell r="C45" t="str">
            <v>Whole Bldg/Meter Level System Improvements</v>
          </cell>
          <cell r="D45" t="str">
            <v>Automation</v>
          </cell>
          <cell r="E45" t="str">
            <v>Smart Devices</v>
          </cell>
          <cell r="F45" t="str">
            <v>Standard Home</v>
          </cell>
        </row>
        <row r="46">
          <cell r="B46" t="str">
            <v>Electronics</v>
          </cell>
          <cell r="C46" t="str">
            <v>Plug Load</v>
          </cell>
          <cell r="D46" t="str">
            <v>Electric Vehicle Supply Equipment</v>
          </cell>
          <cell r="E46" t="str">
            <v>Efficient EVSE</v>
          </cell>
          <cell r="F46" t="str">
            <v>Standard EVSE</v>
          </cell>
        </row>
        <row r="47">
          <cell r="B47" t="str">
            <v>HVAC</v>
          </cell>
          <cell r="C47" t="str">
            <v>HVAC System</v>
          </cell>
          <cell r="D47" t="str">
            <v>Geothermal Heat Pump</v>
          </cell>
          <cell r="E47" t="str">
            <v>ENERGY STAR qualified</v>
          </cell>
          <cell r="F47" t="str">
            <v>ASHP</v>
          </cell>
        </row>
        <row r="48">
          <cell r="B48" t="str">
            <v>HVAC</v>
          </cell>
          <cell r="C48" t="str">
            <v>HVAC System</v>
          </cell>
          <cell r="D48" t="str">
            <v>Commissioning Controls Sizing</v>
          </cell>
          <cell r="E48" t="str">
            <v>Controls Commissioning &amp; Sizing</v>
          </cell>
          <cell r="F48" t="str">
            <v>Standard installation</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F"/>
      <sheetName val="MF"/>
      <sheetName val="MH"/>
      <sheetName val="SF Estimates"/>
      <sheetName val="MH_Estimates"/>
      <sheetName val="MF_Estimates"/>
      <sheetName val="Estimates"/>
      <sheetName val="RBSA Saturations"/>
    </sheetNames>
    <sheetDataSet>
      <sheetData sheetId="0">
        <row r="12">
          <cell r="I12">
            <v>6.8910359437455118E-2</v>
          </cell>
        </row>
      </sheetData>
      <sheetData sheetId="1">
        <row r="11">
          <cell r="I11">
            <v>2.9671514740017984E-2</v>
          </cell>
        </row>
      </sheetData>
      <sheetData sheetId="2">
        <row r="12">
          <cell r="I12">
            <v>0.68310644913823848</v>
          </cell>
        </row>
      </sheetData>
      <sheetData sheetId="3"/>
      <sheetData sheetId="4">
        <row r="8">
          <cell r="AB8">
            <v>0.21483730578327848</v>
          </cell>
          <cell r="AC8">
            <v>9.9160019870813219E-3</v>
          </cell>
          <cell r="AD8">
            <v>0.7568396688324206</v>
          </cell>
          <cell r="AE8">
            <v>1.8407023397219464E-2</v>
          </cell>
        </row>
        <row r="22">
          <cell r="AB22">
            <v>0.80618889172815178</v>
          </cell>
          <cell r="AC22">
            <v>0.52720817643405415</v>
          </cell>
          <cell r="AD22">
            <v>0.67431441867374964</v>
          </cell>
          <cell r="AE22">
            <v>0.74530348765330989</v>
          </cell>
        </row>
        <row r="23">
          <cell r="AB23">
            <v>0.19381110827184808</v>
          </cell>
          <cell r="AC23">
            <v>0.47279182356594579</v>
          </cell>
          <cell r="AD23">
            <v>0.26978889398199607</v>
          </cell>
          <cell r="AE23">
            <v>0.25469651234669011</v>
          </cell>
        </row>
        <row r="24">
          <cell r="AB24">
            <v>0</v>
          </cell>
          <cell r="AC24">
            <v>0</v>
          </cell>
          <cell r="AD24">
            <v>5.5896687344253404E-2</v>
          </cell>
          <cell r="AE24">
            <v>0</v>
          </cell>
        </row>
      </sheetData>
      <sheetData sheetId="5"/>
      <sheetData sheetId="6" refreshError="1"/>
      <sheetData sheetId="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troduction"/>
      <sheetName val="GDP Deflator"/>
      <sheetName val="Labor"/>
      <sheetName val="Equipment Mark-ups"/>
      <sheetName val="Equipment Rental Costs"/>
      <sheetName val="Water and Wastewater"/>
      <sheetName val="Water Energy"/>
      <sheetName val="Detergent"/>
      <sheetName val="Wood Fuel Credit"/>
      <sheetName val="Residential Lighting"/>
      <sheetName val="SF Insulation"/>
      <sheetName val="MF Insulation"/>
      <sheetName val="SF Window "/>
      <sheetName val="MF Window"/>
      <sheetName val="Air Source HP"/>
      <sheetName val="PTCS Duct Sealing"/>
      <sheetName val="PTCS HPC"/>
      <sheetName val="HP Water Heater"/>
      <sheetName val="Tank Water Heater"/>
      <sheetName val="Weighting Factors"/>
      <sheetName val="Com HVAC Interaction Factors"/>
      <sheetName val="Res HVAC Interaction Factors"/>
      <sheetName val="EER Values"/>
      <sheetName val="Water Heater Recovery Eff."/>
      <sheetName val="Lifetime Reference Table"/>
      <sheetName val="Sheet1"/>
      <sheetName val="RTFStandardInformationWorkbook_"/>
    </sheetNames>
    <sheetDataSet>
      <sheetData sheetId="0"/>
      <sheetData sheetId="1"/>
      <sheetData sheetId="2"/>
      <sheetData sheetId="3"/>
      <sheetData sheetId="4"/>
      <sheetData sheetId="5"/>
      <sheetData sheetId="6"/>
      <sheetData sheetId="7"/>
      <sheetData sheetId="8">
        <row r="28">
          <cell r="B28">
            <v>8.1390946695386157E-2</v>
          </cell>
        </row>
      </sheetData>
      <sheetData sheetId="9"/>
      <sheetData sheetId="10"/>
      <sheetData sheetId="11"/>
      <sheetData sheetId="12"/>
      <sheetData sheetId="13"/>
      <sheetData sheetId="14"/>
      <sheetData sheetId="15"/>
      <sheetData sheetId="16">
        <row r="18">
          <cell r="B18">
            <v>512.07444609794834</v>
          </cell>
        </row>
      </sheetData>
      <sheetData sheetId="17"/>
      <sheetData sheetId="18"/>
      <sheetData sheetId="19"/>
      <sheetData sheetId="20"/>
      <sheetData sheetId="21"/>
      <sheetData sheetId="22"/>
      <sheetData sheetId="23"/>
      <sheetData sheetId="24"/>
      <sheetData sheetId="25"/>
      <sheetData sheetId="2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nas2\Documents%20and%20Settings\eckman\Application%20Data\Microsoft\Excel\ResWXSFsqftFY08v1_1.XLS"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om Eckman" refreshedDate="39645.435265972221" createdVersion="1" refreshedVersion="3" recordCount="3957" upgradeOnRefresh="1">
  <cacheSource type="worksheet">
    <worksheetSource ref="A1:O3958" sheet="ETO SF Insulation Cost Data" r:id="rId2"/>
  </cacheSource>
  <cacheFields count="15">
    <cacheField name="PROGRAM CODE" numFmtId="0">
      <sharedItems count="1">
        <s v="HES"/>
      </sharedItems>
    </cacheField>
    <cacheField name="MEASURE CODE" numFmtId="0">
      <sharedItems count="6">
        <s v="SFINSCEILE"/>
        <s v="SFINSCEILG"/>
        <s v="SFINSFLOORE"/>
        <s v="SFINSFLOORG"/>
        <s v="SFINSWALLE"/>
        <s v="SFINSWALLG"/>
      </sharedItems>
    </cacheField>
    <cacheField name="MEASURE DESC" numFmtId="0">
      <sharedItems count="6">
        <s v="SF Ceiling/Attic Insulation/SQFT, Ele Heat"/>
        <s v="SF Ceiling/Attic Insulation/SQFT, Gas Heat"/>
        <s v="SF Floor Insulation/SQFT, Ele Heat"/>
        <s v="SF Floor Insulation/SQFT, Gas Heat"/>
        <s v="SF Wall Insulation/SQFT, Ele Heat"/>
        <s v="SF Wall Insulation/SQFT, Gas Heat"/>
      </sharedItems>
    </cacheField>
    <cacheField name="MEASUREID" numFmtId="0">
      <sharedItems/>
    </cacheField>
    <cacheField name="RECOGNIZEDT" numFmtId="0">
      <sharedItems containsSemiMixedTypes="0" containsNonDate="0" containsDate="1" containsString="0" minDate="2007-05-10T00:00:00" maxDate="2008-07-11T00:00:00"/>
    </cacheField>
    <cacheField name="Reportable_KWHANNUAL" numFmtId="0">
      <sharedItems containsSemiMixedTypes="0" containsString="0" containsNumber="1" containsInteger="1" minValue="-3604" maxValue="5764"/>
    </cacheField>
    <cacheField name="Reportable_THERMANNUAL" numFmtId="0">
      <sharedItems containsSemiMixedTypes="0" containsString="0" containsNumber="1" minValue="-151.41999999999999" maxValue="304.56"/>
    </cacheField>
    <cacheField name="COST INSTALL" numFmtId="0">
      <sharedItems containsSemiMixedTypes="0" containsString="0" containsNumber="1" minValue="34" maxValue="11318944"/>
    </cacheField>
    <cacheField name="ETO INCENTIVE" numFmtId="0">
      <sharedItems containsSemiMixedTypes="0" containsString="0" containsNumber="1" minValue="0.45" maxValue="1800"/>
    </cacheField>
    <cacheField name="BEGINR" numFmtId="0">
      <sharedItems count="21">
        <s v="0"/>
        <s v="8"/>
        <s v="11"/>
        <s v="13"/>
        <s v="15"/>
        <s v="19"/>
        <s v="18"/>
        <s v="16"/>
        <s v="9"/>
        <s v="4"/>
        <s v="5"/>
        <s v="10"/>
        <s v="6"/>
        <s v="3"/>
        <s v="12"/>
        <s v="17"/>
        <s v="7"/>
        <s v="2"/>
        <s v="14"/>
        <s v="23"/>
        <s v="1"/>
      </sharedItems>
    </cacheField>
    <cacheField name="ENDR" numFmtId="0">
      <sharedItems/>
    </cacheField>
    <cacheField name="SQFT" numFmtId="0">
      <sharedItems/>
    </cacheField>
    <cacheField name="Delta R" numFmtId="0">
      <sharedItems containsSemiMixedTypes="0" containsString="0" containsNumber="1" containsInteger="1" minValue="2" maxValue="57"/>
    </cacheField>
    <cacheField name="Delta $/SF" numFmtId="0">
      <sharedItems containsSemiMixedTypes="0" containsString="0" containsNumber="1" minValue="0.13333333333333333" maxValue="4784"/>
    </cacheField>
    <cacheField name="Delta $/SF/R" numFmtId="0">
      <sharedItems containsSemiMixedTypes="0" containsString="0" containsNumber="1" minValue="5.1197777777777778E-3" maxValue="125.89473684210526"/>
    </cacheField>
  </cacheFields>
</pivotCacheDefinition>
</file>

<file path=xl/pivotCache/pivotCacheRecords1.xml><?xml version="1.0" encoding="utf-8"?>
<pivotCacheRecords xmlns="http://schemas.openxmlformats.org/spreadsheetml/2006/main" xmlns:r="http://schemas.openxmlformats.org/officeDocument/2006/relationships" count="3957">
  <r>
    <x v="0"/>
    <x v="0"/>
    <x v="0"/>
    <s v="M00000351706"/>
    <d v="2008-04-10T00:00:00"/>
    <n v="1139"/>
    <n v="0"/>
    <n v="400"/>
    <n v="400"/>
    <x v="0"/>
    <s v="38"/>
    <s v="1600"/>
    <n v="38"/>
    <n v="0.25"/>
    <n v="6.5789473684210523E-3"/>
  </r>
  <r>
    <x v="0"/>
    <x v="0"/>
    <x v="0"/>
    <s v="M00000276951"/>
    <d v="2007-06-28T00:00:00"/>
    <n v="871"/>
    <n v="0"/>
    <n v="324.95999999999998"/>
    <n v="304.5"/>
    <x v="0"/>
    <s v="38"/>
    <s v="1218"/>
    <n v="38"/>
    <n v="0.26679802955665022"/>
    <n v="7.0210007778065851E-3"/>
  </r>
  <r>
    <x v="0"/>
    <x v="0"/>
    <x v="0"/>
    <s v="M00000310655"/>
    <d v="2007-11-09T00:00:00"/>
    <n v="858"/>
    <n v="0"/>
    <n v="450"/>
    <n v="300"/>
    <x v="0"/>
    <s v="44"/>
    <s v="1200"/>
    <n v="44"/>
    <n v="0.375"/>
    <n v="8.5227272727272721E-3"/>
  </r>
  <r>
    <x v="0"/>
    <x v="0"/>
    <x v="0"/>
    <s v="M00000343207"/>
    <d v="2008-03-06T00:00:00"/>
    <n v="712"/>
    <n v="0"/>
    <n v="274.26"/>
    <n v="250"/>
    <x v="1"/>
    <s v="38"/>
    <s v="1000"/>
    <n v="30"/>
    <n v="0.27426"/>
    <n v="9.1420000000000008E-3"/>
  </r>
  <r>
    <x v="0"/>
    <x v="0"/>
    <x v="0"/>
    <s v="M00000369800"/>
    <d v="2008-07-03T00:00:00"/>
    <n v="1368"/>
    <n v="0"/>
    <n v="480"/>
    <n v="480"/>
    <x v="2"/>
    <s v="38"/>
    <s v="1920"/>
    <n v="27"/>
    <n v="0.25"/>
    <n v="9.2592592592592587E-3"/>
  </r>
  <r>
    <x v="0"/>
    <x v="0"/>
    <x v="0"/>
    <s v="M00000368027"/>
    <d v="2008-06-19T00:00:00"/>
    <n v="1739"/>
    <n v="0"/>
    <n v="698"/>
    <n v="610.5"/>
    <x v="1"/>
    <s v="38"/>
    <s v="2442"/>
    <n v="30"/>
    <n v="0.28583128583128581"/>
    <n v="9.5277095277095276E-3"/>
  </r>
  <r>
    <x v="0"/>
    <x v="0"/>
    <x v="0"/>
    <s v="M00000288345"/>
    <d v="2007-08-02T00:00:00"/>
    <n v="787"/>
    <n v="0"/>
    <n v="406.01"/>
    <n v="275"/>
    <x v="0"/>
    <s v="38"/>
    <s v="1100"/>
    <n v="38"/>
    <n v="0.36909999999999998"/>
    <n v="9.7131578947368419E-3"/>
  </r>
  <r>
    <x v="0"/>
    <x v="0"/>
    <x v="0"/>
    <s v="M00000281605"/>
    <d v="2007-07-06T00:00:00"/>
    <n v="604"/>
    <n v="0"/>
    <n v="321.99"/>
    <n v="211"/>
    <x v="0"/>
    <s v="38"/>
    <s v="844"/>
    <n v="38"/>
    <n v="0.38150473933649293"/>
    <n v="1.0039598403591919E-2"/>
  </r>
  <r>
    <x v="0"/>
    <x v="0"/>
    <x v="0"/>
    <s v="M00000320788"/>
    <d v="2007-12-13T00:00:00"/>
    <n v="1081"/>
    <n v="0"/>
    <n v="720"/>
    <n v="378"/>
    <x v="1"/>
    <s v="49"/>
    <s v="1512"/>
    <n v="41"/>
    <n v="0.47619047619047616"/>
    <n v="1.1614401858304297E-2"/>
  </r>
  <r>
    <x v="0"/>
    <x v="0"/>
    <x v="0"/>
    <s v="M00000303603"/>
    <d v="2007-10-11T00:00:00"/>
    <n v="715"/>
    <n v="0"/>
    <n v="300"/>
    <n v="250"/>
    <x v="3"/>
    <s v="38"/>
    <s v="1000"/>
    <n v="25"/>
    <n v="0.3"/>
    <n v="1.2E-2"/>
  </r>
  <r>
    <x v="0"/>
    <x v="0"/>
    <x v="0"/>
    <s v="M00000342345"/>
    <d v="2008-02-29T00:00:00"/>
    <n v="640"/>
    <n v="0"/>
    <n v="425"/>
    <n v="224"/>
    <x v="0"/>
    <s v="38"/>
    <s v="896"/>
    <n v="38"/>
    <n v="0.47433035714285715"/>
    <n v="1.2482377819548873E-2"/>
  </r>
  <r>
    <x v="0"/>
    <x v="0"/>
    <x v="0"/>
    <s v="M00000316161"/>
    <d v="2007-11-29T00:00:00"/>
    <n v="558"/>
    <n v="0"/>
    <n v="372"/>
    <n v="195"/>
    <x v="0"/>
    <s v="38"/>
    <s v="780"/>
    <n v="38"/>
    <n v="0.47692307692307695"/>
    <n v="1.2550607287449394E-2"/>
  </r>
  <r>
    <x v="0"/>
    <x v="0"/>
    <x v="0"/>
    <s v="M00000367035"/>
    <d v="2008-06-12T00:00:00"/>
    <n v="727"/>
    <n v="0"/>
    <n v="499"/>
    <n v="255"/>
    <x v="0"/>
    <s v="38"/>
    <s v="1020"/>
    <n v="38"/>
    <n v="0.48921568627450979"/>
    <n v="1.2874097007223941E-2"/>
  </r>
  <r>
    <x v="0"/>
    <x v="0"/>
    <x v="0"/>
    <s v="M00000327133"/>
    <d v="2007-12-31T00:00:00"/>
    <n v="3003"/>
    <n v="0"/>
    <n v="2089"/>
    <n v="1050"/>
    <x v="0"/>
    <s v="38"/>
    <s v="4200"/>
    <n v="38"/>
    <n v="0.49738095238095237"/>
    <n v="1.3088972431077693E-2"/>
  </r>
  <r>
    <x v="0"/>
    <x v="0"/>
    <x v="0"/>
    <s v="M00000347627"/>
    <d v="2008-03-20T00:00:00"/>
    <n v="943"/>
    <n v="0"/>
    <n v="400"/>
    <n v="331"/>
    <x v="4"/>
    <s v="38"/>
    <s v="1324"/>
    <n v="23"/>
    <n v="0.30211480362537763"/>
    <n v="1.3135426244581637E-2"/>
  </r>
  <r>
    <x v="0"/>
    <x v="0"/>
    <x v="0"/>
    <s v="M00000325283"/>
    <d v="2007-12-27T00:00:00"/>
    <n v="530"/>
    <n v="0"/>
    <n v="293"/>
    <n v="185.5"/>
    <x v="1"/>
    <s v="38"/>
    <s v="742"/>
    <n v="30"/>
    <n v="0.39487870619946092"/>
    <n v="1.3162623539982031E-2"/>
  </r>
  <r>
    <x v="0"/>
    <x v="0"/>
    <x v="0"/>
    <s v="M00000363388"/>
    <d v="2008-05-22T00:00:00"/>
    <n v="974"/>
    <n v="0"/>
    <n v="342.71"/>
    <n v="342"/>
    <x v="5"/>
    <s v="38"/>
    <s v="1368"/>
    <n v="19"/>
    <n v="0.25051900584795322"/>
    <n v="1.3185210834102802E-2"/>
  </r>
  <r>
    <x v="0"/>
    <x v="0"/>
    <x v="0"/>
    <s v="M00000342238"/>
    <d v="2008-03-06T00:00:00"/>
    <n v="1005"/>
    <n v="0"/>
    <n v="651.41999999999996"/>
    <n v="352.75"/>
    <x v="4"/>
    <s v="50"/>
    <s v="1411"/>
    <n v="35"/>
    <n v="0.46167257264351519"/>
    <n v="1.3190644932671863E-2"/>
  </r>
  <r>
    <x v="0"/>
    <x v="0"/>
    <x v="0"/>
    <s v="M00000270418"/>
    <d v="2007-05-10T00:00:00"/>
    <n v="634"/>
    <n v="0"/>
    <n v="451.86"/>
    <n v="221.5"/>
    <x v="0"/>
    <s v="38"/>
    <s v="886"/>
    <n v="38"/>
    <n v="0.51"/>
    <n v="1.3421052631578948E-2"/>
  </r>
  <r>
    <x v="0"/>
    <x v="0"/>
    <x v="0"/>
    <s v="M00000346502"/>
    <d v="2008-03-13T00:00:00"/>
    <n v="1474"/>
    <n v="0"/>
    <n v="575"/>
    <n v="517.5"/>
    <x v="6"/>
    <s v="38"/>
    <s v="2070"/>
    <n v="20"/>
    <n v="0.27777777777777779"/>
    <n v="1.388888888888889E-2"/>
  </r>
  <r>
    <x v="0"/>
    <x v="0"/>
    <x v="0"/>
    <s v="M00000290825"/>
    <d v="2007-08-16T00:00:00"/>
    <n v="429"/>
    <n v="0"/>
    <n v="250.02"/>
    <n v="150"/>
    <x v="1"/>
    <s v="38"/>
    <s v="600"/>
    <n v="30"/>
    <n v="0.41670000000000001"/>
    <n v="1.3890000000000001E-2"/>
  </r>
  <r>
    <x v="0"/>
    <x v="0"/>
    <x v="0"/>
    <s v="M00000289844"/>
    <d v="2007-09-28T00:00:00"/>
    <n v="901"/>
    <n v="0"/>
    <n v="673.34"/>
    <n v="315"/>
    <x v="0"/>
    <s v="38"/>
    <s v="1260"/>
    <n v="38"/>
    <n v="0.53439682539682543"/>
    <n v="1.4063074352548038E-2"/>
  </r>
  <r>
    <x v="0"/>
    <x v="0"/>
    <x v="0"/>
    <s v="M00000314172"/>
    <d v="2007-12-31T00:00:00"/>
    <n v="1030"/>
    <n v="0"/>
    <n v="548.5"/>
    <n v="360"/>
    <x v="2"/>
    <s v="38"/>
    <s v="1440"/>
    <n v="27"/>
    <n v="0.38090277777777776"/>
    <n v="1.4107510288065842E-2"/>
  </r>
  <r>
    <x v="0"/>
    <x v="0"/>
    <x v="0"/>
    <s v="M00000353646"/>
    <d v="2008-04-17T00:00:00"/>
    <n v="1039"/>
    <n v="0"/>
    <n v="625"/>
    <n v="364.75"/>
    <x v="1"/>
    <s v="38"/>
    <s v="1459"/>
    <n v="30"/>
    <n v="0.42837559972583961"/>
    <n v="1.4279186657527986E-2"/>
  </r>
  <r>
    <x v="0"/>
    <x v="0"/>
    <x v="0"/>
    <s v="M00000292277"/>
    <d v="2007-08-23T00:00:00"/>
    <n v="1310"/>
    <n v="0"/>
    <n v="1000.09"/>
    <n v="458"/>
    <x v="0"/>
    <s v="38"/>
    <s v="1832"/>
    <n v="38"/>
    <n v="0.54590065502183405"/>
    <n v="1.4365806711100895E-2"/>
  </r>
  <r>
    <x v="0"/>
    <x v="0"/>
    <x v="0"/>
    <s v="M00000300821"/>
    <d v="2007-09-27T00:00:00"/>
    <n v="872"/>
    <n v="0"/>
    <n v="671"/>
    <n v="305"/>
    <x v="0"/>
    <s v="38"/>
    <s v="1220"/>
    <n v="38"/>
    <n v="0.55000000000000004"/>
    <n v="1.4473684210526317E-2"/>
  </r>
  <r>
    <x v="0"/>
    <x v="0"/>
    <x v="0"/>
    <s v="M00000336352"/>
    <d v="2008-03-20T00:00:00"/>
    <n v="1346"/>
    <n v="0"/>
    <n v="1049"/>
    <n v="472.5"/>
    <x v="0"/>
    <s v="38"/>
    <s v="1890"/>
    <n v="38"/>
    <n v="0.55502645502645498"/>
    <n v="1.4605959342801447E-2"/>
  </r>
  <r>
    <x v="0"/>
    <x v="0"/>
    <x v="0"/>
    <s v="M00000369954"/>
    <d v="2008-06-26T00:00:00"/>
    <n v="783"/>
    <n v="0"/>
    <n v="482"/>
    <n v="275"/>
    <x v="1"/>
    <s v="38"/>
    <s v="1100"/>
    <n v="30"/>
    <n v="0.43818181818181817"/>
    <n v="1.4606060606060605E-2"/>
  </r>
  <r>
    <x v="0"/>
    <x v="0"/>
    <x v="0"/>
    <s v="M00000342055"/>
    <d v="2008-03-13T00:00:00"/>
    <n v="819"/>
    <n v="0"/>
    <n v="504"/>
    <n v="287.5"/>
    <x v="1"/>
    <s v="38"/>
    <s v="1150"/>
    <n v="30"/>
    <n v="0.43826086956521737"/>
    <n v="1.4608695652173912E-2"/>
  </r>
  <r>
    <x v="0"/>
    <x v="0"/>
    <x v="0"/>
    <s v="M00000331472"/>
    <d v="2007-12-31T00:00:00"/>
    <n v="930"/>
    <n v="0"/>
    <n v="576"/>
    <n v="325"/>
    <x v="1"/>
    <s v="38"/>
    <s v="1300"/>
    <n v="30"/>
    <n v="0.44307692307692309"/>
    <n v="1.4769230769230769E-2"/>
  </r>
  <r>
    <x v="0"/>
    <x v="0"/>
    <x v="0"/>
    <s v="M00000359765"/>
    <d v="2008-05-15T00:00:00"/>
    <n v="1495"/>
    <n v="0"/>
    <n v="935"/>
    <n v="525"/>
    <x v="1"/>
    <s v="38"/>
    <s v="2100"/>
    <n v="30"/>
    <n v="0.44523809523809521"/>
    <n v="1.4841269841269841E-2"/>
  </r>
  <r>
    <x v="0"/>
    <x v="0"/>
    <x v="0"/>
    <s v="M00000358021"/>
    <d v="2008-05-08T00:00:00"/>
    <n v="1139"/>
    <n v="0"/>
    <n v="715"/>
    <n v="400"/>
    <x v="1"/>
    <s v="38"/>
    <s v="1600"/>
    <n v="30"/>
    <n v="0.44687500000000002"/>
    <n v="1.4895833333333334E-2"/>
  </r>
  <r>
    <x v="0"/>
    <x v="0"/>
    <x v="0"/>
    <s v="M00000285263"/>
    <d v="2007-07-26T00:00:00"/>
    <n v="1"/>
    <n v="0"/>
    <n v="580"/>
    <n v="200"/>
    <x v="0"/>
    <s v="38"/>
    <s v="1000"/>
    <n v="38"/>
    <n v="0.57999999999999996"/>
    <n v="1.5263157894736841E-2"/>
  </r>
  <r>
    <x v="0"/>
    <x v="0"/>
    <x v="0"/>
    <s v="M00000316355"/>
    <d v="2007-11-29T00:00:00"/>
    <n v="315"/>
    <n v="0"/>
    <n v="256"/>
    <n v="110"/>
    <x v="0"/>
    <s v="38"/>
    <s v="440"/>
    <n v="38"/>
    <n v="0.58181818181818179"/>
    <n v="1.5311004784688994E-2"/>
  </r>
  <r>
    <x v="0"/>
    <x v="0"/>
    <x v="0"/>
    <s v="M00000341946"/>
    <d v="2008-02-29T00:00:00"/>
    <n v="966"/>
    <n v="0"/>
    <n v="622"/>
    <n v="337.5"/>
    <x v="1"/>
    <s v="38"/>
    <s v="1350"/>
    <n v="30"/>
    <n v="0.46074074074074073"/>
    <n v="1.5358024691358024E-2"/>
  </r>
  <r>
    <x v="0"/>
    <x v="0"/>
    <x v="0"/>
    <s v="M00000334342"/>
    <d v="2008-01-24T00:00:00"/>
    <n v="844"/>
    <n v="0"/>
    <n v="689"/>
    <n v="295"/>
    <x v="0"/>
    <s v="38"/>
    <s v="1180"/>
    <n v="38"/>
    <n v="0.58389830508474572"/>
    <n v="1.5365744870651203E-2"/>
  </r>
  <r>
    <x v="0"/>
    <x v="0"/>
    <x v="0"/>
    <s v="M00000305539"/>
    <d v="2007-12-06T00:00:00"/>
    <n v="1130"/>
    <n v="0"/>
    <n v="541"/>
    <n v="395"/>
    <x v="7"/>
    <s v="38"/>
    <s v="1580"/>
    <n v="22"/>
    <n v="0.34240506329113923"/>
    <n v="1.5563866513233602E-2"/>
  </r>
  <r>
    <x v="0"/>
    <x v="0"/>
    <x v="0"/>
    <s v="M00000351193"/>
    <d v="2008-04-03T00:00:00"/>
    <n v="559"/>
    <n v="0"/>
    <n v="464"/>
    <n v="196"/>
    <x v="0"/>
    <s v="38"/>
    <s v="784"/>
    <n v="38"/>
    <n v="0.59183673469387754"/>
    <n v="1.5574650912996778E-2"/>
  </r>
  <r>
    <x v="0"/>
    <x v="0"/>
    <x v="0"/>
    <s v="M00000350650"/>
    <d v="2008-04-03T00:00:00"/>
    <n v="891"/>
    <n v="0"/>
    <n v="780"/>
    <n v="312.5"/>
    <x v="8"/>
    <s v="49"/>
    <s v="1250"/>
    <n v="40"/>
    <n v="0.624"/>
    <n v="1.5599999999999999E-2"/>
  </r>
  <r>
    <x v="0"/>
    <x v="0"/>
    <x v="0"/>
    <s v="M00000346813"/>
    <d v="2008-03-13T00:00:00"/>
    <n v="1282"/>
    <n v="0"/>
    <n v="843"/>
    <n v="450"/>
    <x v="1"/>
    <s v="38"/>
    <s v="1800"/>
    <n v="30"/>
    <n v="0.46833333333333332"/>
    <n v="1.561111111111111E-2"/>
  </r>
  <r>
    <x v="0"/>
    <x v="0"/>
    <x v="0"/>
    <s v="M00000340539"/>
    <d v="2008-02-21T00:00:00"/>
    <n v="1283"/>
    <n v="0"/>
    <n v="960"/>
    <n v="448.5"/>
    <x v="9"/>
    <s v="38"/>
    <s v="1794"/>
    <n v="34"/>
    <n v="0.53511705685618727"/>
    <n v="1.5738736966358448E-2"/>
  </r>
  <r>
    <x v="0"/>
    <x v="0"/>
    <x v="0"/>
    <s v="M00000299196"/>
    <d v="2007-11-21T00:00:00"/>
    <n v="971"/>
    <n v="0"/>
    <n v="813.22"/>
    <n v="339.75"/>
    <x v="0"/>
    <s v="38"/>
    <s v="1359"/>
    <n v="38"/>
    <n v="0.59839587932303162"/>
    <n v="1.5747259982185041E-2"/>
  </r>
  <r>
    <x v="0"/>
    <x v="0"/>
    <x v="0"/>
    <s v="M00000335713"/>
    <d v="2008-01-31T00:00:00"/>
    <n v="275"/>
    <n v="0"/>
    <n v="230"/>
    <n v="96"/>
    <x v="0"/>
    <s v="38"/>
    <s v="384"/>
    <n v="38"/>
    <n v="0.59895833333333337"/>
    <n v="1.5762061403508772E-2"/>
  </r>
  <r>
    <x v="0"/>
    <x v="0"/>
    <x v="0"/>
    <s v="M00000306117"/>
    <d v="2007-10-18T00:00:00"/>
    <n v="1252"/>
    <n v="0"/>
    <n v="1050"/>
    <n v="437.5"/>
    <x v="0"/>
    <s v="38"/>
    <s v="1750"/>
    <n v="38"/>
    <n v="0.6"/>
    <n v="1.5789473684210527E-2"/>
  </r>
  <r>
    <x v="0"/>
    <x v="0"/>
    <x v="0"/>
    <s v="M00000314324"/>
    <d v="2007-12-31T00:00:00"/>
    <n v="715"/>
    <n v="0"/>
    <n v="600"/>
    <n v="250"/>
    <x v="0"/>
    <s v="38"/>
    <s v="1000"/>
    <n v="38"/>
    <n v="0.6"/>
    <n v="1.5789473684210527E-2"/>
  </r>
  <r>
    <x v="0"/>
    <x v="0"/>
    <x v="0"/>
    <s v="M00000352816"/>
    <d v="2008-04-10T00:00:00"/>
    <n v="712"/>
    <n v="0"/>
    <n v="600"/>
    <n v="250"/>
    <x v="0"/>
    <s v="38"/>
    <s v="1000"/>
    <n v="38"/>
    <n v="0.6"/>
    <n v="1.5789473684210527E-2"/>
  </r>
  <r>
    <x v="0"/>
    <x v="0"/>
    <x v="0"/>
    <s v="M00000330930"/>
    <d v="2007-12-31T00:00:00"/>
    <n v="375"/>
    <n v="0"/>
    <n v="250"/>
    <n v="131.25"/>
    <x v="1"/>
    <s v="38"/>
    <s v="525"/>
    <n v="30"/>
    <n v="0.47619047619047616"/>
    <n v="1.5873015873015872E-2"/>
  </r>
  <r>
    <x v="0"/>
    <x v="0"/>
    <x v="0"/>
    <s v="M00000372831"/>
    <d v="2008-07-03T00:00:00"/>
    <n v="593"/>
    <n v="0"/>
    <n v="397"/>
    <n v="208"/>
    <x v="2"/>
    <s v="41"/>
    <s v="832"/>
    <n v="30"/>
    <n v="0.47716346153846156"/>
    <n v="1.590544871794872E-2"/>
  </r>
  <r>
    <x v="0"/>
    <x v="0"/>
    <x v="0"/>
    <s v="M00000296279"/>
    <d v="2007-10-04T00:00:00"/>
    <n v="721"/>
    <n v="0"/>
    <n v="482.63"/>
    <n v="252"/>
    <x v="2"/>
    <s v="41"/>
    <s v="1008"/>
    <n v="30"/>
    <n v="0.47879960317460318"/>
    <n v="1.5959986772486771E-2"/>
  </r>
  <r>
    <x v="0"/>
    <x v="0"/>
    <x v="0"/>
    <s v="M00000319171"/>
    <d v="2007-12-06T00:00:00"/>
    <n v="708"/>
    <n v="0"/>
    <n v="608"/>
    <n v="247.5"/>
    <x v="0"/>
    <s v="38"/>
    <s v="990"/>
    <n v="38"/>
    <n v="0.6141414141414141"/>
    <n v="1.6161616161616162E-2"/>
  </r>
  <r>
    <x v="0"/>
    <x v="0"/>
    <x v="0"/>
    <s v="M00000364109"/>
    <d v="2008-05-29T00:00:00"/>
    <n v="641"/>
    <n v="0"/>
    <n v="555"/>
    <n v="225"/>
    <x v="0"/>
    <s v="38"/>
    <s v="900"/>
    <n v="38"/>
    <n v="0.6166666666666667"/>
    <n v="1.6228070175438598E-2"/>
  </r>
  <r>
    <x v="0"/>
    <x v="0"/>
    <x v="0"/>
    <s v="M00000355164"/>
    <d v="2008-04-24T00:00:00"/>
    <n v="1373"/>
    <n v="0"/>
    <n v="1038"/>
    <n v="482"/>
    <x v="10"/>
    <s v="38"/>
    <s v="1928"/>
    <n v="33"/>
    <n v="0.53838174273858919"/>
    <n v="1.6314598264805732E-2"/>
  </r>
  <r>
    <x v="0"/>
    <x v="0"/>
    <x v="0"/>
    <s v="M00000300908"/>
    <d v="2007-09-27T00:00:00"/>
    <n v="715"/>
    <n v="0"/>
    <n v="620"/>
    <n v="250"/>
    <x v="0"/>
    <s v="38"/>
    <s v="1000"/>
    <n v="38"/>
    <n v="0.62"/>
    <n v="1.6315789473684211E-2"/>
  </r>
  <r>
    <x v="0"/>
    <x v="0"/>
    <x v="0"/>
    <s v="M00000306454"/>
    <d v="2007-10-25T00:00:00"/>
    <n v="1073"/>
    <n v="0"/>
    <n v="930"/>
    <n v="375"/>
    <x v="0"/>
    <s v="38"/>
    <s v="1500"/>
    <n v="38"/>
    <n v="0.62"/>
    <n v="1.6315789473684211E-2"/>
  </r>
  <r>
    <x v="0"/>
    <x v="0"/>
    <x v="0"/>
    <s v="M00000337776"/>
    <d v="2008-02-07T00:00:00"/>
    <n v="721"/>
    <n v="0"/>
    <n v="625"/>
    <n v="252"/>
    <x v="0"/>
    <s v="38"/>
    <s v="1008"/>
    <n v="38"/>
    <n v="0.62003968253968256"/>
    <n v="1.6316833751044278E-2"/>
  </r>
  <r>
    <x v="0"/>
    <x v="0"/>
    <x v="0"/>
    <s v="M00000316402"/>
    <d v="2007-11-29T00:00:00"/>
    <n v="843"/>
    <n v="0"/>
    <n v="733"/>
    <n v="294.5"/>
    <x v="0"/>
    <s v="38"/>
    <s v="1178"/>
    <n v="38"/>
    <n v="0.62224108658743638"/>
    <n v="1.6374765436511483E-2"/>
  </r>
  <r>
    <x v="0"/>
    <x v="0"/>
    <x v="0"/>
    <s v="M00000346952"/>
    <d v="2008-03-13T00:00:00"/>
    <n v="819"/>
    <n v="0"/>
    <n v="529"/>
    <n v="287.5"/>
    <x v="11"/>
    <s v="38"/>
    <s v="1150"/>
    <n v="28"/>
    <n v="0.46"/>
    <n v="1.6428571428571428E-2"/>
  </r>
  <r>
    <x v="0"/>
    <x v="0"/>
    <x v="0"/>
    <s v="M00000350565"/>
    <d v="2008-04-03T00:00:00"/>
    <n v="570"/>
    <n v="0"/>
    <n v="500"/>
    <n v="200"/>
    <x v="0"/>
    <s v="38"/>
    <s v="800"/>
    <n v="38"/>
    <n v="0.625"/>
    <n v="1.6447368421052631E-2"/>
  </r>
  <r>
    <x v="0"/>
    <x v="0"/>
    <x v="0"/>
    <s v="M00000334689"/>
    <d v="2008-01-24T00:00:00"/>
    <n v="1001"/>
    <n v="0"/>
    <n v="700"/>
    <n v="350"/>
    <x v="3"/>
    <s v="43"/>
    <s v="1400"/>
    <n v="30"/>
    <n v="0.5"/>
    <n v="1.6666666666666666E-2"/>
  </r>
  <r>
    <x v="0"/>
    <x v="0"/>
    <x v="0"/>
    <s v="M00000349972"/>
    <d v="2008-03-27T00:00:00"/>
    <n v="1424"/>
    <n v="0"/>
    <n v="1000"/>
    <n v="500"/>
    <x v="1"/>
    <s v="38"/>
    <s v="2000"/>
    <n v="30"/>
    <n v="0.5"/>
    <n v="1.6666666666666666E-2"/>
  </r>
  <r>
    <x v="0"/>
    <x v="0"/>
    <x v="0"/>
    <s v="M00000351462"/>
    <d v="2008-04-03T00:00:00"/>
    <n v="1139"/>
    <n v="0"/>
    <n v="800"/>
    <n v="400"/>
    <x v="1"/>
    <s v="38"/>
    <s v="1600"/>
    <n v="30"/>
    <n v="0.5"/>
    <n v="1.6666666666666666E-2"/>
  </r>
  <r>
    <x v="0"/>
    <x v="0"/>
    <x v="0"/>
    <s v="M00000307051"/>
    <d v="2007-10-25T00:00:00"/>
    <n v="543"/>
    <n v="0"/>
    <n v="486"/>
    <n v="190"/>
    <x v="0"/>
    <s v="38"/>
    <s v="760"/>
    <n v="38"/>
    <n v="0.63947368421052631"/>
    <n v="1.682825484764543E-2"/>
  </r>
  <r>
    <x v="0"/>
    <x v="0"/>
    <x v="0"/>
    <s v="M00000337807"/>
    <d v="2008-02-07T00:00:00"/>
    <n v="1287"/>
    <n v="0"/>
    <n v="910"/>
    <n v="450"/>
    <x v="5"/>
    <s v="49"/>
    <s v="1800"/>
    <n v="30"/>
    <n v="0.50555555555555554"/>
    <n v="1.6851851851851851E-2"/>
  </r>
  <r>
    <x v="0"/>
    <x v="0"/>
    <x v="0"/>
    <s v="M00000305442"/>
    <d v="2007-10-18T00:00:00"/>
    <n v="1287"/>
    <n v="0"/>
    <n v="912"/>
    <n v="450"/>
    <x v="1"/>
    <s v="38"/>
    <s v="1800"/>
    <n v="30"/>
    <n v="0.50666666666666671"/>
    <n v="1.6888888888888891E-2"/>
  </r>
  <r>
    <x v="0"/>
    <x v="0"/>
    <x v="0"/>
    <s v="M00000367194"/>
    <d v="2008-06-12T00:00:00"/>
    <n v="641"/>
    <n v="0"/>
    <n v="578"/>
    <n v="225"/>
    <x v="0"/>
    <s v="38"/>
    <s v="900"/>
    <n v="38"/>
    <n v="0.64222222222222225"/>
    <n v="1.6900584795321638E-2"/>
  </r>
  <r>
    <x v="0"/>
    <x v="0"/>
    <x v="0"/>
    <s v="M00000351651"/>
    <d v="2008-04-10T00:00:00"/>
    <n v="958"/>
    <n v="0"/>
    <n v="864"/>
    <n v="336"/>
    <x v="0"/>
    <s v="38"/>
    <s v="1344"/>
    <n v="38"/>
    <n v="0.6428571428571429"/>
    <n v="1.6917293233082709E-2"/>
  </r>
  <r>
    <x v="0"/>
    <x v="0"/>
    <x v="0"/>
    <s v="M00000336436"/>
    <d v="2008-01-31T00:00:00"/>
    <n v="740"/>
    <n v="0"/>
    <n v="667"/>
    <n v="259"/>
    <x v="0"/>
    <s v="38"/>
    <s v="1036"/>
    <n v="38"/>
    <n v="0.64382239382239381"/>
    <n v="1.6942694574273522E-2"/>
  </r>
  <r>
    <x v="0"/>
    <x v="0"/>
    <x v="0"/>
    <s v="M00000372727"/>
    <d v="2008-07-03T00:00:00"/>
    <n v="1034"/>
    <n v="0"/>
    <n v="740"/>
    <n v="363"/>
    <x v="1"/>
    <s v="38"/>
    <s v="1452"/>
    <n v="30"/>
    <n v="0.50964187327823696"/>
    <n v="1.69880624426079E-2"/>
  </r>
  <r>
    <x v="0"/>
    <x v="0"/>
    <x v="0"/>
    <s v="M00000301131"/>
    <d v="2007-09-27T00:00:00"/>
    <n v="285"/>
    <n v="0"/>
    <n v="257"/>
    <n v="99.5"/>
    <x v="0"/>
    <s v="38"/>
    <s v="398"/>
    <n v="38"/>
    <n v="0.64572864321608037"/>
    <n v="1.6992859032002115E-2"/>
  </r>
  <r>
    <x v="0"/>
    <x v="0"/>
    <x v="0"/>
    <s v="M00000340773"/>
    <d v="2008-02-21T00:00:00"/>
    <n v="1384"/>
    <n v="0"/>
    <n v="1250"/>
    <n v="483.75"/>
    <x v="0"/>
    <s v="38"/>
    <s v="1935"/>
    <n v="38"/>
    <n v="0.64599483204134367"/>
    <n v="1.6999864001087991E-2"/>
  </r>
  <r>
    <x v="0"/>
    <x v="0"/>
    <x v="0"/>
    <s v="M00000312858"/>
    <d v="2007-11-15T00:00:00"/>
    <n v="972"/>
    <n v="0"/>
    <n v="880"/>
    <n v="340"/>
    <x v="0"/>
    <s v="38"/>
    <s v="1360"/>
    <n v="38"/>
    <n v="0.6470588235294118"/>
    <n v="1.7027863777089786E-2"/>
  </r>
  <r>
    <x v="0"/>
    <x v="0"/>
    <x v="0"/>
    <s v="M00000353221"/>
    <d v="2008-04-17T00:00:00"/>
    <n v="855"/>
    <n v="0"/>
    <n v="472"/>
    <n v="300"/>
    <x v="4"/>
    <s v="38"/>
    <s v="1200"/>
    <n v="23"/>
    <n v="0.39333333333333331"/>
    <n v="1.7101449275362317E-2"/>
  </r>
  <r>
    <x v="0"/>
    <x v="0"/>
    <x v="0"/>
    <s v="M00000335472"/>
    <d v="2008-01-31T00:00:00"/>
    <n v="1604"/>
    <n v="0"/>
    <n v="1460"/>
    <n v="560.75"/>
    <x v="0"/>
    <s v="38"/>
    <s v="2243"/>
    <n v="38"/>
    <n v="0.65091395452518952"/>
    <n v="1.7129314592768147E-2"/>
  </r>
  <r>
    <x v="0"/>
    <x v="0"/>
    <x v="0"/>
    <s v="M00000343448"/>
    <d v="2008-03-06T00:00:00"/>
    <n v="641"/>
    <n v="0"/>
    <n v="465"/>
    <n v="225"/>
    <x v="1"/>
    <s v="38"/>
    <s v="900"/>
    <n v="30"/>
    <n v="0.51666666666666672"/>
    <n v="1.7222222222222226E-2"/>
  </r>
  <r>
    <x v="0"/>
    <x v="0"/>
    <x v="0"/>
    <s v="M00000374273"/>
    <d v="2008-07-10T00:00:00"/>
    <n v="1240"/>
    <n v="0"/>
    <n v="900"/>
    <n v="435.25"/>
    <x v="1"/>
    <s v="38"/>
    <s v="1741"/>
    <n v="30"/>
    <n v="0.51694428489373923"/>
    <n v="1.7231476163124641E-2"/>
  </r>
  <r>
    <x v="0"/>
    <x v="0"/>
    <x v="0"/>
    <s v="M00000285572"/>
    <d v="2007-07-19T00:00:00"/>
    <n v="1931"/>
    <n v="0"/>
    <n v="1350"/>
    <n v="675"/>
    <x v="5"/>
    <s v="48"/>
    <s v="2700"/>
    <n v="29"/>
    <n v="0.5"/>
    <n v="1.7241379310344827E-2"/>
  </r>
  <r>
    <x v="0"/>
    <x v="0"/>
    <x v="0"/>
    <s v="M00000336953"/>
    <d v="2008-03-06T00:00:00"/>
    <n v="855"/>
    <n v="0"/>
    <n v="790"/>
    <n v="300"/>
    <x v="0"/>
    <s v="38"/>
    <s v="1200"/>
    <n v="38"/>
    <n v="0.65833333333333333"/>
    <n v="1.732456140350877E-2"/>
  </r>
  <r>
    <x v="0"/>
    <x v="0"/>
    <x v="0"/>
    <s v="M00000292325"/>
    <d v="2007-08-23T00:00:00"/>
    <n v="823"/>
    <n v="0"/>
    <n v="460"/>
    <n v="287.5"/>
    <x v="4"/>
    <s v="38"/>
    <s v="1150"/>
    <n v="23"/>
    <n v="0.4"/>
    <n v="1.7391304347826087E-2"/>
  </r>
  <r>
    <x v="0"/>
    <x v="0"/>
    <x v="0"/>
    <s v="M00000343306"/>
    <d v="2008-03-06T00:00:00"/>
    <n v="1157"/>
    <n v="0"/>
    <n v="854"/>
    <n v="406"/>
    <x v="1"/>
    <s v="38"/>
    <s v="1624"/>
    <n v="30"/>
    <n v="0.52586206896551724"/>
    <n v="1.752873563218391E-2"/>
  </r>
  <r>
    <x v="0"/>
    <x v="0"/>
    <x v="0"/>
    <s v="M00000327553"/>
    <d v="2007-12-31T00:00:00"/>
    <n v="2116"/>
    <n v="0"/>
    <n v="1664"/>
    <n v="740"/>
    <x v="12"/>
    <s v="38"/>
    <s v="2960"/>
    <n v="32"/>
    <n v="0.56216216216216219"/>
    <n v="1.7567567567567569E-2"/>
  </r>
  <r>
    <x v="0"/>
    <x v="0"/>
    <x v="0"/>
    <s v="M00000315054"/>
    <d v="2007-11-21T00:00:00"/>
    <n v="849"/>
    <n v="0"/>
    <n v="628"/>
    <n v="297"/>
    <x v="1"/>
    <s v="38"/>
    <s v="1188"/>
    <n v="30"/>
    <n v="0.52861952861952866"/>
    <n v="1.7620650953984289E-2"/>
  </r>
  <r>
    <x v="0"/>
    <x v="0"/>
    <x v="0"/>
    <s v="M00000353224"/>
    <d v="2008-04-17T00:00:00"/>
    <n v="1115"/>
    <n v="0"/>
    <n v="525"/>
    <n v="391.5"/>
    <x v="5"/>
    <s v="38"/>
    <s v="1566"/>
    <n v="19"/>
    <n v="0.33524904214559387"/>
    <n v="1.7644686428715466E-2"/>
  </r>
  <r>
    <x v="0"/>
    <x v="0"/>
    <x v="0"/>
    <s v="M00000347385"/>
    <d v="2008-03-20T00:00:00"/>
    <n v="1837"/>
    <n v="0"/>
    <n v="1735"/>
    <n v="645"/>
    <x v="0"/>
    <s v="38"/>
    <s v="2580"/>
    <n v="38"/>
    <n v="0.67248062015503873"/>
    <n v="1.7696858425132599E-2"/>
  </r>
  <r>
    <x v="0"/>
    <x v="0"/>
    <x v="0"/>
    <s v="M00000294687"/>
    <d v="2007-08-30T00:00:00"/>
    <n v="1144"/>
    <n v="0"/>
    <n v="792.96"/>
    <n v="400"/>
    <x v="11"/>
    <s v="38"/>
    <s v="1600"/>
    <n v="28"/>
    <n v="0.49560000000000004"/>
    <n v="1.77E-2"/>
  </r>
  <r>
    <x v="0"/>
    <x v="0"/>
    <x v="0"/>
    <s v="M00000331723"/>
    <d v="2007-12-31T00:00:00"/>
    <n v="1115"/>
    <n v="0"/>
    <n v="749"/>
    <n v="390"/>
    <x v="2"/>
    <s v="38"/>
    <s v="1560"/>
    <n v="27"/>
    <n v="0.48012820512820514"/>
    <n v="1.778252611585945E-2"/>
  </r>
  <r>
    <x v="0"/>
    <x v="0"/>
    <x v="0"/>
    <s v="M00000316728"/>
    <d v="2007-11-29T00:00:00"/>
    <n v="606"/>
    <n v="0"/>
    <n v="574"/>
    <n v="212"/>
    <x v="0"/>
    <s v="38"/>
    <s v="848"/>
    <n v="38"/>
    <n v="0.67688679245283023"/>
    <n v="1.7812810327706059E-2"/>
  </r>
  <r>
    <x v="0"/>
    <x v="0"/>
    <x v="0"/>
    <s v="M00000275532"/>
    <d v="2007-06-07T00:00:00"/>
    <n v="1073"/>
    <n v="0"/>
    <n v="1017"/>
    <n v="375"/>
    <x v="0"/>
    <s v="38"/>
    <s v="1500"/>
    <n v="38"/>
    <n v="0.67800000000000005"/>
    <n v="1.7842105263157895E-2"/>
  </r>
  <r>
    <x v="0"/>
    <x v="0"/>
    <x v="0"/>
    <s v="M00000322226"/>
    <d v="2007-12-13T00:00:00"/>
    <n v="1125"/>
    <n v="0"/>
    <n v="845"/>
    <n v="393.5"/>
    <x v="1"/>
    <s v="38"/>
    <s v="1574"/>
    <n v="30"/>
    <n v="0.53684879288437104"/>
    <n v="1.7894959762812367E-2"/>
  </r>
  <r>
    <x v="0"/>
    <x v="0"/>
    <x v="0"/>
    <s v="M00000289898"/>
    <d v="2007-08-09T00:00:00"/>
    <n v="1357"/>
    <n v="0"/>
    <n v="985.96"/>
    <n v="474.75"/>
    <x v="8"/>
    <s v="38"/>
    <s v="1899"/>
    <n v="29"/>
    <n v="0.51919957872564515"/>
    <n v="1.7903433749160178E-2"/>
  </r>
  <r>
    <x v="0"/>
    <x v="0"/>
    <x v="0"/>
    <s v="M00000311147"/>
    <d v="2007-11-09T00:00:00"/>
    <n v="814"/>
    <n v="0"/>
    <n v="775"/>
    <n v="284.5"/>
    <x v="0"/>
    <s v="38"/>
    <s v="1138"/>
    <n v="38"/>
    <n v="0.6810193321616872"/>
    <n v="1.7921561372675979E-2"/>
  </r>
  <r>
    <x v="0"/>
    <x v="0"/>
    <x v="0"/>
    <s v="M00000351315"/>
    <d v="2008-04-03T00:00:00"/>
    <n v="740"/>
    <n v="0"/>
    <n v="504"/>
    <n v="260"/>
    <x v="2"/>
    <s v="38"/>
    <s v="1040"/>
    <n v="27"/>
    <n v="0.48461538461538461"/>
    <n v="1.7948717948717947E-2"/>
  </r>
  <r>
    <x v="0"/>
    <x v="0"/>
    <x v="0"/>
    <s v="M00000312064"/>
    <d v="2007-11-09T00:00:00"/>
    <n v="672"/>
    <n v="0"/>
    <n v="510"/>
    <n v="235"/>
    <x v="1"/>
    <s v="38"/>
    <s v="940"/>
    <n v="30"/>
    <n v="0.54255319148936165"/>
    <n v="1.8085106382978722E-2"/>
  </r>
  <r>
    <x v="0"/>
    <x v="0"/>
    <x v="0"/>
    <s v="M00000273089"/>
    <d v="2007-05-24T00:00:00"/>
    <n v="855"/>
    <n v="0"/>
    <n v="584.01"/>
    <n v="299"/>
    <x v="2"/>
    <s v="38"/>
    <s v="1196"/>
    <n v="27"/>
    <n v="0.48830267558528428"/>
    <n v="1.8085284280936455E-2"/>
  </r>
  <r>
    <x v="0"/>
    <x v="0"/>
    <x v="0"/>
    <s v="M00000327059"/>
    <d v="2007-12-31T00:00:00"/>
    <n v="1144"/>
    <n v="0"/>
    <n v="725"/>
    <n v="400"/>
    <x v="3"/>
    <s v="38"/>
    <s v="1600"/>
    <n v="25"/>
    <n v="0.453125"/>
    <n v="1.8124999999999999E-2"/>
  </r>
  <r>
    <x v="0"/>
    <x v="0"/>
    <x v="0"/>
    <s v="M00000298908"/>
    <d v="2007-09-20T00:00:00"/>
    <n v="958"/>
    <n v="0"/>
    <n v="730"/>
    <n v="335"/>
    <x v="1"/>
    <s v="38"/>
    <s v="1340"/>
    <n v="30"/>
    <n v="0.54477611940298509"/>
    <n v="1.8159203980099504E-2"/>
  </r>
  <r>
    <x v="0"/>
    <x v="0"/>
    <x v="0"/>
    <s v="M00000274169"/>
    <d v="2007-05-31T00:00:00"/>
    <n v="772"/>
    <n v="0"/>
    <n v="531.04"/>
    <n v="270"/>
    <x v="2"/>
    <s v="38"/>
    <s v="1080"/>
    <n v="27"/>
    <n v="0.49170370370370364"/>
    <n v="1.8211248285322359E-2"/>
  </r>
  <r>
    <x v="0"/>
    <x v="0"/>
    <x v="0"/>
    <s v="M00000315267"/>
    <d v="2007-11-21T00:00:00"/>
    <n v="1214"/>
    <n v="0"/>
    <n v="836"/>
    <n v="424.5"/>
    <x v="2"/>
    <s v="38"/>
    <s v="1698"/>
    <n v="27"/>
    <n v="0.49234393404004712"/>
    <n v="1.8234960520001744E-2"/>
  </r>
  <r>
    <x v="0"/>
    <x v="0"/>
    <x v="0"/>
    <s v="M00000347153"/>
    <d v="2008-03-20T00:00:00"/>
    <n v="843"/>
    <n v="0"/>
    <n v="497"/>
    <n v="295.75"/>
    <x v="4"/>
    <s v="38"/>
    <s v="1183"/>
    <n v="23"/>
    <n v="0.42011834319526625"/>
    <n v="1.8266014921533315E-2"/>
  </r>
  <r>
    <x v="0"/>
    <x v="0"/>
    <x v="0"/>
    <s v="M00000367056"/>
    <d v="2008-06-12T00:00:00"/>
    <n v="1014"/>
    <n v="0"/>
    <n v="703"/>
    <n v="356"/>
    <x v="2"/>
    <s v="38"/>
    <s v="1424"/>
    <n v="27"/>
    <n v="0.4936797752808989"/>
    <n v="1.8284436121514775E-2"/>
  </r>
  <r>
    <x v="0"/>
    <x v="0"/>
    <x v="0"/>
    <s v="M00000321604"/>
    <d v="2007-12-13T00:00:00"/>
    <n v="801"/>
    <n v="0"/>
    <n v="780"/>
    <n v="280"/>
    <x v="0"/>
    <s v="38"/>
    <s v="1120"/>
    <n v="38"/>
    <n v="0.6964285714285714"/>
    <n v="1.8327067669172931E-2"/>
  </r>
  <r>
    <x v="0"/>
    <x v="0"/>
    <x v="0"/>
    <s v="M00000332581"/>
    <d v="2007-12-31T00:00:00"/>
    <n v="1164"/>
    <n v="0"/>
    <n v="688"/>
    <n v="407"/>
    <x v="4"/>
    <s v="38"/>
    <s v="1628"/>
    <n v="23"/>
    <n v="0.4226044226044226"/>
    <n v="1.8374105330627069E-2"/>
  </r>
  <r>
    <x v="0"/>
    <x v="0"/>
    <x v="0"/>
    <s v="M00000302371"/>
    <d v="2007-10-11T00:00:00"/>
    <n v="972"/>
    <n v="0"/>
    <n v="950"/>
    <n v="340"/>
    <x v="13"/>
    <s v="41"/>
    <s v="1360"/>
    <n v="38"/>
    <n v="0.69852941176470584"/>
    <n v="1.8382352941176471E-2"/>
  </r>
  <r>
    <x v="0"/>
    <x v="0"/>
    <x v="0"/>
    <s v="M00000341128"/>
    <d v="2008-02-29T00:00:00"/>
    <n v="901"/>
    <n v="0"/>
    <n v="696"/>
    <n v="315"/>
    <x v="1"/>
    <s v="38"/>
    <s v="1260"/>
    <n v="30"/>
    <n v="0.55238095238095242"/>
    <n v="1.8412698412698415E-2"/>
  </r>
  <r>
    <x v="0"/>
    <x v="0"/>
    <x v="0"/>
    <s v="M00000279545"/>
    <d v="2007-06-28T00:00:00"/>
    <n v="1001"/>
    <n v="0"/>
    <n v="980"/>
    <n v="350"/>
    <x v="1"/>
    <s v="46"/>
    <s v="1400"/>
    <n v="38"/>
    <n v="0.7"/>
    <n v="1.8421052631578946E-2"/>
  </r>
  <r>
    <x v="0"/>
    <x v="0"/>
    <x v="0"/>
    <s v="M00000314929"/>
    <d v="2007-11-21T00:00:00"/>
    <n v="1216"/>
    <n v="0"/>
    <n v="1190"/>
    <n v="425"/>
    <x v="0"/>
    <s v="38"/>
    <s v="1700"/>
    <n v="38"/>
    <n v="0.7"/>
    <n v="1.8421052631578946E-2"/>
  </r>
  <r>
    <x v="0"/>
    <x v="0"/>
    <x v="0"/>
    <s v="M00000347376"/>
    <d v="2008-03-20T00:00:00"/>
    <n v="985"/>
    <n v="0"/>
    <n v="765"/>
    <n v="345.75"/>
    <x v="1"/>
    <s v="38"/>
    <s v="1383"/>
    <n v="30"/>
    <n v="0.55314533622559658"/>
    <n v="1.8438177874186553E-2"/>
  </r>
  <r>
    <x v="0"/>
    <x v="0"/>
    <x v="0"/>
    <s v="M00000362136"/>
    <d v="2008-05-22T00:00:00"/>
    <n v="933"/>
    <n v="0"/>
    <n v="725"/>
    <n v="327.5"/>
    <x v="1"/>
    <s v="38"/>
    <s v="1310"/>
    <n v="30"/>
    <n v="0.55343511450381677"/>
    <n v="1.8447837150127225E-2"/>
  </r>
  <r>
    <x v="0"/>
    <x v="0"/>
    <x v="0"/>
    <s v="M00000341084"/>
    <d v="2008-02-21T00:00:00"/>
    <n v="672"/>
    <n v="0"/>
    <n v="660"/>
    <n v="235"/>
    <x v="0"/>
    <s v="38"/>
    <s v="940"/>
    <n v="38"/>
    <n v="0.7021276595744681"/>
    <n v="1.8477043673012318E-2"/>
  </r>
  <r>
    <x v="0"/>
    <x v="0"/>
    <x v="0"/>
    <s v="M00000278325"/>
    <d v="2007-06-21T00:00:00"/>
    <n v="855"/>
    <n v="0"/>
    <n v="839.95"/>
    <n v="299"/>
    <x v="0"/>
    <s v="38"/>
    <s v="1196"/>
    <n v="38"/>
    <n v="0.70229933110367893"/>
    <n v="1.8481561344833655E-2"/>
  </r>
  <r>
    <x v="0"/>
    <x v="0"/>
    <x v="0"/>
    <s v="M00000275441"/>
    <d v="2007-07-26T00:00:00"/>
    <n v="409"/>
    <n v="0"/>
    <n v="401.94"/>
    <n v="143"/>
    <x v="0"/>
    <s v="38"/>
    <s v="572"/>
    <n v="38"/>
    <n v="0.70269230769230773"/>
    <n v="1.84919028340081E-2"/>
  </r>
  <r>
    <x v="0"/>
    <x v="0"/>
    <x v="0"/>
    <s v="M00000279580"/>
    <d v="2007-06-28T00:00:00"/>
    <n v="715"/>
    <n v="0"/>
    <n v="500"/>
    <n v="250"/>
    <x v="2"/>
    <s v="38"/>
    <s v="1000"/>
    <n v="27"/>
    <n v="0.5"/>
    <n v="1.8518518518518517E-2"/>
  </r>
  <r>
    <x v="0"/>
    <x v="0"/>
    <x v="0"/>
    <s v="M00000333412"/>
    <d v="2007-12-31T00:00:00"/>
    <n v="1030"/>
    <n v="0"/>
    <n v="800"/>
    <n v="360"/>
    <x v="1"/>
    <s v="38"/>
    <s v="1440"/>
    <n v="30"/>
    <n v="0.55555555555555558"/>
    <n v="1.8518518518518521E-2"/>
  </r>
  <r>
    <x v="0"/>
    <x v="0"/>
    <x v="0"/>
    <s v="M00000333167"/>
    <d v="2007-12-31T00:00:00"/>
    <n v="864"/>
    <n v="0"/>
    <n v="672"/>
    <n v="302"/>
    <x v="1"/>
    <s v="38"/>
    <s v="1208"/>
    <n v="30"/>
    <n v="0.55629139072847678"/>
    <n v="1.8543046357615892E-2"/>
  </r>
  <r>
    <x v="0"/>
    <x v="0"/>
    <x v="0"/>
    <s v="M00000316783"/>
    <d v="2007-11-29T00:00:00"/>
    <n v="912"/>
    <n v="0"/>
    <n v="710"/>
    <n v="318.75"/>
    <x v="1"/>
    <s v="38"/>
    <s v="1275"/>
    <n v="30"/>
    <n v="0.55686274509803924"/>
    <n v="1.8562091503267975E-2"/>
  </r>
  <r>
    <x v="0"/>
    <x v="0"/>
    <x v="0"/>
    <s v="M00000274446"/>
    <d v="2007-05-31T00:00:00"/>
    <n v="715"/>
    <n v="0"/>
    <n v="560"/>
    <n v="250"/>
    <x v="1"/>
    <s v="38"/>
    <s v="1000"/>
    <n v="30"/>
    <n v="0.56000000000000005"/>
    <n v="1.8666666666666668E-2"/>
  </r>
  <r>
    <x v="0"/>
    <x v="0"/>
    <x v="0"/>
    <s v="M00000277907"/>
    <d v="2007-06-21T00:00:00"/>
    <n v="502"/>
    <n v="0"/>
    <n v="500.03"/>
    <n v="175.5"/>
    <x v="0"/>
    <s v="38"/>
    <s v="702"/>
    <n v="38"/>
    <n v="0.71229344729344723"/>
    <n v="1.8744564402459137E-2"/>
  </r>
  <r>
    <x v="0"/>
    <x v="0"/>
    <x v="0"/>
    <s v="M00000339018"/>
    <d v="2008-02-14T00:00:00"/>
    <n v="1184"/>
    <n v="0"/>
    <n v="934"/>
    <n v="414"/>
    <x v="1"/>
    <s v="38"/>
    <s v="1656"/>
    <n v="30"/>
    <n v="0.56400966183574874"/>
    <n v="1.8800322061191626E-2"/>
  </r>
  <r>
    <x v="0"/>
    <x v="0"/>
    <x v="0"/>
    <s v="M00000323780"/>
    <d v="2007-12-20T00:00:00"/>
    <n v="1802"/>
    <n v="0"/>
    <n v="1422"/>
    <n v="630"/>
    <x v="1"/>
    <s v="38"/>
    <s v="2520"/>
    <n v="30"/>
    <n v="0.56428571428571428"/>
    <n v="1.8809523809523811E-2"/>
  </r>
  <r>
    <x v="0"/>
    <x v="0"/>
    <x v="0"/>
    <s v="M00000275372"/>
    <d v="2007-06-07T00:00:00"/>
    <n v="898"/>
    <n v="0"/>
    <n v="449.04"/>
    <n v="313.75"/>
    <x v="5"/>
    <s v="38"/>
    <s v="1255"/>
    <n v="19"/>
    <n v="0.35780079681274901"/>
    <n v="1.8831620884881526E-2"/>
  </r>
  <r>
    <x v="0"/>
    <x v="0"/>
    <x v="0"/>
    <s v="M00000320807"/>
    <d v="2007-12-13T00:00:00"/>
    <n v="358"/>
    <n v="0"/>
    <n v="179"/>
    <n v="125"/>
    <x v="5"/>
    <s v="38"/>
    <s v="500"/>
    <n v="19"/>
    <n v="0.35799999999999998"/>
    <n v="1.8842105263157893E-2"/>
  </r>
  <r>
    <x v="0"/>
    <x v="0"/>
    <x v="0"/>
    <s v="M00000342020"/>
    <d v="2008-02-29T00:00:00"/>
    <n v="1060"/>
    <n v="0"/>
    <n v="728"/>
    <n v="370.75"/>
    <x v="14"/>
    <s v="38"/>
    <s v="1483"/>
    <n v="26"/>
    <n v="0.49089683074848278"/>
    <n v="1.8880647336480108E-2"/>
  </r>
  <r>
    <x v="0"/>
    <x v="0"/>
    <x v="0"/>
    <s v="M00000294047"/>
    <d v="2007-08-30T00:00:00"/>
    <n v="757"/>
    <n v="0"/>
    <n v="540"/>
    <n v="264.5"/>
    <x v="2"/>
    <s v="38"/>
    <s v="1058"/>
    <n v="27"/>
    <n v="0.5103969754253308"/>
    <n v="1.890359168241966E-2"/>
  </r>
  <r>
    <x v="0"/>
    <x v="0"/>
    <x v="0"/>
    <s v="M00000333358"/>
    <d v="2007-12-31T00:00:00"/>
    <n v="592"/>
    <n v="0"/>
    <n v="595"/>
    <n v="207"/>
    <x v="0"/>
    <s v="38"/>
    <s v="828"/>
    <n v="38"/>
    <n v="0.71859903381642509"/>
    <n v="1.8910500889905923E-2"/>
  </r>
  <r>
    <x v="0"/>
    <x v="0"/>
    <x v="0"/>
    <s v="M00000365339"/>
    <d v="2008-06-26T00:00:00"/>
    <n v="427"/>
    <n v="0"/>
    <n v="432"/>
    <n v="150"/>
    <x v="0"/>
    <s v="38"/>
    <s v="600"/>
    <n v="38"/>
    <n v="0.72"/>
    <n v="1.8947368421052629E-2"/>
  </r>
  <r>
    <x v="0"/>
    <x v="0"/>
    <x v="0"/>
    <s v="M00000340531"/>
    <d v="2008-03-06T00:00:00"/>
    <n v="1743"/>
    <n v="0"/>
    <n v="1400"/>
    <n v="612"/>
    <x v="1"/>
    <s v="38"/>
    <s v="2448"/>
    <n v="30"/>
    <n v="0.57189542483660127"/>
    <n v="1.906318082788671E-2"/>
  </r>
  <r>
    <x v="0"/>
    <x v="0"/>
    <x v="0"/>
    <s v="M00000363231"/>
    <d v="2008-05-22T00:00:00"/>
    <n v="779"/>
    <n v="0"/>
    <n v="626"/>
    <n v="273.5"/>
    <x v="1"/>
    <s v="38"/>
    <s v="1094"/>
    <n v="30"/>
    <n v="0.57221206581352835"/>
    <n v="1.9073735527117611E-2"/>
  </r>
  <r>
    <x v="0"/>
    <x v="0"/>
    <x v="0"/>
    <s v="M00000354474"/>
    <d v="2008-04-17T00:00:00"/>
    <n v="1220"/>
    <n v="0"/>
    <n v="754"/>
    <n v="428.25"/>
    <x v="4"/>
    <s v="38"/>
    <s v="1713"/>
    <n v="23"/>
    <n v="0.44016345592527728"/>
    <n v="1.9137541561968577E-2"/>
  </r>
  <r>
    <x v="0"/>
    <x v="0"/>
    <x v="0"/>
    <s v="M00000292521"/>
    <d v="2007-08-23T00:00:00"/>
    <n v="966"/>
    <n v="0"/>
    <n v="775.98"/>
    <n v="337.5"/>
    <x v="11"/>
    <s v="40"/>
    <s v="1350"/>
    <n v="30"/>
    <n v="0.57479999999999998"/>
    <n v="1.916E-2"/>
  </r>
  <r>
    <x v="0"/>
    <x v="0"/>
    <x v="0"/>
    <s v="M00000365772"/>
    <d v="2008-06-05T00:00:00"/>
    <n v="513"/>
    <n v="0"/>
    <n v="346"/>
    <n v="180.25"/>
    <x v="3"/>
    <s v="38"/>
    <s v="721"/>
    <n v="25"/>
    <n v="0.47988904299583912"/>
    <n v="1.9195561719833564E-2"/>
  </r>
  <r>
    <x v="0"/>
    <x v="0"/>
    <x v="0"/>
    <s v="M00000314694"/>
    <d v="2007-11-21T00:00:00"/>
    <n v="721"/>
    <n v="0"/>
    <n v="581"/>
    <n v="252"/>
    <x v="1"/>
    <s v="38"/>
    <s v="1008"/>
    <n v="30"/>
    <n v="0.57638888888888884"/>
    <n v="1.9212962962962963E-2"/>
  </r>
  <r>
    <x v="0"/>
    <x v="0"/>
    <x v="0"/>
    <s v="M00000283395"/>
    <d v="2007-07-12T00:00:00"/>
    <n v="1073"/>
    <n v="0"/>
    <n v="750"/>
    <n v="375"/>
    <x v="14"/>
    <s v="38"/>
    <s v="1500"/>
    <n v="26"/>
    <n v="0.5"/>
    <n v="1.9230769230769232E-2"/>
  </r>
  <r>
    <x v="0"/>
    <x v="0"/>
    <x v="0"/>
    <s v="M00000370877"/>
    <d v="2008-06-26T00:00:00"/>
    <n v="1218"/>
    <n v="0"/>
    <n v="1250"/>
    <n v="427.5"/>
    <x v="0"/>
    <s v="38"/>
    <s v="1710"/>
    <n v="38"/>
    <n v="0.73099415204678364"/>
    <n v="1.9236688211757464E-2"/>
  </r>
  <r>
    <x v="0"/>
    <x v="0"/>
    <x v="0"/>
    <s v="M00000270536"/>
    <d v="2007-05-31T00:00:00"/>
    <n v="1399"/>
    <n v="0"/>
    <n v="790.63"/>
    <n v="489.25"/>
    <x v="15"/>
    <s v="38"/>
    <s v="1957"/>
    <n v="21"/>
    <n v="0.40400102197240673"/>
    <n v="1.9238143903447941E-2"/>
  </r>
  <r>
    <x v="0"/>
    <x v="0"/>
    <x v="0"/>
    <s v="M00000317611"/>
    <d v="2007-12-13T00:00:00"/>
    <n v="752"/>
    <n v="0"/>
    <n v="609"/>
    <n v="263.25"/>
    <x v="1"/>
    <s v="38"/>
    <s v="1053"/>
    <n v="30"/>
    <n v="0.57834757834757833"/>
    <n v="1.9278252611585944E-2"/>
  </r>
  <r>
    <x v="0"/>
    <x v="0"/>
    <x v="0"/>
    <s v="M00000346504"/>
    <d v="2008-03-20T00:00:00"/>
    <n v="1068"/>
    <n v="0"/>
    <n v="1100"/>
    <n v="375"/>
    <x v="0"/>
    <s v="38"/>
    <s v="1500"/>
    <n v="38"/>
    <n v="0.73333333333333328"/>
    <n v="1.9298245614035085E-2"/>
  </r>
  <r>
    <x v="0"/>
    <x v="0"/>
    <x v="0"/>
    <s v="M00000333107"/>
    <d v="2007-12-31T00:00:00"/>
    <n v="1179"/>
    <n v="0"/>
    <n v="896"/>
    <n v="412.5"/>
    <x v="11"/>
    <s v="38"/>
    <s v="1650"/>
    <n v="28"/>
    <n v="0.54303030303030309"/>
    <n v="1.9393939393939397E-2"/>
  </r>
  <r>
    <x v="0"/>
    <x v="0"/>
    <x v="0"/>
    <s v="M00000363529"/>
    <d v="2008-05-29T00:00:00"/>
    <n v="593"/>
    <n v="0"/>
    <n v="614"/>
    <n v="208"/>
    <x v="0"/>
    <s v="38"/>
    <s v="832"/>
    <n v="38"/>
    <n v="0.73798076923076927"/>
    <n v="1.9420546558704455E-2"/>
  </r>
  <r>
    <x v="0"/>
    <x v="0"/>
    <x v="0"/>
    <s v="M00000339030"/>
    <d v="2008-02-14T00:00:00"/>
    <n v="1507"/>
    <n v="0"/>
    <n v="780"/>
    <n v="527"/>
    <x v="5"/>
    <s v="38"/>
    <s v="2108"/>
    <n v="19"/>
    <n v="0.37001897533206829"/>
    <n v="1.947468291221412E-2"/>
  </r>
  <r>
    <x v="0"/>
    <x v="0"/>
    <x v="0"/>
    <s v="M00000272807"/>
    <d v="2007-05-24T00:00:00"/>
    <n v="1199"/>
    <n v="0"/>
    <n v="815.02"/>
    <n v="419.25"/>
    <x v="5"/>
    <s v="38"/>
    <s v="2202"/>
    <n v="19"/>
    <n v="0.37012715712988192"/>
    <n v="1.9480376691046419E-2"/>
  </r>
  <r>
    <x v="0"/>
    <x v="0"/>
    <x v="0"/>
    <s v="M00000341189"/>
    <d v="2008-02-21T00:00:00"/>
    <n v="1101"/>
    <n v="0"/>
    <n v="780"/>
    <n v="385"/>
    <x v="14"/>
    <s v="38"/>
    <s v="1540"/>
    <n v="26"/>
    <n v="0.50649350649350644"/>
    <n v="1.948051948051948E-2"/>
  </r>
  <r>
    <x v="0"/>
    <x v="0"/>
    <x v="0"/>
    <s v="M00000274032"/>
    <d v="2007-05-31T00:00:00"/>
    <n v="801"/>
    <n v="0"/>
    <n v="414.96"/>
    <n v="280"/>
    <x v="5"/>
    <s v="38"/>
    <s v="1120"/>
    <n v="19"/>
    <n v="0.3705"/>
    <n v="1.95E-2"/>
  </r>
  <r>
    <x v="0"/>
    <x v="0"/>
    <x v="0"/>
    <s v="M00000358379"/>
    <d v="2008-05-08T00:00:00"/>
    <n v="783"/>
    <n v="0"/>
    <n v="665"/>
    <n v="275"/>
    <x v="6"/>
    <s v="49"/>
    <s v="1100"/>
    <n v="31"/>
    <n v="0.6045454545454545"/>
    <n v="1.9501466275659823E-2"/>
  </r>
  <r>
    <x v="0"/>
    <x v="0"/>
    <x v="0"/>
    <s v="M00000350927"/>
    <d v="2008-04-03T00:00:00"/>
    <n v="2228"/>
    <n v="0"/>
    <n v="1588"/>
    <n v="782.25"/>
    <x v="14"/>
    <s v="38"/>
    <s v="3129"/>
    <n v="26"/>
    <n v="0.50751038670501758"/>
    <n v="1.9519630257885293E-2"/>
  </r>
  <r>
    <x v="0"/>
    <x v="0"/>
    <x v="0"/>
    <s v="M00000342016"/>
    <d v="2008-02-29T00:00:00"/>
    <n v="1298"/>
    <n v="0"/>
    <n v="959"/>
    <n v="454"/>
    <x v="2"/>
    <s v="38"/>
    <s v="1816"/>
    <n v="27"/>
    <n v="0.52808370044052866"/>
    <n v="1.9558655571871433E-2"/>
  </r>
  <r>
    <x v="0"/>
    <x v="0"/>
    <x v="0"/>
    <s v="M00000323796"/>
    <d v="2007-12-20T00:00:00"/>
    <n v="812"/>
    <n v="0"/>
    <n v="512"/>
    <n v="284"/>
    <x v="4"/>
    <s v="38"/>
    <s v="1136"/>
    <n v="23"/>
    <n v="0.45070422535211269"/>
    <n v="1.9595835884874464E-2"/>
  </r>
  <r>
    <x v="0"/>
    <x v="0"/>
    <x v="0"/>
    <s v="M00000336706"/>
    <d v="2008-02-21T00:00:00"/>
    <n v="1502"/>
    <n v="0"/>
    <n v="1235"/>
    <n v="525"/>
    <x v="1"/>
    <s v="38"/>
    <s v="2100"/>
    <n v="30"/>
    <n v="0.58809523809523812"/>
    <n v="1.9603174603174605E-2"/>
  </r>
  <r>
    <x v="0"/>
    <x v="0"/>
    <x v="0"/>
    <s v="M00000283329"/>
    <d v="2007-07-12T00:00:00"/>
    <n v="853"/>
    <n v="0"/>
    <n v="889.98"/>
    <n v="298.25"/>
    <x v="0"/>
    <s v="38"/>
    <s v="1193"/>
    <n v="38"/>
    <n v="0.74600167644593463"/>
    <n v="1.96316230643667E-2"/>
  </r>
  <r>
    <x v="0"/>
    <x v="0"/>
    <x v="0"/>
    <s v="M00000315062"/>
    <d v="2007-12-31T00:00:00"/>
    <n v="1330"/>
    <n v="0"/>
    <n v="1390"/>
    <n v="465"/>
    <x v="0"/>
    <s v="38"/>
    <s v="1860"/>
    <n v="38"/>
    <n v="0.74731182795698925"/>
    <n v="1.9666100735710245E-2"/>
  </r>
  <r>
    <x v="0"/>
    <x v="0"/>
    <x v="0"/>
    <s v="M00000346889"/>
    <d v="2008-03-13T00:00:00"/>
    <n v="598"/>
    <n v="0"/>
    <n v="413"/>
    <n v="210"/>
    <x v="3"/>
    <s v="38"/>
    <s v="840"/>
    <n v="25"/>
    <n v="0.49166666666666664"/>
    <n v="1.9666666666666666E-2"/>
  </r>
  <r>
    <x v="0"/>
    <x v="0"/>
    <x v="0"/>
    <s v="M00000367503"/>
    <d v="2008-06-12T00:00:00"/>
    <n v="735"/>
    <n v="0"/>
    <n v="610"/>
    <n v="258"/>
    <x v="1"/>
    <s v="38"/>
    <s v="1032"/>
    <n v="30"/>
    <n v="0.59108527131782951"/>
    <n v="1.9702842377260985E-2"/>
  </r>
  <r>
    <x v="0"/>
    <x v="0"/>
    <x v="0"/>
    <s v="M00000285136"/>
    <d v="2007-07-19T00:00:00"/>
    <n v="286"/>
    <n v="0"/>
    <n v="300"/>
    <n v="100"/>
    <x v="0"/>
    <s v="38"/>
    <s v="400"/>
    <n v="38"/>
    <n v="0.75"/>
    <n v="1.9736842105263157E-2"/>
  </r>
  <r>
    <x v="0"/>
    <x v="0"/>
    <x v="0"/>
    <s v="M00000289978"/>
    <d v="2007-08-30T00:00:00"/>
    <n v="715"/>
    <n v="0"/>
    <n v="750"/>
    <n v="250"/>
    <x v="13"/>
    <s v="41"/>
    <s v="1000"/>
    <n v="38"/>
    <n v="0.75"/>
    <n v="1.9736842105263157E-2"/>
  </r>
  <r>
    <x v="0"/>
    <x v="0"/>
    <x v="0"/>
    <s v="M00000278802"/>
    <d v="2007-06-21T00:00:00"/>
    <n v="1026"/>
    <n v="0"/>
    <n v="765.96"/>
    <n v="359"/>
    <x v="2"/>
    <s v="38"/>
    <s v="1436"/>
    <n v="27"/>
    <n v="0.53339832869080783"/>
    <n v="1.9755493655215103E-2"/>
  </r>
  <r>
    <x v="0"/>
    <x v="0"/>
    <x v="0"/>
    <s v="M00000311304"/>
    <d v="2007-11-09T00:00:00"/>
    <n v="959"/>
    <n v="0"/>
    <n v="610"/>
    <n v="335.5"/>
    <x v="4"/>
    <s v="38"/>
    <s v="1342"/>
    <n v="23"/>
    <n v="0.45454545454545453"/>
    <n v="1.9762845849802372E-2"/>
  </r>
  <r>
    <x v="0"/>
    <x v="0"/>
    <x v="0"/>
    <s v="M00000292061"/>
    <d v="2007-08-16T00:00:00"/>
    <n v="1073"/>
    <n v="0"/>
    <n v="1129.95"/>
    <n v="375"/>
    <x v="0"/>
    <s v="38"/>
    <s v="1500"/>
    <n v="38"/>
    <n v="0.75330000000000008"/>
    <n v="1.9823684210526316E-2"/>
  </r>
  <r>
    <x v="0"/>
    <x v="0"/>
    <x v="0"/>
    <s v="M00000354121"/>
    <d v="2008-04-17T00:00:00"/>
    <n v="908"/>
    <n v="0"/>
    <n v="760"/>
    <n v="318.75"/>
    <x v="1"/>
    <s v="38"/>
    <s v="1275"/>
    <n v="30"/>
    <n v="0.59607843137254901"/>
    <n v="1.9869281045751634E-2"/>
  </r>
  <r>
    <x v="0"/>
    <x v="0"/>
    <x v="0"/>
    <s v="M00000343275"/>
    <d v="2008-03-06T00:00:00"/>
    <n v="937"/>
    <n v="0"/>
    <n v="497"/>
    <n v="329"/>
    <x v="5"/>
    <s v="38"/>
    <s v="1316"/>
    <n v="19"/>
    <n v="0.37765957446808512"/>
    <n v="1.9876819708846586E-2"/>
  </r>
  <r>
    <x v="0"/>
    <x v="0"/>
    <x v="0"/>
    <s v="M00000332148"/>
    <d v="2007-12-31T00:00:00"/>
    <n v="1036"/>
    <n v="0"/>
    <n v="923.97"/>
    <n v="362.5"/>
    <x v="12"/>
    <s v="38"/>
    <s v="1450"/>
    <n v="32"/>
    <n v="0.63722068965517242"/>
    <n v="1.9913146551724138E-2"/>
  </r>
  <r>
    <x v="0"/>
    <x v="0"/>
    <x v="0"/>
    <s v="M00000318896"/>
    <d v="2007-12-06T00:00:00"/>
    <n v="787"/>
    <n v="0"/>
    <n v="920"/>
    <n v="275"/>
    <x v="16"/>
    <s v="49"/>
    <s v="1100"/>
    <n v="42"/>
    <n v="0.83636363636363631"/>
    <n v="1.9913419913419911E-2"/>
  </r>
  <r>
    <x v="0"/>
    <x v="0"/>
    <x v="0"/>
    <s v="M00000354470"/>
    <d v="2008-04-17T00:00:00"/>
    <n v="790"/>
    <n v="0"/>
    <n v="774"/>
    <n v="277.5"/>
    <x v="13"/>
    <s v="38"/>
    <s v="1110"/>
    <n v="35"/>
    <n v="0.69729729729729728"/>
    <n v="1.9922779922779923E-2"/>
  </r>
  <r>
    <x v="0"/>
    <x v="0"/>
    <x v="0"/>
    <s v="M00000348728"/>
    <d v="2008-03-27T00:00:00"/>
    <n v="2136"/>
    <n v="0"/>
    <n v="2390.83"/>
    <n v="750"/>
    <x v="11"/>
    <s v="50"/>
    <s v="3000"/>
    <n v="40"/>
    <n v="0.79694333333333334"/>
    <n v="1.9923583333333335E-2"/>
  </r>
  <r>
    <x v="0"/>
    <x v="0"/>
    <x v="0"/>
    <s v="M00000344060"/>
    <d v="2008-03-13T00:00:00"/>
    <n v="963"/>
    <n v="0"/>
    <n v="815"/>
    <n v="338"/>
    <x v="1"/>
    <s v="38"/>
    <s v="1352"/>
    <n v="30"/>
    <n v="0.60281065088757402"/>
    <n v="2.0093688362919134E-2"/>
  </r>
  <r>
    <x v="0"/>
    <x v="0"/>
    <x v="0"/>
    <s v="M00000372865"/>
    <d v="2008-07-03T00:00:00"/>
    <n v="819"/>
    <n v="0"/>
    <n v="442"/>
    <n v="287.75"/>
    <x v="5"/>
    <s v="38"/>
    <s v="1151"/>
    <n v="19"/>
    <n v="0.38401390095569071"/>
    <n v="2.0211257945036355E-2"/>
  </r>
  <r>
    <x v="0"/>
    <x v="0"/>
    <x v="0"/>
    <s v="M00000356156"/>
    <d v="2008-04-30T00:00:00"/>
    <n v="1274"/>
    <n v="0"/>
    <n v="980"/>
    <n v="447.25"/>
    <x v="2"/>
    <s v="38"/>
    <s v="1789"/>
    <n v="27"/>
    <n v="0.54779206260480717"/>
    <n v="2.0288594911289155E-2"/>
  </r>
  <r>
    <x v="0"/>
    <x v="0"/>
    <x v="0"/>
    <s v="M00000306969"/>
    <d v="2007-10-25T00:00:00"/>
    <n v="930"/>
    <n v="0"/>
    <n v="845"/>
    <n v="325"/>
    <x v="12"/>
    <s v="38"/>
    <s v="1300"/>
    <n v="32"/>
    <n v="0.65"/>
    <n v="2.0312500000000001E-2"/>
  </r>
  <r>
    <x v="0"/>
    <x v="0"/>
    <x v="0"/>
    <s v="M00000298920"/>
    <d v="2007-09-14T00:00:00"/>
    <n v="1287"/>
    <n v="0"/>
    <n v="1100"/>
    <n v="450"/>
    <x v="1"/>
    <s v="38"/>
    <s v="1800"/>
    <n v="30"/>
    <n v="0.61111111111111116"/>
    <n v="2.0370370370370372E-2"/>
  </r>
  <r>
    <x v="0"/>
    <x v="0"/>
    <x v="0"/>
    <s v="M00000308360"/>
    <d v="2007-10-25T00:00:00"/>
    <n v="934"/>
    <n v="0"/>
    <n v="559"/>
    <n v="326.5"/>
    <x v="15"/>
    <s v="38"/>
    <s v="1306"/>
    <n v="21"/>
    <n v="0.42802450229709033"/>
    <n v="2.0382119157004303E-2"/>
  </r>
  <r>
    <x v="0"/>
    <x v="0"/>
    <x v="0"/>
    <s v="M00000320998"/>
    <d v="2007-12-13T00:00:00"/>
    <n v="772"/>
    <n v="0"/>
    <n v="927"/>
    <n v="270"/>
    <x v="6"/>
    <s v="60"/>
    <s v="1080"/>
    <n v="42"/>
    <n v="0.85833333333333328"/>
    <n v="2.0436507936507937E-2"/>
  </r>
  <r>
    <x v="0"/>
    <x v="0"/>
    <x v="0"/>
    <s v="M00000327400"/>
    <d v="2007-12-31T00:00:00"/>
    <n v="1573"/>
    <n v="0"/>
    <n v="1350"/>
    <n v="550"/>
    <x v="1"/>
    <s v="38"/>
    <s v="2200"/>
    <n v="30"/>
    <n v="0.61363636363636365"/>
    <n v="2.0454545454545454E-2"/>
  </r>
  <r>
    <x v="0"/>
    <x v="0"/>
    <x v="0"/>
    <s v="M00000287483"/>
    <d v="2007-07-26T00:00:00"/>
    <n v="340"/>
    <n v="0"/>
    <n v="369.99"/>
    <n v="119"/>
    <x v="0"/>
    <s v="38"/>
    <s v="476"/>
    <n v="38"/>
    <n v="0.77728991596638652"/>
    <n v="2.045499778858912E-2"/>
  </r>
  <r>
    <x v="0"/>
    <x v="0"/>
    <x v="0"/>
    <s v="M00000297814"/>
    <d v="2007-09-14T00:00:00"/>
    <n v="697"/>
    <n v="0"/>
    <n v="499.98"/>
    <n v="243.75"/>
    <x v="3"/>
    <s v="38"/>
    <s v="975"/>
    <n v="25"/>
    <n v="0.51280000000000003"/>
    <n v="2.0512000000000002E-2"/>
  </r>
  <r>
    <x v="0"/>
    <x v="0"/>
    <x v="0"/>
    <s v="M00000341282"/>
    <d v="2008-03-20T00:00:00"/>
    <n v="987"/>
    <n v="0"/>
    <n v="540.48"/>
    <n v="346.5"/>
    <x v="5"/>
    <s v="38"/>
    <s v="1386"/>
    <n v="19"/>
    <n v="0.38995670995670995"/>
    <n v="2.0524037366142629E-2"/>
  </r>
  <r>
    <x v="0"/>
    <x v="0"/>
    <x v="0"/>
    <s v="M00000306200"/>
    <d v="2007-10-18T00:00:00"/>
    <n v="858"/>
    <n v="0"/>
    <n v="940"/>
    <n v="300"/>
    <x v="0"/>
    <s v="38"/>
    <s v="1200"/>
    <n v="38"/>
    <n v="0.78333333333333333"/>
    <n v="2.0614035087719296E-2"/>
  </r>
  <r>
    <x v="0"/>
    <x v="0"/>
    <x v="0"/>
    <s v="M00000290520"/>
    <d v="2007-08-09T00:00:00"/>
    <n v="880"/>
    <n v="0"/>
    <n v="686.04"/>
    <n v="307.75"/>
    <x v="2"/>
    <s v="38"/>
    <s v="1231"/>
    <n v="27"/>
    <n v="0.55730300568643376"/>
    <n v="2.064085206246051E-2"/>
  </r>
  <r>
    <x v="0"/>
    <x v="0"/>
    <x v="0"/>
    <s v="M00000323981"/>
    <d v="2007-12-20T00:00:00"/>
    <n v="787"/>
    <n v="0"/>
    <n v="682"/>
    <n v="275"/>
    <x v="1"/>
    <s v="38"/>
    <s v="1100"/>
    <n v="30"/>
    <n v="0.62"/>
    <n v="2.0666666666666667E-2"/>
  </r>
  <r>
    <x v="0"/>
    <x v="0"/>
    <x v="0"/>
    <s v="M00000334727"/>
    <d v="2008-01-24T00:00:00"/>
    <n v="1073"/>
    <n v="0"/>
    <n v="930"/>
    <n v="375"/>
    <x v="1"/>
    <s v="38"/>
    <s v="1500"/>
    <n v="30"/>
    <n v="0.62"/>
    <n v="2.0666666666666667E-2"/>
  </r>
  <r>
    <x v="0"/>
    <x v="0"/>
    <x v="0"/>
    <s v="M00000338278"/>
    <d v="2008-02-07T00:00:00"/>
    <n v="1395"/>
    <n v="0"/>
    <n v="1209"/>
    <n v="487.5"/>
    <x v="1"/>
    <s v="38"/>
    <s v="1950"/>
    <n v="30"/>
    <n v="0.62"/>
    <n v="2.0666666666666667E-2"/>
  </r>
  <r>
    <x v="0"/>
    <x v="0"/>
    <x v="0"/>
    <s v="M00000331016"/>
    <d v="2007-12-31T00:00:00"/>
    <n v="824"/>
    <n v="0"/>
    <n v="715"/>
    <n v="288"/>
    <x v="1"/>
    <s v="38"/>
    <s v="1152"/>
    <n v="30"/>
    <n v="0.62065972222222221"/>
    <n v="2.0688657407407406E-2"/>
  </r>
  <r>
    <x v="0"/>
    <x v="0"/>
    <x v="0"/>
    <s v="M00000362205"/>
    <d v="2008-05-22T00:00:00"/>
    <n v="902"/>
    <n v="0"/>
    <n v="498"/>
    <n v="316.5"/>
    <x v="5"/>
    <s v="38"/>
    <s v="1266"/>
    <n v="19"/>
    <n v="0.39336492890995262"/>
    <n v="2.0703417311050139E-2"/>
  </r>
  <r>
    <x v="0"/>
    <x v="0"/>
    <x v="0"/>
    <s v="M00000299229"/>
    <d v="2007-09-20T00:00:00"/>
    <n v="855"/>
    <n v="0"/>
    <n v="496"/>
    <n v="299"/>
    <x v="6"/>
    <s v="38"/>
    <s v="1196"/>
    <n v="20"/>
    <n v="0.41471571906354515"/>
    <n v="2.0735785953177259E-2"/>
  </r>
  <r>
    <x v="0"/>
    <x v="0"/>
    <x v="0"/>
    <s v="M00000334872"/>
    <d v="2008-01-31T00:00:00"/>
    <n v="752"/>
    <n v="0"/>
    <n v="504"/>
    <n v="263.25"/>
    <x v="4"/>
    <s v="38"/>
    <s v="1053"/>
    <n v="23"/>
    <n v="0.47863247863247865"/>
    <n v="2.0810107766629508E-2"/>
  </r>
  <r>
    <x v="0"/>
    <x v="0"/>
    <x v="0"/>
    <s v="M00000309854"/>
    <d v="2007-11-01T00:00:00"/>
    <n v="914"/>
    <n v="0"/>
    <n v="665"/>
    <n v="319.5"/>
    <x v="3"/>
    <s v="38"/>
    <s v="1278"/>
    <n v="25"/>
    <n v="0.52034428794992171"/>
    <n v="2.0813771517996869E-2"/>
  </r>
  <r>
    <x v="0"/>
    <x v="0"/>
    <x v="0"/>
    <s v="M00000324540"/>
    <d v="2008-02-07T00:00:00"/>
    <n v="1287"/>
    <n v="0"/>
    <n v="1125"/>
    <n v="450"/>
    <x v="1"/>
    <s v="38"/>
    <s v="1800"/>
    <n v="30"/>
    <n v="0.625"/>
    <n v="2.0833333333333332E-2"/>
  </r>
  <r>
    <x v="0"/>
    <x v="0"/>
    <x v="0"/>
    <s v="M00000362729"/>
    <d v="2008-05-22T00:00:00"/>
    <n v="973"/>
    <n v="0"/>
    <n v="541"/>
    <n v="341.5"/>
    <x v="5"/>
    <s v="38"/>
    <s v="1366"/>
    <n v="19"/>
    <n v="0.39604685212298685"/>
    <n v="2.084457116436773E-2"/>
  </r>
  <r>
    <x v="0"/>
    <x v="0"/>
    <x v="0"/>
    <s v="M00000356284"/>
    <d v="2008-04-30T00:00:00"/>
    <n v="848"/>
    <n v="0"/>
    <n v="750"/>
    <n v="297.5"/>
    <x v="1"/>
    <s v="38"/>
    <s v="1190"/>
    <n v="30"/>
    <n v="0.63025210084033612"/>
    <n v="2.1008403361344536E-2"/>
  </r>
  <r>
    <x v="0"/>
    <x v="0"/>
    <x v="0"/>
    <s v="M00000285514"/>
    <d v="2007-07-19T00:00:00"/>
    <n v="792"/>
    <n v="0"/>
    <n v="745.02"/>
    <n v="277"/>
    <x v="12"/>
    <s v="38"/>
    <s v="1108"/>
    <n v="32"/>
    <n v="0.67240072202166068"/>
    <n v="2.1012522563176896E-2"/>
  </r>
  <r>
    <x v="0"/>
    <x v="0"/>
    <x v="0"/>
    <s v="M00000291448"/>
    <d v="2007-08-16T00:00:00"/>
    <n v="1153"/>
    <n v="0"/>
    <n v="643.99"/>
    <n v="403"/>
    <x v="5"/>
    <s v="38"/>
    <s v="1612"/>
    <n v="19"/>
    <n v="0.39949751861042182"/>
    <n v="2.1026185190022202E-2"/>
  </r>
  <r>
    <x v="0"/>
    <x v="0"/>
    <x v="0"/>
    <s v="M00000354284"/>
    <d v="2008-04-17T00:00:00"/>
    <n v="891"/>
    <n v="0"/>
    <n v="712"/>
    <n v="312.5"/>
    <x v="2"/>
    <s v="38"/>
    <s v="1250"/>
    <n v="27"/>
    <n v="0.5696"/>
    <n v="2.1096296296296297E-2"/>
  </r>
  <r>
    <x v="0"/>
    <x v="0"/>
    <x v="0"/>
    <s v="M00000326832"/>
    <d v="2007-12-31T00:00:00"/>
    <n v="744"/>
    <n v="0"/>
    <n v="571"/>
    <n v="260"/>
    <x v="14"/>
    <s v="38"/>
    <s v="1040"/>
    <n v="26"/>
    <n v="0.54903846153846159"/>
    <n v="2.1116863905325446E-2"/>
  </r>
  <r>
    <x v="0"/>
    <x v="0"/>
    <x v="0"/>
    <s v="M00000324940"/>
    <d v="2007-12-20T00:00:00"/>
    <n v="1144"/>
    <n v="0"/>
    <n v="1285.71"/>
    <n v="400"/>
    <x v="2"/>
    <s v="49"/>
    <s v="1600"/>
    <n v="38"/>
    <n v="0.80356875000000005"/>
    <n v="2.1146546052631582E-2"/>
  </r>
  <r>
    <x v="0"/>
    <x v="0"/>
    <x v="0"/>
    <s v="M00000324934"/>
    <d v="2007-12-20T00:00:00"/>
    <n v="858"/>
    <n v="0"/>
    <n v="964.29"/>
    <n v="300"/>
    <x v="2"/>
    <s v="49"/>
    <s v="1200"/>
    <n v="38"/>
    <n v="0.80357499999999993"/>
    <n v="2.1146710526315789E-2"/>
  </r>
  <r>
    <x v="0"/>
    <x v="0"/>
    <x v="0"/>
    <s v="M00000352769"/>
    <d v="2008-04-10T00:00:00"/>
    <n v="449"/>
    <n v="0"/>
    <n v="400"/>
    <n v="157.5"/>
    <x v="1"/>
    <s v="38"/>
    <s v="630"/>
    <n v="30"/>
    <n v="0.63492063492063489"/>
    <n v="2.1164021164021163E-2"/>
  </r>
  <r>
    <x v="0"/>
    <x v="0"/>
    <x v="0"/>
    <s v="M00000332127"/>
    <d v="2007-12-31T00:00:00"/>
    <n v="1780"/>
    <n v="0"/>
    <n v="1910.12"/>
    <n v="622.5"/>
    <x v="17"/>
    <s v="38"/>
    <s v="2490"/>
    <n v="36"/>
    <n v="0.76711646586345372"/>
    <n v="2.1308790718429269E-2"/>
  </r>
  <r>
    <x v="0"/>
    <x v="0"/>
    <x v="0"/>
    <s v="M00000356701"/>
    <d v="2008-04-30T00:00:00"/>
    <n v="893"/>
    <n v="0"/>
    <n v="722"/>
    <n v="313.5"/>
    <x v="2"/>
    <s v="38"/>
    <s v="1254"/>
    <n v="27"/>
    <n v="0.5757575757575758"/>
    <n v="2.1324354657687991E-2"/>
  </r>
  <r>
    <x v="0"/>
    <x v="0"/>
    <x v="0"/>
    <s v="M00000337989"/>
    <d v="2008-03-13T00:00:00"/>
    <n v="1019"/>
    <n v="0"/>
    <n v="763"/>
    <n v="357.75"/>
    <x v="3"/>
    <s v="38"/>
    <s v="1431"/>
    <n v="25"/>
    <n v="0.53319357092941999"/>
    <n v="2.13277428371768E-2"/>
  </r>
  <r>
    <x v="0"/>
    <x v="0"/>
    <x v="0"/>
    <s v="M00000332607"/>
    <d v="2007-12-31T00:00:00"/>
    <n v="1419"/>
    <n v="0"/>
    <n v="1060"/>
    <n v="496.25"/>
    <x v="3"/>
    <s v="38"/>
    <s v="1985"/>
    <n v="25"/>
    <n v="0.53400503778337527"/>
    <n v="2.1360201511335011E-2"/>
  </r>
  <r>
    <x v="0"/>
    <x v="0"/>
    <x v="0"/>
    <s v="M00000368627"/>
    <d v="2008-06-19T00:00:00"/>
    <n v="1122"/>
    <n v="0"/>
    <n v="775"/>
    <n v="394"/>
    <x v="4"/>
    <s v="38"/>
    <s v="1576"/>
    <n v="23"/>
    <n v="0.49175126903553301"/>
    <n v="2.1380489958066653E-2"/>
  </r>
  <r>
    <x v="0"/>
    <x v="0"/>
    <x v="0"/>
    <s v="M00000369050"/>
    <d v="2008-06-19T00:00:00"/>
    <n v="718"/>
    <n v="0"/>
    <n v="498"/>
    <n v="252"/>
    <x v="4"/>
    <s v="38"/>
    <s v="1008"/>
    <n v="23"/>
    <n v="0.49404761904761907"/>
    <n v="2.148033126293996E-2"/>
  </r>
  <r>
    <x v="0"/>
    <x v="0"/>
    <x v="0"/>
    <s v="M00000367322"/>
    <d v="2008-06-12T00:00:00"/>
    <n v="1341"/>
    <n v="0"/>
    <n v="1215.32"/>
    <n v="470.75"/>
    <x v="1"/>
    <s v="38"/>
    <s v="1883"/>
    <n v="30"/>
    <n v="0.64541688794476892"/>
    <n v="2.1513896264825631E-2"/>
  </r>
  <r>
    <x v="0"/>
    <x v="0"/>
    <x v="0"/>
    <s v="M00000334855"/>
    <d v="2008-01-31T00:00:00"/>
    <n v="1522"/>
    <n v="0"/>
    <n v="1515"/>
    <n v="532.5"/>
    <x v="10"/>
    <s v="38"/>
    <s v="2130"/>
    <n v="33"/>
    <n v="0.71126760563380287"/>
    <n v="2.1553563807084935E-2"/>
  </r>
  <r>
    <x v="0"/>
    <x v="0"/>
    <x v="0"/>
    <s v="M00000370948"/>
    <d v="2008-06-26T00:00:00"/>
    <n v="973"/>
    <n v="0"/>
    <n v="561"/>
    <n v="341.5"/>
    <x v="5"/>
    <s v="38"/>
    <s v="1366"/>
    <n v="19"/>
    <n v="0.41068814055636899"/>
    <n v="2.1615165292440473E-2"/>
  </r>
  <r>
    <x v="0"/>
    <x v="0"/>
    <x v="0"/>
    <s v="M00000371402"/>
    <d v="2008-07-10T00:00:00"/>
    <n v="815"/>
    <n v="0"/>
    <n v="470"/>
    <n v="286"/>
    <x v="5"/>
    <s v="38"/>
    <s v="1144"/>
    <n v="19"/>
    <n v="0.41083916083916083"/>
    <n v="2.1623113728376886E-2"/>
  </r>
  <r>
    <x v="0"/>
    <x v="0"/>
    <x v="0"/>
    <s v="M00000341221"/>
    <d v="2008-02-21T00:00:00"/>
    <n v="722"/>
    <n v="0"/>
    <n v="590"/>
    <n v="252.5"/>
    <x v="2"/>
    <s v="38"/>
    <s v="1010"/>
    <n v="27"/>
    <n v="0.58415841584158412"/>
    <n v="2.1635496883021636E-2"/>
  </r>
  <r>
    <x v="0"/>
    <x v="0"/>
    <x v="0"/>
    <s v="M00000374284"/>
    <d v="2008-07-10T00:00:00"/>
    <n v="911"/>
    <n v="0"/>
    <n v="582"/>
    <n v="320"/>
    <x v="15"/>
    <s v="38"/>
    <s v="1280"/>
    <n v="21"/>
    <n v="0.45468750000000002"/>
    <n v="2.1651785714285714E-2"/>
  </r>
  <r>
    <x v="0"/>
    <x v="0"/>
    <x v="0"/>
    <s v="M00000333317"/>
    <d v="2007-12-31T00:00:00"/>
    <n v="958"/>
    <n v="0"/>
    <n v="871"/>
    <n v="335"/>
    <x v="1"/>
    <s v="38"/>
    <s v="1340"/>
    <n v="30"/>
    <n v="0.65"/>
    <n v="2.1666666666666667E-2"/>
  </r>
  <r>
    <x v="0"/>
    <x v="0"/>
    <x v="0"/>
    <s v="M00000281442"/>
    <d v="2007-07-06T00:00:00"/>
    <n v="912"/>
    <n v="0"/>
    <n v="749.96"/>
    <n v="318.75"/>
    <x v="2"/>
    <s v="38"/>
    <s v="1275"/>
    <n v="27"/>
    <n v="0.58820392156862744"/>
    <n v="2.1785330428467684E-2"/>
  </r>
  <r>
    <x v="0"/>
    <x v="0"/>
    <x v="0"/>
    <s v="M00000353211"/>
    <d v="2008-04-17T00:00:00"/>
    <n v="1033"/>
    <n v="0"/>
    <n v="855"/>
    <n v="362.5"/>
    <x v="2"/>
    <s v="38"/>
    <s v="1450"/>
    <n v="27"/>
    <n v="0.58965517241379306"/>
    <n v="2.1839080459770115E-2"/>
  </r>
  <r>
    <x v="0"/>
    <x v="0"/>
    <x v="0"/>
    <s v="M00000333464"/>
    <d v="2007-12-31T00:00:00"/>
    <n v="906"/>
    <n v="0"/>
    <n v="1053"/>
    <n v="317"/>
    <x v="0"/>
    <s v="38"/>
    <s v="1268"/>
    <n v="38"/>
    <n v="0.83044164037854895"/>
    <n v="2.1853727378382867E-2"/>
  </r>
  <r>
    <x v="0"/>
    <x v="0"/>
    <x v="0"/>
    <s v="M00000369037"/>
    <d v="2008-06-19T00:00:00"/>
    <n v="826"/>
    <n v="0"/>
    <n v="786"/>
    <n v="290"/>
    <x v="16"/>
    <s v="38"/>
    <s v="1160"/>
    <n v="31"/>
    <n v="0.67758620689655169"/>
    <n v="2.185761957730812E-2"/>
  </r>
  <r>
    <x v="0"/>
    <x v="0"/>
    <x v="0"/>
    <s v="M00000347745"/>
    <d v="2008-05-08T00:00:00"/>
    <n v="584"/>
    <n v="0"/>
    <n v="539"/>
    <n v="205"/>
    <x v="0"/>
    <s v="30"/>
    <s v="820"/>
    <n v="30"/>
    <n v="0.65731707317073174"/>
    <n v="2.1910569105691058E-2"/>
  </r>
  <r>
    <x v="0"/>
    <x v="0"/>
    <x v="0"/>
    <s v="M00000350389"/>
    <d v="2008-05-08T00:00:00"/>
    <n v="602"/>
    <n v="0"/>
    <n v="705.35"/>
    <n v="211.5"/>
    <x v="0"/>
    <s v="38"/>
    <s v="846"/>
    <n v="38"/>
    <n v="0.83374704491725771"/>
    <n v="2.1940711708348888E-2"/>
  </r>
  <r>
    <x v="0"/>
    <x v="0"/>
    <x v="0"/>
    <s v="M00000351383"/>
    <d v="2008-04-10T00:00:00"/>
    <n v="1282"/>
    <n v="0"/>
    <n v="871"/>
    <n v="450"/>
    <x v="7"/>
    <s v="38"/>
    <s v="1800"/>
    <n v="22"/>
    <n v="0.48388888888888887"/>
    <n v="2.1994949494949494E-2"/>
  </r>
  <r>
    <x v="0"/>
    <x v="0"/>
    <x v="0"/>
    <s v="M00000275110"/>
    <d v="2007-06-07T00:00:00"/>
    <n v="798"/>
    <n v="0"/>
    <n v="567.04"/>
    <n v="279"/>
    <x v="4"/>
    <s v="38"/>
    <s v="1116"/>
    <n v="23"/>
    <n v="0.50810035842293899"/>
    <n v="2.2091319931432131E-2"/>
  </r>
  <r>
    <x v="0"/>
    <x v="0"/>
    <x v="0"/>
    <s v="M00000272332"/>
    <d v="2007-05-17T00:00:00"/>
    <n v="1073"/>
    <n v="0"/>
    <n v="630"/>
    <n v="375"/>
    <x v="5"/>
    <s v="38"/>
    <s v="1500"/>
    <n v="19"/>
    <n v="0.42"/>
    <n v="2.2105263157894735E-2"/>
  </r>
  <r>
    <x v="0"/>
    <x v="0"/>
    <x v="0"/>
    <s v="M00000329628"/>
    <d v="2007-12-31T00:00:00"/>
    <n v="1406"/>
    <n v="0"/>
    <n v="1305"/>
    <n v="491.5"/>
    <x v="1"/>
    <s v="38"/>
    <s v="1966"/>
    <n v="30"/>
    <n v="0.66378433367243128"/>
    <n v="2.2126144455747711E-2"/>
  </r>
  <r>
    <x v="0"/>
    <x v="0"/>
    <x v="0"/>
    <s v="M00000326513"/>
    <d v="2007-12-31T00:00:00"/>
    <n v="628"/>
    <n v="0"/>
    <n v="545"/>
    <n v="219.5"/>
    <x v="11"/>
    <s v="38"/>
    <s v="878"/>
    <n v="28"/>
    <n v="0.62072892938496582"/>
    <n v="2.2168890335177351E-2"/>
  </r>
  <r>
    <x v="0"/>
    <x v="0"/>
    <x v="0"/>
    <s v="M00000313194"/>
    <d v="2007-12-31T00:00:00"/>
    <n v="1195"/>
    <n v="0"/>
    <n v="1000"/>
    <n v="417.5"/>
    <x v="2"/>
    <s v="38"/>
    <s v="1670"/>
    <n v="27"/>
    <n v="0.59880239520958078"/>
    <n v="2.2177866489243733E-2"/>
  </r>
  <r>
    <x v="0"/>
    <x v="0"/>
    <x v="0"/>
    <s v="M00000340503"/>
    <d v="2008-02-21T00:00:00"/>
    <n v="1330"/>
    <n v="0"/>
    <n v="1239"/>
    <n v="465"/>
    <x v="1"/>
    <s v="38"/>
    <s v="1860"/>
    <n v="30"/>
    <n v="0.66612903225806452"/>
    <n v="2.2204301075268818E-2"/>
  </r>
  <r>
    <x v="0"/>
    <x v="0"/>
    <x v="0"/>
    <s v="M00000332862"/>
    <d v="2007-12-31T00:00:00"/>
    <n v="530"/>
    <n v="0"/>
    <n v="494"/>
    <n v="185.25"/>
    <x v="1"/>
    <s v="38"/>
    <s v="741"/>
    <n v="30"/>
    <n v="0.66666666666666663"/>
    <n v="2.222222222222222E-2"/>
  </r>
  <r>
    <x v="0"/>
    <x v="0"/>
    <x v="0"/>
    <s v="M00000327193"/>
    <d v="2007-12-31T00:00:00"/>
    <n v="1448"/>
    <n v="0"/>
    <n v="1215"/>
    <n v="506.25"/>
    <x v="2"/>
    <s v="38"/>
    <s v="2025"/>
    <n v="27"/>
    <n v="0.6"/>
    <n v="2.2222222222222223E-2"/>
  </r>
  <r>
    <x v="0"/>
    <x v="0"/>
    <x v="0"/>
    <s v="M00000345087"/>
    <d v="2008-03-13T00:00:00"/>
    <n v="855"/>
    <n v="0"/>
    <n v="535"/>
    <n v="300"/>
    <x v="6"/>
    <s v="38"/>
    <s v="1200"/>
    <n v="20"/>
    <n v="0.44583333333333336"/>
    <n v="2.2291666666666668E-2"/>
  </r>
  <r>
    <x v="0"/>
    <x v="0"/>
    <x v="0"/>
    <s v="M00000347499"/>
    <d v="2008-03-27T00:00:00"/>
    <n v="1325"/>
    <n v="0"/>
    <n v="1245"/>
    <n v="465"/>
    <x v="1"/>
    <s v="38"/>
    <s v="1860"/>
    <n v="30"/>
    <n v="0.66935483870967738"/>
    <n v="2.2311827956989248E-2"/>
  </r>
  <r>
    <x v="0"/>
    <x v="0"/>
    <x v="0"/>
    <s v="M00000319249"/>
    <d v="2007-12-06T00:00:00"/>
    <n v="1144"/>
    <n v="0"/>
    <n v="1000"/>
    <n v="400"/>
    <x v="11"/>
    <s v="38"/>
    <s v="1600"/>
    <n v="28"/>
    <n v="0.625"/>
    <n v="2.2321428571428572E-2"/>
  </r>
  <r>
    <x v="0"/>
    <x v="0"/>
    <x v="0"/>
    <s v="M00000363748"/>
    <d v="2008-05-29T00:00:00"/>
    <n v="1382"/>
    <n v="0"/>
    <n v="1300"/>
    <n v="485.25"/>
    <x v="1"/>
    <s v="38"/>
    <s v="1941"/>
    <n v="30"/>
    <n v="0.66975785677485833"/>
    <n v="2.2325261892495278E-2"/>
  </r>
  <r>
    <x v="0"/>
    <x v="0"/>
    <x v="0"/>
    <s v="M00000292465"/>
    <d v="2007-09-06T00:00:00"/>
    <n v="1055"/>
    <n v="0"/>
    <n v="987.96"/>
    <n v="368.75"/>
    <x v="1"/>
    <s v="38"/>
    <s v="1475"/>
    <n v="30"/>
    <n v="0.66980338983050847"/>
    <n v="2.2326779661016947E-2"/>
  </r>
  <r>
    <x v="0"/>
    <x v="0"/>
    <x v="0"/>
    <s v="M00000340172"/>
    <d v="2008-03-13T00:00:00"/>
    <n v="598"/>
    <n v="0"/>
    <n v="508"/>
    <n v="210"/>
    <x v="2"/>
    <s v="38"/>
    <s v="840"/>
    <n v="27"/>
    <n v="0.60476190476190472"/>
    <n v="2.2398589065255731E-2"/>
  </r>
  <r>
    <x v="0"/>
    <x v="0"/>
    <x v="0"/>
    <s v="M00000306480"/>
    <d v="2007-10-25T00:00:00"/>
    <n v="790"/>
    <n v="0"/>
    <n v="470"/>
    <n v="276"/>
    <x v="5"/>
    <s v="38"/>
    <s v="1104"/>
    <n v="19"/>
    <n v="0.42572463768115942"/>
    <n v="2.240655987795576E-2"/>
  </r>
  <r>
    <x v="0"/>
    <x v="0"/>
    <x v="0"/>
    <s v="M00000308446"/>
    <d v="2007-10-25T00:00:00"/>
    <n v="888"/>
    <n v="0"/>
    <n v="529"/>
    <n v="310.25"/>
    <x v="5"/>
    <s v="38"/>
    <s v="1241"/>
    <n v="19"/>
    <n v="0.42626913779210313"/>
    <n v="2.2435217778531743E-2"/>
  </r>
  <r>
    <x v="0"/>
    <x v="0"/>
    <x v="0"/>
    <s v="M00000356125"/>
    <d v="2008-04-30T00:00:00"/>
    <n v="1321"/>
    <n v="0"/>
    <n v="835"/>
    <n v="464"/>
    <x v="6"/>
    <s v="38"/>
    <s v="1856"/>
    <n v="20"/>
    <n v="0.44989224137931033"/>
    <n v="2.2494612068965518E-2"/>
  </r>
  <r>
    <x v="0"/>
    <x v="0"/>
    <x v="0"/>
    <s v="M00000272698"/>
    <d v="2007-05-24T00:00:00"/>
    <n v="554"/>
    <n v="0"/>
    <n v="524.96"/>
    <n v="194"/>
    <x v="0"/>
    <s v="30"/>
    <s v="776"/>
    <n v="30"/>
    <n v="0.67649484536082483"/>
    <n v="2.2549828178694161E-2"/>
  </r>
  <r>
    <x v="0"/>
    <x v="0"/>
    <x v="0"/>
    <s v="M00000295522"/>
    <d v="2007-09-06T00:00:00"/>
    <n v="821"/>
    <n v="0"/>
    <n v="879.98"/>
    <n v="286.75"/>
    <x v="9"/>
    <s v="38"/>
    <s v="1147"/>
    <n v="34"/>
    <n v="0.76720139494333039"/>
    <n v="2.2564746910097952E-2"/>
  </r>
  <r>
    <x v="0"/>
    <x v="0"/>
    <x v="0"/>
    <s v="M00000274544"/>
    <d v="2007-05-31T00:00:00"/>
    <n v="597"/>
    <n v="0"/>
    <n v="433.97"/>
    <n v="209"/>
    <x v="4"/>
    <s v="38"/>
    <s v="836"/>
    <n v="23"/>
    <n v="0.51910287081339712"/>
    <n v="2.2569690035365093E-2"/>
  </r>
  <r>
    <x v="0"/>
    <x v="0"/>
    <x v="0"/>
    <s v="M00000351014"/>
    <d v="2008-04-03T00:00:00"/>
    <n v="1265"/>
    <n v="0"/>
    <n v="1125"/>
    <n v="444"/>
    <x v="11"/>
    <s v="38"/>
    <s v="1776"/>
    <n v="28"/>
    <n v="0.63344594594594594"/>
    <n v="2.2623069498069498E-2"/>
  </r>
  <r>
    <x v="0"/>
    <x v="0"/>
    <x v="0"/>
    <s v="M00000347037"/>
    <d v="2008-05-30T00:00:00"/>
    <n v="729"/>
    <n v="0"/>
    <n v="880.64"/>
    <n v="256"/>
    <x v="0"/>
    <s v="38"/>
    <s v="1024"/>
    <n v="38"/>
    <n v="0.86"/>
    <n v="2.2631578947368419E-2"/>
  </r>
  <r>
    <x v="0"/>
    <x v="0"/>
    <x v="0"/>
    <s v="M00000354210"/>
    <d v="2008-04-17T00:00:00"/>
    <n v="989"/>
    <n v="0"/>
    <n v="820"/>
    <n v="347.25"/>
    <x v="14"/>
    <s v="38"/>
    <s v="1389"/>
    <n v="26"/>
    <n v="0.59035277177825773"/>
    <n v="2.2705875837625296E-2"/>
  </r>
  <r>
    <x v="0"/>
    <x v="0"/>
    <x v="0"/>
    <s v="M00000271503"/>
    <d v="2007-05-17T00:00:00"/>
    <n v="934"/>
    <n v="0"/>
    <n v="835.84"/>
    <n v="326.5"/>
    <x v="11"/>
    <s v="38"/>
    <s v="1306"/>
    <n v="28"/>
    <n v="0.64"/>
    <n v="2.2857142857142857E-2"/>
  </r>
  <r>
    <x v="0"/>
    <x v="0"/>
    <x v="0"/>
    <s v="M00000269930"/>
    <d v="2007-07-26T00:00:00"/>
    <n v="1012"/>
    <n v="0"/>
    <n v="881.04"/>
    <n v="354"/>
    <x v="2"/>
    <s v="38"/>
    <s v="1416"/>
    <n v="27"/>
    <n v="0.62220338983050849"/>
    <n v="2.3044569993722536E-2"/>
  </r>
  <r>
    <x v="0"/>
    <x v="0"/>
    <x v="0"/>
    <s v="M00000342081"/>
    <d v="2008-02-29T00:00:00"/>
    <n v="944"/>
    <n v="0"/>
    <n v="792"/>
    <n v="330"/>
    <x v="14"/>
    <s v="38"/>
    <s v="1320"/>
    <n v="26"/>
    <n v="0.6"/>
    <n v="2.3076923076923075E-2"/>
  </r>
  <r>
    <x v="0"/>
    <x v="0"/>
    <x v="0"/>
    <s v="M00000341601"/>
    <d v="2008-02-29T00:00:00"/>
    <n v="1012"/>
    <n v="0"/>
    <n v="792"/>
    <n v="354"/>
    <x v="18"/>
    <s v="38"/>
    <s v="1416"/>
    <n v="24"/>
    <n v="0.55932203389830504"/>
    <n v="2.3305084745762709E-2"/>
  </r>
  <r>
    <x v="0"/>
    <x v="0"/>
    <x v="0"/>
    <s v="M00000325287"/>
    <d v="2007-12-27T00:00:00"/>
    <n v="858"/>
    <n v="0"/>
    <n v="840"/>
    <n v="300"/>
    <x v="1"/>
    <s v="38"/>
    <s v="1200"/>
    <n v="30"/>
    <n v="0.7"/>
    <n v="2.3333333333333331E-2"/>
  </r>
  <r>
    <x v="0"/>
    <x v="0"/>
    <x v="0"/>
    <s v="M00000286699"/>
    <d v="2007-07-26T00:00:00"/>
    <n v="1705"/>
    <n v="0"/>
    <n v="1118.0999999999999"/>
    <n v="596"/>
    <x v="6"/>
    <s v="38"/>
    <s v="2384"/>
    <n v="20"/>
    <n v="0.46900167785234897"/>
    <n v="2.3450083892617449E-2"/>
  </r>
  <r>
    <x v="0"/>
    <x v="0"/>
    <x v="0"/>
    <s v="M00000318599"/>
    <d v="2007-12-06T00:00:00"/>
    <n v="1036"/>
    <n v="0"/>
    <n v="1025"/>
    <n v="362.5"/>
    <x v="1"/>
    <s v="38"/>
    <s v="1450"/>
    <n v="30"/>
    <n v="0.7068965517241379"/>
    <n v="2.3563218390804597E-2"/>
  </r>
  <r>
    <x v="0"/>
    <x v="0"/>
    <x v="0"/>
    <s v="M00000287245"/>
    <d v="2007-08-23T00:00:00"/>
    <n v="537"/>
    <n v="0"/>
    <n v="603.38"/>
    <n v="187.5"/>
    <x v="4"/>
    <s v="49"/>
    <s v="750"/>
    <n v="34"/>
    <n v="0.8045066666666667"/>
    <n v="2.3661960784313728E-2"/>
  </r>
  <r>
    <x v="0"/>
    <x v="0"/>
    <x v="0"/>
    <s v="M00000327990"/>
    <d v="2007-12-31T00:00:00"/>
    <n v="725"/>
    <n v="0"/>
    <n v="530"/>
    <n v="253.5"/>
    <x v="7"/>
    <s v="38"/>
    <s v="1014"/>
    <n v="22"/>
    <n v="0.52268244575936884"/>
    <n v="2.3758292989062221E-2"/>
  </r>
  <r>
    <x v="0"/>
    <x v="0"/>
    <x v="0"/>
    <s v="M00000327922"/>
    <d v="2007-12-31T00:00:00"/>
    <n v="1161"/>
    <n v="0"/>
    <n v="1475"/>
    <n v="405.75"/>
    <x v="0"/>
    <s v="38"/>
    <s v="1623"/>
    <n v="38"/>
    <n v="0.9088108441158349"/>
    <n v="2.391607484515355E-2"/>
  </r>
  <r>
    <x v="0"/>
    <x v="0"/>
    <x v="0"/>
    <s v="M00000327692"/>
    <d v="2007-12-31T00:00:00"/>
    <n v="824"/>
    <n v="0"/>
    <n v="829"/>
    <n v="288"/>
    <x v="1"/>
    <s v="38"/>
    <s v="1152"/>
    <n v="30"/>
    <n v="0.71961805555555558"/>
    <n v="2.3987268518518519E-2"/>
  </r>
  <r>
    <x v="0"/>
    <x v="0"/>
    <x v="0"/>
    <s v="M00000283645"/>
    <d v="2007-07-26T00:00:00"/>
    <n v="715"/>
    <n v="0"/>
    <n v="720"/>
    <n v="250"/>
    <x v="1"/>
    <s v="38"/>
    <s v="1000"/>
    <n v="30"/>
    <n v="0.72"/>
    <n v="2.4E-2"/>
  </r>
  <r>
    <x v="0"/>
    <x v="0"/>
    <x v="0"/>
    <s v="M00000313751"/>
    <d v="2007-11-21T00:00:00"/>
    <n v="572"/>
    <n v="0"/>
    <n v="500"/>
    <n v="200"/>
    <x v="14"/>
    <s v="38"/>
    <s v="800"/>
    <n v="26"/>
    <n v="0.625"/>
    <n v="2.403846153846154E-2"/>
  </r>
  <r>
    <x v="0"/>
    <x v="0"/>
    <x v="0"/>
    <s v="M00000329175"/>
    <d v="2007-12-31T00:00:00"/>
    <n v="383"/>
    <n v="0"/>
    <n v="347.64"/>
    <n v="133.75"/>
    <x v="2"/>
    <s v="38"/>
    <s v="535"/>
    <n v="27"/>
    <n v="0.64979439252336446"/>
    <n v="2.4066458982346831E-2"/>
  </r>
  <r>
    <x v="0"/>
    <x v="0"/>
    <x v="0"/>
    <s v="M00000330990"/>
    <d v="2007-12-31T00:00:00"/>
    <n v="924"/>
    <n v="0"/>
    <n v="935"/>
    <n v="323"/>
    <x v="1"/>
    <s v="38"/>
    <s v="1292"/>
    <n v="30"/>
    <n v="0.72368421052631582"/>
    <n v="2.4122807017543862E-2"/>
  </r>
  <r>
    <x v="0"/>
    <x v="0"/>
    <x v="0"/>
    <s v="M00000309334"/>
    <d v="2007-11-01T00:00:00"/>
    <n v="1982"/>
    <n v="0"/>
    <n v="2008.2"/>
    <n v="693.25"/>
    <x v="1"/>
    <s v="38"/>
    <s v="2773"/>
    <n v="30"/>
    <n v="0.72419761990623877"/>
    <n v="2.4139920663541294E-2"/>
  </r>
  <r>
    <x v="0"/>
    <x v="0"/>
    <x v="0"/>
    <s v="M00000302181"/>
    <d v="2007-10-04T00:00:00"/>
    <n v="1287"/>
    <n v="0"/>
    <n v="1044"/>
    <n v="450"/>
    <x v="18"/>
    <s v="38"/>
    <s v="1800"/>
    <n v="24"/>
    <n v="0.57999999999999996"/>
    <n v="2.4166666666666666E-2"/>
  </r>
  <r>
    <x v="0"/>
    <x v="0"/>
    <x v="0"/>
    <s v="M00000318819"/>
    <d v="2007-12-06T00:00:00"/>
    <n v="558"/>
    <n v="0"/>
    <n v="475"/>
    <n v="195"/>
    <x v="3"/>
    <s v="38"/>
    <s v="780"/>
    <n v="25"/>
    <n v="0.60897435897435892"/>
    <n v="2.4358974358974356E-2"/>
  </r>
  <r>
    <x v="0"/>
    <x v="0"/>
    <x v="0"/>
    <s v="M00000271810"/>
    <d v="2007-08-09T00:00:00"/>
    <n v="194"/>
    <n v="0"/>
    <n v="249.99"/>
    <n v="67.5"/>
    <x v="0"/>
    <s v="38"/>
    <s v="270"/>
    <n v="38"/>
    <n v="0.92588888888888887"/>
    <n v="2.4365497076023392E-2"/>
  </r>
  <r>
    <x v="0"/>
    <x v="0"/>
    <x v="0"/>
    <s v="M00000342108"/>
    <d v="2008-02-29T00:00:00"/>
    <n v="1093"/>
    <n v="0"/>
    <n v="1008"/>
    <n v="382.5"/>
    <x v="2"/>
    <s v="38"/>
    <s v="1530"/>
    <n v="27"/>
    <n v="0.6588235294117647"/>
    <n v="2.4400871459694988E-2"/>
  </r>
  <r>
    <x v="0"/>
    <x v="0"/>
    <x v="0"/>
    <s v="M00000283773"/>
    <d v="2007-07-12T00:00:00"/>
    <n v="644"/>
    <n v="0"/>
    <n v="659.97"/>
    <n v="225"/>
    <x v="1"/>
    <s v="38"/>
    <s v="900"/>
    <n v="30"/>
    <n v="0.73330000000000006"/>
    <n v="2.4443333333333334E-2"/>
  </r>
  <r>
    <x v="0"/>
    <x v="0"/>
    <x v="0"/>
    <s v="M00000331598"/>
    <d v="2007-12-31T00:00:00"/>
    <n v="725"/>
    <n v="0"/>
    <n v="848.44"/>
    <n v="253.5"/>
    <x v="11"/>
    <s v="44"/>
    <s v="1014"/>
    <n v="34"/>
    <n v="0.8367258382642998"/>
    <n v="2.4609583478361757E-2"/>
  </r>
  <r>
    <x v="0"/>
    <x v="0"/>
    <x v="0"/>
    <s v="M00000275942"/>
    <d v="2007-06-14T00:00:00"/>
    <n v="386"/>
    <n v="0"/>
    <n v="360.02"/>
    <n v="135"/>
    <x v="2"/>
    <s v="38"/>
    <s v="540"/>
    <n v="27"/>
    <n v="0.66670370370370369"/>
    <n v="2.4692729766803839E-2"/>
  </r>
  <r>
    <x v="0"/>
    <x v="0"/>
    <x v="0"/>
    <s v="M00000359010"/>
    <d v="2008-05-29T00:00:00"/>
    <n v="704"/>
    <n v="0"/>
    <n v="932"/>
    <n v="247"/>
    <x v="0"/>
    <s v="38"/>
    <s v="988"/>
    <n v="38"/>
    <n v="0.94331983805668018"/>
    <n v="2.4824206264649477E-2"/>
  </r>
  <r>
    <x v="0"/>
    <x v="0"/>
    <x v="0"/>
    <s v="M00000372828"/>
    <d v="2008-07-10T00:00:00"/>
    <n v="717"/>
    <n v="0"/>
    <n v="500"/>
    <n v="251.75"/>
    <x v="6"/>
    <s v="38"/>
    <s v="1007"/>
    <n v="20"/>
    <n v="0.49652432969215493"/>
    <n v="2.4826216484607748E-2"/>
  </r>
  <r>
    <x v="0"/>
    <x v="0"/>
    <x v="0"/>
    <s v="M00000345084"/>
    <d v="2008-03-13T00:00:00"/>
    <n v="739"/>
    <n v="0"/>
    <n v="490"/>
    <n v="259.25"/>
    <x v="5"/>
    <s v="38"/>
    <s v="1037"/>
    <n v="19"/>
    <n v="0.47251687560270011"/>
    <n v="2.4869309242247374E-2"/>
  </r>
  <r>
    <x v="0"/>
    <x v="0"/>
    <x v="0"/>
    <s v="M00000299584"/>
    <d v="2007-09-20T00:00:00"/>
    <n v="1287"/>
    <n v="0"/>
    <n v="1347"/>
    <n v="450"/>
    <x v="1"/>
    <s v="38"/>
    <s v="1800"/>
    <n v="30"/>
    <n v="0.74833333333333329"/>
    <n v="2.4944444444444443E-2"/>
  </r>
  <r>
    <x v="0"/>
    <x v="0"/>
    <x v="0"/>
    <s v="M00000367309"/>
    <d v="2008-06-12T00:00:00"/>
    <n v="904"/>
    <n v="0"/>
    <n v="951"/>
    <n v="317.5"/>
    <x v="1"/>
    <s v="38"/>
    <s v="1270"/>
    <n v="30"/>
    <n v="0.7488188976377953"/>
    <n v="2.4960629921259844E-2"/>
  </r>
  <r>
    <x v="0"/>
    <x v="0"/>
    <x v="0"/>
    <s v="M00000324697"/>
    <d v="2007-12-20T00:00:00"/>
    <n v="858"/>
    <n v="0"/>
    <n v="1259"/>
    <n v="300"/>
    <x v="0"/>
    <s v="42"/>
    <s v="1200"/>
    <n v="42"/>
    <n v="1.0491666666666666"/>
    <n v="2.4980158730158727E-2"/>
  </r>
  <r>
    <x v="0"/>
    <x v="0"/>
    <x v="0"/>
    <s v="M00000334531"/>
    <d v="2008-01-24T00:00:00"/>
    <n v="915"/>
    <n v="0"/>
    <n v="992"/>
    <n v="320"/>
    <x v="6"/>
    <s v="49"/>
    <s v="1280"/>
    <n v="31"/>
    <n v="0.77500000000000002"/>
    <n v="2.5000000000000001E-2"/>
  </r>
  <r>
    <x v="0"/>
    <x v="0"/>
    <x v="0"/>
    <s v="M00000350159"/>
    <d v="2008-05-08T00:00:00"/>
    <n v="1202"/>
    <n v="0"/>
    <n v="1266"/>
    <n v="422"/>
    <x v="1"/>
    <s v="38"/>
    <s v="1688"/>
    <n v="30"/>
    <n v="0.75"/>
    <n v="2.5000000000000001E-2"/>
  </r>
  <r>
    <x v="0"/>
    <x v="0"/>
    <x v="0"/>
    <s v="M00000359491"/>
    <d v="2008-05-15T00:00:00"/>
    <n v="1273"/>
    <n v="0"/>
    <n v="983.56"/>
    <n v="447"/>
    <x v="7"/>
    <s v="38"/>
    <s v="1788"/>
    <n v="22"/>
    <n v="0.55008948545861291"/>
    <n v="2.5004067520846041E-2"/>
  </r>
  <r>
    <x v="0"/>
    <x v="0"/>
    <x v="0"/>
    <s v="M00000330942"/>
    <d v="2007-12-31T00:00:00"/>
    <n v="1760"/>
    <n v="0"/>
    <n v="1615"/>
    <n v="615.25"/>
    <x v="14"/>
    <s v="38"/>
    <s v="2461"/>
    <n v="26"/>
    <n v="0.65623730190979279"/>
    <n v="2.5239896227299722E-2"/>
  </r>
  <r>
    <x v="0"/>
    <x v="0"/>
    <x v="0"/>
    <s v="M00000331392"/>
    <d v="2008-01-31T00:00:00"/>
    <n v="715"/>
    <n v="0"/>
    <n v="860"/>
    <n v="250"/>
    <x v="9"/>
    <s v="38"/>
    <s v="1000"/>
    <n v="34"/>
    <n v="0.86"/>
    <n v="2.5294117647058825E-2"/>
  </r>
  <r>
    <x v="0"/>
    <x v="0"/>
    <x v="0"/>
    <s v="M00000334981"/>
    <d v="2008-02-14T00:00:00"/>
    <n v="855"/>
    <n v="0"/>
    <n v="575"/>
    <n v="299"/>
    <x v="5"/>
    <s v="38"/>
    <s v="1196"/>
    <n v="19"/>
    <n v="0.48076923076923078"/>
    <n v="2.5303643724696356E-2"/>
  </r>
  <r>
    <x v="0"/>
    <x v="0"/>
    <x v="0"/>
    <s v="M00000295373"/>
    <d v="2007-09-06T00:00:00"/>
    <n v="1252"/>
    <n v="0"/>
    <n v="1108.98"/>
    <n v="437.5"/>
    <x v="3"/>
    <s v="38"/>
    <s v="1750"/>
    <n v="25"/>
    <n v="0.63370285714285712"/>
    <n v="2.5348114285714284E-2"/>
  </r>
  <r>
    <x v="0"/>
    <x v="0"/>
    <x v="0"/>
    <s v="M00000321499"/>
    <d v="2007-12-13T00:00:00"/>
    <n v="1252"/>
    <n v="0"/>
    <n v="891"/>
    <n v="437.5"/>
    <x v="6"/>
    <s v="38"/>
    <s v="1750"/>
    <n v="20"/>
    <n v="0.50914285714285712"/>
    <n v="2.5457142857142855E-2"/>
  </r>
  <r>
    <x v="0"/>
    <x v="0"/>
    <x v="0"/>
    <s v="M00000356687"/>
    <d v="2008-04-30T00:00:00"/>
    <n v="535"/>
    <n v="0"/>
    <n v="382"/>
    <n v="187.5"/>
    <x v="6"/>
    <s v="38"/>
    <s v="750"/>
    <n v="20"/>
    <n v="0.5093333333333333"/>
    <n v="2.5466666666666665E-2"/>
  </r>
  <r>
    <x v="0"/>
    <x v="0"/>
    <x v="0"/>
    <s v="M00000279976"/>
    <d v="2007-06-28T00:00:00"/>
    <n v="1216"/>
    <n v="0"/>
    <n v="999.94"/>
    <n v="425"/>
    <x v="4"/>
    <s v="38"/>
    <s v="1700"/>
    <n v="23"/>
    <n v="0.58820000000000006"/>
    <n v="2.5573913043478263E-2"/>
  </r>
  <r>
    <x v="0"/>
    <x v="0"/>
    <x v="0"/>
    <s v="M00000325093"/>
    <d v="2007-12-27T00:00:00"/>
    <n v="1082"/>
    <n v="0"/>
    <n v="1049"/>
    <n v="378.5"/>
    <x v="2"/>
    <s v="38"/>
    <s v="1514"/>
    <n v="27"/>
    <n v="0.69286657859973577"/>
    <n v="2.5661725133323546E-2"/>
  </r>
  <r>
    <x v="0"/>
    <x v="0"/>
    <x v="0"/>
    <s v="M00000277339"/>
    <d v="2007-08-02T00:00:00"/>
    <n v="1144"/>
    <n v="0"/>
    <n v="866.08"/>
    <n v="400"/>
    <x v="15"/>
    <s v="38"/>
    <s v="1600"/>
    <n v="21"/>
    <n v="0.5413"/>
    <n v="2.5776190476190477E-2"/>
  </r>
  <r>
    <x v="0"/>
    <x v="0"/>
    <x v="0"/>
    <s v="M00000350068"/>
    <d v="2008-04-30T00:00:00"/>
    <n v="1211"/>
    <n v="0"/>
    <n v="1271.07"/>
    <n v="425"/>
    <x v="8"/>
    <s v="38"/>
    <s v="1700"/>
    <n v="29"/>
    <n v="0.74768823529411765"/>
    <n v="2.5782352941176472E-2"/>
  </r>
  <r>
    <x v="0"/>
    <x v="0"/>
    <x v="0"/>
    <s v="M00000327541"/>
    <d v="2007-12-31T00:00:00"/>
    <n v="554"/>
    <n v="0"/>
    <n v="521"/>
    <n v="194"/>
    <x v="14"/>
    <s v="38"/>
    <s v="776"/>
    <n v="26"/>
    <n v="0.67139175257731953"/>
    <n v="2.582275971451229E-2"/>
  </r>
  <r>
    <x v="0"/>
    <x v="0"/>
    <x v="0"/>
    <s v="M00000339115"/>
    <d v="2008-02-14T00:00:00"/>
    <n v="2288"/>
    <n v="0"/>
    <n v="2485"/>
    <n v="800"/>
    <x v="1"/>
    <s v="38"/>
    <s v="3200"/>
    <n v="30"/>
    <n v="0.77656250000000004"/>
    <n v="2.5885416666666668E-2"/>
  </r>
  <r>
    <x v="0"/>
    <x v="0"/>
    <x v="0"/>
    <s v="M00000300904"/>
    <d v="2007-09-27T00:00:00"/>
    <n v="818"/>
    <n v="0"/>
    <n v="800"/>
    <n v="286"/>
    <x v="2"/>
    <s v="38"/>
    <s v="1144"/>
    <n v="27"/>
    <n v="0.69930069930069927"/>
    <n v="2.5900025900025898E-2"/>
  </r>
  <r>
    <x v="0"/>
    <x v="0"/>
    <x v="0"/>
    <s v="M00000371357"/>
    <d v="2008-06-26T00:00:00"/>
    <n v="840"/>
    <n v="0"/>
    <n v="1162"/>
    <n v="295"/>
    <x v="0"/>
    <s v="38"/>
    <s v="1180"/>
    <n v="38"/>
    <n v="0.98474576271186443"/>
    <n v="2.5914362176628011E-2"/>
  </r>
  <r>
    <x v="0"/>
    <x v="0"/>
    <x v="0"/>
    <s v="M00000342810"/>
    <d v="2008-04-03T00:00:00"/>
    <n v="897"/>
    <n v="0"/>
    <n v="882"/>
    <n v="315"/>
    <x v="2"/>
    <s v="38"/>
    <s v="1260"/>
    <n v="27"/>
    <n v="0.7"/>
    <n v="2.5925925925925925E-2"/>
  </r>
  <r>
    <x v="0"/>
    <x v="0"/>
    <x v="0"/>
    <s v="M00000349241"/>
    <d v="2008-03-27T00:00:00"/>
    <n v="1071"/>
    <n v="0"/>
    <n v="743"/>
    <n v="376"/>
    <x v="5"/>
    <s v="38"/>
    <s v="1504"/>
    <n v="19"/>
    <n v="0.49401595744680848"/>
    <n v="2.6000839865621499E-2"/>
  </r>
  <r>
    <x v="0"/>
    <x v="0"/>
    <x v="0"/>
    <s v="M00000356457"/>
    <d v="2008-04-30T00:00:00"/>
    <n v="925"/>
    <n v="0"/>
    <n v="779"/>
    <n v="324.75"/>
    <x v="4"/>
    <s v="38"/>
    <s v="1299"/>
    <n v="23"/>
    <n v="0.59969207082371057"/>
    <n v="2.6073568296683069E-2"/>
  </r>
  <r>
    <x v="0"/>
    <x v="0"/>
    <x v="0"/>
    <s v="M00000317943"/>
    <d v="2007-11-30T00:00:00"/>
    <n v="1341"/>
    <n v="0"/>
    <n v="1272"/>
    <n v="469"/>
    <x v="14"/>
    <s v="38"/>
    <s v="1876"/>
    <n v="26"/>
    <n v="0.67803837953091683"/>
    <n v="2.607839921272757E-2"/>
  </r>
  <r>
    <x v="0"/>
    <x v="0"/>
    <x v="0"/>
    <s v="M00000353990"/>
    <d v="2008-04-17T00:00:00"/>
    <n v="712"/>
    <n v="0"/>
    <n v="600"/>
    <n v="250"/>
    <x v="4"/>
    <s v="38"/>
    <s v="1000"/>
    <n v="23"/>
    <n v="0.6"/>
    <n v="2.6086956521739129E-2"/>
  </r>
  <r>
    <x v="0"/>
    <x v="0"/>
    <x v="0"/>
    <s v="M00000337001"/>
    <d v="2008-02-07T00:00:00"/>
    <n v="721"/>
    <n v="0"/>
    <n v="1000"/>
    <n v="252"/>
    <x v="0"/>
    <s v="38"/>
    <s v="1008"/>
    <n v="38"/>
    <n v="0.99206349206349209"/>
    <n v="2.6106934001670846E-2"/>
  </r>
  <r>
    <x v="0"/>
    <x v="0"/>
    <x v="0"/>
    <s v="M00000327699"/>
    <d v="2007-12-31T00:00:00"/>
    <n v="1159"/>
    <n v="0"/>
    <n v="849"/>
    <n v="405.5"/>
    <x v="6"/>
    <s v="38"/>
    <s v="1622"/>
    <n v="20"/>
    <n v="0.52342786683107279"/>
    <n v="2.6171393341553641E-2"/>
  </r>
  <r>
    <x v="0"/>
    <x v="0"/>
    <x v="0"/>
    <s v="M00000324924"/>
    <d v="2007-12-20T00:00:00"/>
    <n v="315"/>
    <n v="0"/>
    <n v="450"/>
    <n v="110"/>
    <x v="0"/>
    <s v="39"/>
    <s v="440"/>
    <n v="39"/>
    <n v="1.0227272727272727"/>
    <n v="2.6223776223776224E-2"/>
  </r>
  <r>
    <x v="0"/>
    <x v="0"/>
    <x v="0"/>
    <s v="M00000342902"/>
    <d v="2008-03-20T00:00:00"/>
    <n v="279"/>
    <n v="0"/>
    <n v="310.87"/>
    <n v="98"/>
    <x v="18"/>
    <s v="44"/>
    <s v="392"/>
    <n v="30"/>
    <n v="0.79303571428571429"/>
    <n v="2.6434523809523811E-2"/>
  </r>
  <r>
    <x v="0"/>
    <x v="0"/>
    <x v="0"/>
    <s v="M00000301539"/>
    <d v="2007-12-20T00:00:00"/>
    <n v="343"/>
    <n v="0"/>
    <n v="432"/>
    <n v="120"/>
    <x v="9"/>
    <s v="38"/>
    <s v="480"/>
    <n v="34"/>
    <n v="0.9"/>
    <n v="2.6470588235294117E-2"/>
  </r>
  <r>
    <x v="0"/>
    <x v="0"/>
    <x v="0"/>
    <s v="M00000285569"/>
    <d v="2007-07-19T00:00:00"/>
    <n v="1125"/>
    <n v="0"/>
    <n v="795.97"/>
    <n v="393.5"/>
    <x v="5"/>
    <s v="38"/>
    <s v="1574"/>
    <n v="19"/>
    <n v="0.50569885641677259"/>
    <n v="2.6615729285093294E-2"/>
  </r>
  <r>
    <x v="0"/>
    <x v="0"/>
    <x v="0"/>
    <s v="M00000280455"/>
    <d v="2007-06-28T00:00:00"/>
    <n v="715"/>
    <n v="0"/>
    <n v="800"/>
    <n v="250"/>
    <x v="1"/>
    <s v="38"/>
    <s v="1000"/>
    <n v="30"/>
    <n v="0.8"/>
    <n v="2.6666666666666668E-2"/>
  </r>
  <r>
    <x v="0"/>
    <x v="0"/>
    <x v="0"/>
    <s v="M00000358462"/>
    <d v="2008-05-08T00:00:00"/>
    <n v="1050"/>
    <n v="0"/>
    <n v="1023"/>
    <n v="368.75"/>
    <x v="14"/>
    <s v="38"/>
    <s v="1475"/>
    <n v="26"/>
    <n v="0.69355932203389825"/>
    <n v="2.6675358539765319E-2"/>
  </r>
  <r>
    <x v="0"/>
    <x v="0"/>
    <x v="0"/>
    <s v="M00000321796"/>
    <d v="2007-12-31T00:00:00"/>
    <n v="1076"/>
    <n v="0"/>
    <n v="843"/>
    <n v="376"/>
    <x v="15"/>
    <s v="38"/>
    <s v="1504"/>
    <n v="21"/>
    <n v="0.5605053191489362"/>
    <n v="2.6690729483282678E-2"/>
  </r>
  <r>
    <x v="0"/>
    <x v="0"/>
    <x v="0"/>
    <s v="M00000350596"/>
    <d v="2008-04-03T00:00:00"/>
    <n v="1053"/>
    <n v="0"/>
    <n v="750"/>
    <n v="369.5"/>
    <x v="5"/>
    <s v="38"/>
    <s v="1478"/>
    <n v="19"/>
    <n v="0.50744248985115026"/>
    <n v="2.6707499465850014E-2"/>
  </r>
  <r>
    <x v="0"/>
    <x v="0"/>
    <x v="0"/>
    <s v="M00000350124"/>
    <d v="2008-04-03T00:00:00"/>
    <n v="250"/>
    <n v="0"/>
    <n v="215.16"/>
    <n v="87.5"/>
    <x v="4"/>
    <s v="38"/>
    <s v="350"/>
    <n v="23"/>
    <n v="0.61474285714285715"/>
    <n v="2.6727950310559006E-2"/>
  </r>
  <r>
    <x v="0"/>
    <x v="0"/>
    <x v="0"/>
    <s v="M00000327215"/>
    <d v="2007-12-31T00:00:00"/>
    <n v="750"/>
    <n v="0"/>
    <n v="760"/>
    <n v="262.5"/>
    <x v="2"/>
    <s v="38"/>
    <s v="1050"/>
    <n v="27"/>
    <n v="0.72380952380952379"/>
    <n v="2.6807760141093474E-2"/>
  </r>
  <r>
    <x v="0"/>
    <x v="0"/>
    <x v="0"/>
    <s v="M00000292029"/>
    <d v="2007-08-16T00:00:00"/>
    <n v="708"/>
    <n v="0"/>
    <n v="505.01"/>
    <n v="247.75"/>
    <x v="5"/>
    <s v="38"/>
    <s v="991"/>
    <n v="19"/>
    <n v="0.50959636730575175"/>
    <n v="2.6820861437144829E-2"/>
  </r>
  <r>
    <x v="0"/>
    <x v="0"/>
    <x v="0"/>
    <s v="M00000318624"/>
    <d v="2007-12-06T00:00:00"/>
    <n v="572"/>
    <n v="0"/>
    <n v="558"/>
    <n v="200"/>
    <x v="14"/>
    <s v="38"/>
    <s v="800"/>
    <n v="26"/>
    <n v="0.69750000000000001"/>
    <n v="2.6826923076923078E-2"/>
  </r>
  <r>
    <x v="0"/>
    <x v="0"/>
    <x v="0"/>
    <s v="M00000340047"/>
    <d v="2008-02-21T00:00:00"/>
    <n v="1203"/>
    <n v="0"/>
    <n v="858"/>
    <n v="420.75"/>
    <x v="5"/>
    <s v="38"/>
    <s v="1683"/>
    <n v="19"/>
    <n v="0.50980392156862742"/>
    <n v="2.6831785345717233E-2"/>
  </r>
  <r>
    <x v="0"/>
    <x v="0"/>
    <x v="0"/>
    <s v="M00000270352"/>
    <d v="2007-05-10T00:00:00"/>
    <n v="686"/>
    <n v="0"/>
    <n v="489.6"/>
    <n v="240"/>
    <x v="5"/>
    <s v="38"/>
    <s v="960"/>
    <n v="19"/>
    <n v="0.51"/>
    <n v="2.6842105263157896E-2"/>
  </r>
  <r>
    <x v="0"/>
    <x v="0"/>
    <x v="0"/>
    <s v="M00000277551"/>
    <d v="2007-06-21T00:00:00"/>
    <n v="858"/>
    <n v="0"/>
    <n v="612"/>
    <n v="300"/>
    <x v="5"/>
    <s v="38"/>
    <s v="1200"/>
    <n v="19"/>
    <n v="0.51"/>
    <n v="2.6842105263157896E-2"/>
  </r>
  <r>
    <x v="0"/>
    <x v="0"/>
    <x v="0"/>
    <s v="M00000280154"/>
    <d v="2007-06-28T00:00:00"/>
    <n v="824"/>
    <n v="0"/>
    <n v="589.94000000000005"/>
    <n v="288"/>
    <x v="5"/>
    <s v="38"/>
    <s v="1152"/>
    <n v="19"/>
    <n v="0.5121006944444445"/>
    <n v="2.6952668128654975E-2"/>
  </r>
  <r>
    <x v="0"/>
    <x v="0"/>
    <x v="0"/>
    <s v="M00000279432"/>
    <d v="2007-06-28T00:00:00"/>
    <n v="1562"/>
    <n v="0"/>
    <n v="1774.94"/>
    <n v="546"/>
    <x v="1"/>
    <s v="38"/>
    <s v="2184"/>
    <n v="30"/>
    <n v="0.81270146520146525"/>
    <n v="2.7090048840048842E-2"/>
  </r>
  <r>
    <x v="0"/>
    <x v="0"/>
    <x v="0"/>
    <s v="M00000331401"/>
    <d v="2007-12-31T00:00:00"/>
    <n v="722"/>
    <n v="0"/>
    <n v="935"/>
    <n v="252.5"/>
    <x v="9"/>
    <s v="38"/>
    <s v="1010"/>
    <n v="34"/>
    <n v="0.92574257425742579"/>
    <n v="2.7227722772277228E-2"/>
  </r>
  <r>
    <x v="0"/>
    <x v="0"/>
    <x v="0"/>
    <s v="M00000316366"/>
    <d v="2007-12-31T00:00:00"/>
    <n v="858"/>
    <n v="0"/>
    <n v="656.67"/>
    <n v="300"/>
    <x v="6"/>
    <s v="38"/>
    <s v="1200"/>
    <n v="20"/>
    <n v="0.54722499999999996"/>
    <n v="2.7361249999999997E-2"/>
  </r>
  <r>
    <x v="0"/>
    <x v="0"/>
    <x v="0"/>
    <s v="M00000270167"/>
    <d v="2007-05-10T00:00:00"/>
    <n v="358"/>
    <n v="0"/>
    <n v="260"/>
    <n v="125"/>
    <x v="5"/>
    <s v="38"/>
    <s v="500"/>
    <n v="19"/>
    <n v="0.52"/>
    <n v="2.736842105263158E-2"/>
  </r>
  <r>
    <x v="0"/>
    <x v="0"/>
    <x v="0"/>
    <s v="M00000341124"/>
    <d v="2008-02-21T00:00:00"/>
    <n v="851"/>
    <n v="0"/>
    <n v="880"/>
    <n v="297.5"/>
    <x v="2"/>
    <s v="38"/>
    <s v="1190"/>
    <n v="27"/>
    <n v="0.73949579831932777"/>
    <n v="2.7388733271086214E-2"/>
  </r>
  <r>
    <x v="0"/>
    <x v="0"/>
    <x v="0"/>
    <s v="M00000362298"/>
    <d v="2008-06-12T00:00:00"/>
    <n v="986"/>
    <n v="0"/>
    <n v="1445"/>
    <n v="346"/>
    <x v="0"/>
    <s v="38"/>
    <s v="1384"/>
    <n v="38"/>
    <n v="1.0440751445086704"/>
    <n v="2.747566169759659E-2"/>
  </r>
  <r>
    <x v="0"/>
    <x v="0"/>
    <x v="0"/>
    <s v="M00000304403"/>
    <d v="2007-11-09T00:00:00"/>
    <n v="594"/>
    <n v="0"/>
    <n v="867.68"/>
    <n v="207.5"/>
    <x v="0"/>
    <s v="38"/>
    <s v="830"/>
    <n v="38"/>
    <n v="1.0453975903614456"/>
    <n v="2.7510462904248568E-2"/>
  </r>
  <r>
    <x v="0"/>
    <x v="0"/>
    <x v="0"/>
    <s v="M00000345039"/>
    <d v="2008-03-13T00:00:00"/>
    <n v="737"/>
    <n v="0"/>
    <n v="855"/>
    <n v="258.75"/>
    <x v="1"/>
    <s v="38"/>
    <s v="1035"/>
    <n v="30"/>
    <n v="0.82608695652173914"/>
    <n v="2.753623188405797E-2"/>
  </r>
  <r>
    <x v="0"/>
    <x v="0"/>
    <x v="0"/>
    <s v="M00000287578"/>
    <d v="2007-07-26T00:00:00"/>
    <n v="686"/>
    <n v="0"/>
    <n v="528.96"/>
    <n v="240"/>
    <x v="6"/>
    <s v="38"/>
    <s v="960"/>
    <n v="20"/>
    <n v="0.55100000000000005"/>
    <n v="2.7550000000000002E-2"/>
  </r>
  <r>
    <x v="0"/>
    <x v="0"/>
    <x v="0"/>
    <s v="M00000311440"/>
    <d v="2007-11-09T00:00:00"/>
    <n v="377"/>
    <n v="0"/>
    <n v="438"/>
    <n v="132"/>
    <x v="1"/>
    <s v="38"/>
    <s v="528"/>
    <n v="30"/>
    <n v="0.82954545454545459"/>
    <n v="2.7651515151515153E-2"/>
  </r>
  <r>
    <x v="0"/>
    <x v="0"/>
    <x v="0"/>
    <s v="M00000370928"/>
    <d v="2008-06-26T00:00:00"/>
    <n v="677"/>
    <n v="0"/>
    <n v="710"/>
    <n v="237.5"/>
    <x v="2"/>
    <s v="38"/>
    <s v="950"/>
    <n v="27"/>
    <n v="0.74736842105263157"/>
    <n v="2.7680311890838208E-2"/>
  </r>
  <r>
    <x v="0"/>
    <x v="0"/>
    <x v="0"/>
    <s v="M00000297021"/>
    <d v="2007-09-14T00:00:00"/>
    <n v="1584"/>
    <n v="0"/>
    <n v="1660.01"/>
    <n v="554"/>
    <x v="2"/>
    <s v="38"/>
    <s v="2216"/>
    <n v="27"/>
    <n v="0.74910198555956675"/>
    <n v="2.7744517983687659E-2"/>
  </r>
  <r>
    <x v="0"/>
    <x v="0"/>
    <x v="0"/>
    <s v="M00000362414"/>
    <d v="2008-05-22T00:00:00"/>
    <n v="765"/>
    <n v="0"/>
    <n v="895"/>
    <n v="268.75"/>
    <x v="1"/>
    <s v="38"/>
    <s v="1075"/>
    <n v="30"/>
    <n v="0.83255813953488367"/>
    <n v="2.7751937984496121E-2"/>
  </r>
  <r>
    <x v="0"/>
    <x v="0"/>
    <x v="0"/>
    <s v="M00000295152"/>
    <d v="2007-09-06T00:00:00"/>
    <n v="607"/>
    <n v="0"/>
    <n v="545.02"/>
    <n v="212.5"/>
    <x v="4"/>
    <s v="38"/>
    <s v="850"/>
    <n v="23"/>
    <n v="0.64119999999999999"/>
    <n v="2.7878260869565217E-2"/>
  </r>
  <r>
    <x v="0"/>
    <x v="0"/>
    <x v="0"/>
    <s v="M00000269224"/>
    <d v="2007-05-10T00:00:00"/>
    <n v="1036"/>
    <n v="0"/>
    <n v="768.5"/>
    <n v="362.5"/>
    <x v="5"/>
    <s v="38"/>
    <s v="1450"/>
    <n v="19"/>
    <n v="0.53"/>
    <n v="2.7894736842105264E-2"/>
  </r>
  <r>
    <x v="0"/>
    <x v="0"/>
    <x v="0"/>
    <s v="M00000296618"/>
    <d v="2007-09-06T00:00:00"/>
    <n v="1176"/>
    <n v="0"/>
    <n v="964.04"/>
    <n v="411"/>
    <x v="15"/>
    <s v="38"/>
    <s v="1644"/>
    <n v="21"/>
    <n v="0.58639902676399025"/>
    <n v="2.7923763179237632E-2"/>
  </r>
  <r>
    <x v="0"/>
    <x v="0"/>
    <x v="0"/>
    <s v="M00000346648"/>
    <d v="2008-03-20T00:00:00"/>
    <n v="556"/>
    <n v="0"/>
    <n v="830"/>
    <n v="195.25"/>
    <x v="0"/>
    <s v="38"/>
    <s v="781"/>
    <n v="38"/>
    <n v="1.0627400768245838"/>
    <n v="2.7966844126962733E-2"/>
  </r>
  <r>
    <x v="0"/>
    <x v="0"/>
    <x v="0"/>
    <s v="M00000313470"/>
    <d v="2007-12-31T00:00:00"/>
    <n v="572"/>
    <n v="0"/>
    <n v="559.42999999999995"/>
    <n v="200"/>
    <x v="3"/>
    <s v="38"/>
    <s v="800"/>
    <n v="25"/>
    <n v="0.69928749999999995"/>
    <n v="2.7971499999999996E-2"/>
  </r>
  <r>
    <x v="0"/>
    <x v="0"/>
    <x v="0"/>
    <s v="M00000309954"/>
    <d v="2007-11-01T00:00:00"/>
    <n v="409"/>
    <n v="0"/>
    <n v="320"/>
    <n v="143"/>
    <x v="6"/>
    <s v="38"/>
    <s v="572"/>
    <n v="20"/>
    <n v="0.55944055944055948"/>
    <n v="2.7972027972027975E-2"/>
  </r>
  <r>
    <x v="0"/>
    <x v="0"/>
    <x v="0"/>
    <s v="M00000341121"/>
    <d v="2008-02-21T00:00:00"/>
    <n v="134"/>
    <n v="0"/>
    <n v="199"/>
    <n v="46.75"/>
    <x v="0"/>
    <s v="38"/>
    <s v="187"/>
    <n v="38"/>
    <n v="1.0641711229946524"/>
    <n v="2.8004503236701381E-2"/>
  </r>
  <r>
    <x v="0"/>
    <x v="0"/>
    <x v="0"/>
    <s v="M00000361472"/>
    <d v="2008-05-22T00:00:00"/>
    <n v="338"/>
    <n v="0"/>
    <n v="440"/>
    <n v="118.75"/>
    <x v="10"/>
    <s v="38"/>
    <s v="475"/>
    <n v="33"/>
    <n v="0.9263157894736842"/>
    <n v="2.8070175438596492E-2"/>
  </r>
  <r>
    <x v="0"/>
    <x v="0"/>
    <x v="0"/>
    <s v="M00000301928"/>
    <d v="2007-09-28T00:00:00"/>
    <n v="1152"/>
    <n v="0"/>
    <n v="860"/>
    <n v="402.75"/>
    <x v="5"/>
    <s v="38"/>
    <s v="1611"/>
    <n v="19"/>
    <n v="0.53382991930477963"/>
    <n v="2.8096311542356821E-2"/>
  </r>
  <r>
    <x v="0"/>
    <x v="0"/>
    <x v="0"/>
    <s v="M00000277376"/>
    <d v="2007-06-14T00:00:00"/>
    <n v="329"/>
    <n v="0"/>
    <n v="374.99"/>
    <n v="115"/>
    <x v="8"/>
    <s v="38"/>
    <s v="460"/>
    <n v="29"/>
    <n v="0.8151956521739131"/>
    <n v="2.8110194902548728E-2"/>
  </r>
  <r>
    <x v="0"/>
    <x v="0"/>
    <x v="0"/>
    <s v="M00000337264"/>
    <d v="2008-03-06T00:00:00"/>
    <n v="815"/>
    <n v="0"/>
    <n v="804.02"/>
    <n v="286"/>
    <x v="3"/>
    <s v="38"/>
    <s v="1144"/>
    <n v="25"/>
    <n v="0.70281468531468527"/>
    <n v="2.811258741258741E-2"/>
  </r>
  <r>
    <x v="0"/>
    <x v="0"/>
    <x v="0"/>
    <s v="M00000290637"/>
    <d v="2007-10-11T00:00:00"/>
    <n v="787"/>
    <n v="0"/>
    <n v="930.16"/>
    <n v="275"/>
    <x v="3"/>
    <s v="43"/>
    <s v="1100"/>
    <n v="30"/>
    <n v="0.84560000000000002"/>
    <n v="2.8186666666666669E-2"/>
  </r>
  <r>
    <x v="0"/>
    <x v="0"/>
    <x v="0"/>
    <s v="M00000338779"/>
    <d v="2008-02-29T00:00:00"/>
    <n v="680"/>
    <n v="0"/>
    <n v="857.73"/>
    <n v="237.5"/>
    <x v="15"/>
    <s v="49"/>
    <s v="950"/>
    <n v="32"/>
    <n v="0.90287368421052638"/>
    <n v="2.8214802631578949E-2"/>
  </r>
  <r>
    <x v="0"/>
    <x v="0"/>
    <x v="0"/>
    <s v="M00000341301"/>
    <d v="2008-02-29T00:00:00"/>
    <n v="840"/>
    <n v="0"/>
    <n v="632"/>
    <n v="294"/>
    <x v="5"/>
    <s v="38"/>
    <s v="1176"/>
    <n v="19"/>
    <n v="0.5374149659863946"/>
    <n v="2.8284998209810241E-2"/>
  </r>
  <r>
    <x v="0"/>
    <x v="0"/>
    <x v="0"/>
    <s v="M00000336956"/>
    <d v="2008-02-07T00:00:00"/>
    <n v="1544"/>
    <n v="0"/>
    <n v="1161"/>
    <n v="540"/>
    <x v="5"/>
    <s v="38"/>
    <s v="2160"/>
    <n v="19"/>
    <n v="0.53749999999999998"/>
    <n v="2.8289473684210524E-2"/>
  </r>
  <r>
    <x v="0"/>
    <x v="0"/>
    <x v="0"/>
    <s v="M00000330890"/>
    <d v="2007-12-31T00:00:00"/>
    <n v="626"/>
    <n v="0"/>
    <n v="570"/>
    <n v="219"/>
    <x v="4"/>
    <s v="38"/>
    <s v="876"/>
    <n v="23"/>
    <n v="0.65068493150684936"/>
    <n v="2.8290649195949973E-2"/>
  </r>
  <r>
    <x v="0"/>
    <x v="0"/>
    <x v="0"/>
    <s v="M00000272753"/>
    <d v="2007-05-24T00:00:00"/>
    <n v="1158"/>
    <n v="0"/>
    <n v="1754.95"/>
    <n v="405"/>
    <x v="0"/>
    <s v="38"/>
    <s v="1620"/>
    <n v="38"/>
    <n v="1.0833024691358024"/>
    <n v="2.8507959714100063E-2"/>
  </r>
  <r>
    <x v="0"/>
    <x v="0"/>
    <x v="0"/>
    <s v="M00000338225"/>
    <d v="2008-02-07T00:00:00"/>
    <n v="358"/>
    <n v="0"/>
    <n v="385"/>
    <n v="125"/>
    <x v="2"/>
    <s v="38"/>
    <s v="500"/>
    <n v="27"/>
    <n v="0.77"/>
    <n v="2.8518518518518519E-2"/>
  </r>
  <r>
    <x v="0"/>
    <x v="0"/>
    <x v="0"/>
    <s v="M00000292623"/>
    <d v="2007-10-18T00:00:00"/>
    <n v="572"/>
    <n v="0"/>
    <n v="571.04"/>
    <n v="200"/>
    <x v="3"/>
    <s v="38"/>
    <s v="800"/>
    <n v="25"/>
    <n v="0.71379999999999999"/>
    <n v="2.8552000000000001E-2"/>
  </r>
  <r>
    <x v="0"/>
    <x v="0"/>
    <x v="0"/>
    <s v="M00000365729"/>
    <d v="2008-06-12T00:00:00"/>
    <n v="285"/>
    <n v="0"/>
    <n v="240"/>
    <n v="100"/>
    <x v="15"/>
    <s v="38"/>
    <s v="400"/>
    <n v="21"/>
    <n v="0.6"/>
    <n v="2.8571428571428571E-2"/>
  </r>
  <r>
    <x v="0"/>
    <x v="0"/>
    <x v="0"/>
    <s v="M00000368625"/>
    <d v="2008-06-19T00:00:00"/>
    <n v="1092"/>
    <n v="0"/>
    <n v="1534"/>
    <n v="383.5"/>
    <x v="13"/>
    <s v="38"/>
    <s v="1534"/>
    <n v="35"/>
    <n v="1"/>
    <n v="2.8571428571428571E-2"/>
  </r>
  <r>
    <x v="0"/>
    <x v="0"/>
    <x v="0"/>
    <s v="M00000331480"/>
    <d v="2008-02-21T00:00:00"/>
    <n v="906"/>
    <n v="0"/>
    <n v="945"/>
    <n v="317"/>
    <x v="6"/>
    <s v="44"/>
    <s v="1268"/>
    <n v="26"/>
    <n v="0.74526813880126186"/>
    <n v="2.8664159184663918E-2"/>
  </r>
  <r>
    <x v="0"/>
    <x v="0"/>
    <x v="0"/>
    <s v="M00000369771"/>
    <d v="2008-06-26T00:00:00"/>
    <n v="718"/>
    <n v="0"/>
    <n v="700"/>
    <n v="252"/>
    <x v="18"/>
    <s v="38"/>
    <s v="1008"/>
    <n v="24"/>
    <n v="0.69444444444444442"/>
    <n v="2.8935185185185185E-2"/>
  </r>
  <r>
    <x v="0"/>
    <x v="0"/>
    <x v="0"/>
    <s v="M00000295519"/>
    <d v="2007-09-06T00:00:00"/>
    <n v="930"/>
    <n v="0"/>
    <n v="1102.01"/>
    <n v="325"/>
    <x v="8"/>
    <s v="38"/>
    <s v="1300"/>
    <n v="29"/>
    <n v="0.84770000000000001"/>
    <n v="2.9231034482758621E-2"/>
  </r>
  <r>
    <x v="0"/>
    <x v="0"/>
    <x v="0"/>
    <s v="M00000308832"/>
    <d v="2007-12-13T00:00:00"/>
    <n v="1216"/>
    <n v="0"/>
    <n v="1301.77"/>
    <n v="425"/>
    <x v="14"/>
    <s v="38"/>
    <s v="1700"/>
    <n v="26"/>
    <n v="0.76574705882352945"/>
    <n v="2.9451809954751131E-2"/>
  </r>
  <r>
    <x v="0"/>
    <x v="0"/>
    <x v="0"/>
    <s v="M00000369190"/>
    <d v="2008-06-19T00:00:00"/>
    <n v="962"/>
    <n v="0"/>
    <n v="995"/>
    <n v="337.5"/>
    <x v="3"/>
    <s v="38"/>
    <s v="1350"/>
    <n v="25"/>
    <n v="0.73703703703703705"/>
    <n v="2.9481481481481484E-2"/>
  </r>
  <r>
    <x v="0"/>
    <x v="0"/>
    <x v="0"/>
    <s v="M00000372937"/>
    <d v="2008-07-03T00:00:00"/>
    <n v="1691"/>
    <n v="0"/>
    <n v="1900"/>
    <n v="593.75"/>
    <x v="2"/>
    <s v="38"/>
    <s v="2375"/>
    <n v="27"/>
    <n v="0.8"/>
    <n v="2.9629629629629631E-2"/>
  </r>
  <r>
    <x v="0"/>
    <x v="0"/>
    <x v="0"/>
    <s v="M00000290010"/>
    <d v="2007-08-09T00:00:00"/>
    <n v="715"/>
    <n v="0"/>
    <n v="630"/>
    <n v="250"/>
    <x v="15"/>
    <s v="38"/>
    <s v="1000"/>
    <n v="21"/>
    <n v="0.63"/>
    <n v="0.03"/>
  </r>
  <r>
    <x v="0"/>
    <x v="0"/>
    <x v="0"/>
    <s v="M00000299747"/>
    <d v="2007-09-20T00:00:00"/>
    <n v="1190"/>
    <n v="0"/>
    <n v="1250"/>
    <n v="416"/>
    <x v="0"/>
    <s v="25"/>
    <s v="1664"/>
    <n v="25"/>
    <n v="0.75120192307692313"/>
    <n v="3.0048076923076924E-2"/>
  </r>
  <r>
    <x v="0"/>
    <x v="0"/>
    <x v="0"/>
    <s v="M00000299748"/>
    <d v="2007-09-20T00:00:00"/>
    <n v="1190"/>
    <n v="0"/>
    <n v="1250"/>
    <n v="416"/>
    <x v="0"/>
    <s v="25"/>
    <s v="1664"/>
    <n v="25"/>
    <n v="0.75120192307692313"/>
    <n v="3.0048076923076924E-2"/>
  </r>
  <r>
    <x v="0"/>
    <x v="0"/>
    <x v="0"/>
    <s v="M00000302345"/>
    <d v="2007-10-11T00:00:00"/>
    <n v="629"/>
    <n v="0"/>
    <n v="795"/>
    <n v="220"/>
    <x v="1"/>
    <s v="38"/>
    <s v="880"/>
    <n v="30"/>
    <n v="0.90340909090909094"/>
    <n v="3.0113636363636363E-2"/>
  </r>
  <r>
    <x v="0"/>
    <x v="0"/>
    <x v="0"/>
    <s v="M00000333179"/>
    <d v="2007-12-31T00:00:00"/>
    <n v="715"/>
    <n v="0"/>
    <n v="757"/>
    <n v="250"/>
    <x v="3"/>
    <s v="38"/>
    <s v="1000"/>
    <n v="25"/>
    <n v="0.75700000000000001"/>
    <n v="3.0280000000000001E-2"/>
  </r>
  <r>
    <x v="0"/>
    <x v="0"/>
    <x v="0"/>
    <s v="M00000285012"/>
    <d v="2007-07-19T00:00:00"/>
    <n v="1223"/>
    <n v="0"/>
    <n v="1035.92"/>
    <n v="427.5"/>
    <x v="6"/>
    <s v="38"/>
    <s v="1710"/>
    <n v="20"/>
    <n v="0.60580116959064334"/>
    <n v="3.0290058479532166E-2"/>
  </r>
  <r>
    <x v="0"/>
    <x v="0"/>
    <x v="0"/>
    <s v="M00000276279"/>
    <d v="2007-06-14T00:00:00"/>
    <n v="607"/>
    <n v="0"/>
    <n v="644.98"/>
    <n v="212.5"/>
    <x v="3"/>
    <s v="38"/>
    <s v="850"/>
    <n v="25"/>
    <n v="0.75880000000000003"/>
    <n v="3.0352000000000001E-2"/>
  </r>
  <r>
    <x v="0"/>
    <x v="0"/>
    <x v="0"/>
    <s v="M00000333425"/>
    <d v="2007-12-31T00:00:00"/>
    <n v="855"/>
    <n v="0"/>
    <n v="1089.56"/>
    <n v="299"/>
    <x v="1"/>
    <s v="38"/>
    <s v="1196"/>
    <n v="30"/>
    <n v="0.91100334448160536"/>
    <n v="3.0366778149386844E-2"/>
  </r>
  <r>
    <x v="0"/>
    <x v="0"/>
    <x v="0"/>
    <s v="M00000272719"/>
    <d v="2007-06-07T00:00:00"/>
    <n v="787"/>
    <n v="0"/>
    <n v="906.95"/>
    <n v="275"/>
    <x v="2"/>
    <s v="38"/>
    <s v="1100"/>
    <n v="27"/>
    <n v="0.82450000000000001"/>
    <n v="3.0537037037037036E-2"/>
  </r>
  <r>
    <x v="0"/>
    <x v="0"/>
    <x v="0"/>
    <s v="M00000307206"/>
    <d v="2007-12-06T00:00:00"/>
    <n v="966"/>
    <n v="0"/>
    <n v="866.32"/>
    <n v="337.5"/>
    <x v="15"/>
    <s v="38"/>
    <s v="1350"/>
    <n v="21"/>
    <n v="0.64171851851851858"/>
    <n v="3.0558024691358026E-2"/>
  </r>
  <r>
    <x v="0"/>
    <x v="0"/>
    <x v="0"/>
    <s v="M00000275197"/>
    <d v="2007-07-19T00:00:00"/>
    <n v="542"/>
    <n v="0"/>
    <n v="790.12"/>
    <n v="189.75"/>
    <x v="9"/>
    <s v="38"/>
    <s v="759"/>
    <n v="34"/>
    <n v="1.0410013175230566"/>
    <n v="3.0617685809501666E-2"/>
  </r>
  <r>
    <x v="0"/>
    <x v="0"/>
    <x v="0"/>
    <s v="M00000326989"/>
    <d v="2007-12-31T00:00:00"/>
    <n v="715"/>
    <n v="0"/>
    <n v="767"/>
    <n v="250"/>
    <x v="3"/>
    <s v="38"/>
    <s v="1000"/>
    <n v="25"/>
    <n v="0.76700000000000002"/>
    <n v="3.0679999999999999E-2"/>
  </r>
  <r>
    <x v="0"/>
    <x v="0"/>
    <x v="0"/>
    <s v="M00000342352"/>
    <d v="2008-02-29T00:00:00"/>
    <n v="1287"/>
    <n v="0"/>
    <n v="1112"/>
    <n v="450"/>
    <x v="6"/>
    <s v="38"/>
    <s v="1800"/>
    <n v="20"/>
    <n v="0.61777777777777776"/>
    <n v="3.0888888888888889E-2"/>
  </r>
  <r>
    <x v="0"/>
    <x v="0"/>
    <x v="0"/>
    <s v="M00000273568"/>
    <d v="2007-07-06T00:00:00"/>
    <n v="787"/>
    <n v="0"/>
    <n v="989.34"/>
    <n v="275"/>
    <x v="8"/>
    <s v="38"/>
    <s v="1100"/>
    <n v="29"/>
    <n v="0.89939999999999998"/>
    <n v="3.1013793103448276E-2"/>
  </r>
  <r>
    <x v="0"/>
    <x v="0"/>
    <x v="0"/>
    <s v="M00000346903"/>
    <d v="2008-04-17T00:00:00"/>
    <n v="878"/>
    <n v="0"/>
    <n v="805.2"/>
    <n v="308.25"/>
    <x v="15"/>
    <s v="38"/>
    <s v="1233"/>
    <n v="21"/>
    <n v="0.65304136253041367"/>
    <n v="3.1097207739543508E-2"/>
  </r>
  <r>
    <x v="0"/>
    <x v="0"/>
    <x v="0"/>
    <s v="M00000343780"/>
    <d v="2008-03-06T00:00:00"/>
    <n v="1139"/>
    <n v="0"/>
    <n v="947"/>
    <n v="400"/>
    <x v="5"/>
    <s v="38"/>
    <s v="1600"/>
    <n v="19"/>
    <n v="0.59187500000000004"/>
    <n v="3.1151315789473687E-2"/>
  </r>
  <r>
    <x v="0"/>
    <x v="0"/>
    <x v="0"/>
    <s v="M00000308308"/>
    <d v="2007-10-25T00:00:00"/>
    <n v="2134"/>
    <n v="0"/>
    <n v="2140"/>
    <n v="746"/>
    <x v="4"/>
    <s v="38"/>
    <s v="2984"/>
    <n v="23"/>
    <n v="0.71715817694369977"/>
    <n v="3.1180790301899991E-2"/>
  </r>
  <r>
    <x v="0"/>
    <x v="0"/>
    <x v="0"/>
    <s v="M00000359594"/>
    <d v="2008-05-08T00:00:00"/>
    <n v="312"/>
    <n v="0"/>
    <n v="383"/>
    <n v="109.5"/>
    <x v="11"/>
    <s v="38"/>
    <s v="438"/>
    <n v="28"/>
    <n v="0.87442922374429222"/>
    <n v="3.1229615133724721E-2"/>
  </r>
  <r>
    <x v="0"/>
    <x v="0"/>
    <x v="0"/>
    <s v="M00000340549"/>
    <d v="2008-03-06T00:00:00"/>
    <n v="669"/>
    <n v="0"/>
    <n v="598"/>
    <n v="235"/>
    <x v="6"/>
    <s v="38"/>
    <s v="940"/>
    <n v="20"/>
    <n v="0.63617021276595742"/>
    <n v="3.1808510638297871E-2"/>
  </r>
  <r>
    <x v="0"/>
    <x v="0"/>
    <x v="0"/>
    <s v="M00000362445"/>
    <d v="2008-05-22T00:00:00"/>
    <n v="997"/>
    <n v="0"/>
    <n v="1250"/>
    <n v="350"/>
    <x v="11"/>
    <s v="38"/>
    <s v="1400"/>
    <n v="28"/>
    <n v="0.8928571428571429"/>
    <n v="3.1887755102040817E-2"/>
  </r>
  <r>
    <x v="0"/>
    <x v="0"/>
    <x v="0"/>
    <s v="M00000354987"/>
    <d v="2008-04-24T00:00:00"/>
    <n v="829"/>
    <n v="0"/>
    <n v="1114"/>
    <n v="291"/>
    <x v="1"/>
    <s v="38"/>
    <s v="1164"/>
    <n v="30"/>
    <n v="0.95704467353951894"/>
    <n v="3.1901489117983968E-2"/>
  </r>
  <r>
    <x v="0"/>
    <x v="0"/>
    <x v="0"/>
    <s v="M00000337104"/>
    <d v="2008-02-21T00:00:00"/>
    <n v="752"/>
    <n v="0"/>
    <n v="504"/>
    <n v="263.25"/>
    <x v="19"/>
    <s v="38"/>
    <s v="1053"/>
    <n v="15"/>
    <n v="0.47863247863247865"/>
    <n v="3.1908831908831911E-2"/>
  </r>
  <r>
    <x v="0"/>
    <x v="0"/>
    <x v="0"/>
    <s v="M00000329746"/>
    <d v="2007-12-31T00:00:00"/>
    <n v="954"/>
    <n v="0"/>
    <n v="1624.33"/>
    <n v="333.5"/>
    <x v="0"/>
    <s v="38"/>
    <s v="1334"/>
    <n v="38"/>
    <n v="1.2176386806596702"/>
    <n v="3.2043123175254477E-2"/>
  </r>
  <r>
    <x v="0"/>
    <x v="0"/>
    <x v="0"/>
    <s v="M00000348472"/>
    <d v="2008-05-08T00:00:00"/>
    <n v="712"/>
    <n v="0"/>
    <n v="900"/>
    <n v="250"/>
    <x v="11"/>
    <s v="38"/>
    <s v="1000"/>
    <n v="28"/>
    <n v="0.9"/>
    <n v="3.2142857142857147E-2"/>
  </r>
  <r>
    <x v="0"/>
    <x v="0"/>
    <x v="0"/>
    <s v="M00000315228"/>
    <d v="2007-12-20T00:00:00"/>
    <n v="726"/>
    <n v="0"/>
    <n v="922.25"/>
    <n v="254"/>
    <x v="11"/>
    <s v="38"/>
    <s v="1016"/>
    <n v="28"/>
    <n v="0.9077263779527559"/>
    <n v="3.2418799212598423E-2"/>
  </r>
  <r>
    <x v="0"/>
    <x v="0"/>
    <x v="0"/>
    <s v="M00000276422"/>
    <d v="2007-06-14T00:00:00"/>
    <n v="823"/>
    <n v="0"/>
    <n v="1416.92"/>
    <n v="287.5"/>
    <x v="0"/>
    <s v="38"/>
    <s v="1150"/>
    <n v="38"/>
    <n v="1.2321043478260869"/>
    <n v="3.2423798627002287E-2"/>
  </r>
  <r>
    <x v="0"/>
    <x v="0"/>
    <x v="0"/>
    <s v="M00000347865"/>
    <d v="2008-04-24T00:00:00"/>
    <n v="897"/>
    <n v="0"/>
    <n v="1114.02"/>
    <n v="315"/>
    <x v="2"/>
    <s v="38"/>
    <s v="1260"/>
    <n v="27"/>
    <n v="0.88414285714285712"/>
    <n v="3.2746031746031745E-2"/>
  </r>
  <r>
    <x v="0"/>
    <x v="0"/>
    <x v="0"/>
    <s v="M00000316408"/>
    <d v="2007-12-31T00:00:00"/>
    <n v="787"/>
    <n v="0"/>
    <n v="868.26"/>
    <n v="275"/>
    <x v="18"/>
    <s v="38"/>
    <s v="1100"/>
    <n v="24"/>
    <n v="0.78932727272727277"/>
    <n v="3.2888636363636363E-2"/>
  </r>
  <r>
    <x v="0"/>
    <x v="0"/>
    <x v="0"/>
    <s v="M00000331036"/>
    <d v="2007-12-31T00:00:00"/>
    <n v="1487"/>
    <n v="0"/>
    <n v="1369"/>
    <n v="520"/>
    <x v="6"/>
    <s v="38"/>
    <s v="2080"/>
    <n v="20"/>
    <n v="0.65817307692307692"/>
    <n v="3.2908653846153844E-2"/>
  </r>
  <r>
    <x v="0"/>
    <x v="0"/>
    <x v="0"/>
    <s v="M00000345964"/>
    <d v="2008-03-13T00:00:00"/>
    <n v="1211"/>
    <n v="0"/>
    <n v="1120.19"/>
    <n v="425"/>
    <x v="6"/>
    <s v="38"/>
    <s v="1700"/>
    <n v="20"/>
    <n v="0.65893529411764706"/>
    <n v="3.2946764705882356E-2"/>
  </r>
  <r>
    <x v="0"/>
    <x v="0"/>
    <x v="0"/>
    <s v="M00000268132"/>
    <d v="2007-05-10T00:00:00"/>
    <n v="601"/>
    <n v="0"/>
    <n v="747.6"/>
    <n v="210"/>
    <x v="2"/>
    <s v="38"/>
    <s v="840"/>
    <n v="27"/>
    <n v="0.89"/>
    <n v="3.2962962962962965E-2"/>
  </r>
  <r>
    <x v="0"/>
    <x v="0"/>
    <x v="0"/>
    <s v="M00000373672"/>
    <d v="2008-07-10T00:00:00"/>
    <n v="518"/>
    <n v="0"/>
    <n v="649"/>
    <n v="182"/>
    <x v="2"/>
    <s v="38"/>
    <s v="728"/>
    <n v="27"/>
    <n v="0.89148351648351654"/>
    <n v="3.3017908017908021E-2"/>
  </r>
  <r>
    <x v="0"/>
    <x v="0"/>
    <x v="0"/>
    <s v="M00000355255"/>
    <d v="2008-04-24T00:00:00"/>
    <n v="1297"/>
    <n v="0"/>
    <n v="1808"/>
    <n v="455.5"/>
    <x v="5"/>
    <s v="49"/>
    <s v="1822"/>
    <n v="30"/>
    <n v="0.99231613611416025"/>
    <n v="3.3077204537138673E-2"/>
  </r>
  <r>
    <x v="0"/>
    <x v="0"/>
    <x v="0"/>
    <s v="M00000354295"/>
    <d v="2008-04-24T00:00:00"/>
    <n v="1124"/>
    <n v="0"/>
    <n v="1568"/>
    <n v="394.5"/>
    <x v="1"/>
    <s v="38"/>
    <s v="1578"/>
    <n v="30"/>
    <n v="0.99366286438529783"/>
    <n v="3.3122095479509929E-2"/>
  </r>
  <r>
    <x v="0"/>
    <x v="0"/>
    <x v="0"/>
    <s v="M00000276854"/>
    <d v="2007-07-06T00:00:00"/>
    <n v="1198"/>
    <n v="0"/>
    <n v="1499.96"/>
    <n v="418.75"/>
    <x v="2"/>
    <s v="38"/>
    <s v="1675"/>
    <n v="27"/>
    <n v="0.89549850746268655"/>
    <n v="3.3166611387506907E-2"/>
  </r>
  <r>
    <x v="0"/>
    <x v="0"/>
    <x v="0"/>
    <s v="M00000342366"/>
    <d v="2008-03-06T00:00:00"/>
    <n v="740"/>
    <n v="0"/>
    <n v="690"/>
    <n v="260"/>
    <x v="6"/>
    <s v="38"/>
    <s v="1040"/>
    <n v="20"/>
    <n v="0.66346153846153844"/>
    <n v="3.3173076923076923E-2"/>
  </r>
  <r>
    <x v="0"/>
    <x v="0"/>
    <x v="0"/>
    <s v="M00000302774"/>
    <d v="2008-04-03T00:00:00"/>
    <n v="1982"/>
    <n v="0"/>
    <n v="1542"/>
    <n v="577.5"/>
    <x v="6"/>
    <s v="38"/>
    <s v="2310"/>
    <n v="20"/>
    <n v="0.66753246753246753"/>
    <n v="3.3376623376623379E-2"/>
  </r>
  <r>
    <x v="0"/>
    <x v="0"/>
    <x v="0"/>
    <s v="M00000347041"/>
    <d v="2008-03-20T00:00:00"/>
    <n v="1026"/>
    <n v="0"/>
    <n v="1304"/>
    <n v="360.25"/>
    <x v="2"/>
    <s v="38"/>
    <s v="1441"/>
    <n v="27"/>
    <n v="0.90492713393476754"/>
    <n v="3.3515819775361763E-2"/>
  </r>
  <r>
    <x v="0"/>
    <x v="0"/>
    <x v="0"/>
    <s v="M00000325936"/>
    <d v="2007-12-31T00:00:00"/>
    <n v="836"/>
    <n v="0"/>
    <n v="981"/>
    <n v="292.5"/>
    <x v="3"/>
    <s v="38"/>
    <s v="1170"/>
    <n v="25"/>
    <n v="0.83846153846153848"/>
    <n v="3.3538461538461538E-2"/>
  </r>
  <r>
    <x v="0"/>
    <x v="0"/>
    <x v="0"/>
    <s v="M00000356804"/>
    <d v="2008-05-15T00:00:00"/>
    <n v="911"/>
    <n v="0"/>
    <n v="995"/>
    <n v="320"/>
    <x v="4"/>
    <s v="38"/>
    <s v="1280"/>
    <n v="23"/>
    <n v="0.77734375"/>
    <n v="3.3797554347826088E-2"/>
  </r>
  <r>
    <x v="0"/>
    <x v="0"/>
    <x v="0"/>
    <s v="M00000277277"/>
    <d v="2007-07-06T00:00:00"/>
    <n v="1119"/>
    <n v="0"/>
    <n v="1325.02"/>
    <n v="391"/>
    <x v="3"/>
    <s v="38"/>
    <s v="1564"/>
    <n v="25"/>
    <n v="0.84719948849104854"/>
    <n v="3.3887979539641941E-2"/>
  </r>
  <r>
    <x v="0"/>
    <x v="0"/>
    <x v="0"/>
    <s v="M00000296238"/>
    <d v="2007-09-28T00:00:00"/>
    <n v="743"/>
    <n v="0"/>
    <n v="949.98"/>
    <n v="259.5"/>
    <x v="2"/>
    <s v="38"/>
    <s v="1038"/>
    <n v="27"/>
    <n v="0.91520231213872838"/>
    <n v="3.3896381931064014E-2"/>
  </r>
  <r>
    <x v="0"/>
    <x v="0"/>
    <x v="0"/>
    <s v="M00000331018"/>
    <d v="2007-12-31T00:00:00"/>
    <n v="878"/>
    <n v="0"/>
    <n v="792"/>
    <n v="306.75"/>
    <x v="5"/>
    <s v="38"/>
    <s v="1227"/>
    <n v="19"/>
    <n v="0.6454767726161369"/>
    <n v="3.3972461716638785E-2"/>
  </r>
  <r>
    <x v="0"/>
    <x v="0"/>
    <x v="0"/>
    <s v="M00000369201"/>
    <d v="2008-06-19T00:00:00"/>
    <n v="1299"/>
    <n v="0"/>
    <n v="1311"/>
    <n v="456"/>
    <x v="15"/>
    <s v="38"/>
    <s v="1824"/>
    <n v="21"/>
    <n v="0.71875"/>
    <n v="3.4226190476190479E-2"/>
  </r>
  <r>
    <x v="0"/>
    <x v="0"/>
    <x v="0"/>
    <s v="M00000355603"/>
    <d v="2008-04-30T00:00:00"/>
    <n v="979"/>
    <n v="0"/>
    <n v="947"/>
    <n v="343.75"/>
    <x v="6"/>
    <s v="38"/>
    <s v="1375"/>
    <n v="20"/>
    <n v="0.68872727272727274"/>
    <n v="3.443636363636364E-2"/>
  </r>
  <r>
    <x v="0"/>
    <x v="0"/>
    <x v="0"/>
    <s v="M00000331145"/>
    <d v="2007-12-31T00:00:00"/>
    <n v="1144"/>
    <n v="0"/>
    <n v="2095"/>
    <n v="400"/>
    <x v="2"/>
    <s v="49"/>
    <s v="1600"/>
    <n v="38"/>
    <n v="1.309375"/>
    <n v="3.4457236842105263E-2"/>
  </r>
  <r>
    <x v="0"/>
    <x v="0"/>
    <x v="0"/>
    <s v="M00000333401"/>
    <d v="2007-12-31T00:00:00"/>
    <n v="644"/>
    <n v="0"/>
    <n v="590"/>
    <n v="225"/>
    <x v="5"/>
    <s v="38"/>
    <s v="900"/>
    <n v="19"/>
    <n v="0.65555555555555556"/>
    <n v="3.4502923976608188E-2"/>
  </r>
  <r>
    <x v="0"/>
    <x v="0"/>
    <x v="0"/>
    <s v="M00000326920"/>
    <d v="2007-12-31T00:00:00"/>
    <n v="1158"/>
    <n v="0"/>
    <n v="1179"/>
    <n v="405"/>
    <x v="15"/>
    <s v="38"/>
    <s v="1620"/>
    <n v="21"/>
    <n v="0.72777777777777775"/>
    <n v="3.4656084656084656E-2"/>
  </r>
  <r>
    <x v="0"/>
    <x v="0"/>
    <x v="0"/>
    <s v="M00000292766"/>
    <d v="2007-08-23T00:00:00"/>
    <n v="1397"/>
    <n v="0"/>
    <n v="1560.07"/>
    <n v="488.5"/>
    <x v="4"/>
    <s v="38"/>
    <s v="1954"/>
    <n v="23"/>
    <n v="0.7983981576253838"/>
    <n v="3.4712963375016684E-2"/>
  </r>
  <r>
    <x v="0"/>
    <x v="0"/>
    <x v="0"/>
    <s v="M00000348456"/>
    <d v="2008-03-27T00:00:00"/>
    <n v="1025"/>
    <n v="0"/>
    <n v="1250"/>
    <n v="360"/>
    <x v="3"/>
    <s v="38"/>
    <s v="1440"/>
    <n v="25"/>
    <n v="0.86805555555555558"/>
    <n v="3.4722222222222224E-2"/>
  </r>
  <r>
    <x v="0"/>
    <x v="0"/>
    <x v="0"/>
    <s v="M00000332491"/>
    <d v="2007-12-31T00:00:00"/>
    <n v="831"/>
    <n v="0"/>
    <n v="928"/>
    <n v="290.25"/>
    <x v="4"/>
    <s v="38"/>
    <s v="1161"/>
    <n v="23"/>
    <n v="0.79931093884582261"/>
    <n v="3.4752649515035768E-2"/>
  </r>
  <r>
    <x v="0"/>
    <x v="0"/>
    <x v="0"/>
    <s v="M00000300850"/>
    <d v="2007-09-27T00:00:00"/>
    <n v="920"/>
    <n v="0"/>
    <n v="900"/>
    <n v="321.5"/>
    <x v="6"/>
    <s v="38"/>
    <s v="1286"/>
    <n v="20"/>
    <n v="0.69984447900466562"/>
    <n v="3.4992223950233284E-2"/>
  </r>
  <r>
    <x v="0"/>
    <x v="0"/>
    <x v="0"/>
    <s v="M00000305557"/>
    <d v="2007-10-18T00:00:00"/>
    <n v="840"/>
    <n v="0"/>
    <n v="868"/>
    <n v="294"/>
    <x v="15"/>
    <s v="38"/>
    <s v="1176"/>
    <n v="21"/>
    <n v="0.73809523809523814"/>
    <n v="3.5147392290249435E-2"/>
  </r>
  <r>
    <x v="0"/>
    <x v="0"/>
    <x v="0"/>
    <s v="M00000329188"/>
    <d v="2007-12-31T00:00:00"/>
    <n v="1073"/>
    <n v="0"/>
    <n v="1065"/>
    <n v="375"/>
    <x v="6"/>
    <s v="38"/>
    <s v="1500"/>
    <n v="20"/>
    <n v="0.71"/>
    <n v="3.5499999999999997E-2"/>
  </r>
  <r>
    <x v="0"/>
    <x v="0"/>
    <x v="0"/>
    <s v="M00000350358"/>
    <d v="2008-04-03T00:00:00"/>
    <n v="2136"/>
    <n v="0"/>
    <n v="2150"/>
    <n v="750"/>
    <x v="6"/>
    <s v="38"/>
    <s v="3000"/>
    <n v="20"/>
    <n v="0.71666666666666667"/>
    <n v="3.5833333333333335E-2"/>
  </r>
  <r>
    <x v="0"/>
    <x v="0"/>
    <x v="0"/>
    <s v="M00000270424"/>
    <d v="2007-06-07T00:00:00"/>
    <n v="916"/>
    <n v="0"/>
    <n v="935.13"/>
    <n v="320.25"/>
    <x v="6"/>
    <s v="38"/>
    <s v="1281"/>
    <n v="20"/>
    <n v="0.73"/>
    <n v="3.6499999999999998E-2"/>
  </r>
  <r>
    <x v="0"/>
    <x v="0"/>
    <x v="0"/>
    <s v="M00000369876"/>
    <d v="2008-06-26T00:00:00"/>
    <n v="897"/>
    <n v="0"/>
    <n v="1386"/>
    <n v="315"/>
    <x v="1"/>
    <s v="38"/>
    <s v="1260"/>
    <n v="30"/>
    <n v="1.1000000000000001"/>
    <n v="3.6666666666666667E-2"/>
  </r>
  <r>
    <x v="0"/>
    <x v="0"/>
    <x v="0"/>
    <s v="M00000319302"/>
    <d v="2007-12-13T00:00:00"/>
    <n v="955"/>
    <n v="0"/>
    <n v="1089.68"/>
    <n v="334"/>
    <x v="7"/>
    <s v="38"/>
    <s v="1336"/>
    <n v="22"/>
    <n v="0.81562874251497008"/>
    <n v="3.7074033750680462E-2"/>
  </r>
  <r>
    <x v="0"/>
    <x v="0"/>
    <x v="0"/>
    <s v="M00000330986"/>
    <d v="2007-12-31T00:00:00"/>
    <n v="826"/>
    <n v="0"/>
    <n v="1091"/>
    <n v="288.75"/>
    <x v="3"/>
    <s v="38"/>
    <s v="1155"/>
    <n v="25"/>
    <n v="0.94458874458874453"/>
    <n v="3.778354978354978E-2"/>
  </r>
  <r>
    <x v="0"/>
    <x v="0"/>
    <x v="0"/>
    <s v="M00000337138"/>
    <d v="2008-02-29T00:00:00"/>
    <n v="1287"/>
    <n v="0"/>
    <n v="1440"/>
    <n v="450"/>
    <x v="15"/>
    <s v="38"/>
    <s v="1800"/>
    <n v="21"/>
    <n v="0.8"/>
    <n v="3.8095238095238099E-2"/>
  </r>
  <r>
    <x v="0"/>
    <x v="0"/>
    <x v="0"/>
    <s v="M00000303403"/>
    <d v="2007-11-21T00:00:00"/>
    <n v="1287"/>
    <n v="0"/>
    <n v="1388"/>
    <n v="450"/>
    <x v="6"/>
    <s v="38"/>
    <s v="1800"/>
    <n v="20"/>
    <n v="0.77111111111111108"/>
    <n v="3.8555555555555551E-2"/>
  </r>
  <r>
    <x v="0"/>
    <x v="0"/>
    <x v="0"/>
    <s v="M00000339092"/>
    <d v="2008-04-03T00:00:00"/>
    <n v="1139"/>
    <n v="0"/>
    <n v="1300"/>
    <n v="400"/>
    <x v="15"/>
    <s v="38"/>
    <s v="1600"/>
    <n v="21"/>
    <n v="0.8125"/>
    <n v="3.8690476190476192E-2"/>
  </r>
  <r>
    <x v="0"/>
    <x v="0"/>
    <x v="0"/>
    <s v="M00000337323"/>
    <d v="2008-02-07T00:00:00"/>
    <n v="607"/>
    <n v="0"/>
    <n v="659"/>
    <n v="212.5"/>
    <x v="6"/>
    <s v="38"/>
    <s v="850"/>
    <n v="20"/>
    <n v="0.7752941176470588"/>
    <n v="3.8764705882352937E-2"/>
  </r>
  <r>
    <x v="0"/>
    <x v="0"/>
    <x v="0"/>
    <s v="M00000368150"/>
    <d v="2008-06-19T00:00:00"/>
    <n v="855"/>
    <n v="0"/>
    <n v="931"/>
    <n v="300"/>
    <x v="6"/>
    <s v="38"/>
    <s v="1200"/>
    <n v="20"/>
    <n v="0.77583333333333337"/>
    <n v="3.8791666666666669E-2"/>
  </r>
  <r>
    <x v="0"/>
    <x v="0"/>
    <x v="0"/>
    <s v="M00000302331"/>
    <d v="2007-10-11T00:00:00"/>
    <n v="1187"/>
    <n v="0"/>
    <n v="1740"/>
    <n v="415"/>
    <x v="2"/>
    <s v="38"/>
    <s v="1660"/>
    <n v="27"/>
    <n v="1.0481927710843373"/>
    <n v="3.8821954484605084E-2"/>
  </r>
  <r>
    <x v="0"/>
    <x v="0"/>
    <x v="0"/>
    <s v="M00000290854"/>
    <d v="2007-08-16T00:00:00"/>
    <n v="801"/>
    <n v="0"/>
    <n v="1088.98"/>
    <n v="280"/>
    <x v="3"/>
    <s v="38"/>
    <s v="1120"/>
    <n v="25"/>
    <n v="0.97230357142857149"/>
    <n v="3.8892142857142861E-2"/>
  </r>
  <r>
    <x v="0"/>
    <x v="0"/>
    <x v="0"/>
    <s v="M00000280590"/>
    <d v="2007-08-02T00:00:00"/>
    <n v="944"/>
    <n v="0"/>
    <n v="1038.97"/>
    <n v="330"/>
    <x v="6"/>
    <s v="38"/>
    <s v="1320"/>
    <n v="20"/>
    <n v="0.78709848484848488"/>
    <n v="3.9354924242424247E-2"/>
  </r>
  <r>
    <x v="0"/>
    <x v="0"/>
    <x v="0"/>
    <s v="M00000299480"/>
    <d v="2007-09-20T00:00:00"/>
    <n v="1203"/>
    <n v="0"/>
    <n v="1260"/>
    <n v="420.75"/>
    <x v="5"/>
    <s v="38"/>
    <s v="1683"/>
    <n v="19"/>
    <n v="0.74866310160427807"/>
    <n v="3.9403321137067265E-2"/>
  </r>
  <r>
    <x v="0"/>
    <x v="0"/>
    <x v="0"/>
    <s v="M00000332757"/>
    <d v="2007-12-31T00:00:00"/>
    <n v="743"/>
    <n v="0"/>
    <n v="1557"/>
    <n v="259.5"/>
    <x v="0"/>
    <s v="38"/>
    <s v="1038"/>
    <n v="38"/>
    <n v="1.5"/>
    <n v="3.9473684210526314E-2"/>
  </r>
  <r>
    <x v="0"/>
    <x v="0"/>
    <x v="0"/>
    <s v="M00000272462"/>
    <d v="2007-07-06T00:00:00"/>
    <n v="1799"/>
    <n v="0"/>
    <n v="1994.94"/>
    <n v="629"/>
    <x v="6"/>
    <s v="38"/>
    <s v="2516"/>
    <n v="20"/>
    <n v="0.79290143084260734"/>
    <n v="3.9645071542130365E-2"/>
  </r>
  <r>
    <x v="0"/>
    <x v="0"/>
    <x v="0"/>
    <s v="M00000325027"/>
    <d v="2008-02-07T00:00:00"/>
    <n v="472"/>
    <n v="0"/>
    <n v="785.64"/>
    <n v="165"/>
    <x v="1"/>
    <s v="38"/>
    <s v="660"/>
    <n v="30"/>
    <n v="1.1903636363636363"/>
    <n v="3.9678787878787876E-2"/>
  </r>
  <r>
    <x v="0"/>
    <x v="0"/>
    <x v="0"/>
    <s v="M00000363719"/>
    <d v="2008-05-29T00:00:00"/>
    <n v="735"/>
    <n v="0"/>
    <n v="863"/>
    <n v="258"/>
    <x v="15"/>
    <s v="38"/>
    <s v="1032"/>
    <n v="21"/>
    <n v="0.83624031007751942"/>
    <n v="3.9820967146548543E-2"/>
  </r>
  <r>
    <x v="0"/>
    <x v="0"/>
    <x v="0"/>
    <s v="M00000348337"/>
    <d v="2008-03-20T00:00:00"/>
    <n v="1247"/>
    <n v="0"/>
    <n v="1395"/>
    <n v="437.5"/>
    <x v="6"/>
    <s v="38"/>
    <s v="1750"/>
    <n v="20"/>
    <n v="0.79714285714285715"/>
    <n v="3.9857142857142855E-2"/>
  </r>
  <r>
    <x v="0"/>
    <x v="0"/>
    <x v="0"/>
    <s v="M00000299741"/>
    <d v="2007-12-13T00:00:00"/>
    <n v="1073"/>
    <n v="0"/>
    <n v="1800"/>
    <n v="375"/>
    <x v="1"/>
    <s v="38"/>
    <s v="1500"/>
    <n v="30"/>
    <n v="1.2"/>
    <n v="0.04"/>
  </r>
  <r>
    <x v="0"/>
    <x v="0"/>
    <x v="0"/>
    <s v="M00000307587"/>
    <d v="2007-10-25T00:00:00"/>
    <n v="844"/>
    <n v="0"/>
    <n v="1000"/>
    <n v="295"/>
    <x v="15"/>
    <s v="38"/>
    <s v="1180"/>
    <n v="21"/>
    <n v="0.84745762711864403"/>
    <n v="4.0355125100887811E-2"/>
  </r>
  <r>
    <x v="0"/>
    <x v="0"/>
    <x v="0"/>
    <s v="M00000301860"/>
    <d v="2007-12-06T00:00:00"/>
    <n v="594"/>
    <n v="0"/>
    <n v="670"/>
    <n v="207.5"/>
    <x v="6"/>
    <s v="38"/>
    <s v="830"/>
    <n v="20"/>
    <n v="0.80722891566265065"/>
    <n v="4.0361445783132534E-2"/>
  </r>
  <r>
    <x v="0"/>
    <x v="0"/>
    <x v="0"/>
    <s v="M00000325396"/>
    <d v="2007-12-27T00:00:00"/>
    <n v="958"/>
    <n v="0"/>
    <n v="1082"/>
    <n v="335"/>
    <x v="6"/>
    <s v="38"/>
    <s v="1340"/>
    <n v="20"/>
    <n v="0.80746268656716413"/>
    <n v="4.0373134328358207E-2"/>
  </r>
  <r>
    <x v="0"/>
    <x v="0"/>
    <x v="0"/>
    <s v="M00000366277"/>
    <d v="2008-06-19T00:00:00"/>
    <n v="641"/>
    <n v="0"/>
    <n v="728"/>
    <n v="225"/>
    <x v="6"/>
    <s v="38"/>
    <s v="900"/>
    <n v="20"/>
    <n v="0.80888888888888888"/>
    <n v="4.0444444444444443E-2"/>
  </r>
  <r>
    <x v="0"/>
    <x v="0"/>
    <x v="0"/>
    <s v="M00000325452"/>
    <d v="2007-12-27T00:00:00"/>
    <n v="215"/>
    <n v="0"/>
    <n v="462.93"/>
    <n v="75"/>
    <x v="0"/>
    <s v="38"/>
    <s v="300"/>
    <n v="38"/>
    <n v="1.5430999999999999"/>
    <n v="4.06078947368421E-2"/>
  </r>
  <r>
    <x v="0"/>
    <x v="0"/>
    <x v="0"/>
    <s v="M00000341330"/>
    <d v="2008-03-06T00:00:00"/>
    <n v="1007"/>
    <n v="0"/>
    <n v="1447"/>
    <n v="353.5"/>
    <x v="3"/>
    <s v="38"/>
    <s v="1414"/>
    <n v="25"/>
    <n v="1.0233380480905234"/>
    <n v="4.0933521923620937E-2"/>
  </r>
  <r>
    <x v="0"/>
    <x v="0"/>
    <x v="0"/>
    <s v="M00000332905"/>
    <d v="2007-12-31T00:00:00"/>
    <n v="926"/>
    <n v="0"/>
    <n v="1618"/>
    <n v="324"/>
    <x v="1"/>
    <s v="38"/>
    <s v="1296"/>
    <n v="30"/>
    <n v="1.2484567901234569"/>
    <n v="4.161522633744856E-2"/>
  </r>
  <r>
    <x v="0"/>
    <x v="0"/>
    <x v="0"/>
    <s v="M00000315008"/>
    <d v="2007-12-31T00:00:00"/>
    <n v="572"/>
    <n v="0"/>
    <n v="700"/>
    <n v="200"/>
    <x v="15"/>
    <s v="38"/>
    <s v="800"/>
    <n v="21"/>
    <n v="0.875"/>
    <n v="4.1666666666666664E-2"/>
  </r>
  <r>
    <x v="0"/>
    <x v="0"/>
    <x v="0"/>
    <s v="M00000357946"/>
    <d v="2008-04-30T00:00:00"/>
    <n v="142"/>
    <n v="0"/>
    <n v="200"/>
    <n v="50"/>
    <x v="18"/>
    <s v="38"/>
    <s v="200"/>
    <n v="24"/>
    <n v="1"/>
    <n v="4.1666666666666664E-2"/>
  </r>
  <r>
    <x v="0"/>
    <x v="0"/>
    <x v="0"/>
    <s v="M00000346513"/>
    <d v="2008-03-13T00:00:00"/>
    <n v="641"/>
    <n v="0"/>
    <n v="1460"/>
    <n v="225"/>
    <x v="0"/>
    <s v="38"/>
    <s v="900"/>
    <n v="38"/>
    <n v="1.6222222222222222"/>
    <n v="4.2690058479532167E-2"/>
  </r>
  <r>
    <x v="0"/>
    <x v="0"/>
    <x v="0"/>
    <s v="M00000294366"/>
    <d v="2007-09-20T00:00:00"/>
    <n v="752"/>
    <n v="0"/>
    <n v="855.04"/>
    <n v="263.25"/>
    <x v="5"/>
    <s v="38"/>
    <s v="1053"/>
    <n v="19"/>
    <n v="0.81200379867046535"/>
    <n v="4.2737042035287651E-2"/>
  </r>
  <r>
    <x v="0"/>
    <x v="0"/>
    <x v="0"/>
    <s v="M00000324028"/>
    <d v="2007-12-20T00:00:00"/>
    <n v="264"/>
    <n v="0"/>
    <n v="420"/>
    <n v="92.5"/>
    <x v="14"/>
    <s v="38"/>
    <s v="370"/>
    <n v="26"/>
    <n v="1.1351351351351351"/>
    <n v="4.3659043659043655E-2"/>
  </r>
  <r>
    <x v="0"/>
    <x v="0"/>
    <x v="0"/>
    <s v="M00000308822"/>
    <d v="2007-12-20T00:00:00"/>
    <n v="1037"/>
    <n v="0"/>
    <n v="1668.25"/>
    <n v="362.75"/>
    <x v="14"/>
    <s v="38"/>
    <s v="1451"/>
    <n v="26"/>
    <n v="1.149724328049621"/>
    <n v="4.422016646344696E-2"/>
  </r>
  <r>
    <x v="0"/>
    <x v="0"/>
    <x v="0"/>
    <s v="M00000278165"/>
    <d v="2007-06-21T00:00:00"/>
    <n v="1224"/>
    <n v="0"/>
    <n v="1439.95"/>
    <n v="428.25"/>
    <x v="5"/>
    <s v="38"/>
    <s v="1713"/>
    <n v="19"/>
    <n v="0.84060128429655578"/>
    <n v="4.4242172857713459E-2"/>
  </r>
  <r>
    <x v="0"/>
    <x v="0"/>
    <x v="0"/>
    <s v="M00000289997"/>
    <d v="2007-08-09T00:00:00"/>
    <n v="749"/>
    <n v="0"/>
    <n v="885.98"/>
    <n v="262"/>
    <x v="5"/>
    <s v="38"/>
    <s v="1048"/>
    <n v="19"/>
    <n v="0.84540076335877867"/>
    <n v="4.4494777018883089E-2"/>
  </r>
  <r>
    <x v="0"/>
    <x v="0"/>
    <x v="0"/>
    <s v="M00000337791"/>
    <d v="2008-02-14T00:00:00"/>
    <n v="983"/>
    <n v="0"/>
    <n v="1261"/>
    <n v="343.75"/>
    <x v="6"/>
    <s v="38"/>
    <s v="1375"/>
    <n v="20"/>
    <n v="0.91709090909090907"/>
    <n v="4.5854545454545453E-2"/>
  </r>
  <r>
    <x v="0"/>
    <x v="0"/>
    <x v="0"/>
    <s v="M00000326854"/>
    <d v="2007-12-31T00:00:00"/>
    <n v="598"/>
    <n v="0"/>
    <n v="1475.6"/>
    <n v="209.25"/>
    <x v="0"/>
    <s v="38"/>
    <s v="837"/>
    <n v="38"/>
    <n v="1.7629629629629628"/>
    <n v="4.6393762183235862E-2"/>
  </r>
  <r>
    <x v="0"/>
    <x v="0"/>
    <x v="0"/>
    <s v="M00000343389"/>
    <d v="2008-03-06T00:00:00"/>
    <n v="1224"/>
    <n v="0"/>
    <n v="1676"/>
    <n v="429.75"/>
    <x v="15"/>
    <s v="38"/>
    <s v="1719"/>
    <n v="21"/>
    <n v="0.97498545666084935"/>
    <n v="4.642787888861187E-2"/>
  </r>
  <r>
    <x v="0"/>
    <x v="0"/>
    <x v="0"/>
    <s v="M00000356124"/>
    <d v="2008-04-30T00:00:00"/>
    <n v="1376"/>
    <n v="0"/>
    <n v="2706.2"/>
    <n v="483.25"/>
    <x v="1"/>
    <s v="38"/>
    <s v="1933"/>
    <n v="30"/>
    <n v="1.4"/>
    <n v="4.6666666666666662E-2"/>
  </r>
  <r>
    <x v="0"/>
    <x v="0"/>
    <x v="0"/>
    <s v="M00000343979"/>
    <d v="2008-03-13T00:00:00"/>
    <n v="718"/>
    <n v="0"/>
    <n v="1097"/>
    <n v="252"/>
    <x v="4"/>
    <s v="38"/>
    <s v="1008"/>
    <n v="23"/>
    <n v="1.0882936507936507"/>
    <n v="4.7317115251897857E-2"/>
  </r>
  <r>
    <x v="0"/>
    <x v="0"/>
    <x v="0"/>
    <s v="M00000348704"/>
    <d v="2008-03-27T00:00:00"/>
    <n v="769"/>
    <n v="0"/>
    <n v="1000"/>
    <n v="270"/>
    <x v="5"/>
    <s v="38"/>
    <s v="1080"/>
    <n v="19"/>
    <n v="0.92592592592592593"/>
    <n v="4.8732943469785572E-2"/>
  </r>
  <r>
    <x v="0"/>
    <x v="0"/>
    <x v="0"/>
    <s v="M00000272787"/>
    <d v="2007-05-24T00:00:00"/>
    <n v="618"/>
    <n v="0"/>
    <n v="679.97"/>
    <n v="216"/>
    <x v="2"/>
    <s v="27"/>
    <s v="864"/>
    <n v="16"/>
    <n v="0.78700231481481486"/>
    <n v="4.9187644675925929E-2"/>
  </r>
  <r>
    <x v="0"/>
    <x v="0"/>
    <x v="0"/>
    <s v="M00000333454"/>
    <d v="2007-12-31T00:00:00"/>
    <n v="839"/>
    <n v="0"/>
    <n v="1233"/>
    <n v="293.5"/>
    <x v="0"/>
    <s v="21"/>
    <s v="1174"/>
    <n v="21"/>
    <n v="1.0502555366269166"/>
    <n v="5.0012168410805552E-2"/>
  </r>
  <r>
    <x v="0"/>
    <x v="0"/>
    <x v="0"/>
    <s v="M00000327396"/>
    <d v="2007-12-31T00:00:00"/>
    <n v="823"/>
    <n v="0"/>
    <n v="1093"/>
    <n v="287.5"/>
    <x v="5"/>
    <s v="38"/>
    <s v="1150"/>
    <n v="19"/>
    <n v="0.95043478260869563"/>
    <n v="5.0022883295194505E-2"/>
  </r>
  <r>
    <x v="0"/>
    <x v="0"/>
    <x v="0"/>
    <s v="M00000314666"/>
    <d v="2007-12-27T00:00:00"/>
    <n v="1630"/>
    <n v="0"/>
    <n v="2335"/>
    <n v="570"/>
    <x v="6"/>
    <s v="38"/>
    <s v="2280"/>
    <n v="20"/>
    <n v="1.0241228070175439"/>
    <n v="5.1206140350877193E-2"/>
  </r>
  <r>
    <x v="0"/>
    <x v="0"/>
    <x v="0"/>
    <s v="M00000365395"/>
    <d v="2008-06-05T00:00:00"/>
    <n v="1272"/>
    <n v="0"/>
    <n v="1830.15"/>
    <n v="446.5"/>
    <x v="6"/>
    <s v="38"/>
    <s v="1786"/>
    <n v="20"/>
    <n v="1.0247200447928333"/>
    <n v="5.1236002239641663E-2"/>
  </r>
  <r>
    <x v="0"/>
    <x v="0"/>
    <x v="0"/>
    <s v="M00000287581"/>
    <d v="2007-07-26T00:00:00"/>
    <n v="546"/>
    <n v="0"/>
    <n v="1175.02"/>
    <n v="190.75"/>
    <x v="1"/>
    <s v="38"/>
    <s v="763"/>
    <n v="30"/>
    <n v="1.54"/>
    <n v="5.1333333333333335E-2"/>
  </r>
  <r>
    <x v="0"/>
    <x v="0"/>
    <x v="0"/>
    <s v="M00000307193"/>
    <d v="2007-10-25T00:00:00"/>
    <n v="755"/>
    <n v="0"/>
    <n v="1689.6"/>
    <n v="264"/>
    <x v="16"/>
    <s v="38"/>
    <s v="1056"/>
    <n v="31"/>
    <n v="1.6"/>
    <n v="5.1612903225806445E-2"/>
  </r>
  <r>
    <x v="0"/>
    <x v="0"/>
    <x v="0"/>
    <s v="M00000347223"/>
    <d v="2008-03-20T00:00:00"/>
    <n v="1139"/>
    <n v="0"/>
    <n v="1905"/>
    <n v="400"/>
    <x v="4"/>
    <s v="38"/>
    <s v="1600"/>
    <n v="23"/>
    <n v="1.190625"/>
    <n v="5.1766304347826086E-2"/>
  </r>
  <r>
    <x v="0"/>
    <x v="0"/>
    <x v="0"/>
    <s v="M00000314409"/>
    <d v="2007-11-29T00:00:00"/>
    <n v="97"/>
    <n v="0"/>
    <n v="166.95"/>
    <n v="33.75"/>
    <x v="0"/>
    <s v="28"/>
    <s v="115"/>
    <n v="28"/>
    <n v="1.4517391304347824"/>
    <n v="5.1847826086956518E-2"/>
  </r>
  <r>
    <x v="0"/>
    <x v="0"/>
    <x v="0"/>
    <s v="M00000332403"/>
    <d v="2007-12-31T00:00:00"/>
    <n v="722"/>
    <n v="0"/>
    <n v="1056"/>
    <n v="252.5"/>
    <x v="6"/>
    <s v="38"/>
    <s v="1010"/>
    <n v="20"/>
    <n v="1.0455445544554456"/>
    <n v="5.2277227722772282E-2"/>
  </r>
  <r>
    <x v="0"/>
    <x v="0"/>
    <x v="0"/>
    <s v="M00000334893"/>
    <d v="2008-01-31T00:00:00"/>
    <n v="526"/>
    <n v="0"/>
    <n v="793"/>
    <n v="184"/>
    <x v="6"/>
    <s v="38"/>
    <s v="736"/>
    <n v="20"/>
    <n v="1.0774456521739131"/>
    <n v="5.3872282608695657E-2"/>
  </r>
  <r>
    <x v="0"/>
    <x v="0"/>
    <x v="0"/>
    <s v="M00000346575"/>
    <d v="2008-03-13T00:00:00"/>
    <n v="831"/>
    <n v="0"/>
    <n v="1890"/>
    <n v="291.5"/>
    <x v="1"/>
    <s v="38"/>
    <s v="1166"/>
    <n v="30"/>
    <n v="1.6209262435677529"/>
    <n v="5.4030874785591765E-2"/>
  </r>
  <r>
    <x v="0"/>
    <x v="0"/>
    <x v="0"/>
    <s v="M00000355516"/>
    <d v="2008-04-24T00:00:00"/>
    <n v="982"/>
    <n v="0"/>
    <n v="1000"/>
    <n v="345"/>
    <x v="0"/>
    <s v="13"/>
    <s v="1380"/>
    <n v="13"/>
    <n v="0.72463768115942029"/>
    <n v="5.5741360089186176E-2"/>
  </r>
  <r>
    <x v="0"/>
    <x v="0"/>
    <x v="0"/>
    <s v="M00000359623"/>
    <d v="2008-05-15T00:00:00"/>
    <n v="306"/>
    <n v="0"/>
    <n v="460"/>
    <n v="107.5"/>
    <x v="5"/>
    <s v="38"/>
    <s v="430"/>
    <n v="19"/>
    <n v="1.069767441860465"/>
    <n v="5.6303549571603419E-2"/>
  </r>
  <r>
    <x v="0"/>
    <x v="0"/>
    <x v="0"/>
    <s v="M00000320369"/>
    <d v="2007-12-13T00:00:00"/>
    <n v="860"/>
    <n v="0"/>
    <n v="1494.04"/>
    <n v="300.75"/>
    <x v="7"/>
    <s v="38"/>
    <s v="1203"/>
    <n v="22"/>
    <n v="1.2419285120532002"/>
    <n v="5.6451296002418189E-2"/>
  </r>
  <r>
    <x v="0"/>
    <x v="0"/>
    <x v="0"/>
    <s v="M00000369019"/>
    <d v="2008-06-19T00:00:00"/>
    <n v="356"/>
    <n v="0"/>
    <n v="606"/>
    <n v="125"/>
    <x v="15"/>
    <s v="38"/>
    <s v="500"/>
    <n v="21"/>
    <n v="1.212"/>
    <n v="5.7714285714285711E-2"/>
  </r>
  <r>
    <x v="0"/>
    <x v="0"/>
    <x v="0"/>
    <s v="M00000316031"/>
    <d v="2007-11-29T00:00:00"/>
    <n v="86"/>
    <n v="0"/>
    <n v="175"/>
    <n v="30"/>
    <x v="6"/>
    <s v="43"/>
    <s v="120"/>
    <n v="25"/>
    <n v="1.4583333333333333"/>
    <n v="5.8333333333333327E-2"/>
  </r>
  <r>
    <x v="0"/>
    <x v="0"/>
    <x v="0"/>
    <s v="M00000353819"/>
    <d v="2008-04-17T00:00:00"/>
    <n v="1050"/>
    <n v="0"/>
    <n v="1729"/>
    <n v="368.75"/>
    <x v="6"/>
    <s v="38"/>
    <s v="1475"/>
    <n v="20"/>
    <n v="1.1722033898305084"/>
    <n v="5.8610169491525421E-2"/>
  </r>
  <r>
    <x v="0"/>
    <x v="0"/>
    <x v="0"/>
    <s v="M00000363763"/>
    <d v="2008-05-29T00:00:00"/>
    <n v="481"/>
    <n v="0"/>
    <n v="1525.98"/>
    <n v="169"/>
    <x v="0"/>
    <s v="38"/>
    <s v="676"/>
    <n v="38"/>
    <n v="2.2573668639053253"/>
    <n v="5.9404391155403295E-2"/>
  </r>
  <r>
    <x v="0"/>
    <x v="0"/>
    <x v="0"/>
    <s v="M00000297978"/>
    <d v="2007-09-14T00:00:00"/>
    <n v="622"/>
    <n v="0"/>
    <n v="1998.7"/>
    <n v="217.25"/>
    <x v="0"/>
    <s v="38"/>
    <s v="869"/>
    <n v="38"/>
    <n v="2.2999999999999998"/>
    <n v="6.0526315789473692E-2"/>
  </r>
  <r>
    <x v="0"/>
    <x v="0"/>
    <x v="0"/>
    <s v="M00000307269"/>
    <d v="2007-10-25T00:00:00"/>
    <n v="691"/>
    <n v="0"/>
    <n v="1240"/>
    <n v="241.5"/>
    <x v="6"/>
    <s v="38"/>
    <s v="966"/>
    <n v="20"/>
    <n v="1.2836438923395446"/>
    <n v="6.4182194616977231E-2"/>
  </r>
  <r>
    <x v="0"/>
    <x v="0"/>
    <x v="0"/>
    <s v="M00000354015"/>
    <d v="2008-04-17T00:00:00"/>
    <n v="427"/>
    <n v="0"/>
    <n v="1084"/>
    <n v="150"/>
    <x v="11"/>
    <s v="38"/>
    <s v="600"/>
    <n v="28"/>
    <n v="1.8066666666666666"/>
    <n v="6.4523809523809525E-2"/>
  </r>
  <r>
    <x v="0"/>
    <x v="0"/>
    <x v="0"/>
    <s v="M00000352719"/>
    <d v="2008-04-10T00:00:00"/>
    <n v="844"/>
    <n v="0"/>
    <n v="2310"/>
    <n v="296.5"/>
    <x v="1"/>
    <s v="38"/>
    <s v="1186"/>
    <n v="30"/>
    <n v="1.9477234401349073"/>
    <n v="6.4924114671163574E-2"/>
  </r>
  <r>
    <x v="0"/>
    <x v="0"/>
    <x v="0"/>
    <s v="M00000303275"/>
    <d v="2007-10-11T00:00:00"/>
    <n v="1041"/>
    <n v="0"/>
    <n v="2420"/>
    <n v="364"/>
    <x v="3"/>
    <s v="38"/>
    <s v="1456"/>
    <n v="25"/>
    <n v="1.6620879120879122"/>
    <n v="6.6483516483516483E-2"/>
  </r>
  <r>
    <x v="0"/>
    <x v="0"/>
    <x v="0"/>
    <s v="M00000329632"/>
    <d v="2007-12-31T00:00:00"/>
    <n v="1073"/>
    <n v="0"/>
    <n v="2500"/>
    <n v="375"/>
    <x v="6"/>
    <s v="43"/>
    <s v="1500"/>
    <n v="25"/>
    <n v="1.6666666666666667"/>
    <n v="6.6666666666666666E-2"/>
  </r>
  <r>
    <x v="0"/>
    <x v="0"/>
    <x v="0"/>
    <s v="M00000326833"/>
    <d v="2007-12-31T00:00:00"/>
    <n v="1044"/>
    <n v="0"/>
    <n v="4013"/>
    <n v="365"/>
    <x v="0"/>
    <s v="41"/>
    <s v="1460"/>
    <n v="41"/>
    <n v="2.7486301369863013"/>
    <n v="6.7039759438690283E-2"/>
  </r>
  <r>
    <x v="0"/>
    <x v="0"/>
    <x v="0"/>
    <s v="M00000309512"/>
    <d v="2007-11-01T00:00:00"/>
    <n v="358"/>
    <n v="0"/>
    <n v="1375"/>
    <n v="125"/>
    <x v="0"/>
    <s v="38"/>
    <s v="500"/>
    <n v="38"/>
    <n v="2.75"/>
    <n v="7.2368421052631582E-2"/>
  </r>
  <r>
    <x v="0"/>
    <x v="0"/>
    <x v="0"/>
    <s v="M00000339708"/>
    <d v="2008-02-14T00:00:00"/>
    <n v="849"/>
    <n v="0"/>
    <n v="1788"/>
    <n v="297"/>
    <x v="6"/>
    <s v="38"/>
    <s v="1188"/>
    <n v="20"/>
    <n v="1.505050505050505"/>
    <n v="7.5252525252525251E-2"/>
  </r>
  <r>
    <x v="0"/>
    <x v="0"/>
    <x v="0"/>
    <s v="M00000355932"/>
    <d v="2008-04-24T00:00:00"/>
    <n v="803"/>
    <n v="0"/>
    <n v="2445"/>
    <n v="282"/>
    <x v="15"/>
    <s v="38"/>
    <s v="1128"/>
    <n v="21"/>
    <n v="2.1675531914893615"/>
    <n v="0.10321681864235055"/>
  </r>
  <r>
    <x v="0"/>
    <x v="0"/>
    <x v="0"/>
    <s v="M00000284432"/>
    <d v="2007-07-19T00:00:00"/>
    <n v="526"/>
    <n v="0"/>
    <n v="249.97"/>
    <n v="183.75"/>
    <x v="6"/>
    <s v="21"/>
    <s v="735"/>
    <n v="3"/>
    <n v="0.34009523809523812"/>
    <n v="0.11336507936507938"/>
  </r>
  <r>
    <x v="0"/>
    <x v="0"/>
    <x v="0"/>
    <s v="M00000351757"/>
    <d v="2008-04-10T00:00:00"/>
    <n v="214"/>
    <n v="0"/>
    <n v="1572"/>
    <n v="75"/>
    <x v="0"/>
    <s v="38"/>
    <s v="300"/>
    <n v="38"/>
    <n v="5.24"/>
    <n v="0.13789473684210526"/>
  </r>
  <r>
    <x v="0"/>
    <x v="1"/>
    <x v="1"/>
    <s v="M00000334302"/>
    <d v="2008-01-24T00:00:00"/>
    <n v="0"/>
    <n v="0.06"/>
    <n v="230.39"/>
    <n v="230.39"/>
    <x v="18"/>
    <s v="44"/>
    <s v="1500"/>
    <n v="30"/>
    <n v="0.15359333333333333"/>
    <n v="5.1197777777777778E-3"/>
  </r>
  <r>
    <x v="0"/>
    <x v="1"/>
    <x v="1"/>
    <s v="M00000347034"/>
    <d v="2008-03-20T00:00:00"/>
    <n v="0"/>
    <n v="0.06"/>
    <n v="131.76"/>
    <n v="131.76"/>
    <x v="4"/>
    <s v="60"/>
    <s v="567"/>
    <n v="45"/>
    <n v="0.23238095238095235"/>
    <n v="5.1640211640211634E-3"/>
  </r>
  <r>
    <x v="0"/>
    <x v="1"/>
    <x v="1"/>
    <s v="M00000313204"/>
    <d v="2007-12-06T00:00:00"/>
    <n v="0"/>
    <n v="0.06"/>
    <n v="295"/>
    <n v="295"/>
    <x v="6"/>
    <s v="38"/>
    <s v="2150"/>
    <n v="20"/>
    <n v="0.1372093023255814"/>
    <n v="6.8604651162790702E-3"/>
  </r>
  <r>
    <x v="0"/>
    <x v="1"/>
    <x v="1"/>
    <s v="M00000290858"/>
    <d v="2007-08-16T00:00:00"/>
    <n v="0"/>
    <n v="121.73"/>
    <n v="299.95"/>
    <n v="475.5"/>
    <x v="5"/>
    <s v="38"/>
    <s v="1902"/>
    <n v="19"/>
    <n v="0.15770241850683492"/>
    <n v="8.3001272898334168E-3"/>
  </r>
  <r>
    <x v="0"/>
    <x v="1"/>
    <x v="1"/>
    <s v="M00000330828"/>
    <d v="2008-03-06T00:00:00"/>
    <n v="0"/>
    <n v="113.6"/>
    <n v="456.57"/>
    <n v="443.75"/>
    <x v="1"/>
    <s v="38"/>
    <s v="1775"/>
    <n v="30"/>
    <n v="0.25722253521126759"/>
    <n v="8.5740845070422528E-3"/>
  </r>
  <r>
    <x v="0"/>
    <x v="1"/>
    <x v="1"/>
    <s v="M00000321098"/>
    <d v="2007-12-20T00:00:00"/>
    <n v="0"/>
    <n v="106.88"/>
    <n v="556"/>
    <n v="417.5"/>
    <x v="0"/>
    <s v="38"/>
    <s v="1670"/>
    <n v="38"/>
    <n v="0.33293413173652697"/>
    <n v="8.7614245193822892E-3"/>
  </r>
  <r>
    <x v="0"/>
    <x v="1"/>
    <x v="1"/>
    <s v="M00000293980"/>
    <d v="2007-08-30T00:00:00"/>
    <n v="0"/>
    <n v="69.31"/>
    <n v="475"/>
    <n v="270.75"/>
    <x v="0"/>
    <s v="49"/>
    <s v="1083"/>
    <n v="49"/>
    <n v="0.43859649122807015"/>
    <n v="8.95094880057286E-3"/>
  </r>
  <r>
    <x v="0"/>
    <x v="1"/>
    <x v="1"/>
    <s v="M00000277149"/>
    <d v="2007-08-02T00:00:00"/>
    <n v="0"/>
    <n v="63.36"/>
    <n v="219.38"/>
    <n v="247.5"/>
    <x v="18"/>
    <s v="38"/>
    <s v="990"/>
    <n v="24"/>
    <n v="0.2215959595959596"/>
    <n v="9.2331649831649838E-3"/>
  </r>
  <r>
    <x v="0"/>
    <x v="1"/>
    <x v="1"/>
    <s v="M00000360176"/>
    <d v="2008-05-15T00:00:00"/>
    <n v="0"/>
    <n v="174.08"/>
    <n v="680"/>
    <n v="680"/>
    <x v="2"/>
    <s v="38"/>
    <s v="2720"/>
    <n v="27"/>
    <n v="0.25"/>
    <n v="9.2592592592592587E-3"/>
  </r>
  <r>
    <x v="0"/>
    <x v="1"/>
    <x v="1"/>
    <s v="M00000341593"/>
    <d v="2008-04-10T00:00:00"/>
    <n v="0"/>
    <n v="93.44"/>
    <n v="525"/>
    <n v="365"/>
    <x v="0"/>
    <s v="38"/>
    <s v="1460"/>
    <n v="38"/>
    <n v="0.3595890410958904"/>
    <n v="9.4628695025234313E-3"/>
  </r>
  <r>
    <x v="0"/>
    <x v="1"/>
    <x v="1"/>
    <s v="M00000321577"/>
    <d v="2008-01-31T00:00:00"/>
    <n v="0"/>
    <n v="81.92"/>
    <n v="476.16"/>
    <n v="320"/>
    <x v="10"/>
    <s v="43"/>
    <s v="1280"/>
    <n v="38"/>
    <n v="0.372"/>
    <n v="9.7894736842105267E-3"/>
  </r>
  <r>
    <x v="0"/>
    <x v="1"/>
    <x v="1"/>
    <s v="M00000313865"/>
    <d v="2007-12-31T00:00:00"/>
    <n v="0"/>
    <n v="76.67"/>
    <n v="453"/>
    <n v="299.5"/>
    <x v="0"/>
    <s v="38"/>
    <s v="1198"/>
    <n v="38"/>
    <n v="0.37813021702838062"/>
    <n v="9.9507951849573846E-3"/>
  </r>
  <r>
    <x v="0"/>
    <x v="1"/>
    <x v="1"/>
    <s v="M00000323897"/>
    <d v="2008-04-03T00:00:00"/>
    <n v="0"/>
    <n v="38.4"/>
    <n v="227.1"/>
    <n v="150"/>
    <x v="0"/>
    <s v="38"/>
    <s v="600"/>
    <n v="38"/>
    <n v="0.3785"/>
    <n v="9.9605263157894735E-3"/>
  </r>
  <r>
    <x v="0"/>
    <x v="1"/>
    <x v="1"/>
    <s v="M00000287627"/>
    <d v="2007-08-02T00:00:00"/>
    <n v="0"/>
    <n v="132.47999999999999"/>
    <n v="796.95"/>
    <n v="517.5"/>
    <x v="0"/>
    <s v="38"/>
    <s v="2070"/>
    <n v="38"/>
    <n v="0.38500000000000001"/>
    <n v="1.0131578947368422E-2"/>
  </r>
  <r>
    <x v="0"/>
    <x v="1"/>
    <x v="1"/>
    <s v="M00000334046"/>
    <d v="2008-01-24T00:00:00"/>
    <n v="0"/>
    <n v="64"/>
    <n v="397"/>
    <n v="250"/>
    <x v="0"/>
    <s v="38"/>
    <s v="1000"/>
    <n v="38"/>
    <n v="0.39700000000000002"/>
    <n v="1.0447368421052632E-2"/>
  </r>
  <r>
    <x v="0"/>
    <x v="1"/>
    <x v="1"/>
    <s v="M00000317320"/>
    <d v="2007-11-30T00:00:00"/>
    <n v="0"/>
    <n v="0.06"/>
    <n v="230"/>
    <n v="230"/>
    <x v="4"/>
    <s v="38"/>
    <s v="953"/>
    <n v="23"/>
    <n v="0.24134312696747115"/>
    <n v="1.049317943336831E-2"/>
  </r>
  <r>
    <x v="0"/>
    <x v="1"/>
    <x v="1"/>
    <s v="M00000343713"/>
    <d v="2008-04-17T00:00:00"/>
    <n v="0"/>
    <n v="83.01"/>
    <n v="482.68"/>
    <n v="324.25"/>
    <x v="9"/>
    <s v="39"/>
    <s v="1297"/>
    <n v="35"/>
    <n v="0.37215111796453354"/>
    <n v="1.0632889084700958E-2"/>
  </r>
  <r>
    <x v="0"/>
    <x v="1"/>
    <x v="1"/>
    <s v="M00000345944"/>
    <d v="2008-03-27T00:00:00"/>
    <n v="0"/>
    <n v="96.96"/>
    <n v="624"/>
    <n v="378.75"/>
    <x v="2"/>
    <s v="49"/>
    <s v="1515"/>
    <n v="38"/>
    <n v="0.41188118811881186"/>
    <n v="1.0838978634705575E-2"/>
  </r>
  <r>
    <x v="0"/>
    <x v="1"/>
    <x v="1"/>
    <s v="M00000281336"/>
    <d v="2007-07-06T00:00:00"/>
    <n v="0"/>
    <n v="100.86"/>
    <n v="475.01"/>
    <n v="394"/>
    <x v="2"/>
    <s v="38"/>
    <s v="1576"/>
    <n v="27"/>
    <n v="0.30140228426395937"/>
    <n v="1.1163047565331829E-2"/>
  </r>
  <r>
    <x v="0"/>
    <x v="1"/>
    <x v="1"/>
    <s v="M00000311372"/>
    <d v="2007-11-09T00:00:00"/>
    <n v="0"/>
    <n v="49.34"/>
    <n v="333"/>
    <n v="192.75"/>
    <x v="0"/>
    <s v="38"/>
    <s v="771"/>
    <n v="38"/>
    <n v="0.43190661478599224"/>
    <n v="1.1365963546999796E-2"/>
  </r>
  <r>
    <x v="0"/>
    <x v="1"/>
    <x v="1"/>
    <s v="M00000346949"/>
    <d v="2008-03-13T00:00:00"/>
    <n v="0"/>
    <n v="102.4"/>
    <n v="550"/>
    <n v="400"/>
    <x v="1"/>
    <s v="38"/>
    <s v="1600"/>
    <n v="30"/>
    <n v="0.34375"/>
    <n v="1.1458333333333333E-2"/>
  </r>
  <r>
    <x v="0"/>
    <x v="1"/>
    <x v="1"/>
    <s v="M00000313422"/>
    <d v="2007-11-15T00:00:00"/>
    <n v="0"/>
    <n v="78.08"/>
    <n v="425"/>
    <n v="305"/>
    <x v="8"/>
    <s v="39"/>
    <s v="1220"/>
    <n v="30"/>
    <n v="0.34836065573770492"/>
    <n v="1.1612021857923498E-2"/>
  </r>
  <r>
    <x v="0"/>
    <x v="1"/>
    <x v="1"/>
    <s v="M00000301790"/>
    <d v="2007-11-21T00:00:00"/>
    <n v="0"/>
    <n v="0.06"/>
    <n v="394.92"/>
    <n v="394.92"/>
    <x v="6"/>
    <s v="38"/>
    <s v="1700"/>
    <n v="20"/>
    <n v="0.2323058823529412"/>
    <n v="1.161529411764706E-2"/>
  </r>
  <r>
    <x v="0"/>
    <x v="1"/>
    <x v="1"/>
    <s v="M00000331726"/>
    <d v="2007-12-31T00:00:00"/>
    <n v="0"/>
    <n v="86.4"/>
    <n v="475"/>
    <n v="337.5"/>
    <x v="1"/>
    <s v="38"/>
    <s v="1350"/>
    <n v="30"/>
    <n v="0.35185185185185186"/>
    <n v="1.1728395061728396E-2"/>
  </r>
  <r>
    <x v="0"/>
    <x v="1"/>
    <x v="1"/>
    <s v="M00000319280"/>
    <d v="2007-12-06T00:00:00"/>
    <n v="0"/>
    <n v="64"/>
    <n v="258.12"/>
    <n v="250"/>
    <x v="6"/>
    <s v="40"/>
    <s v="1000"/>
    <n v="22"/>
    <n v="0.25812000000000002"/>
    <n v="1.1732727272727273E-2"/>
  </r>
  <r>
    <x v="0"/>
    <x v="1"/>
    <x v="1"/>
    <s v="M00000327552"/>
    <d v="2008-02-07T00:00:00"/>
    <n v="0"/>
    <n v="41.22"/>
    <n v="166.8"/>
    <n v="161"/>
    <x v="6"/>
    <s v="40"/>
    <s v="644"/>
    <n v="22"/>
    <n v="0.25900621118012424"/>
    <n v="1.1773009599096556E-2"/>
  </r>
  <r>
    <x v="0"/>
    <x v="1"/>
    <x v="1"/>
    <s v="M00000313069"/>
    <d v="2007-11-15T00:00:00"/>
    <n v="0"/>
    <n v="144.51"/>
    <n v="1013"/>
    <n v="564.5"/>
    <x v="0"/>
    <s v="38"/>
    <s v="2258"/>
    <n v="38"/>
    <n v="0.44862710363153235"/>
    <n v="1.1805976411356115E-2"/>
  </r>
  <r>
    <x v="0"/>
    <x v="1"/>
    <x v="1"/>
    <s v="M00000360808"/>
    <d v="2008-05-15T00:00:00"/>
    <n v="0"/>
    <n v="128"/>
    <n v="710"/>
    <n v="500"/>
    <x v="4"/>
    <s v="45"/>
    <s v="2000"/>
    <n v="30"/>
    <n v="0.35499999999999998"/>
    <n v="1.1833333333333333E-2"/>
  </r>
  <r>
    <x v="0"/>
    <x v="1"/>
    <x v="1"/>
    <s v="M00000352138"/>
    <d v="2008-05-15T00:00:00"/>
    <n v="0"/>
    <n v="57.6"/>
    <n v="270.25"/>
    <n v="225"/>
    <x v="3"/>
    <s v="38"/>
    <s v="900"/>
    <n v="25"/>
    <n v="0.30027777777777775"/>
    <n v="1.201111111111111E-2"/>
  </r>
  <r>
    <x v="0"/>
    <x v="1"/>
    <x v="1"/>
    <s v="M00000343956"/>
    <d v="2008-06-12T00:00:00"/>
    <n v="0"/>
    <n v="46.08"/>
    <n v="331.2"/>
    <n v="180"/>
    <x v="11"/>
    <s v="48"/>
    <s v="720"/>
    <n v="38"/>
    <n v="0.46"/>
    <n v="1.2105263157894735E-2"/>
  </r>
  <r>
    <x v="0"/>
    <x v="1"/>
    <x v="1"/>
    <s v="M00000320573"/>
    <d v="2007-12-13T00:00:00"/>
    <n v="0"/>
    <n v="96"/>
    <n v="550"/>
    <n v="375"/>
    <x v="1"/>
    <s v="38"/>
    <s v="1500"/>
    <n v="30"/>
    <n v="0.36666666666666664"/>
    <n v="1.2222222222222221E-2"/>
  </r>
  <r>
    <x v="0"/>
    <x v="1"/>
    <x v="1"/>
    <s v="M00000351281"/>
    <d v="2008-04-03T00:00:00"/>
    <n v="0"/>
    <n v="68.739999999999995"/>
    <n v="500"/>
    <n v="268.5"/>
    <x v="0"/>
    <s v="38"/>
    <s v="1074"/>
    <n v="38"/>
    <n v="0.46554934823091249"/>
    <n v="1.2251298637655592E-2"/>
  </r>
  <r>
    <x v="0"/>
    <x v="1"/>
    <x v="1"/>
    <s v="M00000313512"/>
    <d v="2007-11-21T00:00:00"/>
    <n v="0"/>
    <n v="89.6"/>
    <n v="660"/>
    <n v="350"/>
    <x v="0"/>
    <s v="38"/>
    <s v="1400"/>
    <n v="38"/>
    <n v="0.47142857142857142"/>
    <n v="1.2406015037593985E-2"/>
  </r>
  <r>
    <x v="0"/>
    <x v="1"/>
    <x v="1"/>
    <s v="M00000354157"/>
    <d v="2008-04-17T00:00:00"/>
    <n v="0"/>
    <n v="111.68"/>
    <n v="825"/>
    <n v="436.25"/>
    <x v="0"/>
    <s v="38"/>
    <s v="1745"/>
    <n v="38"/>
    <n v="0.47277936962750716"/>
    <n v="1.244156235861861E-2"/>
  </r>
  <r>
    <x v="0"/>
    <x v="1"/>
    <x v="1"/>
    <s v="M00000322228"/>
    <d v="2008-01-31T00:00:00"/>
    <n v="0"/>
    <n v="47.36"/>
    <n v="296.2"/>
    <n v="185"/>
    <x v="12"/>
    <s v="38"/>
    <s v="740"/>
    <n v="32"/>
    <n v="0.40027027027027023"/>
    <n v="1.2508445945945945E-2"/>
  </r>
  <r>
    <x v="0"/>
    <x v="1"/>
    <x v="1"/>
    <s v="M00000284207"/>
    <d v="2007-07-12T00:00:00"/>
    <n v="0"/>
    <n v="120.32"/>
    <n v="902.02"/>
    <n v="470"/>
    <x v="0"/>
    <s v="38"/>
    <s v="1880"/>
    <n v="38"/>
    <n v="0.47979787234042554"/>
    <n v="1.2626259798432252E-2"/>
  </r>
  <r>
    <x v="0"/>
    <x v="1"/>
    <x v="1"/>
    <s v="M00000367993"/>
    <d v="2008-06-12T00:00:00"/>
    <n v="0"/>
    <n v="79.36"/>
    <n v="599"/>
    <n v="310"/>
    <x v="0"/>
    <s v="38"/>
    <s v="1240"/>
    <n v="38"/>
    <n v="0.48306451612903228"/>
    <n v="1.2712224108658745E-2"/>
  </r>
  <r>
    <x v="0"/>
    <x v="1"/>
    <x v="1"/>
    <s v="M00000302592"/>
    <d v="2007-10-11T00:00:00"/>
    <n v="0"/>
    <n v="57.6"/>
    <n v="230.14"/>
    <n v="225"/>
    <x v="6"/>
    <s v="38"/>
    <s v="900"/>
    <n v="20"/>
    <n v="0.25571111111111111"/>
    <n v="1.2785555555555555E-2"/>
  </r>
  <r>
    <x v="0"/>
    <x v="1"/>
    <x v="1"/>
    <s v="M00000350980"/>
    <d v="2008-04-03T00:00:00"/>
    <n v="0"/>
    <n v="97.28"/>
    <n v="585"/>
    <n v="380"/>
    <x v="1"/>
    <s v="38"/>
    <s v="1520"/>
    <n v="30"/>
    <n v="0.38486842105263158"/>
    <n v="1.2828947368421053E-2"/>
  </r>
  <r>
    <x v="0"/>
    <x v="1"/>
    <x v="1"/>
    <s v="M00000327833"/>
    <d v="2007-12-31T00:00:00"/>
    <n v="0"/>
    <n v="115.2"/>
    <n v="890"/>
    <n v="450"/>
    <x v="0"/>
    <s v="38"/>
    <s v="1800"/>
    <n v="38"/>
    <n v="0.49444444444444446"/>
    <n v="1.3011695906432749E-2"/>
  </r>
  <r>
    <x v="0"/>
    <x v="1"/>
    <x v="1"/>
    <s v="M00000298433"/>
    <d v="2007-09-14T00:00:00"/>
    <n v="0"/>
    <n v="51.2"/>
    <n v="400"/>
    <n v="200"/>
    <x v="0"/>
    <s v="38"/>
    <s v="800"/>
    <n v="38"/>
    <n v="0.5"/>
    <n v="1.3157894736842105E-2"/>
  </r>
  <r>
    <x v="0"/>
    <x v="1"/>
    <x v="1"/>
    <s v="M00000313498"/>
    <d v="2007-11-15T00:00:00"/>
    <n v="0"/>
    <n v="76.8"/>
    <n v="600"/>
    <n v="300"/>
    <x v="0"/>
    <s v="38"/>
    <s v="1200"/>
    <n v="38"/>
    <n v="0.5"/>
    <n v="1.3157894736842105E-2"/>
  </r>
  <r>
    <x v="0"/>
    <x v="1"/>
    <x v="1"/>
    <s v="M00000368549"/>
    <d v="2008-06-19T00:00:00"/>
    <n v="0"/>
    <n v="64"/>
    <n v="500"/>
    <n v="250"/>
    <x v="1"/>
    <s v="46"/>
    <s v="1000"/>
    <n v="38"/>
    <n v="0.5"/>
    <n v="1.3157894736842105E-2"/>
  </r>
  <r>
    <x v="0"/>
    <x v="1"/>
    <x v="1"/>
    <s v="M00000334230"/>
    <d v="2008-01-24T00:00:00"/>
    <n v="0"/>
    <n v="76.8"/>
    <n v="475"/>
    <n v="300"/>
    <x v="2"/>
    <s v="41"/>
    <s v="1200"/>
    <n v="30"/>
    <n v="0.39583333333333331"/>
    <n v="1.3194444444444444E-2"/>
  </r>
  <r>
    <x v="0"/>
    <x v="1"/>
    <x v="1"/>
    <s v="M00000292690"/>
    <d v="2007-08-23T00:00:00"/>
    <n v="0"/>
    <n v="25.92"/>
    <n v="205.01"/>
    <n v="101.25"/>
    <x v="0"/>
    <s v="38"/>
    <s v="405"/>
    <n v="38"/>
    <n v="0.5061975308641975"/>
    <n v="1.3320987654320987E-2"/>
  </r>
  <r>
    <x v="0"/>
    <x v="1"/>
    <x v="1"/>
    <s v="M00000269950"/>
    <d v="2007-05-17T00:00:00"/>
    <n v="0"/>
    <n v="51.2"/>
    <n v="320"/>
    <n v="200"/>
    <x v="1"/>
    <s v="38"/>
    <s v="800"/>
    <n v="30"/>
    <n v="0.4"/>
    <n v="1.3333333333333334E-2"/>
  </r>
  <r>
    <x v="0"/>
    <x v="1"/>
    <x v="1"/>
    <s v="M00000307973"/>
    <d v="2007-10-25T00:00:00"/>
    <n v="0"/>
    <n v="64"/>
    <n v="400"/>
    <n v="250"/>
    <x v="1"/>
    <s v="38"/>
    <s v="1000"/>
    <n v="30"/>
    <n v="0.4"/>
    <n v="1.3333333333333334E-2"/>
  </r>
  <r>
    <x v="0"/>
    <x v="1"/>
    <x v="1"/>
    <s v="M00000368603"/>
    <d v="2008-06-19T00:00:00"/>
    <n v="0"/>
    <n v="112.13"/>
    <n v="1151"/>
    <n v="438"/>
    <x v="0"/>
    <s v="49"/>
    <s v="1752"/>
    <n v="49"/>
    <n v="0.65696347031963476"/>
    <n v="1.3407417761625198E-2"/>
  </r>
  <r>
    <x v="0"/>
    <x v="1"/>
    <x v="1"/>
    <s v="M00000274279"/>
    <d v="2007-05-31T00:00:00"/>
    <n v="0"/>
    <n v="87.04"/>
    <n v="475.05"/>
    <n v="340"/>
    <x v="14"/>
    <s v="38"/>
    <s v="1360"/>
    <n v="26"/>
    <n v="0.3493014705882353"/>
    <n v="1.3434671945701358E-2"/>
  </r>
  <r>
    <x v="0"/>
    <x v="1"/>
    <x v="1"/>
    <s v="M00000285676"/>
    <d v="2007-07-19T00:00:00"/>
    <n v="0"/>
    <n v="86.4"/>
    <n v="549.99"/>
    <n v="337.5"/>
    <x v="1"/>
    <s v="38"/>
    <s v="1350"/>
    <n v="30"/>
    <n v="0.40739999999999998"/>
    <n v="1.358E-2"/>
  </r>
  <r>
    <x v="0"/>
    <x v="1"/>
    <x v="1"/>
    <s v="M00000342062"/>
    <d v="2008-03-20T00:00:00"/>
    <n v="0"/>
    <n v="108.8"/>
    <n v="603.35"/>
    <n v="425"/>
    <x v="14"/>
    <s v="38"/>
    <s v="1700"/>
    <n v="26"/>
    <n v="0.35491176470588237"/>
    <n v="1.3650452488687783E-2"/>
  </r>
  <r>
    <x v="0"/>
    <x v="1"/>
    <x v="1"/>
    <s v="M00000346095"/>
    <d v="2008-03-13T00:00:00"/>
    <n v="0"/>
    <n v="93.44"/>
    <n v="600"/>
    <n v="365"/>
    <x v="4"/>
    <s v="45"/>
    <s v="1460"/>
    <n v="30"/>
    <n v="0.41095890410958902"/>
    <n v="1.3698630136986301E-2"/>
  </r>
  <r>
    <x v="0"/>
    <x v="1"/>
    <x v="1"/>
    <s v="M00000361731"/>
    <d v="2008-05-22T00:00:00"/>
    <n v="0"/>
    <n v="25.6"/>
    <n v="109.7"/>
    <n v="100"/>
    <x v="11"/>
    <s v="30"/>
    <s v="400"/>
    <n v="20"/>
    <n v="0.27424999999999999"/>
    <n v="1.3712499999999999E-2"/>
  </r>
  <r>
    <x v="0"/>
    <x v="1"/>
    <x v="1"/>
    <s v="M00000277076"/>
    <d v="2007-06-14T00:00:00"/>
    <n v="0"/>
    <n v="47.74"/>
    <n v="390.01"/>
    <n v="186.5"/>
    <x v="0"/>
    <s v="38"/>
    <s v="746"/>
    <n v="38"/>
    <n v="0.52280160857908842"/>
    <n v="1.3757937067870749E-2"/>
  </r>
  <r>
    <x v="0"/>
    <x v="1"/>
    <x v="1"/>
    <s v="M00000282493"/>
    <d v="2007-07-12T00:00:00"/>
    <n v="0"/>
    <n v="147.19999999999999"/>
    <n v="949.9"/>
    <n v="575"/>
    <x v="1"/>
    <s v="38"/>
    <s v="2300"/>
    <n v="30"/>
    <n v="0.41299999999999998"/>
    <n v="1.3766666666666667E-2"/>
  </r>
  <r>
    <x v="0"/>
    <x v="1"/>
    <x v="1"/>
    <s v="M00000346997"/>
    <d v="2008-03-20T00:00:00"/>
    <n v="0"/>
    <n v="99.2"/>
    <n v="641"/>
    <n v="387.5"/>
    <x v="2"/>
    <s v="41"/>
    <s v="1550"/>
    <n v="30"/>
    <n v="0.41354838709677422"/>
    <n v="1.3784946236559141E-2"/>
  </r>
  <r>
    <x v="0"/>
    <x v="1"/>
    <x v="1"/>
    <s v="M00000334834"/>
    <d v="2008-01-24T00:00:00"/>
    <n v="0"/>
    <n v="108.29"/>
    <n v="888"/>
    <n v="423"/>
    <x v="0"/>
    <s v="38"/>
    <s v="1692"/>
    <n v="38"/>
    <n v="0.52482269503546097"/>
    <n v="1.3811123553564763E-2"/>
  </r>
  <r>
    <x v="0"/>
    <x v="1"/>
    <x v="1"/>
    <s v="M00000324599"/>
    <d v="2007-12-20T00:00:00"/>
    <n v="0"/>
    <n v="64"/>
    <n v="525"/>
    <n v="250"/>
    <x v="0"/>
    <s v="38"/>
    <s v="1000"/>
    <n v="38"/>
    <n v="0.52500000000000002"/>
    <n v="1.3815789473684212E-2"/>
  </r>
  <r>
    <x v="0"/>
    <x v="1"/>
    <x v="1"/>
    <s v="M00000313427"/>
    <d v="2007-11-15T00:00:00"/>
    <n v="0"/>
    <n v="94.72"/>
    <n v="780"/>
    <n v="370"/>
    <x v="0"/>
    <s v="38"/>
    <s v="1480"/>
    <n v="38"/>
    <n v="0.52702702702702697"/>
    <n v="1.3869132290184921E-2"/>
  </r>
  <r>
    <x v="0"/>
    <x v="1"/>
    <x v="1"/>
    <s v="M00000345031"/>
    <d v="2008-04-03T00:00:00"/>
    <n v="0"/>
    <n v="85.89"/>
    <n v="709"/>
    <n v="335.5"/>
    <x v="0"/>
    <s v="38"/>
    <s v="1342"/>
    <n v="38"/>
    <n v="0.52831594634873325"/>
    <n v="1.3903051219703507E-2"/>
  </r>
  <r>
    <x v="0"/>
    <x v="1"/>
    <x v="1"/>
    <s v="M00000288955"/>
    <d v="2007-08-09T00:00:00"/>
    <n v="0"/>
    <n v="67.58"/>
    <n v="440.99"/>
    <n v="264"/>
    <x v="1"/>
    <s v="38"/>
    <s v="1056"/>
    <n v="30"/>
    <n v="0.41760416666666667"/>
    <n v="1.3920138888888888E-2"/>
  </r>
  <r>
    <x v="0"/>
    <x v="1"/>
    <x v="1"/>
    <s v="M00000354094"/>
    <d v="2008-04-17T00:00:00"/>
    <n v="0"/>
    <n v="60.48"/>
    <n v="500"/>
    <n v="236.25"/>
    <x v="0"/>
    <s v="38"/>
    <s v="945"/>
    <n v="38"/>
    <n v="0.52910052910052907"/>
    <n v="1.3923698134224449E-2"/>
  </r>
  <r>
    <x v="0"/>
    <x v="1"/>
    <x v="1"/>
    <s v="M00000331724"/>
    <d v="2007-12-31T00:00:00"/>
    <n v="0"/>
    <n v="198.72"/>
    <n v="1298"/>
    <n v="776.25"/>
    <x v="1"/>
    <s v="38"/>
    <s v="3105"/>
    <n v="30"/>
    <n v="0.41803542673107891"/>
    <n v="1.3934514224369298E-2"/>
  </r>
  <r>
    <x v="0"/>
    <x v="1"/>
    <x v="1"/>
    <s v="M00000304079"/>
    <d v="2007-10-11T00:00:00"/>
    <n v="0"/>
    <n v="62.72"/>
    <n v="519"/>
    <n v="245"/>
    <x v="0"/>
    <s v="38"/>
    <s v="980"/>
    <n v="38"/>
    <n v="0.5295918367346939"/>
    <n v="1.3936627282491945E-2"/>
  </r>
  <r>
    <x v="0"/>
    <x v="1"/>
    <x v="1"/>
    <s v="M00000315313"/>
    <d v="2007-12-06T00:00:00"/>
    <n v="0"/>
    <n v="70.400000000000006"/>
    <n v="385"/>
    <n v="275"/>
    <x v="3"/>
    <s v="38"/>
    <s v="1100"/>
    <n v="25"/>
    <n v="0.35"/>
    <n v="1.3999999999999999E-2"/>
  </r>
  <r>
    <x v="0"/>
    <x v="1"/>
    <x v="1"/>
    <s v="M00000315133"/>
    <d v="2007-11-21T00:00:00"/>
    <n v="0"/>
    <n v="52.22"/>
    <n v="320"/>
    <n v="204"/>
    <x v="11"/>
    <s v="38"/>
    <s v="816"/>
    <n v="28"/>
    <n v="0.39215686274509803"/>
    <n v="1.4005602240896359E-2"/>
  </r>
  <r>
    <x v="0"/>
    <x v="1"/>
    <x v="1"/>
    <s v="M00000354984"/>
    <d v="2008-04-24T00:00:00"/>
    <n v="0"/>
    <n v="151.16999999999999"/>
    <n v="1260"/>
    <n v="590.5"/>
    <x v="0"/>
    <s v="38"/>
    <s v="2362"/>
    <n v="38"/>
    <n v="0.53344623200677388"/>
    <n v="1.4038058737020366E-2"/>
  </r>
  <r>
    <x v="0"/>
    <x v="1"/>
    <x v="1"/>
    <s v="M00000373452"/>
    <d v="2008-07-10T00:00:00"/>
    <n v="0"/>
    <n v="122.24"/>
    <n v="1020"/>
    <n v="477.5"/>
    <x v="0"/>
    <s v="38"/>
    <s v="1910"/>
    <n v="38"/>
    <n v="0.53403141361256545"/>
    <n v="1.4053458252962248E-2"/>
  </r>
  <r>
    <x v="0"/>
    <x v="1"/>
    <x v="1"/>
    <s v="M00000303141"/>
    <d v="2007-10-11T00:00:00"/>
    <n v="0"/>
    <n v="112.64"/>
    <n v="945"/>
    <n v="440"/>
    <x v="0"/>
    <s v="38"/>
    <s v="1760"/>
    <n v="38"/>
    <n v="0.53693181818181823"/>
    <n v="1.4129784688995216E-2"/>
  </r>
  <r>
    <x v="0"/>
    <x v="1"/>
    <x v="1"/>
    <s v="M00000358489"/>
    <d v="2008-05-08T00:00:00"/>
    <n v="0"/>
    <n v="113.15"/>
    <n v="950"/>
    <n v="442"/>
    <x v="0"/>
    <s v="38"/>
    <s v="1768"/>
    <n v="38"/>
    <n v="0.53733031674208143"/>
    <n v="1.414027149321267E-2"/>
  </r>
  <r>
    <x v="0"/>
    <x v="1"/>
    <x v="1"/>
    <s v="M00000329203"/>
    <d v="2007-12-31T00:00:00"/>
    <n v="0"/>
    <n v="146.30000000000001"/>
    <n v="842"/>
    <n v="571.5"/>
    <x v="14"/>
    <s v="38"/>
    <s v="2286"/>
    <n v="26"/>
    <n v="0.36832895888014"/>
    <n v="1.4166498418466924E-2"/>
  </r>
  <r>
    <x v="0"/>
    <x v="1"/>
    <x v="1"/>
    <s v="M00000305782"/>
    <d v="2007-10-18T00:00:00"/>
    <n v="0"/>
    <n v="83.2"/>
    <n v="700"/>
    <n v="325"/>
    <x v="0"/>
    <s v="38"/>
    <s v="1300"/>
    <n v="38"/>
    <n v="0.53846153846153844"/>
    <n v="1.417004048582996E-2"/>
  </r>
  <r>
    <x v="0"/>
    <x v="1"/>
    <x v="1"/>
    <s v="M00000312542"/>
    <d v="2007-11-15T00:00:00"/>
    <n v="0"/>
    <n v="72.900000000000006"/>
    <n v="307.16000000000003"/>
    <n v="284.75"/>
    <x v="5"/>
    <s v="38"/>
    <s v="1139"/>
    <n v="19"/>
    <n v="0.26967515364354699"/>
    <n v="1.4193429139134052E-2"/>
  </r>
  <r>
    <x v="0"/>
    <x v="1"/>
    <x v="1"/>
    <s v="M00000301551"/>
    <d v="2007-10-18T00:00:00"/>
    <n v="0"/>
    <n v="48"/>
    <n v="405"/>
    <n v="187.5"/>
    <x v="13"/>
    <s v="41"/>
    <s v="750"/>
    <n v="38"/>
    <n v="0.54"/>
    <n v="1.4210526315789474E-2"/>
  </r>
  <r>
    <x v="0"/>
    <x v="1"/>
    <x v="1"/>
    <s v="M00000306880"/>
    <d v="2007-11-15T00:00:00"/>
    <n v="0"/>
    <n v="48"/>
    <n v="405.9"/>
    <n v="187.5"/>
    <x v="0"/>
    <s v="38"/>
    <s v="750"/>
    <n v="38"/>
    <n v="0.54120000000000001"/>
    <n v="1.4242105263157894E-2"/>
  </r>
  <r>
    <x v="0"/>
    <x v="1"/>
    <x v="1"/>
    <s v="M00000356711"/>
    <d v="2008-04-30T00:00:00"/>
    <n v="0"/>
    <n v="115.65"/>
    <n v="515"/>
    <n v="451.75"/>
    <x v="6"/>
    <s v="38"/>
    <s v="1807"/>
    <n v="20"/>
    <n v="0.28500276701715549"/>
    <n v="1.4250138350857774E-2"/>
  </r>
  <r>
    <x v="0"/>
    <x v="1"/>
    <x v="1"/>
    <s v="M00000310575"/>
    <d v="2007-11-09T00:00:00"/>
    <n v="0"/>
    <n v="47.23"/>
    <n v="316"/>
    <n v="184.5"/>
    <x v="1"/>
    <s v="38"/>
    <s v="738"/>
    <n v="30"/>
    <n v="0.42818428184281843"/>
    <n v="1.4272809394760614E-2"/>
  </r>
  <r>
    <x v="0"/>
    <x v="1"/>
    <x v="1"/>
    <s v="M00000359508"/>
    <d v="2008-05-15T00:00:00"/>
    <n v="0"/>
    <n v="56"/>
    <n v="375"/>
    <n v="218.75"/>
    <x v="1"/>
    <s v="38"/>
    <s v="875"/>
    <n v="30"/>
    <n v="0.42857142857142855"/>
    <n v="1.4285714285714285E-2"/>
  </r>
  <r>
    <x v="0"/>
    <x v="1"/>
    <x v="1"/>
    <s v="M00000356283"/>
    <d v="2008-04-30T00:00:00"/>
    <n v="0"/>
    <n v="70.400000000000006"/>
    <n v="600"/>
    <n v="275"/>
    <x v="0"/>
    <s v="38"/>
    <s v="1100"/>
    <n v="38"/>
    <n v="0.54545454545454541"/>
    <n v="1.4354066985645932E-2"/>
  </r>
  <r>
    <x v="0"/>
    <x v="1"/>
    <x v="1"/>
    <s v="M00000272963"/>
    <d v="2007-05-24T00:00:00"/>
    <n v="0"/>
    <n v="70.400000000000006"/>
    <n v="474.98"/>
    <n v="275"/>
    <x v="1"/>
    <s v="38"/>
    <s v="1100"/>
    <n v="30"/>
    <n v="0.43180000000000002"/>
    <n v="1.4393333333333334E-2"/>
  </r>
  <r>
    <x v="0"/>
    <x v="1"/>
    <x v="1"/>
    <s v="M00000359773"/>
    <d v="2008-05-15T00:00:00"/>
    <n v="0"/>
    <n v="116.74"/>
    <n v="1000"/>
    <n v="456"/>
    <x v="0"/>
    <s v="38"/>
    <s v="1824"/>
    <n v="38"/>
    <n v="0.54824561403508776"/>
    <n v="1.4427516158818099E-2"/>
  </r>
  <r>
    <x v="0"/>
    <x v="1"/>
    <x v="1"/>
    <s v="M00000282688"/>
    <d v="2007-08-09T00:00:00"/>
    <n v="0"/>
    <n v="102.14"/>
    <n v="760.33"/>
    <n v="399"/>
    <x v="10"/>
    <s v="38"/>
    <s v="1596"/>
    <n v="33"/>
    <n v="0.47639724310776943"/>
    <n v="1.443628009417483E-2"/>
  </r>
  <r>
    <x v="0"/>
    <x v="1"/>
    <x v="1"/>
    <s v="M00000296625"/>
    <d v="2007-09-14T00:00:00"/>
    <n v="0"/>
    <n v="58.24"/>
    <n v="500.05"/>
    <n v="227.5"/>
    <x v="0"/>
    <s v="38"/>
    <s v="910"/>
    <n v="38"/>
    <n v="0.54950549450549446"/>
    <n v="1.4460670908039328E-2"/>
  </r>
  <r>
    <x v="0"/>
    <x v="1"/>
    <x v="1"/>
    <s v="M00000271397"/>
    <d v="2007-05-17T00:00:00"/>
    <n v="0"/>
    <n v="72"/>
    <n v="618.75"/>
    <n v="281.25"/>
    <x v="0"/>
    <s v="38"/>
    <s v="1125"/>
    <n v="38"/>
    <n v="0.55000000000000004"/>
    <n v="1.4473684210526317E-2"/>
  </r>
  <r>
    <x v="0"/>
    <x v="1"/>
    <x v="1"/>
    <s v="M00000292806"/>
    <d v="2007-08-23T00:00:00"/>
    <n v="0"/>
    <n v="64"/>
    <n v="550"/>
    <n v="250"/>
    <x v="0"/>
    <s v="38"/>
    <s v="1000"/>
    <n v="38"/>
    <n v="0.55000000000000004"/>
    <n v="1.4473684210526317E-2"/>
  </r>
  <r>
    <x v="0"/>
    <x v="1"/>
    <x v="1"/>
    <s v="M00000361411"/>
    <d v="2008-06-12T00:00:00"/>
    <n v="0"/>
    <n v="217.6"/>
    <n v="1870"/>
    <n v="850"/>
    <x v="0"/>
    <s v="38"/>
    <s v="3400"/>
    <n v="38"/>
    <n v="0.55000000000000004"/>
    <n v="1.4473684210526317E-2"/>
  </r>
  <r>
    <x v="0"/>
    <x v="1"/>
    <x v="1"/>
    <s v="M00000284779"/>
    <d v="2007-07-19T00:00:00"/>
    <n v="0"/>
    <n v="81.41"/>
    <n v="701"/>
    <n v="318"/>
    <x v="0"/>
    <s v="38"/>
    <s v="1272"/>
    <n v="38"/>
    <n v="0.55110062893081757"/>
    <n v="1.4502648129758357E-2"/>
  </r>
  <r>
    <x v="0"/>
    <x v="1"/>
    <x v="1"/>
    <s v="M00000353491"/>
    <d v="2008-05-08T00:00:00"/>
    <n v="0"/>
    <n v="57.6"/>
    <n v="261.33"/>
    <n v="225"/>
    <x v="6"/>
    <s v="38"/>
    <s v="900"/>
    <n v="20"/>
    <n v="0.29036666666666666"/>
    <n v="1.4518333333333333E-2"/>
  </r>
  <r>
    <x v="0"/>
    <x v="1"/>
    <x v="1"/>
    <s v="M00000342329"/>
    <d v="2008-03-13T00:00:00"/>
    <n v="0"/>
    <n v="76.03"/>
    <n v="660"/>
    <n v="297"/>
    <x v="0"/>
    <s v="38"/>
    <s v="1188"/>
    <n v="38"/>
    <n v="0.55555555555555558"/>
    <n v="1.4619883040935673E-2"/>
  </r>
  <r>
    <x v="0"/>
    <x v="1"/>
    <x v="1"/>
    <s v="M00000355251"/>
    <d v="2008-04-24T00:00:00"/>
    <n v="0"/>
    <n v="80.64"/>
    <n v="700"/>
    <n v="315"/>
    <x v="0"/>
    <s v="38"/>
    <s v="1260"/>
    <n v="38"/>
    <n v="0.55555555555555558"/>
    <n v="1.4619883040935673E-2"/>
  </r>
  <r>
    <x v="0"/>
    <x v="1"/>
    <x v="1"/>
    <s v="M00000358074"/>
    <d v="2008-05-15T00:00:00"/>
    <n v="0"/>
    <n v="94.85"/>
    <n v="830"/>
    <n v="370.5"/>
    <x v="0"/>
    <s v="38"/>
    <s v="1482"/>
    <n v="38"/>
    <n v="0.56005398110661264"/>
    <n v="1.4738262660700333E-2"/>
  </r>
  <r>
    <x v="0"/>
    <x v="1"/>
    <x v="1"/>
    <s v="M00000292333"/>
    <d v="2007-08-30T00:00:00"/>
    <n v="0"/>
    <n v="83.2"/>
    <n v="574.99"/>
    <n v="325"/>
    <x v="1"/>
    <s v="38"/>
    <s v="1300"/>
    <n v="30"/>
    <n v="0.44230000000000003"/>
    <n v="1.4743333333333334E-2"/>
  </r>
  <r>
    <x v="0"/>
    <x v="1"/>
    <x v="1"/>
    <s v="M00000323891"/>
    <d v="2007-12-20T00:00:00"/>
    <n v="0"/>
    <n v="97.6"/>
    <n v="675"/>
    <n v="381.25"/>
    <x v="1"/>
    <s v="38"/>
    <s v="1525"/>
    <n v="30"/>
    <n v="0.44262295081967212"/>
    <n v="1.4754098360655738E-2"/>
  </r>
  <r>
    <x v="0"/>
    <x v="1"/>
    <x v="1"/>
    <s v="M00000274167"/>
    <d v="2007-07-26T00:00:00"/>
    <n v="0"/>
    <n v="96"/>
    <n v="600"/>
    <n v="375"/>
    <x v="2"/>
    <s v="38"/>
    <s v="1500"/>
    <n v="27"/>
    <n v="0.4"/>
    <n v="1.4814814814814815E-2"/>
  </r>
  <r>
    <x v="0"/>
    <x v="1"/>
    <x v="1"/>
    <s v="M00000274845"/>
    <d v="2007-06-07T00:00:00"/>
    <n v="0"/>
    <n v="115.2"/>
    <n v="720"/>
    <n v="450"/>
    <x v="2"/>
    <s v="38"/>
    <s v="1800"/>
    <n v="27"/>
    <n v="0.4"/>
    <n v="1.4814814814814815E-2"/>
  </r>
  <r>
    <x v="0"/>
    <x v="1"/>
    <x v="1"/>
    <s v="M00000329501"/>
    <d v="2007-12-31T00:00:00"/>
    <n v="0"/>
    <n v="75.2"/>
    <n v="525"/>
    <n v="293.75"/>
    <x v="1"/>
    <s v="38"/>
    <s v="1175"/>
    <n v="30"/>
    <n v="0.44680851063829785"/>
    <n v="1.4893617021276595E-2"/>
  </r>
  <r>
    <x v="0"/>
    <x v="1"/>
    <x v="1"/>
    <s v="M00000319782"/>
    <d v="2007-12-13T00:00:00"/>
    <n v="0"/>
    <n v="139.19999999999999"/>
    <n v="975"/>
    <n v="543.75"/>
    <x v="1"/>
    <s v="38"/>
    <s v="2175"/>
    <n v="30"/>
    <n v="0.44827586206896552"/>
    <n v="1.4942528735632184E-2"/>
  </r>
  <r>
    <x v="0"/>
    <x v="1"/>
    <x v="1"/>
    <s v="M00000298401"/>
    <d v="2007-09-27T00:00:00"/>
    <n v="0"/>
    <n v="63.81"/>
    <n v="567"/>
    <n v="249.25"/>
    <x v="0"/>
    <s v="38"/>
    <s v="997"/>
    <n v="38"/>
    <n v="0.56870611835506524"/>
    <n v="1.4965950483028033E-2"/>
  </r>
  <r>
    <x v="0"/>
    <x v="1"/>
    <x v="1"/>
    <s v="M00000291400"/>
    <d v="2007-08-16T00:00:00"/>
    <n v="0"/>
    <n v="64"/>
    <n v="450"/>
    <n v="250"/>
    <x v="1"/>
    <s v="38"/>
    <s v="1000"/>
    <n v="30"/>
    <n v="0.45"/>
    <n v="1.4999999999999999E-2"/>
  </r>
  <r>
    <x v="0"/>
    <x v="1"/>
    <x v="1"/>
    <s v="M00000304082"/>
    <d v="2007-10-11T00:00:00"/>
    <n v="0"/>
    <n v="96"/>
    <n v="675"/>
    <n v="375"/>
    <x v="1"/>
    <s v="38"/>
    <s v="1500"/>
    <n v="30"/>
    <n v="0.45"/>
    <n v="1.4999999999999999E-2"/>
  </r>
  <r>
    <x v="0"/>
    <x v="1"/>
    <x v="1"/>
    <s v="M00000340738"/>
    <d v="2008-03-13T00:00:00"/>
    <n v="0"/>
    <n v="89.6"/>
    <n v="800"/>
    <n v="350"/>
    <x v="2"/>
    <s v="49"/>
    <s v="1400"/>
    <n v="38"/>
    <n v="0.5714285714285714"/>
    <n v="1.5037593984962405E-2"/>
  </r>
  <r>
    <x v="0"/>
    <x v="1"/>
    <x v="1"/>
    <s v="M00000363472"/>
    <d v="2008-05-29T00:00:00"/>
    <n v="0"/>
    <n v="134.4"/>
    <n v="950"/>
    <n v="525"/>
    <x v="1"/>
    <s v="38"/>
    <s v="2100"/>
    <n v="30"/>
    <n v="0.45238095238095238"/>
    <n v="1.507936507936508E-2"/>
  </r>
  <r>
    <x v="0"/>
    <x v="1"/>
    <x v="1"/>
    <s v="M00000336908"/>
    <d v="2008-02-07T00:00:00"/>
    <n v="0"/>
    <n v="15.87"/>
    <n v="143"/>
    <n v="62"/>
    <x v="0"/>
    <s v="38"/>
    <s v="248"/>
    <n v="38"/>
    <n v="0.57661290322580649"/>
    <n v="1.5174023769100171E-2"/>
  </r>
  <r>
    <x v="0"/>
    <x v="1"/>
    <x v="1"/>
    <s v="M00000277170"/>
    <d v="2007-08-09T00:00:00"/>
    <n v="0"/>
    <n v="76.03"/>
    <n v="542.44000000000005"/>
    <n v="297"/>
    <x v="0"/>
    <s v="30"/>
    <s v="1188"/>
    <n v="30"/>
    <n v="0.45659932659932667"/>
    <n v="1.5219977553310889E-2"/>
  </r>
  <r>
    <x v="0"/>
    <x v="1"/>
    <x v="1"/>
    <s v="M00000292555"/>
    <d v="2007-09-14T00:00:00"/>
    <n v="0"/>
    <n v="79.23"/>
    <n v="490"/>
    <n v="309.5"/>
    <x v="14"/>
    <s v="38"/>
    <s v="1238"/>
    <n v="26"/>
    <n v="0.39579967689822293"/>
    <n v="1.5223064496085497E-2"/>
  </r>
  <r>
    <x v="0"/>
    <x v="1"/>
    <x v="1"/>
    <s v="M00000353002"/>
    <d v="2008-04-10T00:00:00"/>
    <n v="0"/>
    <n v="66.11"/>
    <n v="425"/>
    <n v="258.25"/>
    <x v="2"/>
    <s v="38"/>
    <s v="1033"/>
    <n v="27"/>
    <n v="0.41142303969022265"/>
    <n v="1.5237890358897135E-2"/>
  </r>
  <r>
    <x v="0"/>
    <x v="1"/>
    <x v="1"/>
    <s v="M00000269973"/>
    <d v="2007-05-10T00:00:00"/>
    <n v="0"/>
    <n v="88"/>
    <n v="398.75"/>
    <n v="343.75"/>
    <x v="5"/>
    <s v="38"/>
    <s v="1375"/>
    <n v="19"/>
    <n v="0.28999999999999998"/>
    <n v="1.5263157894736841E-2"/>
  </r>
  <r>
    <x v="0"/>
    <x v="1"/>
    <x v="1"/>
    <s v="M00000347543"/>
    <d v="2008-03-20T00:00:00"/>
    <n v="0"/>
    <n v="76.8"/>
    <n v="550"/>
    <n v="300"/>
    <x v="1"/>
    <s v="38"/>
    <s v="1200"/>
    <n v="30"/>
    <n v="0.45833333333333331"/>
    <n v="1.5277777777777777E-2"/>
  </r>
  <r>
    <x v="0"/>
    <x v="1"/>
    <x v="1"/>
    <s v="M00000301604"/>
    <d v="2007-09-28T00:00:00"/>
    <n v="0"/>
    <n v="66.239999999999995"/>
    <n v="475"/>
    <n v="258.75"/>
    <x v="1"/>
    <s v="38"/>
    <s v="1035"/>
    <n v="30"/>
    <n v="0.45893719806763283"/>
    <n v="1.5297906602254429E-2"/>
  </r>
  <r>
    <x v="0"/>
    <x v="1"/>
    <x v="1"/>
    <s v="M00000281450"/>
    <d v="2007-07-06T00:00:00"/>
    <n v="0"/>
    <n v="71.42"/>
    <n v="670.05"/>
    <n v="279"/>
    <x v="13"/>
    <s v="42"/>
    <s v="1116"/>
    <n v="39"/>
    <n v="0.60040322580645156"/>
    <n v="1.5394954507857732E-2"/>
  </r>
  <r>
    <x v="0"/>
    <x v="1"/>
    <x v="1"/>
    <s v="M00000306479"/>
    <d v="2007-10-25T00:00:00"/>
    <n v="0"/>
    <n v="85.76"/>
    <n v="724"/>
    <n v="335"/>
    <x v="13"/>
    <s v="38"/>
    <s v="1340"/>
    <n v="35"/>
    <n v="0.54029850746268659"/>
    <n v="1.5437100213219618E-2"/>
  </r>
  <r>
    <x v="0"/>
    <x v="1"/>
    <x v="1"/>
    <s v="M00000323185"/>
    <d v="2007-12-20T00:00:00"/>
    <n v="0"/>
    <n v="61.82"/>
    <n v="450"/>
    <n v="241.5"/>
    <x v="1"/>
    <s v="38"/>
    <s v="966"/>
    <n v="30"/>
    <n v="0.46583850931677018"/>
    <n v="1.5527950310559006E-2"/>
  </r>
  <r>
    <x v="0"/>
    <x v="1"/>
    <x v="1"/>
    <s v="M00000280119"/>
    <d v="2007-08-16T00:00:00"/>
    <n v="0"/>
    <n v="102.4"/>
    <n v="1292"/>
    <n v="400"/>
    <x v="1"/>
    <s v="60"/>
    <s v="1600"/>
    <n v="52"/>
    <n v="0.8075"/>
    <n v="1.5528846153846153E-2"/>
  </r>
  <r>
    <x v="0"/>
    <x v="1"/>
    <x v="1"/>
    <s v="M00000323812"/>
    <d v="2007-12-20T00:00:00"/>
    <n v="0"/>
    <n v="96"/>
    <n v="700"/>
    <n v="375"/>
    <x v="5"/>
    <s v="49"/>
    <s v="1500"/>
    <n v="30"/>
    <n v="0.46666666666666667"/>
    <n v="1.5555555555555555E-2"/>
  </r>
  <r>
    <x v="0"/>
    <x v="1"/>
    <x v="1"/>
    <s v="M00000341103"/>
    <d v="2008-02-21T00:00:00"/>
    <n v="0"/>
    <n v="74.239999999999995"/>
    <n v="560"/>
    <n v="290"/>
    <x v="16"/>
    <s v="38"/>
    <s v="1160"/>
    <n v="31"/>
    <n v="0.48275862068965519"/>
    <n v="1.5572858731924362E-2"/>
  </r>
  <r>
    <x v="0"/>
    <x v="1"/>
    <x v="1"/>
    <s v="M00000309792"/>
    <d v="2007-11-09T00:00:00"/>
    <n v="0"/>
    <n v="83.2"/>
    <n v="770"/>
    <n v="325"/>
    <x v="0"/>
    <s v="38"/>
    <s v="1300"/>
    <n v="38"/>
    <n v="0.59230769230769231"/>
    <n v="1.5587044534412956E-2"/>
  </r>
  <r>
    <x v="0"/>
    <x v="1"/>
    <x v="1"/>
    <s v="M00000275358"/>
    <d v="2007-06-07T00:00:00"/>
    <n v="0"/>
    <n v="102.4"/>
    <n v="475.04"/>
    <n v="400"/>
    <x v="5"/>
    <s v="38"/>
    <s v="1600"/>
    <n v="19"/>
    <n v="0.2969"/>
    <n v="1.5626315789473683E-2"/>
  </r>
  <r>
    <x v="0"/>
    <x v="1"/>
    <x v="1"/>
    <s v="M00000334331"/>
    <d v="2008-01-24T00:00:00"/>
    <n v="0"/>
    <n v="96"/>
    <n v="710"/>
    <n v="375"/>
    <x v="1"/>
    <s v="38"/>
    <s v="1500"/>
    <n v="30"/>
    <n v="0.47333333333333333"/>
    <n v="1.5777777777777776E-2"/>
  </r>
  <r>
    <x v="0"/>
    <x v="1"/>
    <x v="1"/>
    <s v="M00000295713"/>
    <d v="2007-11-15T00:00:00"/>
    <n v="0"/>
    <n v="82.3"/>
    <n v="771.21"/>
    <n v="321.5"/>
    <x v="0"/>
    <s v="38"/>
    <s v="1286"/>
    <n v="38"/>
    <n v="0.59969673405909796"/>
    <n v="1.5781493001555208E-2"/>
  </r>
  <r>
    <x v="0"/>
    <x v="1"/>
    <x v="1"/>
    <s v="M00000292483"/>
    <d v="2007-08-23T00:00:00"/>
    <n v="0"/>
    <n v="32"/>
    <n v="300"/>
    <n v="125"/>
    <x v="0"/>
    <s v="38"/>
    <s v="500"/>
    <n v="38"/>
    <n v="0.6"/>
    <n v="1.5789473684210527E-2"/>
  </r>
  <r>
    <x v="0"/>
    <x v="1"/>
    <x v="1"/>
    <s v="M00000301099"/>
    <d v="2007-09-27T00:00:00"/>
    <n v="0"/>
    <n v="96"/>
    <n v="900"/>
    <n v="375"/>
    <x v="0"/>
    <s v="38"/>
    <s v="1500"/>
    <n v="38"/>
    <n v="0.6"/>
    <n v="1.5789473684210527E-2"/>
  </r>
  <r>
    <x v="0"/>
    <x v="1"/>
    <x v="1"/>
    <s v="M00000312060"/>
    <d v="2007-11-09T00:00:00"/>
    <n v="0"/>
    <n v="128"/>
    <n v="1200"/>
    <n v="500"/>
    <x v="0"/>
    <s v="38"/>
    <s v="2000"/>
    <n v="38"/>
    <n v="0.6"/>
    <n v="1.5789473684210527E-2"/>
  </r>
  <r>
    <x v="0"/>
    <x v="1"/>
    <x v="1"/>
    <s v="M00000362735"/>
    <d v="2008-05-29T00:00:00"/>
    <n v="0"/>
    <n v="160"/>
    <n v="1500"/>
    <n v="625"/>
    <x v="0"/>
    <s v="38"/>
    <s v="2500"/>
    <n v="38"/>
    <n v="0.6"/>
    <n v="1.5789473684210527E-2"/>
  </r>
  <r>
    <x v="0"/>
    <x v="1"/>
    <x v="1"/>
    <s v="M00000297791"/>
    <d v="2007-09-14T00:00:00"/>
    <n v="0"/>
    <n v="76.8"/>
    <n v="570"/>
    <n v="300"/>
    <x v="1"/>
    <s v="38"/>
    <s v="1200"/>
    <n v="30"/>
    <n v="0.47499999999999998"/>
    <n v="1.5833333333333331E-2"/>
  </r>
  <r>
    <x v="0"/>
    <x v="1"/>
    <x v="1"/>
    <s v="M00000274843"/>
    <d v="2007-05-31T00:00:00"/>
    <n v="0"/>
    <n v="85.57"/>
    <n v="682"/>
    <n v="334.25"/>
    <x v="12"/>
    <s v="38"/>
    <s v="1337"/>
    <n v="32"/>
    <n v="0.51009723261032158"/>
    <n v="1.5940538519072549E-2"/>
  </r>
  <r>
    <x v="0"/>
    <x v="1"/>
    <x v="1"/>
    <s v="M00000340509"/>
    <d v="2008-03-13T00:00:00"/>
    <n v="0"/>
    <n v="120.96"/>
    <n v="663"/>
    <n v="472.5"/>
    <x v="7"/>
    <s v="38"/>
    <s v="1890"/>
    <n v="22"/>
    <n v="0.35079365079365077"/>
    <n v="1.5945165945165943E-2"/>
  </r>
  <r>
    <x v="0"/>
    <x v="1"/>
    <x v="1"/>
    <s v="M00000290824"/>
    <d v="2007-08-16T00:00:00"/>
    <n v="0"/>
    <n v="103.68"/>
    <n v="775.01"/>
    <n v="405"/>
    <x v="1"/>
    <s v="38"/>
    <s v="1620"/>
    <n v="30"/>
    <n v="0.47840123456790123"/>
    <n v="1.5946707818930043E-2"/>
  </r>
  <r>
    <x v="0"/>
    <x v="1"/>
    <x v="1"/>
    <s v="M00000322810"/>
    <d v="2007-12-20T00:00:00"/>
    <n v="0"/>
    <n v="52.8"/>
    <n v="500"/>
    <n v="206.25"/>
    <x v="0"/>
    <s v="38"/>
    <s v="825"/>
    <n v="38"/>
    <n v="0.60606060606060608"/>
    <n v="1.5948963317384369E-2"/>
  </r>
  <r>
    <x v="0"/>
    <x v="1"/>
    <x v="1"/>
    <s v="M00000343832"/>
    <d v="2008-05-15T00:00:00"/>
    <n v="0"/>
    <n v="117.89"/>
    <n v="1146"/>
    <n v="460.5"/>
    <x v="11"/>
    <s v="49"/>
    <s v="1842"/>
    <n v="39"/>
    <n v="0.62214983713355054"/>
    <n v="1.5952559926501297E-2"/>
  </r>
  <r>
    <x v="0"/>
    <x v="1"/>
    <x v="1"/>
    <s v="M00000341939"/>
    <d v="2008-02-29T00:00:00"/>
    <n v="0"/>
    <n v="79.17"/>
    <n v="750"/>
    <n v="309.25"/>
    <x v="0"/>
    <s v="38"/>
    <s v="1237"/>
    <n v="38"/>
    <n v="0.60630557801131768"/>
    <n v="1.5955409947666255E-2"/>
  </r>
  <r>
    <x v="0"/>
    <x v="1"/>
    <x v="1"/>
    <s v="M00000372701"/>
    <d v="2008-07-03T00:00:00"/>
    <n v="0"/>
    <n v="50.69"/>
    <n v="380"/>
    <n v="198"/>
    <x v="1"/>
    <s v="38"/>
    <s v="792"/>
    <n v="30"/>
    <n v="0.47979797979797978"/>
    <n v="1.5993265993265993E-2"/>
  </r>
  <r>
    <x v="0"/>
    <x v="1"/>
    <x v="1"/>
    <s v="M00000314927"/>
    <d v="2007-11-21T00:00:00"/>
    <n v="0"/>
    <n v="70.400000000000006"/>
    <n v="530"/>
    <n v="275"/>
    <x v="1"/>
    <s v="38"/>
    <s v="1100"/>
    <n v="30"/>
    <n v="0.48181818181818181"/>
    <n v="1.606060606060606E-2"/>
  </r>
  <r>
    <x v="0"/>
    <x v="1"/>
    <x v="1"/>
    <s v="M00000358014"/>
    <d v="2008-04-30T00:00:00"/>
    <n v="0"/>
    <n v="86.72"/>
    <n v="656"/>
    <n v="338.75"/>
    <x v="2"/>
    <s v="41"/>
    <s v="1355"/>
    <n v="30"/>
    <n v="0.48413284132841328"/>
    <n v="1.6137761377613778E-2"/>
  </r>
  <r>
    <x v="0"/>
    <x v="1"/>
    <x v="1"/>
    <s v="M00000322093"/>
    <d v="2007-12-31T00:00:00"/>
    <n v="0"/>
    <n v="64"/>
    <n v="484.17"/>
    <n v="250"/>
    <x v="1"/>
    <s v="38"/>
    <s v="1000"/>
    <n v="30"/>
    <n v="0.48416999999999999"/>
    <n v="1.6139000000000001E-2"/>
  </r>
  <r>
    <x v="0"/>
    <x v="1"/>
    <x v="1"/>
    <s v="M00000362376"/>
    <d v="2008-06-19T00:00:00"/>
    <n v="0"/>
    <n v="115.2"/>
    <n v="789.84"/>
    <n v="450"/>
    <x v="2"/>
    <s v="38"/>
    <s v="1800"/>
    <n v="27"/>
    <n v="0.43880000000000002"/>
    <n v="1.6251851851851854E-2"/>
  </r>
  <r>
    <x v="0"/>
    <x v="1"/>
    <x v="1"/>
    <s v="M00000365307"/>
    <d v="2008-06-05T00:00:00"/>
    <n v="0"/>
    <n v="102.4"/>
    <n v="990"/>
    <n v="400"/>
    <x v="0"/>
    <s v="38"/>
    <s v="1600"/>
    <n v="38"/>
    <n v="0.61875000000000002"/>
    <n v="1.6282894736842107E-2"/>
  </r>
  <r>
    <x v="0"/>
    <x v="1"/>
    <x v="1"/>
    <s v="M00000327658"/>
    <d v="2007-12-31T00:00:00"/>
    <n v="0"/>
    <n v="63.49"/>
    <n v="485"/>
    <n v="248"/>
    <x v="1"/>
    <s v="38"/>
    <s v="992"/>
    <n v="30"/>
    <n v="0.48891129032258063"/>
    <n v="1.6297043010752688E-2"/>
  </r>
  <r>
    <x v="0"/>
    <x v="1"/>
    <x v="1"/>
    <s v="M00000315506"/>
    <d v="2007-11-21T00:00:00"/>
    <n v="0"/>
    <n v="107.07"/>
    <n v="600"/>
    <n v="418.25"/>
    <x v="7"/>
    <s v="38"/>
    <s v="1673"/>
    <n v="22"/>
    <n v="0.35863717872086071"/>
    <n v="1.6301689941857305E-2"/>
  </r>
  <r>
    <x v="0"/>
    <x v="1"/>
    <x v="1"/>
    <s v="M00000356537"/>
    <d v="2008-04-30T00:00:00"/>
    <n v="0"/>
    <n v="55.62"/>
    <n v="425"/>
    <n v="217.25"/>
    <x v="1"/>
    <s v="38"/>
    <s v="869"/>
    <n v="30"/>
    <n v="0.48906789413118529"/>
    <n v="1.6302263137706177E-2"/>
  </r>
  <r>
    <x v="0"/>
    <x v="1"/>
    <x v="1"/>
    <s v="M00000281482"/>
    <d v="2007-07-06T00:00:00"/>
    <n v="0"/>
    <n v="30.27"/>
    <n v="293.02"/>
    <n v="118.25"/>
    <x v="0"/>
    <s v="38"/>
    <s v="473"/>
    <n v="38"/>
    <n v="0.61949260042283294"/>
    <n v="1.6302436853232447E-2"/>
  </r>
  <r>
    <x v="0"/>
    <x v="1"/>
    <x v="1"/>
    <s v="M00000291358"/>
    <d v="2007-08-16T00:00:00"/>
    <n v="0"/>
    <n v="25.6"/>
    <n v="248"/>
    <n v="100"/>
    <x v="0"/>
    <s v="38"/>
    <s v="400"/>
    <n v="38"/>
    <n v="0.62"/>
    <n v="1.6315789473684211E-2"/>
  </r>
  <r>
    <x v="0"/>
    <x v="1"/>
    <x v="1"/>
    <s v="M00000320374"/>
    <d v="2007-12-13T00:00:00"/>
    <n v="0"/>
    <n v="76.8"/>
    <n v="744"/>
    <n v="300"/>
    <x v="0"/>
    <s v="38"/>
    <s v="1200"/>
    <n v="38"/>
    <n v="0.62"/>
    <n v="1.6315789473684211E-2"/>
  </r>
  <r>
    <x v="0"/>
    <x v="1"/>
    <x v="1"/>
    <s v="M00000366201"/>
    <d v="2008-06-12T00:00:00"/>
    <n v="0"/>
    <n v="85.38"/>
    <n v="653"/>
    <n v="333.5"/>
    <x v="1"/>
    <s v="38"/>
    <s v="1334"/>
    <n v="30"/>
    <n v="0.48950524737631185"/>
    <n v="1.6316841579210394E-2"/>
  </r>
  <r>
    <x v="0"/>
    <x v="1"/>
    <x v="1"/>
    <s v="M00000284399"/>
    <d v="2007-07-19T00:00:00"/>
    <n v="0"/>
    <n v="73.150000000000006"/>
    <n v="560.07000000000005"/>
    <n v="285.75"/>
    <x v="1"/>
    <s v="38"/>
    <s v="1143"/>
    <n v="30"/>
    <n v="0.49"/>
    <n v="1.6333333333333335E-2"/>
  </r>
  <r>
    <x v="0"/>
    <x v="1"/>
    <x v="1"/>
    <s v="M00000334470"/>
    <d v="2008-01-24T00:00:00"/>
    <n v="0"/>
    <n v="144.32"/>
    <n v="1400"/>
    <n v="563.75"/>
    <x v="0"/>
    <s v="38"/>
    <s v="2255"/>
    <n v="38"/>
    <n v="0.62084257206208426"/>
    <n v="1.6337962422686429E-2"/>
  </r>
  <r>
    <x v="0"/>
    <x v="1"/>
    <x v="1"/>
    <s v="M00000298900"/>
    <d v="2007-12-13T00:00:00"/>
    <n v="0"/>
    <n v="9.2799999999999994"/>
    <n v="45.04"/>
    <n v="36.25"/>
    <x v="5"/>
    <s v="38"/>
    <s v="145"/>
    <n v="19"/>
    <n v="0.31062068965517242"/>
    <n v="1.6348457350272232E-2"/>
  </r>
  <r>
    <x v="0"/>
    <x v="1"/>
    <x v="1"/>
    <s v="M00000281476"/>
    <d v="2007-07-06T00:00:00"/>
    <n v="0"/>
    <n v="132.80000000000001"/>
    <n v="747"/>
    <n v="518.75"/>
    <x v="7"/>
    <s v="38"/>
    <s v="2075"/>
    <n v="22"/>
    <n v="0.36"/>
    <n v="1.6363636363636361E-2"/>
  </r>
  <r>
    <x v="0"/>
    <x v="1"/>
    <x v="1"/>
    <s v="M00000281918"/>
    <d v="2007-07-06T00:00:00"/>
    <n v="0"/>
    <n v="107.39"/>
    <n v="825.07"/>
    <n v="419.5"/>
    <x v="1"/>
    <s v="38"/>
    <s v="1678"/>
    <n v="30"/>
    <n v="0.4916984505363528"/>
    <n v="1.6389948351211759E-2"/>
  </r>
  <r>
    <x v="0"/>
    <x v="1"/>
    <x v="1"/>
    <s v="M00000295364"/>
    <d v="2007-09-06T00:00:00"/>
    <n v="0"/>
    <n v="43.52"/>
    <n v="423.98"/>
    <n v="170"/>
    <x v="0"/>
    <s v="38"/>
    <s v="680"/>
    <n v="38"/>
    <n v="0.62350000000000005"/>
    <n v="1.6407894736842107E-2"/>
  </r>
  <r>
    <x v="0"/>
    <x v="1"/>
    <x v="1"/>
    <s v="M00000283340"/>
    <d v="2007-07-26T00:00:00"/>
    <n v="0"/>
    <n v="51.2"/>
    <n v="500"/>
    <n v="200"/>
    <x v="0"/>
    <s v="38"/>
    <s v="800"/>
    <n v="38"/>
    <n v="0.625"/>
    <n v="1.6447368421052631E-2"/>
  </r>
  <r>
    <x v="0"/>
    <x v="1"/>
    <x v="1"/>
    <s v="M00000308642"/>
    <d v="2007-11-01T00:00:00"/>
    <n v="0"/>
    <n v="25.92"/>
    <n v="200"/>
    <n v="101.25"/>
    <x v="3"/>
    <s v="43"/>
    <s v="405"/>
    <n v="30"/>
    <n v="0.49382716049382713"/>
    <n v="1.6460905349794237E-2"/>
  </r>
  <r>
    <x v="0"/>
    <x v="1"/>
    <x v="1"/>
    <s v="M00000335651"/>
    <d v="2008-02-21T00:00:00"/>
    <n v="0"/>
    <n v="64.260000000000005"/>
    <n v="315"/>
    <n v="251"/>
    <x v="5"/>
    <s v="38"/>
    <s v="1004"/>
    <n v="19"/>
    <n v="0.31374501992031872"/>
    <n v="1.6512895785279934E-2"/>
  </r>
  <r>
    <x v="0"/>
    <x v="1"/>
    <x v="1"/>
    <s v="M00000280779"/>
    <d v="2007-06-28T00:00:00"/>
    <n v="0"/>
    <n v="96"/>
    <n v="619.95000000000005"/>
    <n v="375"/>
    <x v="3"/>
    <s v="38"/>
    <s v="1500"/>
    <n v="25"/>
    <n v="0.41330000000000006"/>
    <n v="1.6532000000000002E-2"/>
  </r>
  <r>
    <x v="0"/>
    <x v="1"/>
    <x v="1"/>
    <s v="M00000350106"/>
    <d v="2008-04-24T00:00:00"/>
    <n v="0"/>
    <n v="59.9"/>
    <n v="310"/>
    <n v="234"/>
    <x v="6"/>
    <s v="38"/>
    <s v="936"/>
    <n v="20"/>
    <n v="0.33119658119658119"/>
    <n v="1.655982905982906E-2"/>
  </r>
  <r>
    <x v="0"/>
    <x v="1"/>
    <x v="1"/>
    <s v="M00000358095"/>
    <d v="2008-05-08T00:00:00"/>
    <n v="0"/>
    <n v="78.72"/>
    <n v="550"/>
    <n v="307.5"/>
    <x v="2"/>
    <s v="38"/>
    <s v="1230"/>
    <n v="27"/>
    <n v="0.44715447154471544"/>
    <n v="1.6561276723878349E-2"/>
  </r>
  <r>
    <x v="0"/>
    <x v="1"/>
    <x v="1"/>
    <s v="M00000309692"/>
    <d v="2007-12-06T00:00:00"/>
    <n v="0"/>
    <n v="55.23"/>
    <n v="700.72"/>
    <n v="215.75"/>
    <x v="0"/>
    <s v="49"/>
    <s v="863"/>
    <n v="49"/>
    <n v="0.81195828505214374"/>
    <n v="1.6570577245962118E-2"/>
  </r>
  <r>
    <x v="0"/>
    <x v="1"/>
    <x v="1"/>
    <s v="M00000323895"/>
    <d v="2008-01-24T00:00:00"/>
    <n v="0"/>
    <n v="77.95"/>
    <n v="545"/>
    <n v="304.5"/>
    <x v="2"/>
    <s v="38"/>
    <s v="1218"/>
    <n v="27"/>
    <n v="0.44745484400656815"/>
    <n v="1.6572401629872894E-2"/>
  </r>
  <r>
    <x v="0"/>
    <x v="1"/>
    <x v="1"/>
    <s v="M00000359416"/>
    <d v="2008-05-08T00:00:00"/>
    <n v="0"/>
    <n v="60.8"/>
    <n v="600"/>
    <n v="237.5"/>
    <x v="0"/>
    <s v="38"/>
    <s v="950"/>
    <n v="38"/>
    <n v="0.63157894736842102"/>
    <n v="1.6620498614958446E-2"/>
  </r>
  <r>
    <x v="0"/>
    <x v="1"/>
    <x v="1"/>
    <s v="M00000338223"/>
    <d v="2008-03-13T00:00:00"/>
    <n v="0"/>
    <n v="52.8"/>
    <n v="548.5"/>
    <n v="206.25"/>
    <x v="11"/>
    <s v="50"/>
    <s v="825"/>
    <n v="40"/>
    <n v="0.6648484848484848"/>
    <n v="1.662121212121212E-2"/>
  </r>
  <r>
    <x v="0"/>
    <x v="1"/>
    <x v="1"/>
    <s v="M00000298414"/>
    <d v="2007-11-15T00:00:00"/>
    <n v="0"/>
    <n v="51.2"/>
    <n v="400"/>
    <n v="200"/>
    <x v="1"/>
    <s v="38"/>
    <s v="800"/>
    <n v="30"/>
    <n v="0.5"/>
    <n v="1.6666666666666666E-2"/>
  </r>
  <r>
    <x v="0"/>
    <x v="1"/>
    <x v="1"/>
    <s v="M00000329216"/>
    <d v="2007-12-31T00:00:00"/>
    <n v="0"/>
    <n v="96"/>
    <n v="625"/>
    <n v="375"/>
    <x v="4"/>
    <s v="40"/>
    <s v="1500"/>
    <n v="25"/>
    <n v="0.41666666666666669"/>
    <n v="1.6666666666666666E-2"/>
  </r>
  <r>
    <x v="0"/>
    <x v="1"/>
    <x v="1"/>
    <s v="M00000343715"/>
    <d v="2008-03-06T00:00:00"/>
    <n v="0"/>
    <n v="99.84"/>
    <n v="650"/>
    <n v="390"/>
    <x v="3"/>
    <s v="38"/>
    <s v="1560"/>
    <n v="25"/>
    <n v="0.41666666666666669"/>
    <n v="1.6666666666666666E-2"/>
  </r>
  <r>
    <x v="0"/>
    <x v="1"/>
    <x v="1"/>
    <s v="M00000347011"/>
    <d v="2008-03-20T00:00:00"/>
    <n v="0"/>
    <n v="108.8"/>
    <n v="850"/>
    <n v="425"/>
    <x v="1"/>
    <s v="38"/>
    <s v="1700"/>
    <n v="30"/>
    <n v="0.5"/>
    <n v="1.6666666666666666E-2"/>
  </r>
  <r>
    <x v="0"/>
    <x v="1"/>
    <x v="1"/>
    <s v="M00000347669"/>
    <d v="2008-03-20T00:00:00"/>
    <n v="0"/>
    <n v="53.12"/>
    <n v="415"/>
    <n v="207.5"/>
    <x v="1"/>
    <s v="38"/>
    <s v="830"/>
    <n v="30"/>
    <n v="0.5"/>
    <n v="1.6666666666666666E-2"/>
  </r>
  <r>
    <x v="0"/>
    <x v="1"/>
    <x v="1"/>
    <s v="M00000347752"/>
    <d v="2008-03-20T00:00:00"/>
    <n v="0"/>
    <n v="112"/>
    <n v="875"/>
    <n v="437.5"/>
    <x v="1"/>
    <s v="38"/>
    <s v="1750"/>
    <n v="30"/>
    <n v="0.5"/>
    <n v="1.6666666666666666E-2"/>
  </r>
  <r>
    <x v="0"/>
    <x v="1"/>
    <x v="1"/>
    <s v="M00000348447"/>
    <d v="2008-03-27T00:00:00"/>
    <n v="0"/>
    <n v="38.4"/>
    <n v="300"/>
    <n v="150"/>
    <x v="1"/>
    <s v="38"/>
    <s v="600"/>
    <n v="30"/>
    <n v="0.5"/>
    <n v="1.6666666666666666E-2"/>
  </r>
  <r>
    <x v="0"/>
    <x v="1"/>
    <x v="1"/>
    <s v="M00000352685"/>
    <d v="2008-04-10T00:00:00"/>
    <n v="0"/>
    <n v="105.6"/>
    <n v="825"/>
    <n v="412.5"/>
    <x v="1"/>
    <s v="38"/>
    <s v="1650"/>
    <n v="30"/>
    <n v="0.5"/>
    <n v="1.6666666666666666E-2"/>
  </r>
  <r>
    <x v="0"/>
    <x v="1"/>
    <x v="1"/>
    <s v="M00000354635"/>
    <d v="2008-04-24T00:00:00"/>
    <n v="0"/>
    <n v="49.54"/>
    <n v="387"/>
    <n v="193.5"/>
    <x v="1"/>
    <s v="38"/>
    <s v="774"/>
    <n v="30"/>
    <n v="0.5"/>
    <n v="1.6666666666666666E-2"/>
  </r>
  <r>
    <x v="0"/>
    <x v="1"/>
    <x v="1"/>
    <s v="M00000315095"/>
    <d v="2007-12-13T00:00:00"/>
    <n v="0"/>
    <n v="98.82"/>
    <n v="773"/>
    <n v="386"/>
    <x v="1"/>
    <s v="38"/>
    <s v="1544"/>
    <n v="30"/>
    <n v="0.50064766839378239"/>
    <n v="1.668825561312608E-2"/>
  </r>
  <r>
    <x v="0"/>
    <x v="1"/>
    <x v="1"/>
    <s v="M00000364338"/>
    <d v="2008-05-29T00:00:00"/>
    <n v="0"/>
    <n v="89.6"/>
    <n v="701"/>
    <n v="350"/>
    <x v="1"/>
    <s v="38"/>
    <s v="1400"/>
    <n v="30"/>
    <n v="0.50071428571428567"/>
    <n v="1.669047619047619E-2"/>
  </r>
  <r>
    <x v="0"/>
    <x v="1"/>
    <x v="1"/>
    <s v="M00000348063"/>
    <d v="2008-03-27T00:00:00"/>
    <n v="0"/>
    <n v="25.73"/>
    <n v="255"/>
    <n v="100.5"/>
    <x v="0"/>
    <s v="38"/>
    <s v="402"/>
    <n v="38"/>
    <n v="0.63432835820895528"/>
    <n v="1.6692851531814611E-2"/>
  </r>
  <r>
    <x v="0"/>
    <x v="1"/>
    <x v="1"/>
    <s v="M00000286021"/>
    <d v="2007-07-26T00:00:00"/>
    <n v="0"/>
    <n v="113.66"/>
    <n v="919.08"/>
    <n v="444"/>
    <x v="6"/>
    <s v="49"/>
    <s v="1776"/>
    <n v="31"/>
    <n v="0.51749999999999996"/>
    <n v="1.6693548387096777E-2"/>
  </r>
  <r>
    <x v="0"/>
    <x v="1"/>
    <x v="1"/>
    <s v="M00000304949"/>
    <d v="2007-10-18T00:00:00"/>
    <n v="0"/>
    <n v="135.04"/>
    <n v="1060"/>
    <n v="527.5"/>
    <x v="1"/>
    <s v="38"/>
    <s v="2110"/>
    <n v="30"/>
    <n v="0.50236966824644547"/>
    <n v="1.6745655608214848E-2"/>
  </r>
  <r>
    <x v="0"/>
    <x v="1"/>
    <x v="1"/>
    <s v="M00000353316"/>
    <d v="2008-04-17T00:00:00"/>
    <n v="0"/>
    <n v="70.400000000000006"/>
    <n v="700"/>
    <n v="275"/>
    <x v="0"/>
    <s v="38"/>
    <s v="1100"/>
    <n v="38"/>
    <n v="0.63636363636363635"/>
    <n v="1.6746411483253589E-2"/>
  </r>
  <r>
    <x v="0"/>
    <x v="1"/>
    <x v="1"/>
    <s v="M00000305607"/>
    <d v="2007-10-18T00:00:00"/>
    <n v="0"/>
    <n v="105.47"/>
    <n v="1050"/>
    <n v="412"/>
    <x v="2"/>
    <s v="49"/>
    <s v="1648"/>
    <n v="38"/>
    <n v="0.63713592233009708"/>
    <n v="1.6766734798160449E-2"/>
  </r>
  <r>
    <x v="0"/>
    <x v="1"/>
    <x v="1"/>
    <s v="M00000328765"/>
    <d v="2007-12-31T00:00:00"/>
    <n v="0"/>
    <n v="85.31"/>
    <n v="850"/>
    <n v="333.25"/>
    <x v="0"/>
    <s v="38"/>
    <s v="1333"/>
    <n v="38"/>
    <n v="0.63765941485371347"/>
    <n v="1.6780510917202986E-2"/>
  </r>
  <r>
    <x v="0"/>
    <x v="1"/>
    <x v="1"/>
    <s v="M00000354925"/>
    <d v="2008-04-24T00:00:00"/>
    <n v="0"/>
    <n v="84.48"/>
    <n v="555"/>
    <n v="330"/>
    <x v="3"/>
    <s v="38"/>
    <s v="1320"/>
    <n v="25"/>
    <n v="0.42045454545454547"/>
    <n v="1.6818181818181819E-2"/>
  </r>
  <r>
    <x v="0"/>
    <x v="1"/>
    <x v="1"/>
    <s v="M00000314731"/>
    <d v="2007-12-20T00:00:00"/>
    <n v="0"/>
    <n v="60.22"/>
    <n v="475"/>
    <n v="235.25"/>
    <x v="1"/>
    <s v="38"/>
    <s v="941"/>
    <n v="30"/>
    <n v="0.50478214665249732"/>
    <n v="1.6826071555083245E-2"/>
  </r>
  <r>
    <x v="0"/>
    <x v="1"/>
    <x v="1"/>
    <s v="M00000342336"/>
    <d v="2008-02-29T00:00:00"/>
    <n v="0"/>
    <n v="86.4"/>
    <n v="614"/>
    <n v="337.5"/>
    <x v="2"/>
    <s v="38"/>
    <s v="1350"/>
    <n v="27"/>
    <n v="0.45481481481481484"/>
    <n v="1.6844993141289438E-2"/>
  </r>
  <r>
    <x v="0"/>
    <x v="1"/>
    <x v="1"/>
    <s v="M00000294592"/>
    <d v="2007-08-30T00:00:00"/>
    <n v="0"/>
    <n v="78.400000000000006"/>
    <n v="619.97"/>
    <n v="306.25"/>
    <x v="1"/>
    <s v="38"/>
    <s v="1225"/>
    <n v="30"/>
    <n v="0.50609795918367351"/>
    <n v="1.6869931972789118E-2"/>
  </r>
  <r>
    <x v="0"/>
    <x v="1"/>
    <x v="1"/>
    <s v="M00000309502"/>
    <d v="2007-11-01T00:00:00"/>
    <n v="0"/>
    <n v="89.6"/>
    <n v="900"/>
    <n v="350"/>
    <x v="0"/>
    <s v="38"/>
    <s v="1400"/>
    <n v="38"/>
    <n v="0.6428571428571429"/>
    <n v="1.6917293233082709E-2"/>
  </r>
  <r>
    <x v="0"/>
    <x v="1"/>
    <x v="1"/>
    <s v="M00000316639"/>
    <d v="2007-11-29T00:00:00"/>
    <n v="0"/>
    <n v="89.6"/>
    <n v="900"/>
    <n v="350"/>
    <x v="0"/>
    <s v="38"/>
    <s v="1400"/>
    <n v="38"/>
    <n v="0.6428571428571429"/>
    <n v="1.6917293233082709E-2"/>
  </r>
  <r>
    <x v="0"/>
    <x v="1"/>
    <x v="1"/>
    <s v="M00000350687"/>
    <d v="2008-04-03T00:00:00"/>
    <n v="0"/>
    <n v="132.66999999999999"/>
    <n v="1333"/>
    <n v="518.25"/>
    <x v="0"/>
    <s v="38"/>
    <s v="2073"/>
    <n v="38"/>
    <n v="0.6430294259527255"/>
    <n v="1.6921826998755933E-2"/>
  </r>
  <r>
    <x v="0"/>
    <x v="1"/>
    <x v="1"/>
    <s v="M00000343521"/>
    <d v="2008-03-06T00:00:00"/>
    <n v="0"/>
    <n v="98.3"/>
    <n v="702"/>
    <n v="384"/>
    <x v="2"/>
    <s v="38"/>
    <s v="1536"/>
    <n v="27"/>
    <n v="0.45703125"/>
    <n v="1.6927083333333332E-2"/>
  </r>
  <r>
    <x v="0"/>
    <x v="1"/>
    <x v="1"/>
    <s v="M00000340999"/>
    <d v="2008-02-21T00:00:00"/>
    <n v="0"/>
    <n v="57.6"/>
    <n v="580"/>
    <n v="225"/>
    <x v="0"/>
    <s v="38"/>
    <s v="900"/>
    <n v="38"/>
    <n v="0.64444444444444449"/>
    <n v="1.6959064327485382E-2"/>
  </r>
  <r>
    <x v="0"/>
    <x v="1"/>
    <x v="1"/>
    <s v="M00000271214"/>
    <d v="2007-05-10T00:00:00"/>
    <n v="0"/>
    <n v="95.68"/>
    <n v="762.45"/>
    <n v="373.75"/>
    <x v="1"/>
    <s v="38"/>
    <s v="1495"/>
    <n v="30"/>
    <n v="0.51"/>
    <n v="1.7000000000000001E-2"/>
  </r>
  <r>
    <x v="0"/>
    <x v="1"/>
    <x v="1"/>
    <s v="M00000291552"/>
    <d v="2007-08-16T00:00:00"/>
    <n v="0"/>
    <n v="85.5"/>
    <n v="863.06"/>
    <n v="334"/>
    <x v="0"/>
    <s v="38"/>
    <s v="1336"/>
    <n v="38"/>
    <n v="0.64600299401197603"/>
    <n v="1.7000078789788844E-2"/>
  </r>
  <r>
    <x v="0"/>
    <x v="1"/>
    <x v="1"/>
    <s v="M00000299481"/>
    <d v="2007-09-20T00:00:00"/>
    <n v="0"/>
    <n v="103.68"/>
    <n v="992"/>
    <n v="405"/>
    <x v="17"/>
    <s v="38"/>
    <s v="1620"/>
    <n v="36"/>
    <n v="0.61234567901234571"/>
    <n v="1.7009602194787379E-2"/>
  </r>
  <r>
    <x v="0"/>
    <x v="1"/>
    <x v="1"/>
    <s v="M00000299223"/>
    <d v="2007-09-20T00:00:00"/>
    <n v="0"/>
    <n v="115.2"/>
    <n v="950"/>
    <n v="450"/>
    <x v="16"/>
    <s v="38"/>
    <s v="1800"/>
    <n v="31"/>
    <n v="0.52777777777777779"/>
    <n v="1.7025089605734768E-2"/>
  </r>
  <r>
    <x v="0"/>
    <x v="1"/>
    <x v="1"/>
    <s v="M00000327852"/>
    <d v="2007-12-31T00:00:00"/>
    <n v="0"/>
    <n v="217.6"/>
    <n v="2200"/>
    <n v="850"/>
    <x v="0"/>
    <s v="38"/>
    <s v="3400"/>
    <n v="38"/>
    <n v="0.6470588235294118"/>
    <n v="1.7027863777089786E-2"/>
  </r>
  <r>
    <x v="0"/>
    <x v="1"/>
    <x v="1"/>
    <s v="M00000355638"/>
    <d v="2008-04-30T00:00:00"/>
    <n v="0"/>
    <n v="87.81"/>
    <n v="888"/>
    <n v="343"/>
    <x v="2"/>
    <s v="49"/>
    <s v="1372"/>
    <n v="38"/>
    <n v="0.64723032069970843"/>
    <n v="1.7032376860518644E-2"/>
  </r>
  <r>
    <x v="0"/>
    <x v="1"/>
    <x v="1"/>
    <s v="M00000366506"/>
    <d v="2008-06-12T00:00:00"/>
    <n v="0"/>
    <n v="140.80000000000001"/>
    <n v="1425"/>
    <n v="550"/>
    <x v="0"/>
    <s v="38"/>
    <s v="2200"/>
    <n v="38"/>
    <n v="0.64772727272727271"/>
    <n v="1.7045454545454544E-2"/>
  </r>
  <r>
    <x v="0"/>
    <x v="1"/>
    <x v="1"/>
    <s v="M00000358371"/>
    <d v="2008-05-08T00:00:00"/>
    <n v="0"/>
    <n v="92.29"/>
    <n v="665"/>
    <n v="360.5"/>
    <x v="2"/>
    <s v="38"/>
    <s v="1442"/>
    <n v="27"/>
    <n v="0.46116504854368934"/>
    <n v="1.7080186983099606E-2"/>
  </r>
  <r>
    <x v="0"/>
    <x v="1"/>
    <x v="1"/>
    <s v="M00000313448"/>
    <d v="2007-11-15T00:00:00"/>
    <n v="0"/>
    <n v="121.6"/>
    <n v="1235"/>
    <n v="475"/>
    <x v="0"/>
    <s v="38"/>
    <s v="1900"/>
    <n v="38"/>
    <n v="0.65"/>
    <n v="1.7105263157894738E-2"/>
  </r>
  <r>
    <x v="0"/>
    <x v="1"/>
    <x v="1"/>
    <s v="M00000340039"/>
    <d v="2008-02-21T00:00:00"/>
    <n v="0"/>
    <n v="52.74"/>
    <n v="396"/>
    <n v="206"/>
    <x v="11"/>
    <s v="38"/>
    <s v="824"/>
    <n v="28"/>
    <n v="0.48058252427184467"/>
    <n v="1.7163661581137309E-2"/>
  </r>
  <r>
    <x v="0"/>
    <x v="1"/>
    <x v="1"/>
    <s v="M00000350127"/>
    <d v="2008-03-27T00:00:00"/>
    <n v="0"/>
    <n v="88.19"/>
    <n v="710"/>
    <n v="344.5"/>
    <x v="1"/>
    <s v="38"/>
    <s v="1378"/>
    <n v="30"/>
    <n v="0.51523947750362842"/>
    <n v="1.7174649250120948E-2"/>
  </r>
  <r>
    <x v="0"/>
    <x v="1"/>
    <x v="1"/>
    <s v="M00000347282"/>
    <d v="2008-03-20T00:00:00"/>
    <n v="0"/>
    <n v="112.64"/>
    <n v="1150"/>
    <n v="440"/>
    <x v="0"/>
    <s v="38"/>
    <s v="1760"/>
    <n v="38"/>
    <n v="0.65340909090909094"/>
    <n v="1.7194976076555023E-2"/>
  </r>
  <r>
    <x v="0"/>
    <x v="1"/>
    <x v="1"/>
    <s v="M00000345971"/>
    <d v="2008-03-13T00:00:00"/>
    <n v="0"/>
    <n v="72.58"/>
    <n v="585"/>
    <n v="283.5"/>
    <x v="1"/>
    <s v="38"/>
    <s v="1134"/>
    <n v="30"/>
    <n v="0.51587301587301593"/>
    <n v="1.7195767195767198E-2"/>
  </r>
  <r>
    <x v="0"/>
    <x v="1"/>
    <x v="1"/>
    <s v="M00000368045"/>
    <d v="2008-07-03T00:00:00"/>
    <n v="0"/>
    <n v="83.2"/>
    <n v="850"/>
    <n v="325"/>
    <x v="0"/>
    <s v="38"/>
    <s v="1300"/>
    <n v="38"/>
    <n v="0.65384615384615385"/>
    <n v="1.7206477732793522E-2"/>
  </r>
  <r>
    <x v="0"/>
    <x v="1"/>
    <x v="1"/>
    <s v="M00000303544"/>
    <d v="2007-10-11T00:00:00"/>
    <n v="0"/>
    <n v="81.41"/>
    <n v="833"/>
    <n v="318"/>
    <x v="0"/>
    <s v="38"/>
    <s v="1272"/>
    <n v="38"/>
    <n v="0.65487421383647804"/>
    <n v="1.7233531943065213E-2"/>
  </r>
  <r>
    <x v="0"/>
    <x v="1"/>
    <x v="1"/>
    <s v="M00000301628"/>
    <d v="2007-10-04T00:00:00"/>
    <n v="0"/>
    <n v="67.2"/>
    <n v="887"/>
    <n v="262.5"/>
    <x v="0"/>
    <s v="49"/>
    <s v="1050"/>
    <n v="49"/>
    <n v="0.84476190476190471"/>
    <n v="1.7240038872691932E-2"/>
  </r>
  <r>
    <x v="0"/>
    <x v="1"/>
    <x v="1"/>
    <s v="M00000362155"/>
    <d v="2008-05-22T00:00:00"/>
    <n v="0"/>
    <n v="92.8"/>
    <n v="750"/>
    <n v="362.5"/>
    <x v="1"/>
    <s v="38"/>
    <s v="1450"/>
    <n v="30"/>
    <n v="0.51724137931034486"/>
    <n v="1.7241379310344827E-2"/>
  </r>
  <r>
    <x v="0"/>
    <x v="1"/>
    <x v="1"/>
    <s v="M00000323965"/>
    <d v="2007-12-20T00:00:00"/>
    <n v="0"/>
    <n v="69.89"/>
    <n v="490"/>
    <n v="273"/>
    <x v="14"/>
    <s v="38"/>
    <s v="1092"/>
    <n v="26"/>
    <n v="0.44871794871794873"/>
    <n v="1.7258382642998029E-2"/>
  </r>
  <r>
    <x v="0"/>
    <x v="1"/>
    <x v="1"/>
    <s v="M00000341047"/>
    <d v="2008-02-21T00:00:00"/>
    <n v="0"/>
    <n v="80.319999999999993"/>
    <n v="824"/>
    <n v="313.75"/>
    <x v="0"/>
    <s v="38"/>
    <s v="1255"/>
    <n v="38"/>
    <n v="0.65657370517928282"/>
    <n v="1.7278255399454812E-2"/>
  </r>
  <r>
    <x v="0"/>
    <x v="1"/>
    <x v="1"/>
    <s v="M00000305558"/>
    <d v="2007-10-18T00:00:00"/>
    <n v="0"/>
    <n v="94.46"/>
    <n v="765.19"/>
    <n v="369"/>
    <x v="1"/>
    <s v="38"/>
    <s v="1476"/>
    <n v="30"/>
    <n v="0.51842140921409219"/>
    <n v="1.7280713640469739E-2"/>
  </r>
  <r>
    <x v="0"/>
    <x v="1"/>
    <x v="1"/>
    <s v="M00000326108"/>
    <d v="2007-12-31T00:00:00"/>
    <n v="0"/>
    <n v="84.8"/>
    <n v="458"/>
    <n v="331.25"/>
    <x v="6"/>
    <s v="38"/>
    <s v="1325"/>
    <n v="20"/>
    <n v="0.34566037735849059"/>
    <n v="1.7283018867924528E-2"/>
  </r>
  <r>
    <x v="0"/>
    <x v="1"/>
    <x v="1"/>
    <s v="M00000297023"/>
    <d v="2007-09-14T00:00:00"/>
    <n v="0"/>
    <n v="109.44"/>
    <n v="1004.97"/>
    <n v="427.5"/>
    <x v="4"/>
    <s v="49"/>
    <s v="1710"/>
    <n v="34"/>
    <n v="0.58770175438596495"/>
    <n v="1.7285345717234262E-2"/>
  </r>
  <r>
    <x v="0"/>
    <x v="1"/>
    <x v="1"/>
    <s v="M00000308018"/>
    <d v="2007-11-15T00:00:00"/>
    <n v="0"/>
    <n v="233.47"/>
    <n v="2401"/>
    <n v="912"/>
    <x v="1"/>
    <s v="46"/>
    <s v="3648"/>
    <n v="38"/>
    <n v="0.65816885964912286"/>
    <n v="1.7320233148661129E-2"/>
  </r>
  <r>
    <x v="0"/>
    <x v="1"/>
    <x v="1"/>
    <s v="M00000275774"/>
    <d v="2007-06-07T00:00:00"/>
    <n v="0"/>
    <n v="115.2"/>
    <n v="936"/>
    <n v="450"/>
    <x v="1"/>
    <s v="38"/>
    <s v="1800"/>
    <n v="30"/>
    <n v="0.52"/>
    <n v="1.7333333333333333E-2"/>
  </r>
  <r>
    <x v="0"/>
    <x v="1"/>
    <x v="1"/>
    <s v="M00000304230"/>
    <d v="2007-10-11T00:00:00"/>
    <n v="0"/>
    <n v="96"/>
    <n v="780"/>
    <n v="375"/>
    <x v="1"/>
    <s v="38"/>
    <s v="1500"/>
    <n v="30"/>
    <n v="0.52"/>
    <n v="1.7333333333333333E-2"/>
  </r>
  <r>
    <x v="0"/>
    <x v="1"/>
    <x v="1"/>
    <s v="M00000316795"/>
    <d v="2007-12-20T00:00:00"/>
    <n v="0"/>
    <n v="134.4"/>
    <n v="983"/>
    <n v="525"/>
    <x v="2"/>
    <s v="38"/>
    <s v="2100"/>
    <n v="27"/>
    <n v="0.46809523809523812"/>
    <n v="1.7336860670194004E-2"/>
  </r>
  <r>
    <x v="0"/>
    <x v="1"/>
    <x v="1"/>
    <s v="M00000291359"/>
    <d v="2007-08-16T00:00:00"/>
    <n v="0"/>
    <n v="95.04"/>
    <n v="825.07"/>
    <n v="371.25"/>
    <x v="12"/>
    <s v="38"/>
    <s v="1485"/>
    <n v="32"/>
    <n v="0.55560269360269365"/>
    <n v="1.7362584175084177E-2"/>
  </r>
  <r>
    <x v="0"/>
    <x v="1"/>
    <x v="1"/>
    <s v="M00000303839"/>
    <d v="2007-10-11T00:00:00"/>
    <n v="0"/>
    <n v="26.62"/>
    <n v="274.56"/>
    <n v="104"/>
    <x v="0"/>
    <s v="38"/>
    <s v="416"/>
    <n v="38"/>
    <n v="0.66"/>
    <n v="1.7368421052631578E-2"/>
  </r>
  <r>
    <x v="0"/>
    <x v="1"/>
    <x v="1"/>
    <s v="M00000321887"/>
    <d v="2007-12-13T00:00:00"/>
    <n v="0"/>
    <n v="80"/>
    <n v="653"/>
    <n v="312.5"/>
    <x v="1"/>
    <s v="38"/>
    <s v="1250"/>
    <n v="30"/>
    <n v="0.52239999999999998"/>
    <n v="1.7413333333333333E-2"/>
  </r>
  <r>
    <x v="0"/>
    <x v="1"/>
    <x v="1"/>
    <s v="M00000320103"/>
    <d v="2007-12-13T00:00:00"/>
    <n v="0"/>
    <n v="54.4"/>
    <n v="459"/>
    <n v="212.5"/>
    <x v="6"/>
    <s v="49"/>
    <s v="850"/>
    <n v="31"/>
    <n v="0.54"/>
    <n v="1.741935483870968E-2"/>
  </r>
  <r>
    <x v="0"/>
    <x v="1"/>
    <x v="1"/>
    <s v="M00000343026"/>
    <d v="2008-03-06T00:00:00"/>
    <n v="0"/>
    <n v="96"/>
    <n v="995"/>
    <n v="375"/>
    <x v="0"/>
    <s v="38"/>
    <s v="1500"/>
    <n v="38"/>
    <n v="0.66333333333333333"/>
    <n v="1.7456140350877194E-2"/>
  </r>
  <r>
    <x v="0"/>
    <x v="1"/>
    <x v="1"/>
    <s v="M00000350661"/>
    <d v="2008-04-03T00:00:00"/>
    <n v="0"/>
    <n v="89.22"/>
    <n v="536"/>
    <n v="348.5"/>
    <x v="7"/>
    <s v="38"/>
    <s v="1394"/>
    <n v="22"/>
    <n v="0.38450502152080346"/>
    <n v="1.747750097821834E-2"/>
  </r>
  <r>
    <x v="0"/>
    <x v="1"/>
    <x v="1"/>
    <s v="M00000338013"/>
    <d v="2008-02-07T00:00:00"/>
    <n v="0"/>
    <n v="73.540000000000006"/>
    <n v="402"/>
    <n v="287.25"/>
    <x v="6"/>
    <s v="38"/>
    <s v="1149"/>
    <n v="20"/>
    <n v="0.34986945169712796"/>
    <n v="1.7493472584856399E-2"/>
  </r>
  <r>
    <x v="0"/>
    <x v="1"/>
    <x v="1"/>
    <s v="M00000281384"/>
    <d v="2007-07-12T00:00:00"/>
    <n v="0"/>
    <n v="50.18"/>
    <n v="411.99"/>
    <n v="196"/>
    <x v="1"/>
    <s v="38"/>
    <s v="784"/>
    <n v="30"/>
    <n v="0.52549744897959183"/>
    <n v="1.7516581632653062E-2"/>
  </r>
  <r>
    <x v="0"/>
    <x v="1"/>
    <x v="1"/>
    <s v="M00000327267"/>
    <d v="2007-12-31T00:00:00"/>
    <n v="0"/>
    <n v="53.25"/>
    <n v="554"/>
    <n v="208"/>
    <x v="0"/>
    <s v="38"/>
    <s v="832"/>
    <n v="38"/>
    <n v="0.66586538461538458"/>
    <n v="1.7522773279352227E-2"/>
  </r>
  <r>
    <x v="0"/>
    <x v="1"/>
    <x v="1"/>
    <s v="M00000342063"/>
    <d v="2008-04-24T00:00:00"/>
    <n v="0"/>
    <n v="59.9"/>
    <n v="623.6"/>
    <n v="234"/>
    <x v="0"/>
    <s v="38"/>
    <s v="936"/>
    <n v="38"/>
    <n v="0.66623931623931631"/>
    <n v="1.7532613585245167E-2"/>
  </r>
  <r>
    <x v="0"/>
    <x v="1"/>
    <x v="1"/>
    <s v="M00000319203"/>
    <d v="2007-12-06T00:00:00"/>
    <n v="0"/>
    <n v="67.2"/>
    <n v="350"/>
    <n v="262.5"/>
    <x v="5"/>
    <s v="38"/>
    <s v="1050"/>
    <n v="19"/>
    <n v="0.33333333333333331"/>
    <n v="1.7543859649122806E-2"/>
  </r>
  <r>
    <x v="0"/>
    <x v="1"/>
    <x v="1"/>
    <s v="M00000343363"/>
    <d v="2008-03-06T00:00:00"/>
    <n v="0"/>
    <n v="121.6"/>
    <n v="1000"/>
    <n v="475"/>
    <x v="1"/>
    <s v="38"/>
    <s v="1900"/>
    <n v="30"/>
    <n v="0.52631578947368418"/>
    <n v="1.7543859649122806E-2"/>
  </r>
  <r>
    <x v="0"/>
    <x v="1"/>
    <x v="1"/>
    <s v="M00000350051"/>
    <d v="2008-03-27T00:00:00"/>
    <n v="0"/>
    <n v="48"/>
    <n v="500"/>
    <n v="187.5"/>
    <x v="0"/>
    <s v="38"/>
    <s v="750"/>
    <n v="38"/>
    <n v="0.66666666666666663"/>
    <n v="1.7543859649122806E-2"/>
  </r>
  <r>
    <x v="0"/>
    <x v="1"/>
    <x v="1"/>
    <s v="M00000356784"/>
    <d v="2008-04-30T00:00:00"/>
    <n v="0"/>
    <n v="81.599999999999994"/>
    <n v="850"/>
    <n v="318.75"/>
    <x v="0"/>
    <s v="38"/>
    <s v="1275"/>
    <n v="38"/>
    <n v="0.66666666666666663"/>
    <n v="1.7543859649122806E-2"/>
  </r>
  <r>
    <x v="0"/>
    <x v="1"/>
    <x v="1"/>
    <s v="M00000278733"/>
    <d v="2007-06-21T00:00:00"/>
    <n v="0"/>
    <n v="57.6"/>
    <n v="600.03"/>
    <n v="225"/>
    <x v="0"/>
    <s v="38"/>
    <s v="900"/>
    <n v="38"/>
    <n v="0.66669999999999996"/>
    <n v="1.7544736842105262E-2"/>
  </r>
  <r>
    <x v="0"/>
    <x v="1"/>
    <x v="1"/>
    <s v="M00000341260"/>
    <d v="2008-03-13T00:00:00"/>
    <n v="0"/>
    <n v="39.299999999999997"/>
    <n v="409.65"/>
    <n v="153.5"/>
    <x v="0"/>
    <s v="38"/>
    <s v="614"/>
    <n v="38"/>
    <n v="0.66718241042345272"/>
    <n v="1.7557431853248755E-2"/>
  </r>
  <r>
    <x v="0"/>
    <x v="1"/>
    <x v="1"/>
    <s v="M00000371694"/>
    <d v="2008-07-03T00:00:00"/>
    <n v="0"/>
    <n v="71.680000000000007"/>
    <n v="590"/>
    <n v="280"/>
    <x v="1"/>
    <s v="38"/>
    <s v="1120"/>
    <n v="30"/>
    <n v="0.5267857142857143"/>
    <n v="1.755952380952381E-2"/>
  </r>
  <r>
    <x v="0"/>
    <x v="1"/>
    <x v="1"/>
    <s v="M00000347527"/>
    <d v="2008-03-20T00:00:00"/>
    <n v="0"/>
    <n v="89.41"/>
    <n v="736"/>
    <n v="349.25"/>
    <x v="1"/>
    <s v="38"/>
    <s v="1397"/>
    <n v="30"/>
    <n v="0.52684323550465284"/>
    <n v="1.7561441183488426E-2"/>
  </r>
  <r>
    <x v="0"/>
    <x v="1"/>
    <x v="1"/>
    <s v="M00000311915"/>
    <d v="2007-11-09T00:00:00"/>
    <n v="0"/>
    <n v="80"/>
    <n v="594"/>
    <n v="312.5"/>
    <x v="2"/>
    <s v="38"/>
    <s v="1250"/>
    <n v="27"/>
    <n v="0.47520000000000001"/>
    <n v="1.7600000000000001E-2"/>
  </r>
  <r>
    <x v="0"/>
    <x v="1"/>
    <x v="1"/>
    <s v="M00000365583"/>
    <d v="2008-06-05T00:00:00"/>
    <n v="0"/>
    <n v="113.92"/>
    <n v="940"/>
    <n v="445"/>
    <x v="5"/>
    <s v="49"/>
    <s v="1780"/>
    <n v="30"/>
    <n v="0.5280898876404494"/>
    <n v="1.7602996254681647E-2"/>
  </r>
  <r>
    <x v="0"/>
    <x v="1"/>
    <x v="1"/>
    <s v="M00000340753"/>
    <d v="2008-04-10T00:00:00"/>
    <n v="0"/>
    <n v="89.6"/>
    <n v="789"/>
    <n v="350"/>
    <x v="12"/>
    <s v="38"/>
    <s v="1400"/>
    <n v="32"/>
    <n v="0.56357142857142861"/>
    <n v="1.7611607142857144E-2"/>
  </r>
  <r>
    <x v="0"/>
    <x v="1"/>
    <x v="1"/>
    <s v="M00000366058"/>
    <d v="2008-06-12T00:00:00"/>
    <n v="0"/>
    <n v="79.36"/>
    <n v="831"/>
    <n v="310"/>
    <x v="0"/>
    <s v="38"/>
    <s v="1240"/>
    <n v="38"/>
    <n v="0.67016129032258065"/>
    <n v="1.7635823429541595E-2"/>
  </r>
  <r>
    <x v="0"/>
    <x v="1"/>
    <x v="1"/>
    <s v="M00000333218"/>
    <d v="2008-01-17T00:00:00"/>
    <n v="0"/>
    <n v="113.6"/>
    <n v="720"/>
    <n v="443.75"/>
    <x v="4"/>
    <s v="38"/>
    <s v="1775"/>
    <n v="23"/>
    <n v="0.40563380281690142"/>
    <n v="1.7636252296387017E-2"/>
  </r>
  <r>
    <x v="0"/>
    <x v="1"/>
    <x v="1"/>
    <s v="M00000334494"/>
    <d v="2008-01-24T00:00:00"/>
    <n v="0"/>
    <n v="100.8"/>
    <n v="750"/>
    <n v="393.75"/>
    <x v="2"/>
    <s v="38"/>
    <s v="1575"/>
    <n v="27"/>
    <n v="0.47619047619047616"/>
    <n v="1.7636684303350969E-2"/>
  </r>
  <r>
    <x v="0"/>
    <x v="1"/>
    <x v="1"/>
    <s v="M00000315108"/>
    <d v="2007-11-21T00:00:00"/>
    <n v="0"/>
    <n v="38.4"/>
    <n v="339"/>
    <n v="150"/>
    <x v="12"/>
    <s v="38"/>
    <s v="600"/>
    <n v="32"/>
    <n v="0.56499999999999995"/>
    <n v="1.7656249999999998E-2"/>
  </r>
  <r>
    <x v="0"/>
    <x v="1"/>
    <x v="1"/>
    <s v="M00000366859"/>
    <d v="2008-06-12T00:00:00"/>
    <n v="0"/>
    <n v="104.45"/>
    <n v="1095"/>
    <n v="408"/>
    <x v="0"/>
    <s v="38"/>
    <s v="1632"/>
    <n v="38"/>
    <n v="0.67095588235294112"/>
    <n v="1.765673374613003E-2"/>
  </r>
  <r>
    <x v="0"/>
    <x v="1"/>
    <x v="1"/>
    <s v="M00000283085"/>
    <d v="2007-07-12T00:00:00"/>
    <n v="0"/>
    <n v="118.21"/>
    <n v="1240.08"/>
    <n v="461.75"/>
    <x v="0"/>
    <s v="38"/>
    <s v="1847"/>
    <n v="38"/>
    <n v="0.6714022739577693"/>
    <n v="1.7668480893625507E-2"/>
  </r>
  <r>
    <x v="0"/>
    <x v="1"/>
    <x v="1"/>
    <s v="M00000273211"/>
    <d v="2007-05-24T00:00:00"/>
    <n v="0"/>
    <n v="118.4"/>
    <n v="752.03"/>
    <n v="462.5"/>
    <x v="4"/>
    <s v="38"/>
    <s v="1850"/>
    <n v="23"/>
    <n v="0.40650270270270267"/>
    <n v="1.7674030552291421E-2"/>
  </r>
  <r>
    <x v="0"/>
    <x v="1"/>
    <x v="1"/>
    <s v="M00000363788"/>
    <d v="2008-05-29T00:00:00"/>
    <n v="0"/>
    <n v="75.010000000000005"/>
    <n v="539"/>
    <n v="293"/>
    <x v="14"/>
    <s v="38"/>
    <s v="1172"/>
    <n v="26"/>
    <n v="0.45989761092150172"/>
    <n v="1.7688369650826988E-2"/>
  </r>
  <r>
    <x v="0"/>
    <x v="1"/>
    <x v="1"/>
    <s v="M00000323173"/>
    <d v="2007-12-31T00:00:00"/>
    <n v="0"/>
    <n v="102.4"/>
    <n v="850"/>
    <n v="400"/>
    <x v="1"/>
    <s v="38"/>
    <s v="1600"/>
    <n v="30"/>
    <n v="0.53125"/>
    <n v="1.7708333333333333E-2"/>
  </r>
  <r>
    <x v="0"/>
    <x v="1"/>
    <x v="1"/>
    <s v="M00000342501"/>
    <d v="2008-02-29T00:00:00"/>
    <n v="0"/>
    <n v="49.15"/>
    <n v="517"/>
    <n v="192"/>
    <x v="0"/>
    <s v="38"/>
    <s v="768"/>
    <n v="38"/>
    <n v="0.67317708333333337"/>
    <n v="1.7715186403508772E-2"/>
  </r>
  <r>
    <x v="0"/>
    <x v="1"/>
    <x v="1"/>
    <s v="M00000318799"/>
    <d v="2008-01-17T00:00:00"/>
    <n v="0"/>
    <n v="103.42"/>
    <n v="773"/>
    <n v="404"/>
    <x v="2"/>
    <s v="38"/>
    <s v="1616"/>
    <n v="27"/>
    <n v="0.47834158415841582"/>
    <n v="1.7716354968830214E-2"/>
  </r>
  <r>
    <x v="0"/>
    <x v="1"/>
    <x v="1"/>
    <s v="M00000372907"/>
    <d v="2008-07-03T00:00:00"/>
    <n v="0"/>
    <n v="84.48"/>
    <n v="468"/>
    <n v="330"/>
    <x v="6"/>
    <s v="38"/>
    <s v="1320"/>
    <n v="20"/>
    <n v="0.35454545454545455"/>
    <n v="1.7727272727272727E-2"/>
  </r>
  <r>
    <x v="0"/>
    <x v="1"/>
    <x v="1"/>
    <s v="M00000324867"/>
    <d v="2007-12-20T00:00:00"/>
    <n v="0"/>
    <n v="87.94"/>
    <n v="804"/>
    <n v="343.5"/>
    <x v="10"/>
    <s v="38"/>
    <s v="1374"/>
    <n v="33"/>
    <n v="0.58515283842794763"/>
    <n v="1.7731904194786291E-2"/>
  </r>
  <r>
    <x v="0"/>
    <x v="1"/>
    <x v="1"/>
    <s v="M00000366978"/>
    <d v="2008-06-12T00:00:00"/>
    <n v="0"/>
    <n v="80.64"/>
    <n v="850"/>
    <n v="315"/>
    <x v="0"/>
    <s v="38"/>
    <s v="1260"/>
    <n v="38"/>
    <n v="0.67460317460317465"/>
    <n v="1.7752715121136176E-2"/>
  </r>
  <r>
    <x v="0"/>
    <x v="1"/>
    <x v="1"/>
    <s v="M00000340337"/>
    <d v="2008-03-13T00:00:00"/>
    <n v="0"/>
    <n v="72.319999999999993"/>
    <n v="822.75"/>
    <n v="282.5"/>
    <x v="1"/>
    <s v="49"/>
    <s v="1130"/>
    <n v="41"/>
    <n v="0.72809734513274338"/>
    <n v="1.7758471832505937E-2"/>
  </r>
  <r>
    <x v="0"/>
    <x v="1"/>
    <x v="1"/>
    <s v="M00000305344"/>
    <d v="2007-10-25T00:00:00"/>
    <n v="0"/>
    <n v="86.91"/>
    <n v="652"/>
    <n v="339.5"/>
    <x v="2"/>
    <s v="38"/>
    <s v="1358"/>
    <n v="27"/>
    <n v="0.48011782032400591"/>
    <n v="1.7782141493481701E-2"/>
  </r>
  <r>
    <x v="0"/>
    <x v="1"/>
    <x v="1"/>
    <s v="M00000346536"/>
    <d v="2008-05-29T00:00:00"/>
    <n v="0"/>
    <n v="80.959999999999994"/>
    <n v="584.95000000000005"/>
    <n v="316.25"/>
    <x v="4"/>
    <s v="41"/>
    <s v="1265"/>
    <n v="26"/>
    <n v="0.46241106719367592"/>
    <n v="1.7785041045910614E-2"/>
  </r>
  <r>
    <x v="0"/>
    <x v="1"/>
    <x v="1"/>
    <s v="M00000283747"/>
    <d v="2007-07-12T00:00:00"/>
    <n v="0"/>
    <n v="93.63"/>
    <n v="990.01"/>
    <n v="365.75"/>
    <x v="0"/>
    <s v="38"/>
    <s v="1463"/>
    <n v="38"/>
    <n v="0.67669856459330147"/>
    <n v="1.7807856962981618E-2"/>
  </r>
  <r>
    <x v="0"/>
    <x v="1"/>
    <x v="1"/>
    <s v="M00000327724"/>
    <d v="2007-12-31T00:00:00"/>
    <n v="0"/>
    <n v="14.66"/>
    <n v="155"/>
    <n v="57.25"/>
    <x v="0"/>
    <s v="38"/>
    <s v="229"/>
    <n v="38"/>
    <n v="0.67685589519650657"/>
    <n v="1.7811997242013333E-2"/>
  </r>
  <r>
    <x v="0"/>
    <x v="1"/>
    <x v="1"/>
    <s v="M00000292740"/>
    <d v="2007-09-20T00:00:00"/>
    <n v="0"/>
    <n v="86.14"/>
    <n v="719.98"/>
    <n v="336.5"/>
    <x v="1"/>
    <s v="38"/>
    <s v="1346"/>
    <n v="30"/>
    <n v="0.5349034175334324"/>
    <n v="1.7830113917781078E-2"/>
  </r>
  <r>
    <x v="0"/>
    <x v="1"/>
    <x v="1"/>
    <s v="M00000301849"/>
    <d v="2007-10-04T00:00:00"/>
    <n v="0"/>
    <n v="132.16"/>
    <n v="1400"/>
    <n v="516.25"/>
    <x v="2"/>
    <s v="49"/>
    <s v="2065"/>
    <n v="38"/>
    <n v="0.67796610169491522"/>
    <n v="1.784121320249777E-2"/>
  </r>
  <r>
    <x v="0"/>
    <x v="1"/>
    <x v="1"/>
    <s v="M00000337809"/>
    <d v="2008-02-07T00:00:00"/>
    <n v="0"/>
    <n v="153.09"/>
    <n v="1153"/>
    <n v="598"/>
    <x v="2"/>
    <s v="38"/>
    <s v="2392"/>
    <n v="27"/>
    <n v="0.48202341137123744"/>
    <n v="1.7852718939675463E-2"/>
  </r>
  <r>
    <x v="0"/>
    <x v="1"/>
    <x v="1"/>
    <s v="M00000341214"/>
    <d v="2008-02-21T00:00:00"/>
    <n v="0"/>
    <n v="89.6"/>
    <n v="750"/>
    <n v="350"/>
    <x v="1"/>
    <s v="38"/>
    <s v="1400"/>
    <n v="30"/>
    <n v="0.5357142857142857"/>
    <n v="1.7857142857142856E-2"/>
  </r>
  <r>
    <x v="0"/>
    <x v="1"/>
    <x v="1"/>
    <s v="M00000307217"/>
    <d v="2007-10-25T00:00:00"/>
    <n v="0"/>
    <n v="74.5"/>
    <n v="624"/>
    <n v="291"/>
    <x v="1"/>
    <s v="38"/>
    <s v="1164"/>
    <n v="30"/>
    <n v="0.53608247422680411"/>
    <n v="1.7869415807560136E-2"/>
  </r>
  <r>
    <x v="0"/>
    <x v="1"/>
    <x v="1"/>
    <s v="M00000372147"/>
    <d v="2008-07-03T00:00:00"/>
    <n v="0"/>
    <n v="77.819999999999993"/>
    <n v="652"/>
    <n v="304"/>
    <x v="1"/>
    <s v="38"/>
    <s v="1216"/>
    <n v="30"/>
    <n v="0.53618421052631582"/>
    <n v="1.787280701754386E-2"/>
  </r>
  <r>
    <x v="0"/>
    <x v="1"/>
    <x v="1"/>
    <s v="M00000313262"/>
    <d v="2007-11-15T00:00:00"/>
    <n v="0"/>
    <n v="65.92"/>
    <n v="700"/>
    <n v="257.5"/>
    <x v="0"/>
    <s v="38"/>
    <s v="1030"/>
    <n v="38"/>
    <n v="0.67961165048543692"/>
    <n v="1.7884517118037815E-2"/>
  </r>
  <r>
    <x v="0"/>
    <x v="1"/>
    <x v="1"/>
    <s v="M00000346917"/>
    <d v="2008-03-13T00:00:00"/>
    <n v="0"/>
    <n v="73.34"/>
    <n v="1005"/>
    <n v="286.5"/>
    <x v="0"/>
    <s v="49"/>
    <s v="1146"/>
    <n v="49"/>
    <n v="0.87696335078534027"/>
    <n v="1.7897211240517148E-2"/>
  </r>
  <r>
    <x v="0"/>
    <x v="1"/>
    <x v="1"/>
    <s v="M00000334393"/>
    <d v="2008-01-24T00:00:00"/>
    <n v="0"/>
    <n v="153.6"/>
    <n v="1291"/>
    <n v="600"/>
    <x v="1"/>
    <s v="38"/>
    <s v="2400"/>
    <n v="30"/>
    <n v="0.53791666666666671"/>
    <n v="1.7930555555555557E-2"/>
  </r>
  <r>
    <x v="0"/>
    <x v="1"/>
    <x v="1"/>
    <s v="M00000350968"/>
    <d v="2008-04-03T00:00:00"/>
    <n v="0"/>
    <n v="60.8"/>
    <n v="648"/>
    <n v="237.5"/>
    <x v="1"/>
    <s v="46"/>
    <s v="950"/>
    <n v="38"/>
    <n v="0.68210526315789477"/>
    <n v="1.7950138504155125E-2"/>
  </r>
  <r>
    <x v="0"/>
    <x v="1"/>
    <x v="1"/>
    <s v="M00000275829"/>
    <d v="2007-06-07T00:00:00"/>
    <n v="0"/>
    <n v="41.6"/>
    <n v="350.03"/>
    <n v="162.5"/>
    <x v="6"/>
    <s v="48"/>
    <s v="650"/>
    <n v="30"/>
    <n v="0.53850769230769224"/>
    <n v="1.7950256410256406E-2"/>
  </r>
  <r>
    <x v="0"/>
    <x v="1"/>
    <x v="1"/>
    <s v="M00000351988"/>
    <d v="2008-04-10T00:00:00"/>
    <n v="0"/>
    <n v="115.2"/>
    <n v="970"/>
    <n v="450"/>
    <x v="1"/>
    <s v="38"/>
    <s v="1800"/>
    <n v="30"/>
    <n v="0.53888888888888886"/>
    <n v="1.7962962962962962E-2"/>
  </r>
  <r>
    <x v="0"/>
    <x v="1"/>
    <x v="1"/>
    <s v="M00000347370"/>
    <d v="2008-03-20T00:00:00"/>
    <n v="0"/>
    <n v="176.77"/>
    <n v="1490"/>
    <n v="690.5"/>
    <x v="1"/>
    <s v="38"/>
    <s v="2762"/>
    <n v="30"/>
    <n v="0.53946415640839973"/>
    <n v="1.7982138546946656E-2"/>
  </r>
  <r>
    <x v="0"/>
    <x v="1"/>
    <x v="1"/>
    <s v="M00000350072"/>
    <d v="2008-03-27T00:00:00"/>
    <n v="0"/>
    <n v="65.540000000000006"/>
    <n v="700"/>
    <n v="256"/>
    <x v="0"/>
    <s v="38"/>
    <s v="1024"/>
    <n v="38"/>
    <n v="0.68359375"/>
    <n v="1.7989309210526317E-2"/>
  </r>
  <r>
    <x v="0"/>
    <x v="1"/>
    <x v="1"/>
    <s v="M00000325010"/>
    <d v="2007-12-27T00:00:00"/>
    <n v="0"/>
    <n v="83.2"/>
    <n v="632"/>
    <n v="325"/>
    <x v="2"/>
    <s v="38"/>
    <s v="1300"/>
    <n v="27"/>
    <n v="0.48615384615384616"/>
    <n v="1.8005698005698005E-2"/>
  </r>
  <r>
    <x v="0"/>
    <x v="1"/>
    <x v="1"/>
    <s v="M00000320157"/>
    <d v="2007-12-13T00:00:00"/>
    <n v="0"/>
    <n v="78.34"/>
    <n v="662"/>
    <n v="306"/>
    <x v="1"/>
    <s v="38"/>
    <s v="1224"/>
    <n v="30"/>
    <n v="0.54084967320261434"/>
    <n v="1.8028322440087143E-2"/>
  </r>
  <r>
    <x v="0"/>
    <x v="1"/>
    <x v="1"/>
    <s v="M00000311851"/>
    <d v="2007-11-09T00:00:00"/>
    <n v="0"/>
    <n v="55.04"/>
    <n v="466"/>
    <n v="215"/>
    <x v="1"/>
    <s v="38"/>
    <s v="860"/>
    <n v="30"/>
    <n v="0.54186046511627906"/>
    <n v="1.8062015503875969E-2"/>
  </r>
  <r>
    <x v="0"/>
    <x v="1"/>
    <x v="1"/>
    <s v="M00000286329"/>
    <d v="2007-09-06T00:00:00"/>
    <n v="0"/>
    <n v="96"/>
    <n v="732"/>
    <n v="375"/>
    <x v="2"/>
    <s v="38"/>
    <s v="1500"/>
    <n v="27"/>
    <n v="0.48799999999999999"/>
    <n v="1.8074074074074072E-2"/>
  </r>
  <r>
    <x v="0"/>
    <x v="1"/>
    <x v="1"/>
    <s v="M00000334389"/>
    <d v="2008-01-24T00:00:00"/>
    <n v="0"/>
    <n v="78.08"/>
    <n v="586"/>
    <n v="305"/>
    <x v="2"/>
    <s v="38"/>
    <s v="1200"/>
    <n v="27"/>
    <n v="0.48833333333333334"/>
    <n v="1.8086419753086419E-2"/>
  </r>
  <r>
    <x v="0"/>
    <x v="1"/>
    <x v="1"/>
    <s v="M00000356388"/>
    <d v="2008-04-30T00:00:00"/>
    <n v="0"/>
    <n v="61.57"/>
    <n v="540"/>
    <n v="240.5"/>
    <x v="6"/>
    <s v="49"/>
    <s v="962"/>
    <n v="31"/>
    <n v="0.56133056133056136"/>
    <n v="1.8107437462276173E-2"/>
  </r>
  <r>
    <x v="0"/>
    <x v="1"/>
    <x v="1"/>
    <s v="M00000292738"/>
    <d v="2007-08-23T00:00:00"/>
    <n v="0"/>
    <n v="57.6"/>
    <n v="620.01"/>
    <n v="225"/>
    <x v="0"/>
    <s v="38"/>
    <s v="900"/>
    <n v="38"/>
    <n v="0.68889999999999996"/>
    <n v="1.812894736842105E-2"/>
  </r>
  <r>
    <x v="0"/>
    <x v="1"/>
    <x v="1"/>
    <s v="M00000311860"/>
    <d v="2007-11-09T00:00:00"/>
    <n v="0"/>
    <n v="56"/>
    <n v="603"/>
    <n v="218.75"/>
    <x v="2"/>
    <s v="49"/>
    <s v="875"/>
    <n v="38"/>
    <n v="0.68914285714285717"/>
    <n v="1.8135338345864661E-2"/>
  </r>
  <r>
    <x v="0"/>
    <x v="1"/>
    <x v="1"/>
    <s v="M00000342021"/>
    <d v="2008-02-29T00:00:00"/>
    <n v="0"/>
    <n v="41.22"/>
    <n v="222"/>
    <n v="161"/>
    <x v="5"/>
    <s v="38"/>
    <s v="644"/>
    <n v="19"/>
    <n v="0.34472049689440992"/>
    <n v="1.8143184047074205E-2"/>
  </r>
  <r>
    <x v="0"/>
    <x v="1"/>
    <x v="1"/>
    <s v="M00000313951"/>
    <d v="2007-11-21T00:00:00"/>
    <n v="0"/>
    <n v="102.4"/>
    <n v="784"/>
    <n v="400"/>
    <x v="2"/>
    <s v="38"/>
    <s v="1600"/>
    <n v="27"/>
    <n v="0.49"/>
    <n v="1.8148148148148149E-2"/>
  </r>
  <r>
    <x v="0"/>
    <x v="1"/>
    <x v="1"/>
    <s v="M00000327401"/>
    <d v="2007-12-31T00:00:00"/>
    <n v="0"/>
    <n v="49.92"/>
    <n v="425"/>
    <n v="195"/>
    <x v="1"/>
    <s v="38"/>
    <s v="780"/>
    <n v="30"/>
    <n v="0.54487179487179482"/>
    <n v="1.816239316239316E-2"/>
  </r>
  <r>
    <x v="0"/>
    <x v="1"/>
    <x v="1"/>
    <s v="M00000320386"/>
    <d v="2007-12-13T00:00:00"/>
    <n v="0"/>
    <n v="196.1"/>
    <n v="2115"/>
    <n v="766"/>
    <x v="2"/>
    <s v="49"/>
    <s v="3064"/>
    <n v="38"/>
    <n v="0.69027415143603132"/>
    <n v="1.8165109248316613E-2"/>
  </r>
  <r>
    <x v="0"/>
    <x v="1"/>
    <x v="1"/>
    <s v="M00000272977"/>
    <d v="2007-05-24T00:00:00"/>
    <n v="0"/>
    <n v="103.3"/>
    <n v="879.95"/>
    <n v="403.5"/>
    <x v="1"/>
    <s v="38"/>
    <s v="1614"/>
    <n v="30"/>
    <n v="0.54519826517967784"/>
    <n v="1.817327550598926E-2"/>
  </r>
  <r>
    <x v="0"/>
    <x v="1"/>
    <x v="1"/>
    <s v="M00000303365"/>
    <d v="2007-10-11T00:00:00"/>
    <n v="0"/>
    <n v="91.52"/>
    <n v="780"/>
    <n v="357.5"/>
    <x v="1"/>
    <s v="38"/>
    <s v="1430"/>
    <n v="30"/>
    <n v="0.54545454545454541"/>
    <n v="1.8181818181818181E-2"/>
  </r>
  <r>
    <x v="0"/>
    <x v="1"/>
    <x v="1"/>
    <s v="M00000337806"/>
    <d v="2008-02-07T00:00:00"/>
    <n v="0"/>
    <n v="110.59"/>
    <n v="850"/>
    <n v="432"/>
    <x v="2"/>
    <s v="38"/>
    <s v="1728"/>
    <n v="27"/>
    <n v="0.49189814814814814"/>
    <n v="1.8218449931412892E-2"/>
  </r>
  <r>
    <x v="0"/>
    <x v="1"/>
    <x v="1"/>
    <s v="M00000348084"/>
    <d v="2008-04-17T00:00:00"/>
    <n v="0"/>
    <n v="121.34"/>
    <n v="1209.46"/>
    <n v="474"/>
    <x v="2"/>
    <s v="46"/>
    <s v="1896"/>
    <n v="35"/>
    <n v="0.63790084388185653"/>
    <n v="1.8225738396624471E-2"/>
  </r>
  <r>
    <x v="0"/>
    <x v="1"/>
    <x v="1"/>
    <s v="M00000361694"/>
    <d v="2008-05-22T00:00:00"/>
    <n v="0"/>
    <n v="102.98"/>
    <n v="880"/>
    <n v="402.25"/>
    <x v="1"/>
    <s v="38"/>
    <s v="1609"/>
    <n v="30"/>
    <n v="0.54692355500310752"/>
    <n v="1.823078516677025E-2"/>
  </r>
  <r>
    <x v="0"/>
    <x v="1"/>
    <x v="1"/>
    <s v="M00000369870"/>
    <d v="2008-06-26T00:00:00"/>
    <n v="0"/>
    <n v="53.25"/>
    <n v="577"/>
    <n v="208"/>
    <x v="0"/>
    <s v="38"/>
    <s v="832"/>
    <n v="38"/>
    <n v="0.69350961538461542"/>
    <n v="1.8250253036437247E-2"/>
  </r>
  <r>
    <x v="0"/>
    <x v="1"/>
    <x v="1"/>
    <s v="M00000291534"/>
    <d v="2007-08-16T00:00:00"/>
    <n v="0"/>
    <n v="86.4"/>
    <n v="739.94"/>
    <n v="337.5"/>
    <x v="1"/>
    <s v="38"/>
    <s v="1350"/>
    <n v="30"/>
    <n v="0.54810370370370376"/>
    <n v="1.8270123456790126E-2"/>
  </r>
  <r>
    <x v="0"/>
    <x v="1"/>
    <x v="1"/>
    <s v="M00000353001"/>
    <d v="2008-04-10T00:00:00"/>
    <n v="0"/>
    <n v="58.37"/>
    <n v="450"/>
    <n v="228"/>
    <x v="2"/>
    <s v="38"/>
    <s v="912"/>
    <n v="27"/>
    <n v="0.49342105263157893"/>
    <n v="1.827485380116959E-2"/>
  </r>
  <r>
    <x v="0"/>
    <x v="1"/>
    <x v="1"/>
    <s v="M00000282222"/>
    <d v="2007-07-06T00:00:00"/>
    <n v="0"/>
    <n v="64"/>
    <n v="530"/>
    <n v="250"/>
    <x v="8"/>
    <s v="38"/>
    <s v="1000"/>
    <n v="29"/>
    <n v="0.53"/>
    <n v="1.8275862068965518E-2"/>
  </r>
  <r>
    <x v="0"/>
    <x v="1"/>
    <x v="1"/>
    <s v="M00000342919"/>
    <d v="2008-03-20T00:00:00"/>
    <n v="0"/>
    <n v="49.66"/>
    <n v="540"/>
    <n v="194"/>
    <x v="0"/>
    <s v="38"/>
    <s v="776"/>
    <n v="38"/>
    <n v="0.69587628865979378"/>
    <n v="1.8312533912099836E-2"/>
  </r>
  <r>
    <x v="0"/>
    <x v="1"/>
    <x v="1"/>
    <s v="M00000318121"/>
    <d v="2008-01-24T00:00:00"/>
    <n v="0"/>
    <n v="108.8"/>
    <n v="1090"/>
    <n v="425"/>
    <x v="13"/>
    <s v="38"/>
    <s v="1700"/>
    <n v="35"/>
    <n v="0.64117647058823535"/>
    <n v="1.831932773109244E-2"/>
  </r>
  <r>
    <x v="0"/>
    <x v="1"/>
    <x v="1"/>
    <s v="M00000337979"/>
    <d v="2008-02-07T00:00:00"/>
    <n v="0"/>
    <n v="64"/>
    <n v="550"/>
    <n v="250"/>
    <x v="1"/>
    <s v="38"/>
    <s v="1000"/>
    <n v="30"/>
    <n v="0.55000000000000004"/>
    <n v="1.8333333333333333E-2"/>
  </r>
  <r>
    <x v="0"/>
    <x v="1"/>
    <x v="1"/>
    <s v="M00000343531"/>
    <d v="2008-03-27T00:00:00"/>
    <n v="0"/>
    <n v="78.59"/>
    <n v="517"/>
    <n v="307"/>
    <x v="4"/>
    <s v="38"/>
    <s v="1225"/>
    <n v="23"/>
    <n v="0.42204081632653062"/>
    <n v="1.8349600709849156E-2"/>
  </r>
  <r>
    <x v="0"/>
    <x v="1"/>
    <x v="1"/>
    <s v="M00000359672"/>
    <d v="2008-05-08T00:00:00"/>
    <n v="0"/>
    <n v="128"/>
    <n v="1395"/>
    <n v="500"/>
    <x v="0"/>
    <s v="38"/>
    <s v="2000"/>
    <n v="38"/>
    <n v="0.69750000000000001"/>
    <n v="1.8355263157894736E-2"/>
  </r>
  <r>
    <x v="0"/>
    <x v="1"/>
    <x v="1"/>
    <s v="M00000285733"/>
    <d v="2007-07-26T00:00:00"/>
    <n v="0"/>
    <n v="204.8"/>
    <n v="1585.92"/>
    <n v="800"/>
    <x v="2"/>
    <s v="38"/>
    <s v="3200"/>
    <n v="27"/>
    <n v="0.49560000000000004"/>
    <n v="1.8355555555555556E-2"/>
  </r>
  <r>
    <x v="0"/>
    <x v="1"/>
    <x v="1"/>
    <s v="M00000307823"/>
    <d v="2007-10-25T00:00:00"/>
    <n v="0"/>
    <n v="108.99"/>
    <n v="845"/>
    <n v="425.75"/>
    <x v="2"/>
    <s v="38"/>
    <s v="1703"/>
    <n v="27"/>
    <n v="0.49618320610687022"/>
    <n v="1.8377155781735936E-2"/>
  </r>
  <r>
    <x v="0"/>
    <x v="1"/>
    <x v="1"/>
    <s v="M00000285721"/>
    <d v="2007-07-26T00:00:00"/>
    <n v="0"/>
    <n v="118.4"/>
    <n v="1020.09"/>
    <n v="462.5"/>
    <x v="1"/>
    <s v="38"/>
    <s v="1850"/>
    <n v="30"/>
    <n v="0.5514"/>
    <n v="1.8380000000000001E-2"/>
  </r>
  <r>
    <x v="0"/>
    <x v="1"/>
    <x v="1"/>
    <s v="M00000352994"/>
    <d v="2008-04-10T00:00:00"/>
    <n v="0"/>
    <n v="74.239999999999995"/>
    <n v="767.9"/>
    <n v="290"/>
    <x v="17"/>
    <s v="38"/>
    <s v="1160"/>
    <n v="36"/>
    <n v="0.66198275862068967"/>
    <n v="1.8388409961685823E-2"/>
  </r>
  <r>
    <x v="0"/>
    <x v="1"/>
    <x v="1"/>
    <s v="M00000353295"/>
    <d v="2008-04-17T00:00:00"/>
    <n v="0"/>
    <n v="114.11"/>
    <n v="1870"/>
    <n v="445.75"/>
    <x v="13"/>
    <s v="60"/>
    <s v="1783"/>
    <n v="57"/>
    <n v="1.0487941671340437"/>
    <n v="1.8399897669018311E-2"/>
  </r>
  <r>
    <x v="0"/>
    <x v="1"/>
    <x v="1"/>
    <s v="M00000338949"/>
    <d v="2008-02-14T00:00:00"/>
    <n v="0"/>
    <n v="40"/>
    <n v="437"/>
    <n v="156.25"/>
    <x v="0"/>
    <s v="38"/>
    <s v="625"/>
    <n v="38"/>
    <n v="0.69920000000000004"/>
    <n v="1.84E-2"/>
  </r>
  <r>
    <x v="0"/>
    <x v="1"/>
    <x v="1"/>
    <s v="M00000357228"/>
    <d v="2008-05-08T00:00:00"/>
    <n v="0"/>
    <n v="182.08"/>
    <n v="1990"/>
    <n v="711.25"/>
    <x v="0"/>
    <s v="38"/>
    <s v="2845"/>
    <n v="38"/>
    <n v="0.69947275922671348"/>
    <n v="1.8407177874387198E-2"/>
  </r>
  <r>
    <x v="0"/>
    <x v="1"/>
    <x v="1"/>
    <s v="M00000308326"/>
    <d v="2007-10-25T00:00:00"/>
    <n v="0"/>
    <n v="44.8"/>
    <n v="490"/>
    <n v="175"/>
    <x v="0"/>
    <s v="38"/>
    <s v="700"/>
    <n v="38"/>
    <n v="0.7"/>
    <n v="1.8421052631578946E-2"/>
  </r>
  <r>
    <x v="0"/>
    <x v="1"/>
    <x v="1"/>
    <s v="M00000321316"/>
    <d v="2007-12-13T00:00:00"/>
    <n v="0"/>
    <n v="89.6"/>
    <n v="980"/>
    <n v="350"/>
    <x v="0"/>
    <s v="38"/>
    <s v="1400"/>
    <n v="38"/>
    <n v="0.7"/>
    <n v="1.8421052631578946E-2"/>
  </r>
  <r>
    <x v="0"/>
    <x v="1"/>
    <x v="1"/>
    <s v="M00000321580"/>
    <d v="2008-01-17T00:00:00"/>
    <n v="0"/>
    <n v="121.6"/>
    <n v="1330"/>
    <n v="475"/>
    <x v="0"/>
    <s v="38"/>
    <s v="1900"/>
    <n v="38"/>
    <n v="0.7"/>
    <n v="1.8421052631578946E-2"/>
  </r>
  <r>
    <x v="0"/>
    <x v="1"/>
    <x v="1"/>
    <s v="M00000323230"/>
    <d v="2007-12-20T00:00:00"/>
    <n v="0"/>
    <n v="96"/>
    <n v="1050"/>
    <n v="375"/>
    <x v="0"/>
    <s v="38"/>
    <s v="1500"/>
    <n v="38"/>
    <n v="0.7"/>
    <n v="1.8421052631578946E-2"/>
  </r>
  <r>
    <x v="0"/>
    <x v="1"/>
    <x v="1"/>
    <s v="M00000332181"/>
    <d v="2007-12-31T00:00:00"/>
    <n v="0"/>
    <n v="64"/>
    <n v="700"/>
    <n v="250"/>
    <x v="0"/>
    <s v="38"/>
    <s v="1000"/>
    <n v="38"/>
    <n v="0.7"/>
    <n v="1.8421052631578946E-2"/>
  </r>
  <r>
    <x v="0"/>
    <x v="1"/>
    <x v="1"/>
    <s v="M00000334548"/>
    <d v="2008-01-24T00:00:00"/>
    <n v="0"/>
    <n v="96"/>
    <n v="1050"/>
    <n v="375"/>
    <x v="0"/>
    <s v="38"/>
    <s v="1500"/>
    <n v="38"/>
    <n v="0.7"/>
    <n v="1.8421052631578946E-2"/>
  </r>
  <r>
    <x v="0"/>
    <x v="1"/>
    <x v="1"/>
    <s v="M00000343053"/>
    <d v="2008-03-20T00:00:00"/>
    <n v="0"/>
    <n v="79.36"/>
    <n v="434"/>
    <n v="310"/>
    <x v="5"/>
    <s v="38"/>
    <s v="1240"/>
    <n v="19"/>
    <n v="0.35"/>
    <n v="1.8421052631578946E-2"/>
  </r>
  <r>
    <x v="0"/>
    <x v="1"/>
    <x v="1"/>
    <s v="M00000349991"/>
    <d v="2008-04-03T00:00:00"/>
    <n v="0"/>
    <n v="134.4"/>
    <n v="1470"/>
    <n v="525"/>
    <x v="0"/>
    <s v="38"/>
    <s v="2100"/>
    <n v="38"/>
    <n v="0.7"/>
    <n v="1.8421052631578946E-2"/>
  </r>
  <r>
    <x v="0"/>
    <x v="1"/>
    <x v="1"/>
    <s v="M00000324229"/>
    <d v="2007-12-20T00:00:00"/>
    <n v="0"/>
    <n v="60.8"/>
    <n v="525"/>
    <n v="237.5"/>
    <x v="1"/>
    <s v="38"/>
    <s v="950"/>
    <n v="30"/>
    <n v="0.55263157894736847"/>
    <n v="1.8421052631578949E-2"/>
  </r>
  <r>
    <x v="0"/>
    <x v="1"/>
    <x v="1"/>
    <s v="M00000339944"/>
    <d v="2008-02-14T00:00:00"/>
    <n v="0"/>
    <n v="115.2"/>
    <n v="995"/>
    <n v="450"/>
    <x v="1"/>
    <s v="38"/>
    <s v="1800"/>
    <n v="30"/>
    <n v="0.55277777777777781"/>
    <n v="1.8425925925925925E-2"/>
  </r>
  <r>
    <x v="0"/>
    <x v="1"/>
    <x v="1"/>
    <s v="M00000301793"/>
    <d v="2007-09-28T00:00:00"/>
    <n v="0"/>
    <n v="55.36"/>
    <n v="606"/>
    <n v="216.25"/>
    <x v="0"/>
    <s v="38"/>
    <s v="865"/>
    <n v="38"/>
    <n v="0.70057803468208091"/>
    <n v="1.8436264070581077E-2"/>
  </r>
  <r>
    <x v="0"/>
    <x v="1"/>
    <x v="1"/>
    <s v="M00000342080"/>
    <d v="2008-02-29T00:00:00"/>
    <n v="0"/>
    <n v="91.97"/>
    <n v="689"/>
    <n v="359.25"/>
    <x v="14"/>
    <s v="38"/>
    <s v="1437"/>
    <n v="26"/>
    <n v="0.47947112038970074"/>
    <n v="1.8441196938065414E-2"/>
  </r>
  <r>
    <x v="0"/>
    <x v="1"/>
    <x v="1"/>
    <s v="M00000359838"/>
    <d v="2008-05-15T00:00:00"/>
    <n v="0"/>
    <n v="245.38"/>
    <n v="2687"/>
    <n v="958.5"/>
    <x v="0"/>
    <s v="38"/>
    <s v="3834"/>
    <n v="38"/>
    <n v="0.70083463745435581"/>
    <n v="1.8443016775114628E-2"/>
  </r>
  <r>
    <x v="0"/>
    <x v="1"/>
    <x v="1"/>
    <s v="M00000312688"/>
    <d v="2007-11-15T00:00:00"/>
    <n v="0"/>
    <n v="87.3"/>
    <n v="956"/>
    <n v="341"/>
    <x v="0"/>
    <s v="38"/>
    <s v="1364"/>
    <n v="38"/>
    <n v="0.70087976539589447"/>
    <n v="1.844420435252354E-2"/>
  </r>
  <r>
    <x v="0"/>
    <x v="1"/>
    <x v="1"/>
    <s v="M00000295789"/>
    <d v="2007-09-06T00:00:00"/>
    <n v="0"/>
    <n v="108.8"/>
    <n v="690.03"/>
    <n v="425"/>
    <x v="5"/>
    <s v="41"/>
    <s v="1700"/>
    <n v="22"/>
    <n v="0.40589999999999998"/>
    <n v="1.8449999999999998E-2"/>
  </r>
  <r>
    <x v="0"/>
    <x v="1"/>
    <x v="1"/>
    <s v="M00000342112"/>
    <d v="2008-04-03T00:00:00"/>
    <n v="0"/>
    <n v="64.510000000000005"/>
    <n v="372"/>
    <n v="252"/>
    <x v="6"/>
    <s v="38"/>
    <s v="1008"/>
    <n v="20"/>
    <n v="0.36904761904761907"/>
    <n v="1.8452380952380953E-2"/>
  </r>
  <r>
    <x v="0"/>
    <x v="1"/>
    <x v="1"/>
    <s v="M00000344056"/>
    <d v="2008-03-13T00:00:00"/>
    <n v="0"/>
    <n v="40"/>
    <n v="300"/>
    <n v="156.25"/>
    <x v="14"/>
    <s v="38"/>
    <s v="625"/>
    <n v="26"/>
    <n v="0.48"/>
    <n v="1.846153846153846E-2"/>
  </r>
  <r>
    <x v="0"/>
    <x v="1"/>
    <x v="1"/>
    <s v="M00000312704"/>
    <d v="2007-11-15T00:00:00"/>
    <n v="0"/>
    <n v="40.96"/>
    <n v="450"/>
    <n v="160"/>
    <x v="0"/>
    <s v="38"/>
    <s v="640"/>
    <n v="38"/>
    <n v="0.703125"/>
    <n v="1.8503289473684209E-2"/>
  </r>
  <r>
    <x v="0"/>
    <x v="1"/>
    <x v="1"/>
    <s v="M00000333805"/>
    <d v="2008-01-24T00:00:00"/>
    <n v="0"/>
    <n v="90.5"/>
    <n v="785"/>
    <n v="353.5"/>
    <x v="1"/>
    <s v="38"/>
    <s v="1414"/>
    <n v="30"/>
    <n v="0.55516265912305518"/>
    <n v="1.8505421970768505E-2"/>
  </r>
  <r>
    <x v="0"/>
    <x v="1"/>
    <x v="1"/>
    <s v="M00000333639"/>
    <d v="2008-01-24T00:00:00"/>
    <n v="0"/>
    <n v="111.49"/>
    <n v="1064"/>
    <n v="435.5"/>
    <x v="10"/>
    <s v="38"/>
    <s v="1742"/>
    <n v="33"/>
    <n v="0.61079219288174513"/>
    <n v="1.8508854329749854E-2"/>
  </r>
  <r>
    <x v="0"/>
    <x v="1"/>
    <x v="1"/>
    <s v="M00000343463"/>
    <d v="2008-03-06T00:00:00"/>
    <n v="0"/>
    <n v="56"/>
    <n v="486"/>
    <n v="218.75"/>
    <x v="1"/>
    <s v="38"/>
    <s v="875"/>
    <n v="30"/>
    <n v="0.55542857142857138"/>
    <n v="1.8514285714285712E-2"/>
  </r>
  <r>
    <x v="0"/>
    <x v="1"/>
    <x v="1"/>
    <s v="M00000309517"/>
    <d v="2007-11-01T00:00:00"/>
    <n v="0"/>
    <n v="110.98"/>
    <n v="1220"/>
    <n v="433.5"/>
    <x v="0"/>
    <s v="38"/>
    <s v="1734"/>
    <n v="38"/>
    <n v="0.70357554786620535"/>
    <n v="1.8515145996479087E-2"/>
  </r>
  <r>
    <x v="0"/>
    <x v="1"/>
    <x v="1"/>
    <s v="M00000312975"/>
    <d v="2007-11-15T00:00:00"/>
    <n v="0"/>
    <n v="70.400000000000006"/>
    <n v="550"/>
    <n v="275"/>
    <x v="2"/>
    <s v="38"/>
    <s v="1100"/>
    <n v="27"/>
    <n v="0.5"/>
    <n v="1.8518518518518517E-2"/>
  </r>
  <r>
    <x v="0"/>
    <x v="1"/>
    <x v="1"/>
    <s v="M00000323966"/>
    <d v="2007-12-20T00:00:00"/>
    <n v="0"/>
    <n v="140.80000000000001"/>
    <n v="1100"/>
    <n v="550"/>
    <x v="2"/>
    <s v="38"/>
    <s v="2200"/>
    <n v="27"/>
    <n v="0.5"/>
    <n v="1.8518518518518517E-2"/>
  </r>
  <r>
    <x v="0"/>
    <x v="1"/>
    <x v="1"/>
    <s v="M00000324375"/>
    <d v="2007-12-20T00:00:00"/>
    <n v="0"/>
    <n v="38.4"/>
    <n v="300"/>
    <n v="150"/>
    <x v="2"/>
    <s v="38"/>
    <s v="600"/>
    <n v="27"/>
    <n v="0.5"/>
    <n v="1.8518518518518517E-2"/>
  </r>
  <r>
    <x v="0"/>
    <x v="1"/>
    <x v="1"/>
    <s v="M00000343846"/>
    <d v="2008-04-17T00:00:00"/>
    <n v="0"/>
    <n v="87.94"/>
    <n v="687"/>
    <n v="343.5"/>
    <x v="2"/>
    <s v="38"/>
    <s v="1374"/>
    <n v="27"/>
    <n v="0.5"/>
    <n v="1.8518518518518517E-2"/>
  </r>
  <r>
    <x v="0"/>
    <x v="1"/>
    <x v="1"/>
    <s v="M00000296545"/>
    <d v="2007-09-06T00:00:00"/>
    <n v="0"/>
    <n v="96.77"/>
    <n v="840.07"/>
    <n v="378"/>
    <x v="1"/>
    <s v="38"/>
    <s v="1512"/>
    <n v="30"/>
    <n v="0.55560185185185185"/>
    <n v="1.852006172839506E-2"/>
  </r>
  <r>
    <x v="0"/>
    <x v="1"/>
    <x v="1"/>
    <s v="M00000274412"/>
    <d v="2007-05-31T00:00:00"/>
    <n v="0"/>
    <n v="82.62"/>
    <n v="908.99"/>
    <n v="322.75"/>
    <x v="0"/>
    <s v="38"/>
    <s v="1291"/>
    <n v="38"/>
    <n v="0.7040975987606507"/>
    <n v="1.8528884177911861E-2"/>
  </r>
  <r>
    <x v="0"/>
    <x v="1"/>
    <x v="1"/>
    <s v="M00000292469"/>
    <d v="2007-08-23T00:00:00"/>
    <n v="0"/>
    <n v="102.02"/>
    <n v="680"/>
    <n v="398.5"/>
    <x v="4"/>
    <s v="38"/>
    <s v="1594"/>
    <n v="23"/>
    <n v="0.42659974905897113"/>
    <n v="1.8547815176477005E-2"/>
  </r>
  <r>
    <x v="0"/>
    <x v="1"/>
    <x v="1"/>
    <s v="M00000351291"/>
    <d v="2008-04-03T00:00:00"/>
    <n v="0"/>
    <n v="108.8"/>
    <n v="1200"/>
    <n v="425"/>
    <x v="0"/>
    <s v="38"/>
    <s v="1700"/>
    <n v="38"/>
    <n v="0.70588235294117652"/>
    <n v="1.8575851393188857E-2"/>
  </r>
  <r>
    <x v="0"/>
    <x v="1"/>
    <x v="1"/>
    <s v="M00000346629"/>
    <d v="2008-03-13T00:00:00"/>
    <n v="0"/>
    <n v="88.38"/>
    <n v="770"/>
    <n v="345.25"/>
    <x v="1"/>
    <s v="38"/>
    <s v="1381"/>
    <n v="30"/>
    <n v="0.55756698044895003"/>
    <n v="1.8585566014965003E-2"/>
  </r>
  <r>
    <x v="0"/>
    <x v="1"/>
    <x v="1"/>
    <s v="M00000333635"/>
    <d v="2008-01-24T00:00:00"/>
    <n v="0"/>
    <n v="83.2"/>
    <n v="725"/>
    <n v="325"/>
    <x v="1"/>
    <s v="38"/>
    <s v="1300"/>
    <n v="30"/>
    <n v="0.55769230769230771"/>
    <n v="1.858974358974359E-2"/>
  </r>
  <r>
    <x v="0"/>
    <x v="1"/>
    <x v="1"/>
    <s v="M00000350577"/>
    <d v="2008-04-03T00:00:00"/>
    <n v="0"/>
    <n v="88.32"/>
    <n v="719"/>
    <n v="345"/>
    <x v="11"/>
    <s v="38"/>
    <s v="1380"/>
    <n v="28"/>
    <n v="0.52101449275362322"/>
    <n v="1.8607660455486542E-2"/>
  </r>
  <r>
    <x v="0"/>
    <x v="1"/>
    <x v="1"/>
    <s v="M00000353503"/>
    <d v="2008-04-17T00:00:00"/>
    <n v="0"/>
    <n v="92.8"/>
    <n v="810"/>
    <n v="362.5"/>
    <x v="5"/>
    <s v="49"/>
    <s v="1450"/>
    <n v="30"/>
    <n v="0.55862068965517242"/>
    <n v="1.8620689655172416E-2"/>
  </r>
  <r>
    <x v="0"/>
    <x v="1"/>
    <x v="1"/>
    <s v="M00000345069"/>
    <d v="2008-03-13T00:00:00"/>
    <n v="0"/>
    <n v="104.19"/>
    <n v="820"/>
    <n v="407"/>
    <x v="2"/>
    <s v="38"/>
    <s v="1628"/>
    <n v="27"/>
    <n v="0.50368550368550369"/>
    <n v="1.8655018655018656E-2"/>
  </r>
  <r>
    <x v="0"/>
    <x v="1"/>
    <x v="1"/>
    <s v="M00000292980"/>
    <d v="2007-08-23T00:00:00"/>
    <n v="0"/>
    <n v="35.200000000000003"/>
    <n v="308"/>
    <n v="137.5"/>
    <x v="1"/>
    <s v="38"/>
    <s v="550"/>
    <n v="30"/>
    <n v="0.56000000000000005"/>
    <n v="1.8666666666666668E-2"/>
  </r>
  <r>
    <x v="0"/>
    <x v="1"/>
    <x v="1"/>
    <s v="M00000334233"/>
    <d v="2008-01-24T00:00:00"/>
    <n v="0"/>
    <n v="71.680000000000007"/>
    <n v="460"/>
    <n v="280"/>
    <x v="7"/>
    <s v="38"/>
    <s v="1120"/>
    <n v="22"/>
    <n v="0.4107142857142857"/>
    <n v="1.8668831168831168E-2"/>
  </r>
  <r>
    <x v="0"/>
    <x v="1"/>
    <x v="1"/>
    <s v="M00000301891"/>
    <d v="2007-09-28T00:00:00"/>
    <n v="0"/>
    <n v="73.47"/>
    <n v="815"/>
    <n v="287"/>
    <x v="0"/>
    <s v="38"/>
    <s v="1148"/>
    <n v="38"/>
    <n v="0.70993031358885017"/>
    <n v="1.8682376673390795E-2"/>
  </r>
  <r>
    <x v="0"/>
    <x v="1"/>
    <x v="1"/>
    <s v="M00000291225"/>
    <d v="2007-08-16T00:00:00"/>
    <n v="0"/>
    <n v="108.8"/>
    <n v="857.99"/>
    <n v="425"/>
    <x v="2"/>
    <s v="38"/>
    <s v="1700"/>
    <n v="27"/>
    <n v="0.50470000000000004"/>
    <n v="1.8692592592592594E-2"/>
  </r>
  <r>
    <x v="0"/>
    <x v="1"/>
    <x v="1"/>
    <s v="M00000315766"/>
    <d v="2007-12-31T00:00:00"/>
    <n v="0"/>
    <n v="12.29"/>
    <n v="165.12"/>
    <n v="48"/>
    <x v="6"/>
    <s v="64"/>
    <s v="192"/>
    <n v="46"/>
    <n v="0.86"/>
    <n v="1.8695652173913044E-2"/>
  </r>
  <r>
    <x v="0"/>
    <x v="1"/>
    <x v="1"/>
    <s v="M00000321371"/>
    <d v="2007-12-13T00:00:00"/>
    <n v="0"/>
    <n v="66.180000000000007"/>
    <n v="735"/>
    <n v="258.5"/>
    <x v="13"/>
    <s v="41"/>
    <s v="1034"/>
    <n v="38"/>
    <n v="0.71083172147001938"/>
    <n v="1.8706097933421564E-2"/>
  </r>
  <r>
    <x v="0"/>
    <x v="1"/>
    <x v="1"/>
    <s v="M00000342007"/>
    <d v="2008-02-29T00:00:00"/>
    <n v="0"/>
    <n v="51.84"/>
    <n v="455"/>
    <n v="202.5"/>
    <x v="1"/>
    <s v="38"/>
    <s v="810"/>
    <n v="30"/>
    <n v="0.56172839506172845"/>
    <n v="1.8724279835390947E-2"/>
  </r>
  <r>
    <x v="0"/>
    <x v="1"/>
    <x v="1"/>
    <s v="M00000354503"/>
    <d v="2008-04-24T00:00:00"/>
    <n v="0"/>
    <n v="143.87"/>
    <n v="1600"/>
    <n v="562"/>
    <x v="0"/>
    <s v="38"/>
    <s v="2248"/>
    <n v="38"/>
    <n v="0.71174377224199292"/>
    <n v="1.8730099269526131E-2"/>
  </r>
  <r>
    <x v="0"/>
    <x v="1"/>
    <x v="1"/>
    <s v="M00000342008"/>
    <d v="2008-02-29T00:00:00"/>
    <n v="0"/>
    <n v="54.4"/>
    <n v="478"/>
    <n v="212.5"/>
    <x v="1"/>
    <s v="38"/>
    <s v="850"/>
    <n v="30"/>
    <n v="0.56235294117647061"/>
    <n v="1.8745098039215688E-2"/>
  </r>
  <r>
    <x v="0"/>
    <x v="1"/>
    <x v="1"/>
    <s v="M00000307581"/>
    <d v="2007-10-25T00:00:00"/>
    <n v="0"/>
    <n v="103.1"/>
    <n v="907"/>
    <n v="402.75"/>
    <x v="1"/>
    <s v="38"/>
    <s v="1611"/>
    <n v="30"/>
    <n v="0.56300434512725017"/>
    <n v="1.8766811504241674E-2"/>
  </r>
  <r>
    <x v="0"/>
    <x v="1"/>
    <x v="1"/>
    <s v="M00000313092"/>
    <d v="2007-12-20T00:00:00"/>
    <n v="0"/>
    <n v="44.8"/>
    <n v="500"/>
    <n v="175"/>
    <x v="0"/>
    <s v="38"/>
    <s v="700"/>
    <n v="38"/>
    <n v="0.7142857142857143"/>
    <n v="1.8796992481203006E-2"/>
  </r>
  <r>
    <x v="0"/>
    <x v="1"/>
    <x v="1"/>
    <s v="M00000343702"/>
    <d v="2008-04-03T00:00:00"/>
    <n v="0"/>
    <n v="134.4"/>
    <n v="1500"/>
    <n v="525"/>
    <x v="0"/>
    <s v="38"/>
    <s v="2100"/>
    <n v="38"/>
    <n v="0.7142857142857143"/>
    <n v="1.8796992481203006E-2"/>
  </r>
  <r>
    <x v="0"/>
    <x v="1"/>
    <x v="1"/>
    <s v="M00000268893"/>
    <d v="2007-05-10T00:00:00"/>
    <n v="0"/>
    <n v="62.21"/>
    <n v="456.84"/>
    <n v="243"/>
    <x v="3"/>
    <s v="38"/>
    <s v="972"/>
    <n v="25"/>
    <n v="0.47"/>
    <n v="1.8799999999999997E-2"/>
  </r>
  <r>
    <x v="0"/>
    <x v="1"/>
    <x v="1"/>
    <s v="M00000312590"/>
    <d v="2007-11-21T00:00:00"/>
    <n v="0"/>
    <n v="73.599999999999994"/>
    <n v="650"/>
    <n v="287.5"/>
    <x v="1"/>
    <s v="38"/>
    <s v="1150"/>
    <n v="30"/>
    <n v="0.56521739130434778"/>
    <n v="1.8840579710144925E-2"/>
  </r>
  <r>
    <x v="0"/>
    <x v="1"/>
    <x v="1"/>
    <s v="M00000341086"/>
    <d v="2008-03-20T00:00:00"/>
    <n v="0"/>
    <n v="97.92"/>
    <n v="865"/>
    <n v="382.5"/>
    <x v="1"/>
    <s v="38"/>
    <s v="1530"/>
    <n v="30"/>
    <n v="0.565359477124183"/>
    <n v="1.8845315904139435E-2"/>
  </r>
  <r>
    <x v="0"/>
    <x v="1"/>
    <x v="1"/>
    <s v="M00000318150"/>
    <d v="2007-11-30T00:00:00"/>
    <n v="0"/>
    <n v="78.34"/>
    <n v="600"/>
    <n v="306"/>
    <x v="14"/>
    <s v="38"/>
    <s v="1224"/>
    <n v="26"/>
    <n v="0.49019607843137253"/>
    <n v="1.8853695324283559E-2"/>
  </r>
  <r>
    <x v="0"/>
    <x v="1"/>
    <x v="1"/>
    <s v="M00000295983"/>
    <d v="2007-09-06T00:00:00"/>
    <n v="0"/>
    <n v="56.32"/>
    <n v="415.01"/>
    <n v="220"/>
    <x v="3"/>
    <s v="38"/>
    <s v="880"/>
    <n v="25"/>
    <n v="0.47160227272727273"/>
    <n v="1.886409090909091E-2"/>
  </r>
  <r>
    <x v="0"/>
    <x v="1"/>
    <x v="1"/>
    <s v="M00000353446"/>
    <d v="2008-04-17T00:00:00"/>
    <n v="0"/>
    <n v="134.4"/>
    <n v="1190"/>
    <n v="525"/>
    <x v="1"/>
    <s v="38"/>
    <s v="2100"/>
    <n v="30"/>
    <n v="0.56666666666666665"/>
    <n v="1.8888888888888889E-2"/>
  </r>
  <r>
    <x v="0"/>
    <x v="1"/>
    <x v="1"/>
    <s v="M00000299220"/>
    <d v="2007-09-20T00:00:00"/>
    <n v="0"/>
    <n v="39.94"/>
    <n v="319"/>
    <n v="156"/>
    <x v="2"/>
    <s v="38"/>
    <s v="624"/>
    <n v="27"/>
    <n v="0.51121794871794868"/>
    <n v="1.8933998100664765E-2"/>
  </r>
  <r>
    <x v="0"/>
    <x v="1"/>
    <x v="1"/>
    <s v="M00000302229"/>
    <d v="2007-10-04T00:00:00"/>
    <n v="0"/>
    <n v="39.94"/>
    <n v="319"/>
    <n v="156"/>
    <x v="2"/>
    <s v="38"/>
    <s v="624"/>
    <n v="27"/>
    <n v="0.51121794871794868"/>
    <n v="1.8933998100664765E-2"/>
  </r>
  <r>
    <x v="0"/>
    <x v="1"/>
    <x v="1"/>
    <s v="M00000289667"/>
    <d v="2007-08-09T00:00:00"/>
    <n v="0"/>
    <n v="106.75"/>
    <n v="822.99"/>
    <n v="417"/>
    <x v="14"/>
    <s v="38"/>
    <s v="1668"/>
    <n v="26"/>
    <n v="0.49339928057553956"/>
    <n v="1.8976895406751522E-2"/>
  </r>
  <r>
    <x v="0"/>
    <x v="1"/>
    <x v="1"/>
    <s v="M00000326491"/>
    <d v="2007-12-31T00:00:00"/>
    <n v="0"/>
    <n v="65.73"/>
    <n v="585"/>
    <n v="256.75"/>
    <x v="1"/>
    <s v="38"/>
    <s v="1027"/>
    <n v="30"/>
    <n v="0.569620253164557"/>
    <n v="1.8987341772151899E-2"/>
  </r>
  <r>
    <x v="0"/>
    <x v="1"/>
    <x v="1"/>
    <s v="M00000323869"/>
    <d v="2007-12-20T00:00:00"/>
    <n v="0"/>
    <n v="89.6"/>
    <n v="800"/>
    <n v="350"/>
    <x v="1"/>
    <s v="38"/>
    <s v="1400"/>
    <n v="30"/>
    <n v="0.5714285714285714"/>
    <n v="1.9047619047619046E-2"/>
  </r>
  <r>
    <x v="0"/>
    <x v="1"/>
    <x v="1"/>
    <s v="M00000317496"/>
    <d v="2007-11-30T00:00:00"/>
    <n v="0"/>
    <n v="37.119999999999997"/>
    <n v="420"/>
    <n v="145"/>
    <x v="0"/>
    <s v="38"/>
    <s v="580"/>
    <n v="38"/>
    <n v="0.72413793103448276"/>
    <n v="1.9056261343012703E-2"/>
  </r>
  <r>
    <x v="0"/>
    <x v="1"/>
    <x v="1"/>
    <s v="M00000308882"/>
    <d v="2007-11-01T00:00:00"/>
    <n v="0"/>
    <n v="52.99"/>
    <n v="600"/>
    <n v="207"/>
    <x v="0"/>
    <s v="38"/>
    <s v="828"/>
    <n v="38"/>
    <n v="0.72463768115942029"/>
    <n v="1.9069412662090009E-2"/>
  </r>
  <r>
    <x v="0"/>
    <x v="1"/>
    <x v="1"/>
    <s v="M00000295661"/>
    <d v="2007-09-20T00:00:00"/>
    <n v="0"/>
    <n v="96"/>
    <n v="658.2"/>
    <n v="375"/>
    <x v="4"/>
    <s v="38"/>
    <s v="1500"/>
    <n v="23"/>
    <n v="0.43880000000000002"/>
    <n v="1.9078260869565218E-2"/>
  </r>
  <r>
    <x v="0"/>
    <x v="1"/>
    <x v="1"/>
    <s v="M00000355737"/>
    <d v="2008-07-10T00:00:00"/>
    <n v="0"/>
    <n v="53.44"/>
    <n v="351.04"/>
    <n v="208.75"/>
    <x v="6"/>
    <s v="40"/>
    <s v="835"/>
    <n v="22"/>
    <n v="0.42040718562874252"/>
    <n v="1.9109417528579205E-2"/>
  </r>
  <r>
    <x v="0"/>
    <x v="1"/>
    <x v="1"/>
    <s v="M00000310704"/>
    <d v="2007-11-15T00:00:00"/>
    <n v="0"/>
    <n v="130.43"/>
    <n v="858.29"/>
    <n v="509.5"/>
    <x v="6"/>
    <s v="40"/>
    <s v="2038"/>
    <n v="22"/>
    <n v="0.4211432777232581"/>
    <n v="1.9142876260148097E-2"/>
  </r>
  <r>
    <x v="0"/>
    <x v="1"/>
    <x v="1"/>
    <s v="M00000335044"/>
    <d v="2008-02-29T00:00:00"/>
    <n v="0"/>
    <n v="133.44"/>
    <n v="1516.95"/>
    <n v="521.25"/>
    <x v="0"/>
    <s v="38"/>
    <s v="2085"/>
    <n v="38"/>
    <n v="0.72755395683453239"/>
    <n v="1.9146156758803483E-2"/>
  </r>
  <r>
    <x v="0"/>
    <x v="1"/>
    <x v="1"/>
    <s v="M00000333180"/>
    <d v="2008-01-17T00:00:00"/>
    <n v="0"/>
    <n v="46.08"/>
    <n v="400"/>
    <n v="180"/>
    <x v="8"/>
    <s v="38"/>
    <s v="720"/>
    <n v="29"/>
    <n v="0.55555555555555558"/>
    <n v="1.9157088122605366E-2"/>
  </r>
  <r>
    <x v="0"/>
    <x v="1"/>
    <x v="1"/>
    <s v="M00000342440"/>
    <d v="2008-02-29T00:00:00"/>
    <n v="0"/>
    <n v="73.47"/>
    <n v="660"/>
    <n v="287"/>
    <x v="1"/>
    <s v="38"/>
    <s v="1148"/>
    <n v="30"/>
    <n v="0.57491289198606277"/>
    <n v="1.9163763066202093E-2"/>
  </r>
  <r>
    <x v="0"/>
    <x v="1"/>
    <x v="1"/>
    <s v="M00000313499"/>
    <d v="2007-12-13T00:00:00"/>
    <n v="0"/>
    <n v="64"/>
    <n v="575.39"/>
    <n v="250"/>
    <x v="15"/>
    <s v="47"/>
    <s v="1000"/>
    <n v="30"/>
    <n v="0.57538999999999996"/>
    <n v="1.9179666666666664E-2"/>
  </r>
  <r>
    <x v="0"/>
    <x v="1"/>
    <x v="1"/>
    <s v="M00000330987"/>
    <d v="2007-12-31T00:00:00"/>
    <n v="0"/>
    <n v="61.44"/>
    <n v="700"/>
    <n v="240"/>
    <x v="0"/>
    <s v="38"/>
    <s v="960"/>
    <n v="38"/>
    <n v="0.72916666666666663"/>
    <n v="1.9188596491228071E-2"/>
  </r>
  <r>
    <x v="0"/>
    <x v="1"/>
    <x v="1"/>
    <s v="M00000276552"/>
    <d v="2007-06-28T00:00:00"/>
    <n v="0"/>
    <n v="113.15"/>
    <n v="949.95"/>
    <n v="442"/>
    <x v="11"/>
    <s v="38"/>
    <s v="1768"/>
    <n v="28"/>
    <n v="0.537302036199095"/>
    <n v="1.9189358435681963E-2"/>
  </r>
  <r>
    <x v="0"/>
    <x v="1"/>
    <x v="1"/>
    <s v="M00000279336"/>
    <d v="2007-06-21T00:00:00"/>
    <n v="0"/>
    <n v="107.39"/>
    <n v="966.02"/>
    <n v="419.5"/>
    <x v="1"/>
    <s v="38"/>
    <s v="1678"/>
    <n v="30"/>
    <n v="0.57569725864123955"/>
    <n v="1.9189908621374652E-2"/>
  </r>
  <r>
    <x v="0"/>
    <x v="1"/>
    <x v="1"/>
    <s v="M00000343365"/>
    <d v="2008-03-06T00:00:00"/>
    <n v="0"/>
    <n v="92.8"/>
    <n v="780"/>
    <n v="362.5"/>
    <x v="11"/>
    <s v="38"/>
    <s v="1450"/>
    <n v="28"/>
    <n v="0.53793103448275859"/>
    <n v="1.9211822660098521E-2"/>
  </r>
  <r>
    <x v="0"/>
    <x v="1"/>
    <x v="1"/>
    <s v="M00000354147"/>
    <d v="2008-04-17T00:00:00"/>
    <n v="0"/>
    <n v="84.74"/>
    <n v="636"/>
    <n v="331"/>
    <x v="3"/>
    <s v="38"/>
    <s v="1324"/>
    <n v="25"/>
    <n v="0.48036253776435045"/>
    <n v="1.9214501510574019E-2"/>
  </r>
  <r>
    <x v="0"/>
    <x v="1"/>
    <x v="1"/>
    <s v="M00000341293"/>
    <d v="2008-02-29T00:00:00"/>
    <n v="0"/>
    <n v="102.14"/>
    <n v="920"/>
    <n v="399"/>
    <x v="1"/>
    <s v="38"/>
    <s v="1596"/>
    <n v="30"/>
    <n v="0.5764411027568922"/>
    <n v="1.921470342522974E-2"/>
  </r>
  <r>
    <x v="0"/>
    <x v="1"/>
    <x v="1"/>
    <s v="M00000371366"/>
    <d v="2008-07-10T00:00:00"/>
    <n v="0"/>
    <n v="83.2"/>
    <n v="750"/>
    <n v="325"/>
    <x v="1"/>
    <s v="38"/>
    <s v="1300"/>
    <n v="30"/>
    <n v="0.57692307692307687"/>
    <n v="1.9230769230769228E-2"/>
  </r>
  <r>
    <x v="0"/>
    <x v="1"/>
    <x v="1"/>
    <s v="M00000323211"/>
    <d v="2008-01-31T00:00:00"/>
    <n v="0"/>
    <n v="74.239999999999995"/>
    <n v="580"/>
    <n v="290"/>
    <x v="14"/>
    <s v="38"/>
    <s v="1160"/>
    <n v="26"/>
    <n v="0.5"/>
    <n v="1.9230769230769232E-2"/>
  </r>
  <r>
    <x v="0"/>
    <x v="1"/>
    <x v="1"/>
    <s v="M00000342002"/>
    <d v="2008-02-29T00:00:00"/>
    <n v="0"/>
    <n v="36.61"/>
    <n v="275"/>
    <n v="143"/>
    <x v="3"/>
    <s v="38"/>
    <s v="572"/>
    <n v="25"/>
    <n v="0.48076923076923078"/>
    <n v="1.9230769230769232E-2"/>
  </r>
  <r>
    <x v="0"/>
    <x v="1"/>
    <x v="1"/>
    <s v="M00000337795"/>
    <d v="2008-02-07T00:00:00"/>
    <n v="0"/>
    <n v="62.14"/>
    <n v="467"/>
    <n v="242.75"/>
    <x v="3"/>
    <s v="38"/>
    <s v="971"/>
    <n v="25"/>
    <n v="0.48094747682801237"/>
    <n v="1.9237899073120495E-2"/>
  </r>
  <r>
    <x v="0"/>
    <x v="1"/>
    <x v="1"/>
    <s v="M00000343833"/>
    <d v="2008-04-10T00:00:00"/>
    <n v="0"/>
    <n v="60.8"/>
    <n v="695"/>
    <n v="237.5"/>
    <x v="0"/>
    <s v="38"/>
    <s v="950"/>
    <n v="38"/>
    <n v="0.73157894736842111"/>
    <n v="1.9252077562326872E-2"/>
  </r>
  <r>
    <x v="0"/>
    <x v="1"/>
    <x v="1"/>
    <s v="M00000366982"/>
    <d v="2008-06-12T00:00:00"/>
    <n v="0"/>
    <n v="150.4"/>
    <n v="1222"/>
    <n v="587.5"/>
    <x v="2"/>
    <s v="38"/>
    <s v="2350"/>
    <n v="27"/>
    <n v="0.52"/>
    <n v="1.9259259259259261E-2"/>
  </r>
  <r>
    <x v="0"/>
    <x v="1"/>
    <x v="1"/>
    <s v="M00000319003"/>
    <d v="2007-12-06T00:00:00"/>
    <n v="0"/>
    <n v="101.76"/>
    <n v="766"/>
    <n v="397.5"/>
    <x v="3"/>
    <s v="38"/>
    <s v="1590"/>
    <n v="25"/>
    <n v="0.48176100628930818"/>
    <n v="1.9270440251572329E-2"/>
  </r>
  <r>
    <x v="0"/>
    <x v="1"/>
    <x v="1"/>
    <s v="M00000334395"/>
    <d v="2008-02-14T00:00:00"/>
    <n v="0"/>
    <n v="127.23"/>
    <n v="1150"/>
    <n v="497"/>
    <x v="1"/>
    <s v="38"/>
    <s v="1988"/>
    <n v="30"/>
    <n v="0.57847082494969815"/>
    <n v="1.9282360831656607E-2"/>
  </r>
  <r>
    <x v="0"/>
    <x v="1"/>
    <x v="1"/>
    <s v="M00000366985"/>
    <d v="2008-06-12T00:00:00"/>
    <n v="0"/>
    <n v="20.61"/>
    <n v="173.88"/>
    <n v="80.5"/>
    <x v="11"/>
    <s v="38"/>
    <s v="322"/>
    <n v="28"/>
    <n v="0.54"/>
    <n v="1.9285714285714288E-2"/>
  </r>
  <r>
    <x v="0"/>
    <x v="1"/>
    <x v="1"/>
    <s v="M00000333203"/>
    <d v="2008-01-17T00:00:00"/>
    <n v="0"/>
    <n v="38.4"/>
    <n v="440"/>
    <n v="150"/>
    <x v="0"/>
    <s v="38"/>
    <s v="600"/>
    <n v="38"/>
    <n v="0.73333333333333328"/>
    <n v="1.9298245614035085E-2"/>
  </r>
  <r>
    <x v="0"/>
    <x v="1"/>
    <x v="1"/>
    <s v="M00000299788"/>
    <d v="2007-09-20T00:00:00"/>
    <n v="0"/>
    <n v="115.2"/>
    <n v="1043"/>
    <n v="450"/>
    <x v="1"/>
    <s v="38"/>
    <s v="1800"/>
    <n v="30"/>
    <n v="0.57944444444444443"/>
    <n v="1.9314814814814816E-2"/>
  </r>
  <r>
    <x v="0"/>
    <x v="1"/>
    <x v="1"/>
    <s v="M00000297167"/>
    <d v="2007-09-14T00:00:00"/>
    <n v="0"/>
    <n v="70.400000000000006"/>
    <n v="807.95"/>
    <n v="275"/>
    <x v="0"/>
    <s v="38"/>
    <s v="1100"/>
    <n v="38"/>
    <n v="0.73450000000000004"/>
    <n v="1.9328947368421053E-2"/>
  </r>
  <r>
    <x v="0"/>
    <x v="1"/>
    <x v="1"/>
    <s v="M00000346523"/>
    <d v="2008-03-13T00:00:00"/>
    <n v="0"/>
    <n v="47.04"/>
    <n v="540"/>
    <n v="183.75"/>
    <x v="0"/>
    <s v="38"/>
    <s v="735"/>
    <n v="38"/>
    <n v="0.73469387755102045"/>
    <n v="1.9334049409237379E-2"/>
  </r>
  <r>
    <x v="0"/>
    <x v="1"/>
    <x v="1"/>
    <s v="M00000312455"/>
    <d v="2007-11-15T00:00:00"/>
    <n v="0"/>
    <n v="154.56"/>
    <n v="1401"/>
    <n v="603.75"/>
    <x v="1"/>
    <s v="38"/>
    <s v="2415"/>
    <n v="30"/>
    <n v="0.5801242236024845"/>
    <n v="1.9337474120082816E-2"/>
  </r>
  <r>
    <x v="0"/>
    <x v="1"/>
    <x v="1"/>
    <s v="M00000316123"/>
    <d v="2007-11-29T00:00:00"/>
    <n v="0"/>
    <n v="71.680000000000007"/>
    <n v="650"/>
    <n v="280"/>
    <x v="1"/>
    <s v="38"/>
    <s v="1120"/>
    <n v="30"/>
    <n v="0.5803571428571429"/>
    <n v="1.9345238095238096E-2"/>
  </r>
  <r>
    <x v="0"/>
    <x v="1"/>
    <x v="1"/>
    <s v="M00000328009"/>
    <d v="2007-12-31T00:00:00"/>
    <n v="0"/>
    <n v="79.62"/>
    <n v="915"/>
    <n v="311"/>
    <x v="0"/>
    <s v="38"/>
    <s v="1244"/>
    <n v="38"/>
    <n v="0.73553054662379425"/>
    <n v="1.9356067016415637E-2"/>
  </r>
  <r>
    <x v="0"/>
    <x v="1"/>
    <x v="1"/>
    <s v="M00000324931"/>
    <d v="2007-12-20T00:00:00"/>
    <n v="0"/>
    <n v="73.22"/>
    <n v="665"/>
    <n v="286"/>
    <x v="1"/>
    <s v="38"/>
    <s v="1144"/>
    <n v="30"/>
    <n v="0.58129370629370625"/>
    <n v="1.9376456876456876E-2"/>
  </r>
  <r>
    <x v="0"/>
    <x v="1"/>
    <x v="1"/>
    <s v="M00000373072"/>
    <d v="2008-07-03T00:00:00"/>
    <n v="0"/>
    <n v="98.94"/>
    <n v="809"/>
    <n v="386.5"/>
    <x v="2"/>
    <s v="38"/>
    <s v="1546"/>
    <n v="27"/>
    <n v="0.52328589909443723"/>
    <n v="1.9380959225719897E-2"/>
  </r>
  <r>
    <x v="0"/>
    <x v="1"/>
    <x v="1"/>
    <s v="M00000309811"/>
    <d v="2007-11-01T00:00:00"/>
    <n v="0"/>
    <n v="46.08"/>
    <n v="530.41999999999996"/>
    <n v="180"/>
    <x v="0"/>
    <s v="38"/>
    <s v="720"/>
    <n v="38"/>
    <n v="0.73669444444444443"/>
    <n v="1.9386695906432747E-2"/>
  </r>
  <r>
    <x v="0"/>
    <x v="1"/>
    <x v="1"/>
    <s v="M00000304081"/>
    <d v="2007-10-11T00:00:00"/>
    <n v="0"/>
    <n v="121.6"/>
    <n v="1400"/>
    <n v="475"/>
    <x v="0"/>
    <s v="38"/>
    <s v="1900"/>
    <n v="38"/>
    <n v="0.73684210526315785"/>
    <n v="1.9390581717451522E-2"/>
  </r>
  <r>
    <x v="0"/>
    <x v="1"/>
    <x v="1"/>
    <s v="M00000343855"/>
    <d v="2008-03-13T00:00:00"/>
    <n v="0"/>
    <n v="83.52"/>
    <n v="760"/>
    <n v="326.25"/>
    <x v="1"/>
    <s v="38"/>
    <s v="1305"/>
    <n v="30"/>
    <n v="0.58237547892720309"/>
    <n v="1.9412515964240103E-2"/>
  </r>
  <r>
    <x v="0"/>
    <x v="1"/>
    <x v="1"/>
    <s v="M00000316321"/>
    <d v="2007-11-29T00:00:00"/>
    <n v="0"/>
    <n v="76.8"/>
    <n v="700"/>
    <n v="300"/>
    <x v="1"/>
    <s v="38"/>
    <s v="1200"/>
    <n v="30"/>
    <n v="0.58333333333333337"/>
    <n v="1.9444444444444445E-2"/>
  </r>
  <r>
    <x v="0"/>
    <x v="1"/>
    <x v="1"/>
    <s v="M00000338015"/>
    <d v="2008-02-07T00:00:00"/>
    <n v="0"/>
    <n v="102.66"/>
    <n v="1030"/>
    <n v="401"/>
    <x v="10"/>
    <s v="38"/>
    <s v="1604"/>
    <n v="33"/>
    <n v="0.64214463840399005"/>
    <n v="1.9458928436484547E-2"/>
  </r>
  <r>
    <x v="0"/>
    <x v="1"/>
    <x v="1"/>
    <s v="M00000319017"/>
    <d v="2007-12-06T00:00:00"/>
    <n v="0"/>
    <n v="50.69"/>
    <n v="524.79999999999995"/>
    <n v="198"/>
    <x v="9"/>
    <s v="38"/>
    <s v="792"/>
    <n v="34"/>
    <n v="0.66262626262626256"/>
    <n v="1.948900772430184E-2"/>
  </r>
  <r>
    <x v="0"/>
    <x v="1"/>
    <x v="1"/>
    <s v="M00000313360"/>
    <d v="2007-11-21T00:00:00"/>
    <n v="0"/>
    <n v="94.72"/>
    <n v="750"/>
    <n v="370"/>
    <x v="14"/>
    <s v="38"/>
    <s v="1480"/>
    <n v="26"/>
    <n v="0.5067567567567568"/>
    <n v="1.9490644490644492E-2"/>
  </r>
  <r>
    <x v="0"/>
    <x v="1"/>
    <x v="1"/>
    <s v="M00000283792"/>
    <d v="2007-07-12T00:00:00"/>
    <n v="0"/>
    <n v="84.8"/>
    <n v="594"/>
    <n v="331.25"/>
    <x v="4"/>
    <s v="38"/>
    <s v="1325"/>
    <n v="23"/>
    <n v="0.44830188679245281"/>
    <n v="1.9491386382280557E-2"/>
  </r>
  <r>
    <x v="0"/>
    <x v="1"/>
    <x v="1"/>
    <s v="M00000291706"/>
    <d v="2007-08-23T00:00:00"/>
    <n v="0"/>
    <n v="84.8"/>
    <n v="594"/>
    <n v="331.25"/>
    <x v="4"/>
    <s v="38"/>
    <s v="1325"/>
    <n v="23"/>
    <n v="0.44830188679245281"/>
    <n v="1.9491386382280557E-2"/>
  </r>
  <r>
    <x v="0"/>
    <x v="1"/>
    <x v="1"/>
    <s v="M00000313412"/>
    <d v="2007-11-15T00:00:00"/>
    <n v="0"/>
    <n v="65.790000000000006"/>
    <n v="601.4"/>
    <n v="257"/>
    <x v="1"/>
    <s v="38"/>
    <s v="1028"/>
    <n v="30"/>
    <n v="0.58501945525291832"/>
    <n v="1.9500648508430609E-2"/>
  </r>
  <r>
    <x v="0"/>
    <x v="1"/>
    <x v="1"/>
    <s v="M00000305445"/>
    <d v="2007-10-18T00:00:00"/>
    <n v="0"/>
    <n v="54.4"/>
    <n v="630"/>
    <n v="212.5"/>
    <x v="0"/>
    <s v="38"/>
    <s v="850"/>
    <n v="38"/>
    <n v="0.74117647058823533"/>
    <n v="1.95046439628483E-2"/>
  </r>
  <r>
    <x v="0"/>
    <x v="1"/>
    <x v="1"/>
    <s v="M00000296081"/>
    <d v="2007-09-06T00:00:00"/>
    <n v="0"/>
    <n v="66.56"/>
    <n v="508.04"/>
    <n v="260"/>
    <x v="3"/>
    <s v="38"/>
    <s v="1040"/>
    <n v="25"/>
    <n v="0.48850000000000005"/>
    <n v="1.9540000000000002E-2"/>
  </r>
  <r>
    <x v="0"/>
    <x v="1"/>
    <x v="1"/>
    <s v="M00000275526"/>
    <d v="2007-06-07T00:00:00"/>
    <n v="0"/>
    <n v="98.18"/>
    <n v="749.97"/>
    <n v="383.5"/>
    <x v="3"/>
    <s v="38"/>
    <s v="1534"/>
    <n v="25"/>
    <n v="0.4888983050847458"/>
    <n v="1.9555932203389831E-2"/>
  </r>
  <r>
    <x v="0"/>
    <x v="1"/>
    <x v="1"/>
    <s v="M00000276345"/>
    <d v="2007-06-14T00:00:00"/>
    <n v="0"/>
    <n v="82.94"/>
    <n v="761.01"/>
    <n v="324"/>
    <x v="1"/>
    <s v="38"/>
    <s v="1296"/>
    <n v="30"/>
    <n v="0.58719907407407401"/>
    <n v="1.95733024691358E-2"/>
  </r>
  <r>
    <x v="0"/>
    <x v="1"/>
    <x v="1"/>
    <s v="M00000269843"/>
    <d v="2007-05-17T00:00:00"/>
    <n v="0"/>
    <n v="78.849999999999994"/>
    <n v="603.67999999999995"/>
    <n v="308"/>
    <x v="3"/>
    <s v="38"/>
    <s v="1232"/>
    <n v="25"/>
    <n v="0.49"/>
    <n v="1.9599999999999996E-2"/>
  </r>
  <r>
    <x v="0"/>
    <x v="1"/>
    <x v="1"/>
    <s v="M00000350000"/>
    <d v="2008-03-27T00:00:00"/>
    <n v="0"/>
    <n v="65.28"/>
    <n v="500"/>
    <n v="255"/>
    <x v="3"/>
    <s v="38"/>
    <s v="1020"/>
    <n v="25"/>
    <n v="0.49019607843137253"/>
    <n v="1.9607843137254902E-2"/>
  </r>
  <r>
    <x v="0"/>
    <x v="1"/>
    <x v="1"/>
    <s v="M00000275843"/>
    <d v="2007-06-07T00:00:00"/>
    <n v="0"/>
    <n v="123.52"/>
    <n v="946.09"/>
    <n v="482.5"/>
    <x v="3"/>
    <s v="38"/>
    <s v="1930"/>
    <n v="25"/>
    <n v="0.49020207253886011"/>
    <n v="1.9608082901554403E-2"/>
  </r>
  <r>
    <x v="0"/>
    <x v="1"/>
    <x v="1"/>
    <s v="M00000342213"/>
    <d v="2008-02-29T00:00:00"/>
    <n v="0"/>
    <n v="80.7"/>
    <n v="940"/>
    <n v="315.25"/>
    <x v="0"/>
    <s v="38"/>
    <s v="1261"/>
    <n v="38"/>
    <n v="0.74544012688342587"/>
    <n v="1.961684544430068E-2"/>
  </r>
  <r>
    <x v="0"/>
    <x v="1"/>
    <x v="1"/>
    <s v="M00000289701"/>
    <d v="2007-09-20T00:00:00"/>
    <n v="0"/>
    <n v="125.18"/>
    <n v="960"/>
    <n v="489"/>
    <x v="3"/>
    <s v="38"/>
    <s v="1956"/>
    <n v="25"/>
    <n v="0.49079754601226994"/>
    <n v="1.9631901840490799E-2"/>
  </r>
  <r>
    <x v="0"/>
    <x v="1"/>
    <x v="1"/>
    <s v="M00000356775"/>
    <d v="2008-04-30T00:00:00"/>
    <n v="0"/>
    <n v="74.75"/>
    <n v="688"/>
    <n v="292"/>
    <x v="1"/>
    <s v="38"/>
    <s v="1168"/>
    <n v="30"/>
    <n v="0.58904109589041098"/>
    <n v="1.9634703196347032E-2"/>
  </r>
  <r>
    <x v="0"/>
    <x v="1"/>
    <x v="1"/>
    <s v="M00000336963"/>
    <d v="2008-03-20T00:00:00"/>
    <n v="0"/>
    <n v="59.14"/>
    <n v="508"/>
    <n v="231"/>
    <x v="11"/>
    <s v="38"/>
    <s v="924"/>
    <n v="28"/>
    <n v="0.54978354978354982"/>
    <n v="1.9635126777983923E-2"/>
  </r>
  <r>
    <x v="0"/>
    <x v="1"/>
    <x v="1"/>
    <s v="M00000320418"/>
    <d v="2008-01-17T00:00:00"/>
    <n v="0"/>
    <n v="58.37"/>
    <n v="448"/>
    <n v="228"/>
    <x v="3"/>
    <s v="38"/>
    <s v="912"/>
    <n v="25"/>
    <n v="0.49122807017543857"/>
    <n v="1.9649122807017541E-2"/>
  </r>
  <r>
    <x v="0"/>
    <x v="1"/>
    <x v="1"/>
    <s v="M00000337798"/>
    <d v="2008-02-07T00:00:00"/>
    <n v="0"/>
    <n v="55.68"/>
    <n v="650"/>
    <n v="217.5"/>
    <x v="0"/>
    <s v="38"/>
    <s v="870"/>
    <n v="38"/>
    <n v="0.74712643678160917"/>
    <n v="1.9661222020568664E-2"/>
  </r>
  <r>
    <x v="0"/>
    <x v="1"/>
    <x v="1"/>
    <s v="M00000341292"/>
    <d v="2008-05-15T00:00:00"/>
    <n v="0"/>
    <n v="94.85"/>
    <n v="730.13"/>
    <n v="370.5"/>
    <x v="3"/>
    <s v="38"/>
    <s v="1482"/>
    <n v="25"/>
    <n v="0.49266531713900136"/>
    <n v="1.9706612685560055E-2"/>
  </r>
  <r>
    <x v="0"/>
    <x v="1"/>
    <x v="1"/>
    <s v="M00000353207"/>
    <d v="2008-04-17T00:00:00"/>
    <n v="0"/>
    <n v="106.88"/>
    <n v="823"/>
    <n v="417.5"/>
    <x v="3"/>
    <s v="38"/>
    <s v="1670"/>
    <n v="25"/>
    <n v="0.49281437125748501"/>
    <n v="1.97125748502994E-2"/>
  </r>
  <r>
    <x v="0"/>
    <x v="1"/>
    <x v="1"/>
    <s v="M00000334072"/>
    <d v="2008-01-24T00:00:00"/>
    <n v="0"/>
    <n v="75.58"/>
    <n v="699"/>
    <n v="295.25"/>
    <x v="1"/>
    <s v="38"/>
    <s v="1181"/>
    <n v="30"/>
    <n v="0.59187129551227768"/>
    <n v="1.9729043183742589E-2"/>
  </r>
  <r>
    <x v="0"/>
    <x v="1"/>
    <x v="1"/>
    <s v="M00000327884"/>
    <d v="2007-12-31T00:00:00"/>
    <n v="0"/>
    <n v="128.06"/>
    <n v="1066"/>
    <n v="500.25"/>
    <x v="2"/>
    <s v="38"/>
    <s v="2001"/>
    <n v="27"/>
    <n v="0.53273363318340827"/>
    <n v="1.9730875303089195E-2"/>
  </r>
  <r>
    <x v="0"/>
    <x v="1"/>
    <x v="1"/>
    <s v="M00000280100"/>
    <d v="2007-08-09T00:00:00"/>
    <n v="0"/>
    <n v="91.33"/>
    <n v="703.94"/>
    <n v="356.75"/>
    <x v="3"/>
    <s v="38"/>
    <s v="1427"/>
    <n v="25"/>
    <n v="0.49330063069376318"/>
    <n v="1.9732025227750527E-2"/>
  </r>
  <r>
    <x v="0"/>
    <x v="1"/>
    <x v="1"/>
    <s v="M00000303765"/>
    <d v="2007-10-11T00:00:00"/>
    <n v="0"/>
    <n v="60.86"/>
    <n v="563"/>
    <n v="237.75"/>
    <x v="1"/>
    <s v="38"/>
    <s v="951"/>
    <n v="30"/>
    <n v="0.59200841219768663"/>
    <n v="1.9733613739922887E-2"/>
  </r>
  <r>
    <x v="0"/>
    <x v="1"/>
    <x v="1"/>
    <s v="M00000280519"/>
    <d v="2007-06-28T00:00:00"/>
    <n v="0"/>
    <n v="50.69"/>
    <n v="594"/>
    <n v="198"/>
    <x v="0"/>
    <s v="38"/>
    <s v="792"/>
    <n v="38"/>
    <n v="0.75"/>
    <n v="1.9736842105263157E-2"/>
  </r>
  <r>
    <x v="0"/>
    <x v="1"/>
    <x v="1"/>
    <s v="M00000299780"/>
    <d v="2007-09-20T00:00:00"/>
    <n v="0"/>
    <n v="153.6"/>
    <n v="1800"/>
    <n v="600"/>
    <x v="0"/>
    <s v="38"/>
    <s v="2400"/>
    <n v="38"/>
    <n v="0.75"/>
    <n v="1.9736842105263157E-2"/>
  </r>
  <r>
    <x v="0"/>
    <x v="1"/>
    <x v="1"/>
    <s v="M00000313161"/>
    <d v="2007-11-15T00:00:00"/>
    <n v="0"/>
    <n v="128"/>
    <n v="1500"/>
    <n v="500"/>
    <x v="0"/>
    <s v="38"/>
    <s v="2000"/>
    <n v="38"/>
    <n v="0.75"/>
    <n v="1.9736842105263157E-2"/>
  </r>
  <r>
    <x v="0"/>
    <x v="1"/>
    <x v="1"/>
    <s v="M00000332416"/>
    <d v="2008-01-17T00:00:00"/>
    <n v="0"/>
    <n v="0"/>
    <n v="1500"/>
    <n v="500"/>
    <x v="0"/>
    <s v="38"/>
    <s v="2000"/>
    <n v="38"/>
    <n v="0.75"/>
    <n v="1.9736842105263157E-2"/>
  </r>
  <r>
    <x v="0"/>
    <x v="1"/>
    <x v="1"/>
    <s v="M00000333208"/>
    <d v="2008-01-17T00:00:00"/>
    <n v="0"/>
    <n v="51.2"/>
    <n v="600"/>
    <n v="200"/>
    <x v="0"/>
    <s v="38"/>
    <s v="800"/>
    <n v="38"/>
    <n v="0.75"/>
    <n v="1.9736842105263157E-2"/>
  </r>
  <r>
    <x v="0"/>
    <x v="1"/>
    <x v="1"/>
    <s v="M00000338219"/>
    <d v="2008-02-07T00:00:00"/>
    <n v="0"/>
    <n v="128"/>
    <n v="1500"/>
    <n v="500"/>
    <x v="0"/>
    <s v="38"/>
    <s v="2000"/>
    <n v="38"/>
    <n v="0.75"/>
    <n v="1.9736842105263157E-2"/>
  </r>
  <r>
    <x v="0"/>
    <x v="1"/>
    <x v="1"/>
    <s v="M00000341111"/>
    <d v="2008-02-21T00:00:00"/>
    <n v="0"/>
    <n v="64"/>
    <n v="750"/>
    <n v="250"/>
    <x v="0"/>
    <s v="38"/>
    <s v="1000"/>
    <n v="38"/>
    <n v="0.75"/>
    <n v="1.9736842105263157E-2"/>
  </r>
  <r>
    <x v="0"/>
    <x v="1"/>
    <x v="1"/>
    <s v="M00000341523"/>
    <d v="2008-03-13T00:00:00"/>
    <n v="0"/>
    <n v="64"/>
    <n v="750"/>
    <n v="250"/>
    <x v="0"/>
    <s v="38"/>
    <s v="1000"/>
    <n v="38"/>
    <n v="0.75"/>
    <n v="1.9736842105263157E-2"/>
  </r>
  <r>
    <x v="0"/>
    <x v="1"/>
    <x v="1"/>
    <s v="M00000342562"/>
    <d v="2008-02-29T00:00:00"/>
    <n v="0"/>
    <n v="64"/>
    <n v="750"/>
    <n v="250"/>
    <x v="0"/>
    <s v="38"/>
    <s v="1000"/>
    <n v="38"/>
    <n v="0.75"/>
    <n v="1.9736842105263157E-2"/>
  </r>
  <r>
    <x v="0"/>
    <x v="1"/>
    <x v="1"/>
    <s v="M00000363497"/>
    <d v="2008-05-29T00:00:00"/>
    <n v="0"/>
    <n v="64"/>
    <n v="651.86"/>
    <n v="250"/>
    <x v="10"/>
    <s v="38"/>
    <s v="1000"/>
    <n v="33"/>
    <n v="0.65185999999999999"/>
    <n v="1.9753333333333335E-2"/>
  </r>
  <r>
    <x v="0"/>
    <x v="1"/>
    <x v="1"/>
    <s v="M00000272854"/>
    <d v="2007-05-24T00:00:00"/>
    <n v="0"/>
    <n v="147.19999999999999"/>
    <n v="1411.05"/>
    <n v="575"/>
    <x v="6"/>
    <s v="49"/>
    <s v="2300"/>
    <n v="31"/>
    <n v="0.61349999999999993"/>
    <n v="1.979032258064516E-2"/>
  </r>
  <r>
    <x v="0"/>
    <x v="1"/>
    <x v="1"/>
    <s v="M00000305044"/>
    <d v="2007-10-18T00:00:00"/>
    <n v="0"/>
    <n v="51.52"/>
    <n v="478"/>
    <n v="201.25"/>
    <x v="1"/>
    <s v="38"/>
    <s v="805"/>
    <n v="30"/>
    <n v="0.59378881987577636"/>
    <n v="1.979296066252588E-2"/>
  </r>
  <r>
    <x v="0"/>
    <x v="1"/>
    <x v="1"/>
    <s v="M00000346211"/>
    <d v="2008-03-13T00:00:00"/>
    <n v="0"/>
    <n v="83.78"/>
    <n v="752"/>
    <n v="327.25"/>
    <x v="8"/>
    <s v="38"/>
    <s v="1309"/>
    <n v="29"/>
    <n v="0.57448433919022157"/>
    <n v="1.9809804799662812E-2"/>
  </r>
  <r>
    <x v="0"/>
    <x v="1"/>
    <x v="1"/>
    <s v="M00000288310"/>
    <d v="2007-08-02T00:00:00"/>
    <n v="0"/>
    <n v="55.3"/>
    <n v="428.03"/>
    <n v="216"/>
    <x v="3"/>
    <s v="38"/>
    <s v="864"/>
    <n v="25"/>
    <n v="0.49540509259259258"/>
    <n v="1.9816203703703704E-2"/>
  </r>
  <r>
    <x v="0"/>
    <x v="1"/>
    <x v="1"/>
    <s v="M00000308955"/>
    <d v="2007-11-09T00:00:00"/>
    <n v="0"/>
    <n v="158.4"/>
    <n v="1325"/>
    <n v="618.75"/>
    <x v="2"/>
    <s v="38"/>
    <s v="2475"/>
    <n v="27"/>
    <n v="0.53535353535353536"/>
    <n v="1.9827908716797606E-2"/>
  </r>
  <r>
    <x v="0"/>
    <x v="1"/>
    <x v="1"/>
    <s v="M00000326131"/>
    <d v="2007-12-31T00:00:00"/>
    <n v="0"/>
    <n v="86.02"/>
    <n v="800"/>
    <n v="336"/>
    <x v="1"/>
    <s v="38"/>
    <s v="1344"/>
    <n v="30"/>
    <n v="0.59523809523809523"/>
    <n v="1.984126984126984E-2"/>
  </r>
  <r>
    <x v="0"/>
    <x v="1"/>
    <x v="1"/>
    <s v="M00000371778"/>
    <d v="2008-07-03T00:00:00"/>
    <n v="0"/>
    <n v="86.4"/>
    <n v="536"/>
    <n v="337.5"/>
    <x v="6"/>
    <s v="38"/>
    <s v="1350"/>
    <n v="20"/>
    <n v="0.39703703703703702"/>
    <n v="1.985185185185185E-2"/>
  </r>
  <r>
    <x v="0"/>
    <x v="1"/>
    <x v="1"/>
    <s v="M00000354657"/>
    <d v="2008-04-24T00:00:00"/>
    <n v="0"/>
    <n v="74.56"/>
    <n v="625"/>
    <n v="291.25"/>
    <x v="2"/>
    <s v="38"/>
    <s v="1165"/>
    <n v="27"/>
    <n v="0.53648068669527893"/>
    <n v="1.9869655062788108E-2"/>
  </r>
  <r>
    <x v="0"/>
    <x v="1"/>
    <x v="1"/>
    <s v="M00000313170"/>
    <d v="2007-11-15T00:00:00"/>
    <n v="0"/>
    <n v="96"/>
    <n v="1132.95"/>
    <n v="375"/>
    <x v="1"/>
    <s v="46"/>
    <s v="1500"/>
    <n v="38"/>
    <n v="0.75530000000000008"/>
    <n v="1.9876315789473686E-2"/>
  </r>
  <r>
    <x v="0"/>
    <x v="1"/>
    <x v="1"/>
    <s v="M00000293650"/>
    <d v="2007-08-30T00:00:00"/>
    <n v="0"/>
    <n v="116.22"/>
    <n v="833"/>
    <n v="454"/>
    <x v="4"/>
    <s v="38"/>
    <s v="1816"/>
    <n v="23"/>
    <n v="0.45870044052863435"/>
    <n v="1.9943497414288448E-2"/>
  </r>
  <r>
    <x v="0"/>
    <x v="1"/>
    <x v="1"/>
    <s v="M00000333524"/>
    <d v="2008-01-17T00:00:00"/>
    <n v="0"/>
    <n v="123.52"/>
    <n v="963"/>
    <n v="482.5"/>
    <x v="3"/>
    <s v="38"/>
    <s v="1930"/>
    <n v="25"/>
    <n v="0.49896373056994819"/>
    <n v="1.9958549222797928E-2"/>
  </r>
  <r>
    <x v="0"/>
    <x v="1"/>
    <x v="1"/>
    <s v="M00000318385"/>
    <d v="2007-12-06T00:00:00"/>
    <n v="0"/>
    <n v="71.680000000000007"/>
    <n v="515"/>
    <n v="280"/>
    <x v="4"/>
    <s v="38"/>
    <s v="1120"/>
    <n v="23"/>
    <n v="0.45982142857142855"/>
    <n v="1.999223602484472E-2"/>
  </r>
  <r>
    <x v="0"/>
    <x v="1"/>
    <x v="1"/>
    <s v="M00000309642"/>
    <d v="2007-11-01T00:00:00"/>
    <n v="0"/>
    <n v="100.16"/>
    <n v="845"/>
    <n v="391.25"/>
    <x v="2"/>
    <s v="38"/>
    <s v="1565"/>
    <n v="27"/>
    <n v="0.53993610223642174"/>
    <n v="1.9997633416163767E-2"/>
  </r>
  <r>
    <x v="0"/>
    <x v="1"/>
    <x v="1"/>
    <s v="M00000271049"/>
    <d v="2007-05-10T00:00:00"/>
    <n v="0"/>
    <n v="69.12"/>
    <n v="648"/>
    <n v="270"/>
    <x v="1"/>
    <s v="38"/>
    <s v="1080"/>
    <n v="30"/>
    <n v="0.6"/>
    <n v="0.02"/>
  </r>
  <r>
    <x v="0"/>
    <x v="1"/>
    <x v="1"/>
    <s v="M00000273004"/>
    <d v="2007-05-24T00:00:00"/>
    <n v="0"/>
    <n v="76.8"/>
    <n v="648"/>
    <n v="300"/>
    <x v="2"/>
    <s v="38"/>
    <s v="1200"/>
    <n v="27"/>
    <n v="0.54"/>
    <n v="0.02"/>
  </r>
  <r>
    <x v="0"/>
    <x v="1"/>
    <x v="1"/>
    <s v="M00000285612"/>
    <d v="2007-07-19T00:00:00"/>
    <n v="0"/>
    <n v="19.2"/>
    <n v="180"/>
    <n v="75"/>
    <x v="1"/>
    <s v="38"/>
    <s v="300"/>
    <n v="30"/>
    <n v="0.6"/>
    <n v="0.02"/>
  </r>
  <r>
    <x v="0"/>
    <x v="1"/>
    <x v="1"/>
    <s v="M00000347940"/>
    <d v="2008-03-27T00:00:00"/>
    <n v="0"/>
    <n v="51.84"/>
    <n v="486"/>
    <n v="202.5"/>
    <x v="1"/>
    <s v="38"/>
    <s v="810"/>
    <n v="30"/>
    <n v="0.6"/>
    <n v="0.02"/>
  </r>
  <r>
    <x v="0"/>
    <x v="1"/>
    <x v="1"/>
    <s v="M00000360245"/>
    <d v="2008-05-15T00:00:00"/>
    <n v="0"/>
    <n v="51.2"/>
    <n v="480"/>
    <n v="200"/>
    <x v="1"/>
    <s v="38"/>
    <s v="800"/>
    <n v="30"/>
    <n v="0.6"/>
    <n v="0.02"/>
  </r>
  <r>
    <x v="0"/>
    <x v="1"/>
    <x v="1"/>
    <s v="M00000313364"/>
    <d v="2007-11-21T00:00:00"/>
    <n v="0"/>
    <n v="105.28"/>
    <n v="757"/>
    <n v="411.25"/>
    <x v="4"/>
    <s v="38"/>
    <s v="1645"/>
    <n v="23"/>
    <n v="0.46018237082066871"/>
    <n v="2.0007929166116031E-2"/>
  </r>
  <r>
    <x v="0"/>
    <x v="1"/>
    <x v="1"/>
    <s v="M00000351627"/>
    <d v="2008-04-03T00:00:00"/>
    <n v="0"/>
    <n v="156.80000000000001"/>
    <n v="1863"/>
    <n v="612.5"/>
    <x v="0"/>
    <s v="38"/>
    <s v="2450"/>
    <n v="38"/>
    <n v="0.76040816326530614"/>
    <n v="2.0010741138560689E-2"/>
  </r>
  <r>
    <x v="0"/>
    <x v="1"/>
    <x v="1"/>
    <s v="M00000294367"/>
    <d v="2007-08-30T00:00:00"/>
    <n v="0"/>
    <n v="67.900000000000006"/>
    <n v="574"/>
    <n v="265.25"/>
    <x v="2"/>
    <s v="38"/>
    <s v="1061"/>
    <n v="27"/>
    <n v="0.5409990574929312"/>
    <n v="2.0037002129367824E-2"/>
  </r>
  <r>
    <x v="0"/>
    <x v="1"/>
    <x v="1"/>
    <s v="M00000319181"/>
    <d v="2007-12-06T00:00:00"/>
    <n v="0"/>
    <n v="108.8"/>
    <n v="1295"/>
    <n v="425"/>
    <x v="0"/>
    <s v="38"/>
    <s v="1700"/>
    <n v="38"/>
    <n v="0.7617647058823529"/>
    <n v="2.004643962848297E-2"/>
  </r>
  <r>
    <x v="0"/>
    <x v="1"/>
    <x v="1"/>
    <s v="M00000336423"/>
    <d v="2008-04-24T00:00:00"/>
    <n v="0"/>
    <n v="58.82"/>
    <n v="701"/>
    <n v="229.75"/>
    <x v="0"/>
    <s v="38"/>
    <s v="919"/>
    <n v="38"/>
    <n v="0.76278563656147991"/>
    <n v="2.0073306225302102E-2"/>
  </r>
  <r>
    <x v="0"/>
    <x v="1"/>
    <x v="1"/>
    <s v="M00000347507"/>
    <d v="2008-03-20T00:00:00"/>
    <n v="0"/>
    <n v="71.680000000000007"/>
    <n v="855"/>
    <n v="280"/>
    <x v="0"/>
    <s v="38"/>
    <s v="1120"/>
    <n v="38"/>
    <n v="0.7633928571428571"/>
    <n v="2.0089285714285712E-2"/>
  </r>
  <r>
    <x v="0"/>
    <x v="1"/>
    <x v="1"/>
    <s v="M00000296332"/>
    <d v="2007-09-06T00:00:00"/>
    <n v="0"/>
    <n v="84.03"/>
    <n v="712.96"/>
    <n v="328.25"/>
    <x v="2"/>
    <s v="38"/>
    <s v="1313"/>
    <n v="27"/>
    <n v="0.54300076161462307"/>
    <n v="2.0111139319060115E-2"/>
  </r>
  <r>
    <x v="0"/>
    <x v="1"/>
    <x v="1"/>
    <s v="M00000330682"/>
    <d v="2007-12-31T00:00:00"/>
    <n v="0"/>
    <n v="36.42"/>
    <n v="435"/>
    <n v="142.25"/>
    <x v="0"/>
    <s v="38"/>
    <s v="569"/>
    <n v="38"/>
    <n v="0.76449912126537789"/>
    <n v="2.0118397928036259E-2"/>
  </r>
  <r>
    <x v="0"/>
    <x v="1"/>
    <x v="1"/>
    <s v="M00000291478"/>
    <d v="2007-08-23T00:00:00"/>
    <n v="0"/>
    <n v="78.849999999999994"/>
    <n v="942.97"/>
    <n v="308"/>
    <x v="0"/>
    <s v="38"/>
    <s v="1232"/>
    <n v="38"/>
    <n v="0.76539772727272726"/>
    <n v="2.0142045454545454E-2"/>
  </r>
  <r>
    <x v="0"/>
    <x v="1"/>
    <x v="1"/>
    <s v="M00000340755"/>
    <d v="2008-02-21T00:00:00"/>
    <n v="0"/>
    <n v="57.6"/>
    <n v="690"/>
    <n v="225"/>
    <x v="0"/>
    <s v="38"/>
    <s v="900"/>
    <n v="38"/>
    <n v="0.76666666666666672"/>
    <n v="2.0175438596491228E-2"/>
  </r>
  <r>
    <x v="0"/>
    <x v="1"/>
    <x v="1"/>
    <s v="M00000287562"/>
    <d v="2007-09-14T00:00:00"/>
    <n v="0"/>
    <n v="42.62"/>
    <n v="416.72"/>
    <n v="166.5"/>
    <x v="6"/>
    <s v="49"/>
    <s v="666"/>
    <n v="31"/>
    <n v="0.62570570570570572"/>
    <n v="2.0184055022764699E-2"/>
  </r>
  <r>
    <x v="0"/>
    <x v="1"/>
    <x v="1"/>
    <s v="M00000299170"/>
    <d v="2007-09-20T00:00:00"/>
    <n v="0"/>
    <n v="57.6"/>
    <n v="510"/>
    <n v="225"/>
    <x v="11"/>
    <s v="38"/>
    <s v="900"/>
    <n v="28"/>
    <n v="0.56666666666666665"/>
    <n v="2.0238095238095239E-2"/>
  </r>
  <r>
    <x v="0"/>
    <x v="1"/>
    <x v="1"/>
    <s v="M00000284434"/>
    <d v="2007-07-19T00:00:00"/>
    <n v="0"/>
    <n v="53.76"/>
    <n v="340.03"/>
    <n v="210"/>
    <x v="5"/>
    <s v="39"/>
    <s v="840"/>
    <n v="20"/>
    <n v="0.40479761904761902"/>
    <n v="2.023988095238095E-2"/>
  </r>
  <r>
    <x v="0"/>
    <x v="1"/>
    <x v="1"/>
    <s v="M00000343028"/>
    <d v="2008-04-03T00:00:00"/>
    <n v="0"/>
    <n v="46.59"/>
    <n v="560"/>
    <n v="182"/>
    <x v="0"/>
    <s v="38"/>
    <s v="728"/>
    <n v="38"/>
    <n v="0.76923076923076927"/>
    <n v="2.0242914979757085E-2"/>
  </r>
  <r>
    <x v="0"/>
    <x v="1"/>
    <x v="1"/>
    <s v="M00000354927"/>
    <d v="2008-04-24T00:00:00"/>
    <n v="0"/>
    <n v="85.31"/>
    <n v="540"/>
    <n v="333.25"/>
    <x v="6"/>
    <s v="38"/>
    <s v="1333"/>
    <n v="20"/>
    <n v="0.40510127531882972"/>
    <n v="2.0255063765941488E-2"/>
  </r>
  <r>
    <x v="0"/>
    <x v="1"/>
    <x v="1"/>
    <s v="M00000338245"/>
    <d v="2008-02-07T00:00:00"/>
    <n v="0"/>
    <n v="121.6"/>
    <n v="1040"/>
    <n v="475"/>
    <x v="2"/>
    <s v="38"/>
    <s v="1900"/>
    <n v="27"/>
    <n v="0.54736842105263162"/>
    <n v="2.02729044834308E-2"/>
  </r>
  <r>
    <x v="0"/>
    <x v="1"/>
    <x v="1"/>
    <s v="M00000283069"/>
    <d v="2007-07-12T00:00:00"/>
    <n v="0"/>
    <n v="73.599999999999994"/>
    <n v="583.04999999999995"/>
    <n v="287.5"/>
    <x v="3"/>
    <s v="38"/>
    <s v="1150"/>
    <n v="25"/>
    <n v="0.50700000000000001"/>
    <n v="2.0279999999999999E-2"/>
  </r>
  <r>
    <x v="0"/>
    <x v="1"/>
    <x v="1"/>
    <s v="M00000285738"/>
    <d v="2007-07-26T00:00:00"/>
    <n v="0"/>
    <n v="38.909999999999997"/>
    <n v="469.01"/>
    <n v="152"/>
    <x v="0"/>
    <s v="38"/>
    <s v="608"/>
    <n v="38"/>
    <n v="0.77139802631578946"/>
    <n v="2.029994806094183E-2"/>
  </r>
  <r>
    <x v="0"/>
    <x v="1"/>
    <x v="1"/>
    <s v="M00000348142"/>
    <d v="2008-03-27T00:00:00"/>
    <n v="0"/>
    <n v="65.540000000000006"/>
    <n v="790.24"/>
    <n v="256"/>
    <x v="0"/>
    <s v="38"/>
    <s v="1024"/>
    <n v="38"/>
    <n v="0.77171875000000001"/>
    <n v="2.0308388157894736E-2"/>
  </r>
  <r>
    <x v="0"/>
    <x v="1"/>
    <x v="1"/>
    <s v="M00000361524"/>
    <d v="2008-05-22T00:00:00"/>
    <n v="0"/>
    <n v="61.44"/>
    <n v="585"/>
    <n v="240"/>
    <x v="1"/>
    <s v="38"/>
    <s v="960"/>
    <n v="30"/>
    <n v="0.609375"/>
    <n v="2.0312500000000001E-2"/>
  </r>
  <r>
    <x v="0"/>
    <x v="1"/>
    <x v="1"/>
    <s v="M00000341090"/>
    <d v="2008-02-29T00:00:00"/>
    <n v="0"/>
    <n v="84.93"/>
    <n v="728"/>
    <n v="331.75"/>
    <x v="2"/>
    <s v="38"/>
    <s v="1327"/>
    <n v="27"/>
    <n v="0.54860587792012061"/>
    <n v="2.0318736219263726E-2"/>
  </r>
  <r>
    <x v="0"/>
    <x v="1"/>
    <x v="1"/>
    <s v="M00000327502"/>
    <d v="2007-12-31T00:00:00"/>
    <n v="0"/>
    <n v="115.2"/>
    <n v="1390"/>
    <n v="450"/>
    <x v="0"/>
    <s v="38"/>
    <s v="1800"/>
    <n v="38"/>
    <n v="0.77222222222222225"/>
    <n v="2.0321637426900584E-2"/>
  </r>
  <r>
    <x v="0"/>
    <x v="1"/>
    <x v="1"/>
    <s v="M00000346937"/>
    <d v="2008-03-13T00:00:00"/>
    <n v="0"/>
    <n v="73.02"/>
    <n v="696"/>
    <n v="285.25"/>
    <x v="1"/>
    <s v="38"/>
    <s v="1141"/>
    <n v="30"/>
    <n v="0.60999123575810688"/>
    <n v="2.0333041191936897E-2"/>
  </r>
  <r>
    <x v="0"/>
    <x v="1"/>
    <x v="1"/>
    <s v="M00000341188"/>
    <d v="2008-02-21T00:00:00"/>
    <n v="0"/>
    <n v="70.400000000000006"/>
    <n v="850"/>
    <n v="275"/>
    <x v="0"/>
    <s v="38"/>
    <s v="1100"/>
    <n v="38"/>
    <n v="0.77272727272727271"/>
    <n v="2.033492822966507E-2"/>
  </r>
  <r>
    <x v="0"/>
    <x v="1"/>
    <x v="1"/>
    <s v="M00000355686"/>
    <d v="2008-04-24T00:00:00"/>
    <n v="0"/>
    <n v="110.59"/>
    <n v="1337"/>
    <n v="432"/>
    <x v="0"/>
    <s v="38"/>
    <s v="1728"/>
    <n v="38"/>
    <n v="0.77372685185185186"/>
    <n v="2.0361232943469785E-2"/>
  </r>
  <r>
    <x v="0"/>
    <x v="1"/>
    <x v="1"/>
    <s v="M00000308330"/>
    <d v="2007-10-25T00:00:00"/>
    <n v="0"/>
    <n v="80.64"/>
    <n v="975"/>
    <n v="315"/>
    <x v="0"/>
    <s v="38"/>
    <s v="1260"/>
    <n v="38"/>
    <n v="0.77380952380952384"/>
    <n v="2.036340852130326E-2"/>
  </r>
  <r>
    <x v="0"/>
    <x v="1"/>
    <x v="1"/>
    <s v="M00000269764"/>
    <d v="2007-05-10T00:00:00"/>
    <n v="0"/>
    <n v="67.58"/>
    <n v="538.55999999999995"/>
    <n v="264"/>
    <x v="3"/>
    <s v="38"/>
    <s v="1056"/>
    <n v="25"/>
    <n v="0.51"/>
    <n v="2.0399999999999995E-2"/>
  </r>
  <r>
    <x v="0"/>
    <x v="1"/>
    <x v="1"/>
    <s v="M00000332209"/>
    <d v="2007-12-31T00:00:00"/>
    <n v="0"/>
    <n v="76.8"/>
    <n v="588"/>
    <n v="300"/>
    <x v="18"/>
    <s v="38"/>
    <s v="1200"/>
    <n v="24"/>
    <n v="0.49"/>
    <n v="2.0416666666666666E-2"/>
  </r>
  <r>
    <x v="0"/>
    <x v="1"/>
    <x v="1"/>
    <s v="M00000327430"/>
    <d v="2007-12-31T00:00:00"/>
    <n v="0"/>
    <n v="90.24"/>
    <n v="576"/>
    <n v="352.5"/>
    <x v="6"/>
    <s v="38"/>
    <s v="1410"/>
    <n v="20"/>
    <n v="0.40851063829787232"/>
    <n v="2.0425531914893616E-2"/>
  </r>
  <r>
    <x v="0"/>
    <x v="1"/>
    <x v="1"/>
    <s v="M00000334073"/>
    <d v="2008-01-24T00:00:00"/>
    <n v="0"/>
    <n v="89.6"/>
    <n v="544"/>
    <n v="350"/>
    <x v="5"/>
    <s v="38"/>
    <s v="1400"/>
    <n v="19"/>
    <n v="0.38857142857142857"/>
    <n v="2.0451127819548873E-2"/>
  </r>
  <r>
    <x v="0"/>
    <x v="1"/>
    <x v="1"/>
    <s v="M00000343822"/>
    <d v="2008-03-06T00:00:00"/>
    <n v="0"/>
    <n v="70.400000000000006"/>
    <n v="855"/>
    <n v="275"/>
    <x v="0"/>
    <s v="38"/>
    <s v="1100"/>
    <n v="38"/>
    <n v="0.77727272727272723"/>
    <n v="2.0454545454545454E-2"/>
  </r>
  <r>
    <x v="0"/>
    <x v="1"/>
    <x v="1"/>
    <s v="M00000294358"/>
    <d v="2007-08-30T00:00:00"/>
    <n v="0"/>
    <n v="83.2"/>
    <n v="745.03"/>
    <n v="325"/>
    <x v="11"/>
    <s v="38"/>
    <s v="1300"/>
    <n v="28"/>
    <n v="0.57309999999999994"/>
    <n v="2.0467857142857142E-2"/>
  </r>
  <r>
    <x v="0"/>
    <x v="1"/>
    <x v="1"/>
    <s v="M00000328097"/>
    <d v="2007-12-31T00:00:00"/>
    <n v="0"/>
    <n v="78.72"/>
    <n v="580"/>
    <n v="307.5"/>
    <x v="4"/>
    <s v="38"/>
    <s v="1230"/>
    <n v="23"/>
    <n v="0.47154471544715448"/>
    <n v="2.0501944149876283E-2"/>
  </r>
  <r>
    <x v="0"/>
    <x v="1"/>
    <x v="1"/>
    <s v="M00000316027"/>
    <d v="2007-12-31T00:00:00"/>
    <n v="0"/>
    <n v="89.54"/>
    <n v="574"/>
    <n v="349.75"/>
    <x v="6"/>
    <s v="38"/>
    <s v="1399"/>
    <n v="20"/>
    <n v="0.41029306647605435"/>
    <n v="2.0514653323802718E-2"/>
  </r>
  <r>
    <x v="0"/>
    <x v="1"/>
    <x v="1"/>
    <s v="M00000291357"/>
    <d v="2007-08-30T00:00:00"/>
    <n v="0"/>
    <n v="117.76"/>
    <n v="943.92"/>
    <n v="460"/>
    <x v="3"/>
    <s v="38"/>
    <s v="1840"/>
    <n v="25"/>
    <n v="0.51300000000000001"/>
    <n v="2.052E-2"/>
  </r>
  <r>
    <x v="0"/>
    <x v="1"/>
    <x v="1"/>
    <s v="M00000337030"/>
    <d v="2008-02-21T00:00:00"/>
    <n v="0"/>
    <n v="55.81"/>
    <n v="680"/>
    <n v="218"/>
    <x v="2"/>
    <s v="49"/>
    <s v="872"/>
    <n v="38"/>
    <n v="0.77981651376146788"/>
    <n v="2.0521487204249154E-2"/>
  </r>
  <r>
    <x v="0"/>
    <x v="1"/>
    <x v="1"/>
    <s v="M00000305214"/>
    <d v="2007-10-18T00:00:00"/>
    <n v="0"/>
    <n v="64.959999999999994"/>
    <n v="542"/>
    <n v="253.75"/>
    <x v="14"/>
    <s v="38"/>
    <s v="1015"/>
    <n v="26"/>
    <n v="0.53399014778325127"/>
    <n v="2.0538082607048126E-2"/>
  </r>
  <r>
    <x v="0"/>
    <x v="1"/>
    <x v="1"/>
    <s v="M00000279901"/>
    <d v="2007-06-28T00:00:00"/>
    <n v="0"/>
    <n v="80.64"/>
    <n v="492.03"/>
    <n v="315"/>
    <x v="5"/>
    <s v="38"/>
    <s v="1260"/>
    <n v="19"/>
    <n v="0.39049999999999996"/>
    <n v="2.0552631578947368E-2"/>
  </r>
  <r>
    <x v="0"/>
    <x v="1"/>
    <x v="1"/>
    <s v="M00000278823"/>
    <d v="2007-06-21T00:00:00"/>
    <n v="0"/>
    <n v="67.97"/>
    <n v="655.04"/>
    <n v="265.5"/>
    <x v="1"/>
    <s v="38"/>
    <s v="1062"/>
    <n v="30"/>
    <n v="0.61679849340866288"/>
    <n v="2.0559949780288762E-2"/>
  </r>
  <r>
    <x v="0"/>
    <x v="1"/>
    <x v="1"/>
    <s v="M00000330667"/>
    <d v="2007-12-31T00:00:00"/>
    <n v="0"/>
    <n v="77.819999999999993"/>
    <n v="826"/>
    <n v="304"/>
    <x v="10"/>
    <s v="38"/>
    <s v="1216"/>
    <n v="33"/>
    <n v="0.67927631578947367"/>
    <n v="2.0584130781499201E-2"/>
  </r>
  <r>
    <x v="0"/>
    <x v="1"/>
    <x v="1"/>
    <s v="M00000287567"/>
    <d v="2007-07-26T00:00:00"/>
    <n v="0"/>
    <n v="56.83"/>
    <n v="695.04"/>
    <n v="222"/>
    <x v="0"/>
    <s v="38"/>
    <s v="888"/>
    <n v="38"/>
    <n v="0.7827027027027027"/>
    <n v="2.0597439544807965E-2"/>
  </r>
  <r>
    <x v="0"/>
    <x v="1"/>
    <x v="1"/>
    <s v="M00000278327"/>
    <d v="2007-07-06T00:00:00"/>
    <n v="0"/>
    <n v="76.03"/>
    <n v="833.74"/>
    <n v="297"/>
    <x v="2"/>
    <s v="45"/>
    <s v="1188"/>
    <n v="34"/>
    <n v="0.70180134680134676"/>
    <n v="2.0641216082392552E-2"/>
  </r>
  <r>
    <x v="0"/>
    <x v="1"/>
    <x v="1"/>
    <s v="M00000334636"/>
    <d v="2008-01-24T00:00:00"/>
    <n v="0"/>
    <n v="109.06"/>
    <n v="950"/>
    <n v="426"/>
    <x v="2"/>
    <s v="38"/>
    <s v="1704"/>
    <n v="27"/>
    <n v="0.55751173708920188"/>
    <n v="2.0648582855155626E-2"/>
  </r>
  <r>
    <x v="0"/>
    <x v="1"/>
    <x v="1"/>
    <s v="M00000301977"/>
    <d v="2007-09-28T00:00:00"/>
    <n v="0"/>
    <n v="86.91"/>
    <n v="533"/>
    <n v="339.5"/>
    <x v="5"/>
    <s v="38"/>
    <s v="1358"/>
    <n v="19"/>
    <n v="0.39248895434462444"/>
    <n v="2.0657313386559181E-2"/>
  </r>
  <r>
    <x v="0"/>
    <x v="1"/>
    <x v="1"/>
    <s v="M00000327878"/>
    <d v="2007-12-31T00:00:00"/>
    <n v="0"/>
    <n v="58.69"/>
    <n v="360"/>
    <n v="229.25"/>
    <x v="5"/>
    <s v="38"/>
    <s v="917"/>
    <n v="19"/>
    <n v="0.3925845147219193"/>
    <n v="2.0662342880101017E-2"/>
  </r>
  <r>
    <x v="0"/>
    <x v="1"/>
    <x v="1"/>
    <s v="M00000340883"/>
    <d v="2008-03-20T00:00:00"/>
    <n v="0"/>
    <n v="44.8"/>
    <n v="550"/>
    <n v="175"/>
    <x v="0"/>
    <s v="38"/>
    <s v="700"/>
    <n v="38"/>
    <n v="0.7857142857142857"/>
    <n v="2.0676691729323307E-2"/>
  </r>
  <r>
    <x v="0"/>
    <x v="1"/>
    <x v="1"/>
    <s v="M00000346157"/>
    <d v="2008-03-13T00:00:00"/>
    <n v="0"/>
    <n v="82.43"/>
    <n v="506"/>
    <n v="322"/>
    <x v="5"/>
    <s v="38"/>
    <s v="1288"/>
    <n v="19"/>
    <n v="0.39285714285714285"/>
    <n v="2.0676691729323307E-2"/>
  </r>
  <r>
    <x v="0"/>
    <x v="1"/>
    <x v="1"/>
    <s v="M00000321567"/>
    <d v="2007-12-13T00:00:00"/>
    <n v="0"/>
    <n v="73.22"/>
    <n v="710"/>
    <n v="286"/>
    <x v="1"/>
    <s v="38"/>
    <s v="1144"/>
    <n v="30"/>
    <n v="0.62062937062937062"/>
    <n v="2.0687645687645688E-2"/>
  </r>
  <r>
    <x v="0"/>
    <x v="1"/>
    <x v="1"/>
    <s v="M00000294495"/>
    <d v="2007-09-20T00:00:00"/>
    <n v="0"/>
    <n v="104.45"/>
    <n v="946.07"/>
    <n v="408"/>
    <x v="11"/>
    <s v="38"/>
    <s v="1632"/>
    <n v="28"/>
    <n v="0.5796997549019608"/>
    <n v="2.0703562675070029E-2"/>
  </r>
  <r>
    <x v="0"/>
    <x v="1"/>
    <x v="1"/>
    <s v="M00000321331"/>
    <d v="2007-12-20T00:00:00"/>
    <n v="0"/>
    <n v="102.4"/>
    <n v="630"/>
    <n v="400"/>
    <x v="5"/>
    <s v="38"/>
    <s v="1600"/>
    <n v="19"/>
    <n v="0.39374999999999999"/>
    <n v="2.0723684210526314E-2"/>
  </r>
  <r>
    <x v="0"/>
    <x v="1"/>
    <x v="1"/>
    <s v="M00000268890"/>
    <d v="2007-05-10T00:00:00"/>
    <n v="0"/>
    <n v="64"/>
    <n v="790"/>
    <n v="250"/>
    <x v="0"/>
    <s v="38"/>
    <s v="1000"/>
    <n v="38"/>
    <n v="0.79"/>
    <n v="2.0789473684210528E-2"/>
  </r>
  <r>
    <x v="0"/>
    <x v="1"/>
    <x v="1"/>
    <s v="M00000271320"/>
    <d v="2007-06-28T00:00:00"/>
    <n v="0"/>
    <n v="40.380000000000003"/>
    <n v="498.49"/>
    <n v="157.75"/>
    <x v="0"/>
    <s v="38"/>
    <s v="631"/>
    <n v="38"/>
    <n v="0.79"/>
    <n v="2.0789473684210528E-2"/>
  </r>
  <r>
    <x v="0"/>
    <x v="1"/>
    <x v="1"/>
    <s v="M00000315096"/>
    <d v="2007-11-21T00:00:00"/>
    <n v="0"/>
    <n v="68.03"/>
    <n v="840"/>
    <n v="265.75"/>
    <x v="0"/>
    <s v="38"/>
    <s v="1063"/>
    <n v="38"/>
    <n v="0.79021636876763879"/>
    <n v="2.079516759914839E-2"/>
  </r>
  <r>
    <x v="0"/>
    <x v="1"/>
    <x v="1"/>
    <s v="M00000318870"/>
    <d v="2007-12-06T00:00:00"/>
    <n v="0"/>
    <n v="68.03"/>
    <n v="840"/>
    <n v="265.75"/>
    <x v="0"/>
    <s v="38"/>
    <s v="1063"/>
    <n v="38"/>
    <n v="0.79021636876763879"/>
    <n v="2.079516759914839E-2"/>
  </r>
  <r>
    <x v="0"/>
    <x v="1"/>
    <x v="1"/>
    <s v="M00000293032"/>
    <d v="2007-09-20T00:00:00"/>
    <n v="0"/>
    <n v="47.49"/>
    <n v="587"/>
    <n v="185.5"/>
    <x v="0"/>
    <s v="38"/>
    <s v="742"/>
    <n v="38"/>
    <n v="0.79110512129380051"/>
    <n v="2.0818555823521066E-2"/>
  </r>
  <r>
    <x v="0"/>
    <x v="1"/>
    <x v="1"/>
    <s v="M00000291526"/>
    <d v="2007-08-16T00:00:00"/>
    <n v="0"/>
    <n v="64"/>
    <n v="500"/>
    <n v="250"/>
    <x v="18"/>
    <s v="38"/>
    <s v="1000"/>
    <n v="24"/>
    <n v="0.5"/>
    <n v="2.0833333333333332E-2"/>
  </r>
  <r>
    <x v="0"/>
    <x v="1"/>
    <x v="1"/>
    <s v="M00000304074"/>
    <d v="2007-10-11T00:00:00"/>
    <n v="0"/>
    <n v="79.87"/>
    <n v="780"/>
    <n v="312"/>
    <x v="1"/>
    <s v="38"/>
    <s v="1248"/>
    <n v="30"/>
    <n v="0.625"/>
    <n v="2.0833333333333332E-2"/>
  </r>
  <r>
    <x v="0"/>
    <x v="1"/>
    <x v="1"/>
    <s v="M00000305430"/>
    <d v="2007-11-15T00:00:00"/>
    <n v="0"/>
    <n v="102.4"/>
    <n v="900"/>
    <n v="400"/>
    <x v="2"/>
    <s v="38"/>
    <s v="1600"/>
    <n v="27"/>
    <n v="0.5625"/>
    <n v="2.0833333333333332E-2"/>
  </r>
  <r>
    <x v="0"/>
    <x v="1"/>
    <x v="1"/>
    <s v="M00000330915"/>
    <d v="2007-12-31T00:00:00"/>
    <n v="0"/>
    <n v="76.8"/>
    <n v="750"/>
    <n v="300"/>
    <x v="1"/>
    <s v="38"/>
    <s v="1200"/>
    <n v="30"/>
    <n v="0.625"/>
    <n v="2.0833333333333332E-2"/>
  </r>
  <r>
    <x v="0"/>
    <x v="1"/>
    <x v="1"/>
    <s v="M00000333512"/>
    <d v="2008-01-24T00:00:00"/>
    <n v="0"/>
    <n v="60.42"/>
    <n v="590"/>
    <n v="236"/>
    <x v="1"/>
    <s v="38"/>
    <s v="944"/>
    <n v="30"/>
    <n v="0.625"/>
    <n v="2.0833333333333332E-2"/>
  </r>
  <r>
    <x v="0"/>
    <x v="1"/>
    <x v="1"/>
    <s v="M00000358411"/>
    <d v="2008-05-08T00:00:00"/>
    <n v="0"/>
    <n v="95.62"/>
    <n v="747"/>
    <n v="373.5"/>
    <x v="18"/>
    <s v="38"/>
    <s v="1494"/>
    <n v="24"/>
    <n v="0.5"/>
    <n v="2.0833333333333332E-2"/>
  </r>
  <r>
    <x v="0"/>
    <x v="1"/>
    <x v="1"/>
    <s v="M00000313180"/>
    <d v="2007-11-15T00:00:00"/>
    <n v="0"/>
    <n v="76.8"/>
    <n v="650.04"/>
    <n v="300"/>
    <x v="14"/>
    <s v="38"/>
    <s v="1200"/>
    <n v="26"/>
    <n v="0.54169999999999996"/>
    <n v="2.0834615384615382E-2"/>
  </r>
  <r>
    <x v="0"/>
    <x v="1"/>
    <x v="1"/>
    <s v="M00000362107"/>
    <d v="2008-05-22T00:00:00"/>
    <n v="0"/>
    <n v="86.53"/>
    <n v="648"/>
    <n v="338"/>
    <x v="4"/>
    <s v="38"/>
    <s v="1352"/>
    <n v="23"/>
    <n v="0.47928994082840237"/>
    <n v="2.0838693079495756E-2"/>
  </r>
  <r>
    <x v="0"/>
    <x v="1"/>
    <x v="1"/>
    <s v="M00000301229"/>
    <d v="2007-09-27T00:00:00"/>
    <n v="0"/>
    <n v="104.96"/>
    <n v="855"/>
    <n v="410"/>
    <x v="3"/>
    <s v="38"/>
    <s v="1640"/>
    <n v="25"/>
    <n v="0.52134146341463417"/>
    <n v="2.0853658536585367E-2"/>
  </r>
  <r>
    <x v="0"/>
    <x v="1"/>
    <x v="1"/>
    <s v="M00000343829"/>
    <d v="2008-03-06T00:00:00"/>
    <n v="0"/>
    <n v="106.43"/>
    <n v="867"/>
    <n v="415.75"/>
    <x v="3"/>
    <s v="38"/>
    <s v="1663"/>
    <n v="25"/>
    <n v="0.52134696331930241"/>
    <n v="2.0853878532772097E-2"/>
  </r>
  <r>
    <x v="0"/>
    <x v="1"/>
    <x v="1"/>
    <s v="M00000371406"/>
    <d v="2008-06-26T00:00:00"/>
    <n v="0"/>
    <n v="128"/>
    <n v="1085"/>
    <n v="500"/>
    <x v="14"/>
    <s v="38"/>
    <s v="2000"/>
    <n v="26"/>
    <n v="0.54249999999999998"/>
    <n v="2.0865384615384616E-2"/>
  </r>
  <r>
    <x v="0"/>
    <x v="1"/>
    <x v="1"/>
    <s v="M00000342661"/>
    <d v="2008-03-06T00:00:00"/>
    <n v="0"/>
    <n v="57.66"/>
    <n v="470"/>
    <n v="225.25"/>
    <x v="3"/>
    <s v="38"/>
    <s v="901"/>
    <n v="25"/>
    <n v="0.52164261931187572"/>
    <n v="2.0865704772475027E-2"/>
  </r>
  <r>
    <x v="0"/>
    <x v="1"/>
    <x v="1"/>
    <s v="M00000342489"/>
    <d v="2008-02-29T00:00:00"/>
    <n v="0"/>
    <n v="96.83"/>
    <n v="1200"/>
    <n v="378.25"/>
    <x v="2"/>
    <s v="49"/>
    <s v="1513"/>
    <n v="38"/>
    <n v="0.79312623925974879"/>
    <n v="2.0871743138414441E-2"/>
  </r>
  <r>
    <x v="0"/>
    <x v="1"/>
    <x v="1"/>
    <s v="M00000367032"/>
    <d v="2008-06-12T00:00:00"/>
    <n v="0"/>
    <n v="99.2"/>
    <n v="875"/>
    <n v="387.5"/>
    <x v="2"/>
    <s v="38"/>
    <s v="1550"/>
    <n v="27"/>
    <n v="0.56451612903225812"/>
    <n v="2.0908004778972523E-2"/>
  </r>
  <r>
    <x v="0"/>
    <x v="1"/>
    <x v="1"/>
    <s v="M00000291205"/>
    <d v="2007-08-16T00:00:00"/>
    <n v="0"/>
    <n v="84.61"/>
    <n v="636.01"/>
    <n v="330.5"/>
    <x v="4"/>
    <s v="38"/>
    <s v="1322"/>
    <n v="23"/>
    <n v="0.48109682299546142"/>
    <n v="2.0917253173715712E-2"/>
  </r>
  <r>
    <x v="0"/>
    <x v="1"/>
    <x v="1"/>
    <s v="M00000337808"/>
    <d v="2008-02-07T00:00:00"/>
    <n v="0"/>
    <n v="96.26"/>
    <n v="598"/>
    <n v="376"/>
    <x v="5"/>
    <s v="38"/>
    <s v="1504"/>
    <n v="19"/>
    <n v="0.39760638297872342"/>
    <n v="2.0926651735722286E-2"/>
  </r>
  <r>
    <x v="0"/>
    <x v="1"/>
    <x v="1"/>
    <s v="M00000353082"/>
    <d v="2008-04-10T00:00:00"/>
    <n v="0"/>
    <n v="91.2"/>
    <n v="895"/>
    <n v="356.25"/>
    <x v="1"/>
    <s v="38"/>
    <s v="1425"/>
    <n v="30"/>
    <n v="0.62807017543859645"/>
    <n v="2.093567251461988E-2"/>
  </r>
  <r>
    <x v="0"/>
    <x v="1"/>
    <x v="1"/>
    <s v="M00000337114"/>
    <d v="2008-02-07T00:00:00"/>
    <n v="0"/>
    <n v="142.59"/>
    <n v="1401"/>
    <n v="557"/>
    <x v="1"/>
    <s v="38"/>
    <s v="2228"/>
    <n v="30"/>
    <n v="0.62881508078994619"/>
    <n v="2.0960502692998206E-2"/>
  </r>
  <r>
    <x v="0"/>
    <x v="1"/>
    <x v="1"/>
    <s v="M00000299530"/>
    <d v="2007-10-11T00:00:00"/>
    <n v="0"/>
    <n v="120.64"/>
    <n v="910"/>
    <n v="471.25"/>
    <x v="4"/>
    <s v="38"/>
    <s v="1885"/>
    <n v="23"/>
    <n v="0.48275862068965519"/>
    <n v="2.0989505247376312E-2"/>
  </r>
  <r>
    <x v="0"/>
    <x v="1"/>
    <x v="1"/>
    <s v="M00000341758"/>
    <d v="2008-02-29T00:00:00"/>
    <n v="0"/>
    <n v="172.8"/>
    <n v="1875"/>
    <n v="675"/>
    <x v="10"/>
    <s v="38"/>
    <s v="2700"/>
    <n v="33"/>
    <n v="0.69444444444444442"/>
    <n v="2.1043771043771042E-2"/>
  </r>
  <r>
    <x v="0"/>
    <x v="1"/>
    <x v="1"/>
    <s v="M00000275838"/>
    <d v="2007-06-07T00:00:00"/>
    <n v="0"/>
    <n v="64"/>
    <n v="400"/>
    <n v="250"/>
    <x v="5"/>
    <s v="38"/>
    <s v="1000"/>
    <n v="19"/>
    <n v="0.4"/>
    <n v="2.1052631578947368E-2"/>
  </r>
  <r>
    <x v="0"/>
    <x v="1"/>
    <x v="1"/>
    <s v="M00000283420"/>
    <d v="2007-10-11T00:00:00"/>
    <n v="0"/>
    <n v="39.68"/>
    <n v="248"/>
    <n v="155"/>
    <x v="5"/>
    <s v="38"/>
    <s v="620"/>
    <n v="19"/>
    <n v="0.4"/>
    <n v="2.1052631578947368E-2"/>
  </r>
  <r>
    <x v="0"/>
    <x v="1"/>
    <x v="1"/>
    <s v="M00000285665"/>
    <d v="2007-07-19T00:00:00"/>
    <n v="0"/>
    <n v="44.8"/>
    <n v="280"/>
    <n v="175"/>
    <x v="5"/>
    <s v="38"/>
    <s v="700"/>
    <n v="19"/>
    <n v="0.4"/>
    <n v="2.1052631578947368E-2"/>
  </r>
  <r>
    <x v="0"/>
    <x v="1"/>
    <x v="1"/>
    <s v="M00000318916"/>
    <d v="2007-12-31T00:00:00"/>
    <n v="0"/>
    <n v="96"/>
    <n v="1200"/>
    <n v="375"/>
    <x v="0"/>
    <s v="38"/>
    <s v="1500"/>
    <n v="38"/>
    <n v="0.8"/>
    <n v="2.1052631578947368E-2"/>
  </r>
  <r>
    <x v="0"/>
    <x v="1"/>
    <x v="1"/>
    <s v="M00000305588"/>
    <d v="2007-10-18T00:00:00"/>
    <n v="0"/>
    <n v="54.66"/>
    <n v="684"/>
    <n v="213.5"/>
    <x v="0"/>
    <s v="38"/>
    <s v="854"/>
    <n v="38"/>
    <n v="0.80093676814988291"/>
    <n v="2.1077283372365339E-2"/>
  </r>
  <r>
    <x v="0"/>
    <x v="1"/>
    <x v="1"/>
    <s v="M00000275231"/>
    <d v="2007-06-07T00:00:00"/>
    <n v="0"/>
    <n v="87.17"/>
    <n v="776.07"/>
    <n v="340.5"/>
    <x v="2"/>
    <s v="38"/>
    <s v="1362"/>
    <n v="27"/>
    <n v="0.56980176211453748"/>
    <n v="2.1103768967205092E-2"/>
  </r>
  <r>
    <x v="0"/>
    <x v="1"/>
    <x v="1"/>
    <s v="M00000340029"/>
    <d v="2008-02-14T00:00:00"/>
    <n v="0"/>
    <n v="89.34"/>
    <n v="766"/>
    <n v="349"/>
    <x v="14"/>
    <s v="38"/>
    <s v="1396"/>
    <n v="26"/>
    <n v="0.54871060171919772"/>
    <n v="2.1104253912276834E-2"/>
  </r>
  <r>
    <x v="0"/>
    <x v="1"/>
    <x v="1"/>
    <s v="M00000288555"/>
    <d v="2007-08-02T00:00:00"/>
    <n v="0"/>
    <n v="62.46"/>
    <n v="783.04"/>
    <n v="244"/>
    <x v="0"/>
    <s v="38"/>
    <s v="976"/>
    <n v="38"/>
    <n v="0.80229508196721311"/>
    <n v="2.1113028472821399E-2"/>
  </r>
  <r>
    <x v="0"/>
    <x v="1"/>
    <x v="1"/>
    <s v="M00000305446"/>
    <d v="2007-10-18T00:00:00"/>
    <n v="0"/>
    <n v="35.840000000000003"/>
    <n v="450"/>
    <n v="140"/>
    <x v="0"/>
    <s v="38"/>
    <s v="560"/>
    <n v="38"/>
    <n v="0.8035714285714286"/>
    <n v="2.1146616541353386E-2"/>
  </r>
  <r>
    <x v="0"/>
    <x v="1"/>
    <x v="1"/>
    <s v="M00000310384"/>
    <d v="2007-12-20T00:00:00"/>
    <n v="0"/>
    <n v="79.489999999999995"/>
    <n v="814.86"/>
    <n v="310.5"/>
    <x v="16"/>
    <s v="38"/>
    <s v="1242"/>
    <n v="31"/>
    <n v="0.6560869565217391"/>
    <n v="2.1164095371669002E-2"/>
  </r>
  <r>
    <x v="0"/>
    <x v="1"/>
    <x v="1"/>
    <s v="M00000298062"/>
    <d v="2007-10-25T00:00:00"/>
    <n v="0"/>
    <n v="89.92"/>
    <n v="833.31"/>
    <n v="351.25"/>
    <x v="11"/>
    <s v="38"/>
    <s v="1405"/>
    <n v="28"/>
    <n v="0.59310320284697504"/>
    <n v="2.1182257244534822E-2"/>
  </r>
  <r>
    <x v="0"/>
    <x v="1"/>
    <x v="1"/>
    <s v="M00000358494"/>
    <d v="2008-05-08T00:00:00"/>
    <n v="0"/>
    <n v="80"/>
    <n v="795"/>
    <n v="312.5"/>
    <x v="1"/>
    <s v="38"/>
    <s v="1250"/>
    <n v="30"/>
    <n v="0.63600000000000001"/>
    <n v="2.12E-2"/>
  </r>
  <r>
    <x v="0"/>
    <x v="1"/>
    <x v="1"/>
    <s v="M00000334452"/>
    <d v="2008-01-24T00:00:00"/>
    <n v="0"/>
    <n v="120"/>
    <n v="995"/>
    <n v="468.75"/>
    <x v="3"/>
    <s v="38"/>
    <s v="1875"/>
    <n v="25"/>
    <n v="0.53066666666666662"/>
    <n v="2.1226666666666665E-2"/>
  </r>
  <r>
    <x v="0"/>
    <x v="1"/>
    <x v="1"/>
    <s v="M00000294292"/>
    <d v="2007-08-30T00:00:00"/>
    <n v="0"/>
    <n v="80.900000000000006"/>
    <n v="805.04"/>
    <n v="316"/>
    <x v="1"/>
    <s v="38"/>
    <s v="1264"/>
    <n v="30"/>
    <n v="0.63689873417721521"/>
    <n v="2.1229957805907175E-2"/>
  </r>
  <r>
    <x v="0"/>
    <x v="1"/>
    <x v="1"/>
    <s v="M00000326071"/>
    <d v="2008-02-14T00:00:00"/>
    <n v="0"/>
    <n v="68.03"/>
    <n v="767.76"/>
    <n v="265.75"/>
    <x v="9"/>
    <s v="38"/>
    <s v="1063"/>
    <n v="34"/>
    <n v="0.72225776105362183"/>
    <n v="2.1242875325106523E-2"/>
  </r>
  <r>
    <x v="0"/>
    <x v="1"/>
    <x v="1"/>
    <s v="M00000280429"/>
    <d v="2007-06-28T00:00:00"/>
    <n v="0"/>
    <n v="57.22"/>
    <n v="436.99"/>
    <n v="223.5"/>
    <x v="4"/>
    <s v="38"/>
    <s v="894"/>
    <n v="23"/>
    <n v="0.48880313199105146"/>
    <n v="2.1252310086567455E-2"/>
  </r>
  <r>
    <x v="0"/>
    <x v="1"/>
    <x v="1"/>
    <s v="M00000315615"/>
    <d v="2007-11-21T00:00:00"/>
    <n v="0"/>
    <n v="37.76"/>
    <n v="477"/>
    <n v="147.5"/>
    <x v="0"/>
    <s v="38"/>
    <s v="590"/>
    <n v="38"/>
    <n v="0.80847457627118646"/>
    <n v="2.1275646743978593E-2"/>
  </r>
  <r>
    <x v="0"/>
    <x v="1"/>
    <x v="1"/>
    <s v="M00000347758"/>
    <d v="2008-03-27T00:00:00"/>
    <n v="0"/>
    <n v="126.72"/>
    <n v="970"/>
    <n v="495"/>
    <x v="4"/>
    <s v="38"/>
    <s v="1980"/>
    <n v="23"/>
    <n v="0.48989898989898989"/>
    <n v="2.1299956082564776E-2"/>
  </r>
  <r>
    <x v="0"/>
    <x v="1"/>
    <x v="1"/>
    <s v="M00000300869"/>
    <d v="2007-11-09T00:00:00"/>
    <n v="0"/>
    <n v="25.6"/>
    <n v="324"/>
    <n v="100"/>
    <x v="0"/>
    <s v="38"/>
    <s v="400"/>
    <n v="38"/>
    <n v="0.81"/>
    <n v="2.1315789473684212E-2"/>
  </r>
  <r>
    <x v="0"/>
    <x v="1"/>
    <x v="1"/>
    <s v="M00000323844"/>
    <d v="2007-12-20T00:00:00"/>
    <n v="0"/>
    <n v="71.23"/>
    <n v="546"/>
    <n v="278.25"/>
    <x v="4"/>
    <s v="38"/>
    <s v="1113"/>
    <n v="23"/>
    <n v="0.49056603773584906"/>
    <n v="2.1328958162428219E-2"/>
  </r>
  <r>
    <x v="0"/>
    <x v="1"/>
    <x v="1"/>
    <s v="M00000324468"/>
    <d v="2007-12-20T00:00:00"/>
    <n v="0"/>
    <n v="43.26"/>
    <n v="274"/>
    <n v="169"/>
    <x v="5"/>
    <s v="38"/>
    <s v="676"/>
    <n v="19"/>
    <n v="0.40532544378698226"/>
    <n v="2.13329180940517E-2"/>
  </r>
  <r>
    <x v="0"/>
    <x v="1"/>
    <x v="1"/>
    <s v="M00000366216"/>
    <d v="2008-06-19T00:00:00"/>
    <n v="0"/>
    <n v="80"/>
    <n v="720.62"/>
    <n v="312.5"/>
    <x v="2"/>
    <s v="38"/>
    <s v="1250"/>
    <n v="27"/>
    <n v="0.57649600000000001"/>
    <n v="2.1351703703703703E-2"/>
  </r>
  <r>
    <x v="0"/>
    <x v="1"/>
    <x v="1"/>
    <s v="M00000300817"/>
    <d v="2007-10-11T00:00:00"/>
    <n v="0"/>
    <n v="83.2"/>
    <n v="750"/>
    <n v="325"/>
    <x v="2"/>
    <s v="38"/>
    <s v="1300"/>
    <n v="27"/>
    <n v="0.57692307692307687"/>
    <n v="2.1367521367521364E-2"/>
  </r>
  <r>
    <x v="0"/>
    <x v="1"/>
    <x v="1"/>
    <s v="M00000334753"/>
    <d v="2008-01-24T00:00:00"/>
    <n v="0"/>
    <n v="39.36"/>
    <n v="500"/>
    <n v="153.75"/>
    <x v="0"/>
    <s v="38"/>
    <s v="615"/>
    <n v="38"/>
    <n v="0.81300813008130079"/>
    <n v="2.1394950791613177E-2"/>
  </r>
  <r>
    <x v="0"/>
    <x v="1"/>
    <x v="1"/>
    <s v="M00000334224"/>
    <d v="2008-05-30T00:00:00"/>
    <n v="0"/>
    <n v="49.92"/>
    <n v="383.95"/>
    <n v="195"/>
    <x v="4"/>
    <s v="38"/>
    <s v="780"/>
    <n v="23"/>
    <n v="0.49224358974358973"/>
    <n v="2.140189520624303E-2"/>
  </r>
  <r>
    <x v="0"/>
    <x v="1"/>
    <x v="1"/>
    <s v="M00000283771"/>
    <d v="2007-07-12T00:00:00"/>
    <n v="0"/>
    <n v="69.12"/>
    <n v="740.02"/>
    <n v="270"/>
    <x v="12"/>
    <s v="38"/>
    <s v="1080"/>
    <n v="32"/>
    <n v="0.68520370370370365"/>
    <n v="2.1412615740740739E-2"/>
  </r>
  <r>
    <x v="0"/>
    <x v="1"/>
    <x v="1"/>
    <s v="M00000307202"/>
    <d v="2007-10-25T00:00:00"/>
    <n v="0"/>
    <n v="69.89"/>
    <n v="538"/>
    <n v="273"/>
    <x v="4"/>
    <s v="38"/>
    <s v="1092"/>
    <n v="23"/>
    <n v="0.4926739926739927"/>
    <n v="2.1420608377130116E-2"/>
  </r>
  <r>
    <x v="0"/>
    <x v="1"/>
    <x v="1"/>
    <s v="M00000308687"/>
    <d v="2007-11-01T00:00:00"/>
    <n v="0"/>
    <n v="24.32"/>
    <n v="228"/>
    <n v="95"/>
    <x v="11"/>
    <s v="38"/>
    <s v="380"/>
    <n v="28"/>
    <n v="0.6"/>
    <n v="2.1428571428571429E-2"/>
  </r>
  <r>
    <x v="0"/>
    <x v="1"/>
    <x v="1"/>
    <s v="M00000310347"/>
    <d v="2007-11-09T00:00:00"/>
    <n v="0"/>
    <n v="115.2"/>
    <n v="1080"/>
    <n v="450"/>
    <x v="11"/>
    <s v="38"/>
    <s v="1800"/>
    <n v="28"/>
    <n v="0.6"/>
    <n v="2.1428571428571429E-2"/>
  </r>
  <r>
    <x v="0"/>
    <x v="1"/>
    <x v="1"/>
    <s v="M00000346113"/>
    <d v="2008-03-13T00:00:00"/>
    <n v="0"/>
    <n v="105.28"/>
    <n v="987"/>
    <n v="411.25"/>
    <x v="11"/>
    <s v="38"/>
    <s v="1645"/>
    <n v="28"/>
    <n v="0.6"/>
    <n v="2.1428571428571429E-2"/>
  </r>
  <r>
    <x v="0"/>
    <x v="1"/>
    <x v="1"/>
    <s v="M00000285450"/>
    <d v="2007-07-19T00:00:00"/>
    <n v="0"/>
    <n v="91.52"/>
    <n v="613.04"/>
    <n v="357.5"/>
    <x v="6"/>
    <s v="38"/>
    <s v="1430"/>
    <n v="20"/>
    <n v="0.42869930069930068"/>
    <n v="2.1434965034965035E-2"/>
  </r>
  <r>
    <x v="0"/>
    <x v="1"/>
    <x v="1"/>
    <s v="M00000362408"/>
    <d v="2008-05-22T00:00:00"/>
    <n v="0"/>
    <n v="110.85"/>
    <n v="1003"/>
    <n v="433"/>
    <x v="2"/>
    <s v="38"/>
    <s v="1732"/>
    <n v="27"/>
    <n v="0.57909930715935332"/>
    <n v="2.1448122487383457E-2"/>
  </r>
  <r>
    <x v="0"/>
    <x v="1"/>
    <x v="1"/>
    <s v="M00000318657"/>
    <d v="2007-12-06T00:00:00"/>
    <n v="0"/>
    <n v="92.16"/>
    <n v="618"/>
    <n v="360"/>
    <x v="6"/>
    <s v="38"/>
    <s v="1440"/>
    <n v="20"/>
    <n v="0.42916666666666664"/>
    <n v="2.1458333333333333E-2"/>
  </r>
  <r>
    <x v="0"/>
    <x v="1"/>
    <x v="1"/>
    <s v="M00000327939"/>
    <d v="2007-12-31T00:00:00"/>
    <n v="0"/>
    <n v="93.44"/>
    <n v="940"/>
    <n v="365"/>
    <x v="1"/>
    <s v="38"/>
    <s v="1460"/>
    <n v="30"/>
    <n v="0.64383561643835618"/>
    <n v="2.1461187214611873E-2"/>
  </r>
  <r>
    <x v="0"/>
    <x v="1"/>
    <x v="1"/>
    <s v="M00000367052"/>
    <d v="2008-07-03T00:00:00"/>
    <n v="0"/>
    <n v="19.2"/>
    <n v="245"/>
    <n v="75"/>
    <x v="0"/>
    <s v="38"/>
    <s v="300"/>
    <n v="38"/>
    <n v="0.81666666666666665"/>
    <n v="2.1491228070175439E-2"/>
  </r>
  <r>
    <x v="0"/>
    <x v="1"/>
    <x v="1"/>
    <s v="M00000269240"/>
    <d v="2007-05-24T00:00:00"/>
    <n v="0"/>
    <n v="157.12"/>
    <n v="1583.97"/>
    <n v="613.75"/>
    <x v="1"/>
    <s v="38"/>
    <s v="2455"/>
    <n v="30"/>
    <n v="0.64520162932790226"/>
    <n v="2.1506720977596743E-2"/>
  </r>
  <r>
    <x v="0"/>
    <x v="1"/>
    <x v="1"/>
    <s v="M00000284346"/>
    <d v="2007-07-19T00:00:00"/>
    <n v="0"/>
    <n v="121.6"/>
    <n v="1226.07"/>
    <n v="475"/>
    <x v="1"/>
    <s v="38"/>
    <s v="1900"/>
    <n v="30"/>
    <n v="0.64529999999999998"/>
    <n v="2.1509999999999998E-2"/>
  </r>
  <r>
    <x v="0"/>
    <x v="1"/>
    <x v="1"/>
    <s v="M00000336912"/>
    <d v="2008-02-14T00:00:00"/>
    <n v="0"/>
    <n v="76.8"/>
    <n v="775"/>
    <n v="300"/>
    <x v="1"/>
    <s v="38"/>
    <s v="1200"/>
    <n v="30"/>
    <n v="0.64583333333333337"/>
    <n v="2.1527777777777778E-2"/>
  </r>
  <r>
    <x v="0"/>
    <x v="1"/>
    <x v="1"/>
    <s v="M00000313796"/>
    <d v="2007-11-21T00:00:00"/>
    <n v="0"/>
    <n v="83.2"/>
    <n v="840"/>
    <n v="325"/>
    <x v="1"/>
    <s v="38"/>
    <s v="1300"/>
    <n v="30"/>
    <n v="0.64615384615384619"/>
    <n v="2.1538461538461541E-2"/>
  </r>
  <r>
    <x v="0"/>
    <x v="1"/>
    <x v="1"/>
    <s v="M00000299879"/>
    <d v="2007-09-20T00:00:00"/>
    <n v="0"/>
    <n v="97.02"/>
    <n v="979.94"/>
    <n v="379"/>
    <x v="1"/>
    <s v="38"/>
    <s v="1516"/>
    <n v="30"/>
    <n v="0.64639841688654354"/>
    <n v="2.1546613896218116E-2"/>
  </r>
  <r>
    <x v="0"/>
    <x v="1"/>
    <x v="1"/>
    <s v="M00000326118"/>
    <d v="2007-12-31T00:00:00"/>
    <n v="0"/>
    <n v="67.58"/>
    <n v="865"/>
    <n v="264"/>
    <x v="0"/>
    <s v="38"/>
    <s v="1056"/>
    <n v="38"/>
    <n v="0.81912878787878785"/>
    <n v="2.1556020733652311E-2"/>
  </r>
  <r>
    <x v="0"/>
    <x v="1"/>
    <x v="1"/>
    <s v="M00000333956"/>
    <d v="2008-01-24T00:00:00"/>
    <n v="0"/>
    <n v="46.21"/>
    <n v="358"/>
    <n v="180.5"/>
    <x v="4"/>
    <s v="38"/>
    <s v="722"/>
    <n v="23"/>
    <n v="0.49584487534626037"/>
    <n v="2.1558472841141756E-2"/>
  </r>
  <r>
    <x v="0"/>
    <x v="1"/>
    <x v="1"/>
    <s v="M00000302109"/>
    <d v="2007-11-29T00:00:00"/>
    <n v="0"/>
    <n v="122.88"/>
    <n v="828"/>
    <n v="480"/>
    <x v="6"/>
    <s v="38"/>
    <s v="1920"/>
    <n v="20"/>
    <n v="0.43125000000000002"/>
    <n v="2.1562499999999998E-2"/>
  </r>
  <r>
    <x v="0"/>
    <x v="1"/>
    <x v="1"/>
    <s v="M00000279637"/>
    <d v="2007-06-28T00:00:00"/>
    <n v="0"/>
    <n v="108.8"/>
    <n v="1100.07"/>
    <n v="425"/>
    <x v="1"/>
    <s v="38"/>
    <s v="1700"/>
    <n v="30"/>
    <n v="0.64710000000000001"/>
    <n v="2.1569999999999999E-2"/>
  </r>
  <r>
    <x v="0"/>
    <x v="1"/>
    <x v="1"/>
    <s v="M00000269125"/>
    <d v="2007-05-10T00:00:00"/>
    <n v="0"/>
    <n v="92.35"/>
    <n v="591.63"/>
    <n v="360.75"/>
    <x v="5"/>
    <s v="38"/>
    <s v="1443"/>
    <n v="19"/>
    <n v="0.41"/>
    <n v="2.1578947368421052E-2"/>
  </r>
  <r>
    <x v="0"/>
    <x v="1"/>
    <x v="1"/>
    <s v="M00000340060"/>
    <d v="2008-02-14T00:00:00"/>
    <n v="0"/>
    <n v="96"/>
    <n v="1230"/>
    <n v="375"/>
    <x v="0"/>
    <s v="38"/>
    <s v="1500"/>
    <n v="38"/>
    <n v="0.82"/>
    <n v="2.1578947368421052E-2"/>
  </r>
  <r>
    <x v="0"/>
    <x v="1"/>
    <x v="1"/>
    <s v="M00000351994"/>
    <d v="2008-04-10T00:00:00"/>
    <n v="0"/>
    <n v="206.53"/>
    <n v="2090"/>
    <n v="806.75"/>
    <x v="6"/>
    <s v="48"/>
    <s v="3227"/>
    <n v="30"/>
    <n v="0.64766036566470409"/>
    <n v="2.1588678855490137E-2"/>
  </r>
  <r>
    <x v="0"/>
    <x v="1"/>
    <x v="1"/>
    <s v="M00000269403"/>
    <d v="2007-05-17T00:00:00"/>
    <n v="0"/>
    <n v="92.67"/>
    <n v="1158.4000000000001"/>
    <n v="362"/>
    <x v="20"/>
    <s v="38"/>
    <s v="1448"/>
    <n v="37"/>
    <n v="0.8"/>
    <n v="2.1621621621621623E-2"/>
  </r>
  <r>
    <x v="0"/>
    <x v="1"/>
    <x v="1"/>
    <s v="M00000278112"/>
    <d v="2007-06-21T00:00:00"/>
    <n v="0"/>
    <n v="29.38"/>
    <n v="297.98"/>
    <n v="114.75"/>
    <x v="1"/>
    <s v="38"/>
    <s v="459"/>
    <n v="30"/>
    <n v="0.64919389978213515"/>
    <n v="2.1639796659404506E-2"/>
  </r>
  <r>
    <x v="0"/>
    <x v="1"/>
    <x v="1"/>
    <s v="M00000323042"/>
    <d v="2007-12-20T00:00:00"/>
    <n v="0"/>
    <n v="134.4"/>
    <n v="1318"/>
    <n v="525"/>
    <x v="8"/>
    <s v="38"/>
    <s v="2100"/>
    <n v="29"/>
    <n v="0.62761904761904763"/>
    <n v="2.1642036124794747E-2"/>
  </r>
  <r>
    <x v="0"/>
    <x v="1"/>
    <x v="1"/>
    <s v="M00000372839"/>
    <d v="2008-07-03T00:00:00"/>
    <n v="0"/>
    <n v="62.14"/>
    <n v="484"/>
    <n v="242.75"/>
    <x v="4"/>
    <s v="38"/>
    <s v="971"/>
    <n v="23"/>
    <n v="0.49845520082389289"/>
    <n v="2.1671965253212733E-2"/>
  </r>
  <r>
    <x v="0"/>
    <x v="1"/>
    <x v="1"/>
    <s v="M00000276319"/>
    <d v="2007-08-02T00:00:00"/>
    <n v="0"/>
    <n v="55.68"/>
    <n v="603.35"/>
    <n v="217.5"/>
    <x v="12"/>
    <s v="38"/>
    <s v="870"/>
    <n v="32"/>
    <n v="0.69350574712643676"/>
    <n v="2.1672054597701149E-2"/>
  </r>
  <r>
    <x v="0"/>
    <x v="1"/>
    <x v="1"/>
    <s v="M00000353028"/>
    <d v="2008-04-10T00:00:00"/>
    <n v="0"/>
    <n v="72.64"/>
    <n v="566"/>
    <n v="283.75"/>
    <x v="4"/>
    <s v="38"/>
    <s v="1135"/>
    <n v="23"/>
    <n v="0.49867841409691632"/>
    <n v="2.1681670178126798E-2"/>
  </r>
  <r>
    <x v="0"/>
    <x v="1"/>
    <x v="1"/>
    <s v="M00000272988"/>
    <d v="2007-05-24T00:00:00"/>
    <n v="0"/>
    <n v="53.12"/>
    <n v="540"/>
    <n v="207.5"/>
    <x v="1"/>
    <s v="38"/>
    <s v="830"/>
    <n v="30"/>
    <n v="0.6506024096385542"/>
    <n v="2.1686746987951807E-2"/>
  </r>
  <r>
    <x v="0"/>
    <x v="1"/>
    <x v="1"/>
    <s v="M00000323797"/>
    <d v="2007-12-20T00:00:00"/>
    <n v="0"/>
    <n v="65.790000000000006"/>
    <n v="669"/>
    <n v="257"/>
    <x v="1"/>
    <s v="38"/>
    <s v="1028"/>
    <n v="30"/>
    <n v="0.65077821011673154"/>
    <n v="2.169260700389105E-2"/>
  </r>
  <r>
    <x v="0"/>
    <x v="1"/>
    <x v="1"/>
    <s v="M00000327499"/>
    <d v="2007-12-31T00:00:00"/>
    <n v="0"/>
    <n v="56.7"/>
    <n v="500"/>
    <n v="221.5"/>
    <x v="14"/>
    <s v="38"/>
    <s v="886"/>
    <n v="26"/>
    <n v="0.56433408577878108"/>
    <n v="2.1705157145337734E-2"/>
  </r>
  <r>
    <x v="0"/>
    <x v="1"/>
    <x v="1"/>
    <s v="M00000323685"/>
    <d v="2007-12-20T00:00:00"/>
    <n v="0"/>
    <n v="113.92"/>
    <n v="735"/>
    <n v="445"/>
    <x v="5"/>
    <s v="38"/>
    <s v="1780"/>
    <n v="19"/>
    <n v="0.41292134831460675"/>
    <n v="2.173270254287404E-2"/>
  </r>
  <r>
    <x v="0"/>
    <x v="1"/>
    <x v="1"/>
    <s v="M00000283067"/>
    <d v="2007-07-12T00:00:00"/>
    <n v="0"/>
    <n v="69.12"/>
    <n v="540"/>
    <n v="270"/>
    <x v="4"/>
    <s v="38"/>
    <s v="1080"/>
    <n v="23"/>
    <n v="0.5"/>
    <n v="2.1739130434782608E-2"/>
  </r>
  <r>
    <x v="0"/>
    <x v="1"/>
    <x v="1"/>
    <s v="M00000301601"/>
    <d v="2007-09-28T00:00:00"/>
    <n v="0"/>
    <n v="87.81"/>
    <n v="808"/>
    <n v="343"/>
    <x v="2"/>
    <s v="38"/>
    <s v="1372"/>
    <n v="27"/>
    <n v="0.58892128279883382"/>
    <n v="2.181189936291977E-2"/>
  </r>
  <r>
    <x v="0"/>
    <x v="1"/>
    <x v="1"/>
    <s v="M00000311392"/>
    <d v="2007-11-09T00:00:00"/>
    <n v="0"/>
    <n v="64.77"/>
    <n v="596"/>
    <n v="253"/>
    <x v="2"/>
    <s v="38"/>
    <s v="1012"/>
    <n v="27"/>
    <n v="0.58893280632411071"/>
    <n v="2.1812326160152249E-2"/>
  </r>
  <r>
    <x v="0"/>
    <x v="1"/>
    <x v="1"/>
    <s v="M00000319009"/>
    <d v="2007-12-13T00:00:00"/>
    <n v="0"/>
    <n v="80"/>
    <n v="900"/>
    <n v="312.5"/>
    <x v="10"/>
    <s v="38"/>
    <s v="1250"/>
    <n v="33"/>
    <n v="0.72"/>
    <n v="2.1818181818181816E-2"/>
  </r>
  <r>
    <x v="0"/>
    <x v="1"/>
    <x v="1"/>
    <s v="M00000276326"/>
    <d v="2007-06-14T00:00:00"/>
    <n v="0"/>
    <n v="100.1"/>
    <n v="784.97"/>
    <n v="391"/>
    <x v="4"/>
    <s v="38"/>
    <s v="1564"/>
    <n v="23"/>
    <n v="0.50189897698209718"/>
    <n v="2.182169465139553E-2"/>
  </r>
  <r>
    <x v="0"/>
    <x v="1"/>
    <x v="1"/>
    <s v="M00000271697"/>
    <d v="2007-06-07T00:00:00"/>
    <n v="0"/>
    <n v="83.97"/>
    <n v="573.34"/>
    <n v="328"/>
    <x v="6"/>
    <s v="38"/>
    <s v="1312"/>
    <n v="20"/>
    <n v="0.43699695121951221"/>
    <n v="2.1849847560975612E-2"/>
  </r>
  <r>
    <x v="0"/>
    <x v="1"/>
    <x v="1"/>
    <s v="M00000324976"/>
    <d v="2007-12-27T00:00:00"/>
    <n v="0"/>
    <n v="77.25"/>
    <n v="792"/>
    <n v="301.75"/>
    <x v="1"/>
    <s v="38"/>
    <s v="1207"/>
    <n v="30"/>
    <n v="0.65617232808616399"/>
    <n v="2.1872410936205466E-2"/>
  </r>
  <r>
    <x v="0"/>
    <x v="1"/>
    <x v="1"/>
    <s v="M00000333973"/>
    <d v="2008-01-24T00:00:00"/>
    <n v="0"/>
    <n v="87.74"/>
    <n v="959.7"/>
    <n v="342.75"/>
    <x v="12"/>
    <s v="38"/>
    <s v="1371"/>
    <n v="32"/>
    <n v="0.7"/>
    <n v="2.1874999999999999E-2"/>
  </r>
  <r>
    <x v="0"/>
    <x v="1"/>
    <x v="1"/>
    <s v="M00000310531"/>
    <d v="2007-12-31T00:00:00"/>
    <n v="0"/>
    <n v="98.69"/>
    <n v="944.71"/>
    <n v="385.5"/>
    <x v="11"/>
    <s v="38"/>
    <s v="1542"/>
    <n v="28"/>
    <n v="0.61265239948119332"/>
    <n v="2.1880442838614046E-2"/>
  </r>
  <r>
    <x v="0"/>
    <x v="1"/>
    <x v="1"/>
    <s v="M00000293303"/>
    <d v="2007-08-23T00:00:00"/>
    <n v="0"/>
    <n v="67.39"/>
    <n v="875.99"/>
    <n v="263.25"/>
    <x v="0"/>
    <s v="38"/>
    <s v="1053"/>
    <n v="38"/>
    <n v="0.83189933523266857"/>
    <n v="2.1892087769280751E-2"/>
  </r>
  <r>
    <x v="0"/>
    <x v="1"/>
    <x v="1"/>
    <s v="M00000359897"/>
    <d v="2008-05-15T00:00:00"/>
    <n v="0"/>
    <n v="72.319999999999993"/>
    <n v="494.77"/>
    <n v="282.5"/>
    <x v="6"/>
    <s v="38"/>
    <s v="1130"/>
    <n v="20"/>
    <n v="0.4378495575221239"/>
    <n v="2.1892477876106195E-2"/>
  </r>
  <r>
    <x v="0"/>
    <x v="1"/>
    <x v="1"/>
    <s v="M00000331882"/>
    <d v="2007-12-31T00:00:00"/>
    <n v="0"/>
    <n v="98.24"/>
    <n v="740"/>
    <n v="383.75"/>
    <x v="7"/>
    <s v="38"/>
    <s v="1535"/>
    <n v="22"/>
    <n v="0.48208469055374592"/>
    <n v="2.1912940479715724E-2"/>
  </r>
  <r>
    <x v="0"/>
    <x v="1"/>
    <x v="1"/>
    <s v="M00000346996"/>
    <d v="2008-04-17T00:00:00"/>
    <n v="0"/>
    <n v="38.4"/>
    <n v="500"/>
    <n v="150"/>
    <x v="0"/>
    <s v="38"/>
    <s v="600"/>
    <n v="38"/>
    <n v="0.83333333333333337"/>
    <n v="2.1929824561403511E-2"/>
  </r>
  <r>
    <x v="0"/>
    <x v="1"/>
    <x v="1"/>
    <s v="M00000346996"/>
    <d v="2008-06-19T00:00:00"/>
    <n v="0"/>
    <n v="-38.4"/>
    <n v="500"/>
    <n v="150"/>
    <x v="0"/>
    <s v="38"/>
    <s v="600"/>
    <n v="38"/>
    <n v="0.83333333333333337"/>
    <n v="2.1929824561403511E-2"/>
  </r>
  <r>
    <x v="0"/>
    <x v="1"/>
    <x v="1"/>
    <s v="M00000346996"/>
    <d v="2008-06-19T00:00:00"/>
    <n v="0"/>
    <n v="38.4"/>
    <n v="500"/>
    <n v="150"/>
    <x v="0"/>
    <s v="38"/>
    <s v="600"/>
    <n v="38"/>
    <n v="0.83333333333333337"/>
    <n v="2.1929824561403511E-2"/>
  </r>
  <r>
    <x v="0"/>
    <x v="1"/>
    <x v="1"/>
    <s v="M00000368839"/>
    <d v="2008-06-19T00:00:00"/>
    <n v="0"/>
    <n v="38.4"/>
    <n v="500"/>
    <n v="150"/>
    <x v="0"/>
    <s v="38"/>
    <s v="600"/>
    <n v="38"/>
    <n v="0.83333333333333337"/>
    <n v="2.1929824561403511E-2"/>
  </r>
  <r>
    <x v="0"/>
    <x v="1"/>
    <x v="1"/>
    <s v="M00000278270"/>
    <d v="2007-06-21T00:00:00"/>
    <n v="0"/>
    <n v="50.56"/>
    <n v="363.95"/>
    <n v="197.5"/>
    <x v="15"/>
    <s v="38"/>
    <s v="790"/>
    <n v="21"/>
    <n v="0.46069620253164556"/>
    <n v="2.1937914406268837E-2"/>
  </r>
  <r>
    <x v="0"/>
    <x v="1"/>
    <x v="1"/>
    <s v="M00000361802"/>
    <d v="2008-05-22T00:00:00"/>
    <n v="0"/>
    <n v="65.92"/>
    <n v="430"/>
    <n v="257.5"/>
    <x v="5"/>
    <s v="38"/>
    <s v="1030"/>
    <n v="19"/>
    <n v="0.41747572815533979"/>
    <n v="2.1972406745017884E-2"/>
  </r>
  <r>
    <x v="0"/>
    <x v="1"/>
    <x v="1"/>
    <s v="M00000327559"/>
    <d v="2007-12-31T00:00:00"/>
    <n v="0"/>
    <n v="128.44999999999999"/>
    <n v="1323"/>
    <n v="501.75"/>
    <x v="1"/>
    <s v="38"/>
    <s v="2007"/>
    <n v="30"/>
    <n v="0.65919282511210764"/>
    <n v="2.1973094170403589E-2"/>
  </r>
  <r>
    <x v="0"/>
    <x v="1"/>
    <x v="1"/>
    <s v="M00000288315"/>
    <d v="2007-08-02T00:00:00"/>
    <n v="0"/>
    <n v="126.21"/>
    <n v="1299.94"/>
    <n v="493"/>
    <x v="1"/>
    <s v="38"/>
    <s v="1972"/>
    <n v="30"/>
    <n v="0.65919878296146051"/>
    <n v="2.1973292765382017E-2"/>
  </r>
  <r>
    <x v="0"/>
    <x v="1"/>
    <x v="1"/>
    <s v="M00000273046"/>
    <d v="2007-05-24T00:00:00"/>
    <n v="0"/>
    <n v="78.08"/>
    <n v="884.99"/>
    <n v="305"/>
    <x v="10"/>
    <s v="38"/>
    <s v="1220"/>
    <n v="33"/>
    <n v="0.72540163934426227"/>
    <n v="2.1981867858917037E-2"/>
  </r>
  <r>
    <x v="0"/>
    <x v="1"/>
    <x v="1"/>
    <s v="M00000327873"/>
    <d v="2007-12-31T00:00:00"/>
    <n v="0"/>
    <n v="55.68"/>
    <n v="440"/>
    <n v="217.5"/>
    <x v="4"/>
    <s v="38"/>
    <s v="870"/>
    <n v="23"/>
    <n v="0.50574712643678166"/>
    <n v="2.1989005497251378E-2"/>
  </r>
  <r>
    <x v="0"/>
    <x v="1"/>
    <x v="1"/>
    <s v="M00000286930"/>
    <d v="2007-08-02T00:00:00"/>
    <n v="0"/>
    <n v="37.380000000000003"/>
    <n v="256.95999999999998"/>
    <n v="146"/>
    <x v="6"/>
    <s v="38"/>
    <s v="584"/>
    <n v="20"/>
    <n v="0.44"/>
    <n v="2.1999999999999999E-2"/>
  </r>
  <r>
    <x v="0"/>
    <x v="1"/>
    <x v="1"/>
    <s v="M00000270217"/>
    <d v="2007-05-10T00:00:00"/>
    <n v="0"/>
    <n v="76.16"/>
    <n v="785.4"/>
    <n v="297.5"/>
    <x v="1"/>
    <s v="38"/>
    <s v="1190"/>
    <n v="30"/>
    <n v="0.66"/>
    <n v="2.2000000000000002E-2"/>
  </r>
  <r>
    <x v="0"/>
    <x v="1"/>
    <x v="1"/>
    <s v="M00000321039"/>
    <d v="2007-12-13T00:00:00"/>
    <n v="0"/>
    <n v="83.46"/>
    <n v="661"/>
    <n v="326"/>
    <x v="4"/>
    <s v="38"/>
    <s v="1304"/>
    <n v="23"/>
    <n v="0.50690184049079756"/>
    <n v="2.2039210456121634E-2"/>
  </r>
  <r>
    <x v="0"/>
    <x v="1"/>
    <x v="1"/>
    <s v="M00000372881"/>
    <d v="2008-07-03T00:00:00"/>
    <n v="0"/>
    <n v="61.12"/>
    <n v="400"/>
    <n v="238.75"/>
    <x v="5"/>
    <s v="38"/>
    <s v="955"/>
    <n v="19"/>
    <n v="0.41884816753926701"/>
    <n v="2.2044640396803528E-2"/>
  </r>
  <r>
    <x v="0"/>
    <x v="1"/>
    <x v="1"/>
    <s v="M00000312751"/>
    <d v="2007-11-15T00:00:00"/>
    <n v="0"/>
    <n v="22.91"/>
    <n v="300"/>
    <n v="89.5"/>
    <x v="0"/>
    <s v="38"/>
    <s v="358"/>
    <n v="38"/>
    <n v="0.83798882681564246"/>
    <n v="2.2052337547780066E-2"/>
  </r>
  <r>
    <x v="0"/>
    <x v="1"/>
    <x v="1"/>
    <s v="M00000272456"/>
    <d v="2007-07-06T00:00:00"/>
    <n v="0"/>
    <n v="129.34"/>
    <n v="1694.81"/>
    <n v="505.25"/>
    <x v="0"/>
    <s v="38"/>
    <s v="2021"/>
    <n v="38"/>
    <n v="0.83859970311726861"/>
    <n v="2.2068413239928121E-2"/>
  </r>
  <r>
    <x v="0"/>
    <x v="1"/>
    <x v="1"/>
    <s v="M00000313276"/>
    <d v="2007-11-15T00:00:00"/>
    <n v="0"/>
    <n v="72"/>
    <n v="745"/>
    <n v="281.25"/>
    <x v="1"/>
    <s v="38"/>
    <s v="1125"/>
    <n v="30"/>
    <n v="0.66222222222222227"/>
    <n v="2.2074074074074076E-2"/>
  </r>
  <r>
    <x v="0"/>
    <x v="1"/>
    <x v="1"/>
    <s v="M00000315032"/>
    <d v="2007-12-27T00:00:00"/>
    <n v="0"/>
    <n v="71.680000000000007"/>
    <n v="940"/>
    <n v="280"/>
    <x v="0"/>
    <s v="38"/>
    <s v="1120"/>
    <n v="38"/>
    <n v="0.8392857142857143"/>
    <n v="2.2086466165413533E-2"/>
  </r>
  <r>
    <x v="0"/>
    <x v="1"/>
    <x v="1"/>
    <s v="M00000325096"/>
    <d v="2007-12-27T00:00:00"/>
    <n v="0"/>
    <n v="88.7"/>
    <n v="796"/>
    <n v="346.5"/>
    <x v="14"/>
    <s v="38"/>
    <s v="1386"/>
    <n v="26"/>
    <n v="0.57431457431457433"/>
    <n v="2.2089022089022088E-2"/>
  </r>
  <r>
    <x v="0"/>
    <x v="1"/>
    <x v="1"/>
    <s v="M00000357233"/>
    <d v="2008-04-30T00:00:00"/>
    <n v="0"/>
    <n v="92.22"/>
    <n v="955"/>
    <n v="360.25"/>
    <x v="1"/>
    <s v="38"/>
    <s v="1441"/>
    <n v="30"/>
    <n v="0.66273421235253294"/>
    <n v="2.2091140411751097E-2"/>
  </r>
  <r>
    <x v="0"/>
    <x v="1"/>
    <x v="1"/>
    <s v="M00000338011"/>
    <d v="2008-02-07T00:00:00"/>
    <n v="0"/>
    <n v="70.72"/>
    <n v="733"/>
    <n v="276.25"/>
    <x v="1"/>
    <s v="38"/>
    <s v="1105"/>
    <n v="30"/>
    <n v="0.66334841628959273"/>
    <n v="2.2111613876319759E-2"/>
  </r>
  <r>
    <x v="0"/>
    <x v="1"/>
    <x v="1"/>
    <s v="M00000304909"/>
    <d v="2007-10-18T00:00:00"/>
    <n v="0"/>
    <n v="40.32"/>
    <n v="530"/>
    <n v="157.5"/>
    <x v="0"/>
    <s v="38"/>
    <s v="630"/>
    <n v="38"/>
    <n v="0.84126984126984128"/>
    <n v="2.2138680033416874E-2"/>
  </r>
  <r>
    <x v="0"/>
    <x v="1"/>
    <x v="1"/>
    <s v="M00000343353"/>
    <d v="2008-03-06T00:00:00"/>
    <n v="0"/>
    <n v="38.4"/>
    <n v="505"/>
    <n v="150"/>
    <x v="0"/>
    <s v="38"/>
    <s v="600"/>
    <n v="38"/>
    <n v="0.84166666666666667"/>
    <n v="2.2149122807017543E-2"/>
  </r>
  <r>
    <x v="0"/>
    <x v="1"/>
    <x v="1"/>
    <s v="M00000315516"/>
    <d v="2007-11-21T00:00:00"/>
    <n v="0"/>
    <n v="75.2"/>
    <n v="495"/>
    <n v="293.75"/>
    <x v="5"/>
    <s v="38"/>
    <s v="1175"/>
    <n v="19"/>
    <n v="0.42127659574468085"/>
    <n v="2.2172452407614781E-2"/>
  </r>
  <r>
    <x v="0"/>
    <x v="1"/>
    <x v="1"/>
    <s v="M00000320590"/>
    <d v="2008-01-31T00:00:00"/>
    <n v="0"/>
    <n v="26.82"/>
    <n v="214"/>
    <n v="104.75"/>
    <x v="4"/>
    <s v="38"/>
    <s v="419"/>
    <n v="23"/>
    <n v="0.51073985680190925"/>
    <n v="2.2206080730517795E-2"/>
  </r>
  <r>
    <x v="0"/>
    <x v="1"/>
    <x v="1"/>
    <s v="M00000322408"/>
    <d v="2007-12-20T00:00:00"/>
    <n v="0"/>
    <n v="43.2"/>
    <n v="450"/>
    <n v="168.75"/>
    <x v="1"/>
    <s v="38"/>
    <s v="675"/>
    <n v="30"/>
    <n v="0.66666666666666663"/>
    <n v="2.222222222222222E-2"/>
  </r>
  <r>
    <x v="0"/>
    <x v="1"/>
    <x v="1"/>
    <s v="M00000335069"/>
    <d v="2008-02-07T00:00:00"/>
    <n v="0"/>
    <n v="32"/>
    <n v="300"/>
    <n v="125"/>
    <x v="2"/>
    <s v="38"/>
    <s v="500"/>
    <n v="27"/>
    <n v="0.6"/>
    <n v="2.2222222222222223E-2"/>
  </r>
  <r>
    <x v="0"/>
    <x v="1"/>
    <x v="1"/>
    <s v="M00000359123"/>
    <d v="2008-05-08T00:00:00"/>
    <n v="0"/>
    <n v="89.6"/>
    <n v="840"/>
    <n v="350"/>
    <x v="2"/>
    <s v="38"/>
    <s v="1400"/>
    <n v="27"/>
    <n v="0.6"/>
    <n v="2.2222222222222223E-2"/>
  </r>
  <r>
    <x v="0"/>
    <x v="1"/>
    <x v="1"/>
    <s v="M00000369048"/>
    <d v="2008-06-19T00:00:00"/>
    <n v="0"/>
    <n v="112"/>
    <n v="1050"/>
    <n v="437.5"/>
    <x v="2"/>
    <s v="38"/>
    <s v="1750"/>
    <n v="27"/>
    <n v="0.6"/>
    <n v="2.2222222222222223E-2"/>
  </r>
  <r>
    <x v="0"/>
    <x v="1"/>
    <x v="1"/>
    <s v="M00000291365"/>
    <d v="2007-08-16T00:00:00"/>
    <n v="0"/>
    <n v="53.76"/>
    <n v="560.03"/>
    <n v="210"/>
    <x v="1"/>
    <s v="38"/>
    <s v="840"/>
    <n v="30"/>
    <n v="0.66670238095238088"/>
    <n v="2.2223412698412697E-2"/>
  </r>
  <r>
    <x v="0"/>
    <x v="1"/>
    <x v="1"/>
    <s v="M00000342676"/>
    <d v="2008-03-06T00:00:00"/>
    <n v="0"/>
    <n v="79.23"/>
    <n v="743"/>
    <n v="309.5"/>
    <x v="2"/>
    <s v="38"/>
    <s v="1238"/>
    <n v="27"/>
    <n v="0.60016155088852985"/>
    <n v="2.222820558846407E-2"/>
  </r>
  <r>
    <x v="0"/>
    <x v="1"/>
    <x v="1"/>
    <s v="M00000317975"/>
    <d v="2007-12-31T00:00:00"/>
    <n v="0"/>
    <n v="96"/>
    <n v="1002"/>
    <n v="375"/>
    <x v="1"/>
    <s v="38"/>
    <s v="1500"/>
    <n v="30"/>
    <n v="0.66800000000000004"/>
    <n v="2.2266666666666667E-2"/>
  </r>
  <r>
    <x v="0"/>
    <x v="1"/>
    <x v="1"/>
    <s v="M00000354788"/>
    <d v="2008-04-24T00:00:00"/>
    <n v="0"/>
    <n v="89.6"/>
    <n v="842"/>
    <n v="350"/>
    <x v="2"/>
    <s v="38"/>
    <s v="1400"/>
    <n v="27"/>
    <n v="0.60142857142857142"/>
    <n v="2.2275132275132274E-2"/>
  </r>
  <r>
    <x v="0"/>
    <x v="1"/>
    <x v="1"/>
    <s v="M00000291467"/>
    <d v="2007-08-16T00:00:00"/>
    <n v="0"/>
    <n v="68.22"/>
    <n v="475.01"/>
    <n v="266.5"/>
    <x v="6"/>
    <s v="38"/>
    <s v="1066"/>
    <n v="20"/>
    <n v="0.44560037523452156"/>
    <n v="2.2280018761726077E-2"/>
  </r>
  <r>
    <x v="0"/>
    <x v="1"/>
    <x v="1"/>
    <s v="M00000346538"/>
    <d v="2008-03-27T00:00:00"/>
    <n v="0"/>
    <n v="102.4"/>
    <n v="820"/>
    <n v="400"/>
    <x v="4"/>
    <s v="38"/>
    <s v="1600"/>
    <n v="23"/>
    <n v="0.51249999999999996"/>
    <n v="2.2282608695652174E-2"/>
  </r>
  <r>
    <x v="0"/>
    <x v="1"/>
    <x v="1"/>
    <s v="M00000373061"/>
    <d v="2008-07-03T00:00:00"/>
    <n v="0"/>
    <n v="89.86"/>
    <n v="970"/>
    <n v="351"/>
    <x v="16"/>
    <s v="38"/>
    <s v="1404"/>
    <n v="31"/>
    <n v="0.69088319088319083"/>
    <n v="2.2286554544619058E-2"/>
  </r>
  <r>
    <x v="0"/>
    <x v="1"/>
    <x v="1"/>
    <s v="M00000351682"/>
    <d v="2008-04-10T00:00:00"/>
    <n v="0"/>
    <n v="83.52"/>
    <n v="670"/>
    <n v="326.25"/>
    <x v="4"/>
    <s v="38"/>
    <s v="1305"/>
    <n v="23"/>
    <n v="0.51340996168582376"/>
    <n v="2.232217224720973E-2"/>
  </r>
  <r>
    <x v="0"/>
    <x v="1"/>
    <x v="1"/>
    <s v="M00000333172"/>
    <d v="2007-12-31T00:00:00"/>
    <n v="0"/>
    <n v="96"/>
    <n v="670"/>
    <n v="375"/>
    <x v="6"/>
    <s v="38"/>
    <s v="1500"/>
    <n v="20"/>
    <n v="0.44666666666666666"/>
    <n v="2.2333333333333334E-2"/>
  </r>
  <r>
    <x v="0"/>
    <x v="1"/>
    <x v="1"/>
    <s v="M00000346898"/>
    <d v="2008-04-24T00:00:00"/>
    <n v="0"/>
    <n v="76.8"/>
    <n v="1019.33"/>
    <n v="300"/>
    <x v="0"/>
    <s v="38"/>
    <s v="1200"/>
    <n v="38"/>
    <n v="0.84944166666666665"/>
    <n v="2.2353728070175438E-2"/>
  </r>
  <r>
    <x v="0"/>
    <x v="1"/>
    <x v="1"/>
    <s v="M00000342464"/>
    <d v="2008-02-29T00:00:00"/>
    <n v="0"/>
    <n v="66.56"/>
    <n v="465"/>
    <n v="260"/>
    <x v="6"/>
    <s v="38"/>
    <s v="1040"/>
    <n v="20"/>
    <n v="0.44711538461538464"/>
    <n v="2.2355769230769231E-2"/>
  </r>
  <r>
    <x v="0"/>
    <x v="1"/>
    <x v="1"/>
    <s v="M00000336911"/>
    <d v="2008-02-14T00:00:00"/>
    <n v="0"/>
    <n v="0.06"/>
    <n v="850"/>
    <n v="250"/>
    <x v="0"/>
    <s v="38"/>
    <s v="1000"/>
    <n v="38"/>
    <n v="0.85"/>
    <n v="2.2368421052631579E-2"/>
  </r>
  <r>
    <x v="0"/>
    <x v="1"/>
    <x v="1"/>
    <s v="M00000333195"/>
    <d v="2008-01-17T00:00:00"/>
    <n v="0"/>
    <n v="28.8"/>
    <n v="533.58000000000004"/>
    <n v="112.5"/>
    <x v="0"/>
    <s v="53"/>
    <s v="450"/>
    <n v="53"/>
    <n v="1.1857333333333335"/>
    <n v="2.2372327044025159E-2"/>
  </r>
  <r>
    <x v="0"/>
    <x v="1"/>
    <x v="1"/>
    <s v="M00000278819"/>
    <d v="2007-07-12T00:00:00"/>
    <n v="0"/>
    <n v="117.31"/>
    <n v="1558.97"/>
    <n v="458.25"/>
    <x v="0"/>
    <s v="38"/>
    <s v="1833"/>
    <n v="38"/>
    <n v="0.85050190943807968"/>
    <n v="2.2381629195738939E-2"/>
  </r>
  <r>
    <x v="0"/>
    <x v="1"/>
    <x v="1"/>
    <s v="M00000346639"/>
    <d v="2008-03-20T00:00:00"/>
    <n v="0"/>
    <n v="24"/>
    <n v="319"/>
    <n v="93.75"/>
    <x v="2"/>
    <s v="49"/>
    <s v="375"/>
    <n v="38"/>
    <n v="0.85066666666666668"/>
    <n v="2.2385964912280704E-2"/>
  </r>
  <r>
    <x v="0"/>
    <x v="1"/>
    <x v="1"/>
    <s v="M00000287398"/>
    <d v="2007-09-27T00:00:00"/>
    <n v="0"/>
    <n v="84.48"/>
    <n v="1005.05"/>
    <n v="330"/>
    <x v="9"/>
    <s v="38"/>
    <s v="1320"/>
    <n v="34"/>
    <n v="0.76140151515151511"/>
    <n v="2.2394162210338679E-2"/>
  </r>
  <r>
    <x v="0"/>
    <x v="1"/>
    <x v="1"/>
    <s v="M00000320560"/>
    <d v="2007-12-13T00:00:00"/>
    <n v="0"/>
    <n v="128"/>
    <n v="1210"/>
    <n v="500"/>
    <x v="2"/>
    <s v="38"/>
    <s v="2000"/>
    <n v="27"/>
    <n v="0.60499999999999998"/>
    <n v="2.2407407407407407E-2"/>
  </r>
  <r>
    <x v="0"/>
    <x v="1"/>
    <x v="1"/>
    <s v="M00000338989"/>
    <d v="2008-02-14T00:00:00"/>
    <n v="0"/>
    <n v="74.75"/>
    <n v="995"/>
    <n v="292"/>
    <x v="0"/>
    <s v="38"/>
    <s v="1168"/>
    <n v="38"/>
    <n v="0.85188356164383561"/>
    <n v="2.2417988464311464E-2"/>
  </r>
  <r>
    <x v="0"/>
    <x v="1"/>
    <x v="1"/>
    <s v="M00000316406"/>
    <d v="2007-12-20T00:00:00"/>
    <n v="0"/>
    <n v="52.48"/>
    <n v="699"/>
    <n v="205"/>
    <x v="0"/>
    <s v="38"/>
    <s v="820"/>
    <n v="38"/>
    <n v="0.85243902439024388"/>
    <n v="2.2432605905006418E-2"/>
  </r>
  <r>
    <x v="0"/>
    <x v="1"/>
    <x v="1"/>
    <s v="M00000278397"/>
    <d v="2007-06-21T00:00:00"/>
    <n v="0"/>
    <n v="92.16"/>
    <n v="615.02"/>
    <n v="360"/>
    <x v="5"/>
    <s v="38"/>
    <s v="1440"/>
    <n v="19"/>
    <n v="0.42709722222222218"/>
    <n v="2.247880116959064E-2"/>
  </r>
  <r>
    <x v="0"/>
    <x v="1"/>
    <x v="1"/>
    <s v="M00000309678"/>
    <d v="2007-11-29T00:00:00"/>
    <n v="0"/>
    <n v="60.03"/>
    <n v="632.70000000000005"/>
    <n v="234.5"/>
    <x v="14"/>
    <s v="42"/>
    <s v="938"/>
    <n v="30"/>
    <n v="0.67452025586353948"/>
    <n v="2.2484008528784648E-2"/>
  </r>
  <r>
    <x v="0"/>
    <x v="1"/>
    <x v="1"/>
    <s v="M00000300876"/>
    <d v="2007-09-27T00:00:00"/>
    <n v="0"/>
    <n v="71.680000000000007"/>
    <n v="680"/>
    <n v="280"/>
    <x v="2"/>
    <s v="38"/>
    <s v="1120"/>
    <n v="27"/>
    <n v="0.6071428571428571"/>
    <n v="2.2486772486772486E-2"/>
  </r>
  <r>
    <x v="0"/>
    <x v="1"/>
    <x v="1"/>
    <s v="M00000287542"/>
    <d v="2007-07-26T00:00:00"/>
    <n v="0"/>
    <n v="84.8"/>
    <n v="595.98"/>
    <n v="331.25"/>
    <x v="6"/>
    <s v="38"/>
    <s v="1325"/>
    <n v="20"/>
    <n v="0.44979622641509437"/>
    <n v="2.248981132075472E-2"/>
  </r>
  <r>
    <x v="0"/>
    <x v="1"/>
    <x v="1"/>
    <s v="M00000340212"/>
    <d v="2008-02-14T00:00:00"/>
    <n v="0"/>
    <n v="115.2"/>
    <n v="1540"/>
    <n v="450"/>
    <x v="0"/>
    <s v="38"/>
    <s v="1800"/>
    <n v="38"/>
    <n v="0.85555555555555551"/>
    <n v="2.2514619883040935E-2"/>
  </r>
  <r>
    <x v="0"/>
    <x v="1"/>
    <x v="1"/>
    <s v="M00000306459"/>
    <d v="2007-10-25T00:00:00"/>
    <n v="0"/>
    <n v="35.840000000000003"/>
    <n v="290"/>
    <n v="140"/>
    <x v="4"/>
    <s v="38"/>
    <s v="560"/>
    <n v="23"/>
    <n v="0.5178571428571429"/>
    <n v="2.251552795031056E-2"/>
  </r>
  <r>
    <x v="0"/>
    <x v="1"/>
    <x v="1"/>
    <s v="M00000314739"/>
    <d v="2007-11-21T00:00:00"/>
    <n v="0"/>
    <n v="81.92"/>
    <n v="866"/>
    <n v="320"/>
    <x v="1"/>
    <s v="38"/>
    <s v="1280"/>
    <n v="30"/>
    <n v="0.67656249999999996"/>
    <n v="2.255208333333333E-2"/>
  </r>
  <r>
    <x v="0"/>
    <x v="1"/>
    <x v="1"/>
    <s v="M00000281169"/>
    <d v="2007-07-06T00:00:00"/>
    <n v="0"/>
    <n v="44.8"/>
    <n v="599.97"/>
    <n v="175"/>
    <x v="0"/>
    <s v="38"/>
    <s v="700"/>
    <n v="38"/>
    <n v="0.85710000000000008"/>
    <n v="2.2555263157894738E-2"/>
  </r>
  <r>
    <x v="0"/>
    <x v="1"/>
    <x v="1"/>
    <s v="M00000336452"/>
    <d v="2008-01-31T00:00:00"/>
    <n v="0"/>
    <n v="64.77"/>
    <n v="525"/>
    <n v="253"/>
    <x v="4"/>
    <s v="38"/>
    <s v="1012"/>
    <n v="23"/>
    <n v="0.51877470355731226"/>
    <n v="2.2555421893796185E-2"/>
  </r>
  <r>
    <x v="0"/>
    <x v="1"/>
    <x v="1"/>
    <s v="M00000281568"/>
    <d v="2007-07-06T00:00:00"/>
    <n v="0"/>
    <n v="52.29"/>
    <n v="424.02"/>
    <n v="204.25"/>
    <x v="4"/>
    <s v="38"/>
    <s v="817"/>
    <n v="23"/>
    <n v="0.51899632802937579"/>
    <n v="2.2565057740407644E-2"/>
  </r>
  <r>
    <x v="0"/>
    <x v="1"/>
    <x v="1"/>
    <s v="M00000340670"/>
    <d v="2008-03-06T00:00:00"/>
    <n v="0"/>
    <n v="90.88"/>
    <n v="1220"/>
    <n v="355"/>
    <x v="2"/>
    <s v="49"/>
    <s v="1420"/>
    <n v="38"/>
    <n v="0.85915492957746475"/>
    <n v="2.2609340252038545E-2"/>
  </r>
  <r>
    <x v="0"/>
    <x v="1"/>
    <x v="1"/>
    <s v="M00000274391"/>
    <d v="2007-07-26T00:00:00"/>
    <n v="0"/>
    <n v="76.8"/>
    <n v="732.6"/>
    <n v="300"/>
    <x v="2"/>
    <s v="38"/>
    <s v="1200"/>
    <n v="27"/>
    <n v="0.61050000000000004"/>
    <n v="2.2611111111111113E-2"/>
  </r>
  <r>
    <x v="0"/>
    <x v="1"/>
    <x v="1"/>
    <s v="M00000361740"/>
    <d v="2008-05-22T00:00:00"/>
    <n v="0"/>
    <n v="89.6"/>
    <n v="950"/>
    <n v="350"/>
    <x v="2"/>
    <s v="41"/>
    <s v="1400"/>
    <n v="30"/>
    <n v="0.6785714285714286"/>
    <n v="2.2619047619047618E-2"/>
  </r>
  <r>
    <x v="0"/>
    <x v="1"/>
    <x v="1"/>
    <s v="M00000320852"/>
    <d v="2007-12-13T00:00:00"/>
    <n v="0"/>
    <n v="51.84"/>
    <n v="550"/>
    <n v="202.5"/>
    <x v="1"/>
    <s v="38"/>
    <s v="810"/>
    <n v="30"/>
    <n v="0.67901234567901236"/>
    <n v="2.2633744855967079E-2"/>
  </r>
  <r>
    <x v="0"/>
    <x v="1"/>
    <x v="1"/>
    <s v="M00000347616"/>
    <d v="2008-03-20T00:00:00"/>
    <n v="0"/>
    <n v="70.53"/>
    <n v="750"/>
    <n v="275.5"/>
    <x v="1"/>
    <s v="38"/>
    <s v="1102"/>
    <n v="30"/>
    <n v="0.68058076225045372"/>
    <n v="2.2686025408348458E-2"/>
  </r>
  <r>
    <x v="0"/>
    <x v="1"/>
    <x v="1"/>
    <s v="M00000311773"/>
    <d v="2007-12-31T00:00:00"/>
    <n v="0"/>
    <n v="89.6"/>
    <n v="637"/>
    <n v="350"/>
    <x v="6"/>
    <s v="38"/>
    <s v="1400"/>
    <n v="20"/>
    <n v="0.45500000000000002"/>
    <n v="2.2749999999999999E-2"/>
  </r>
  <r>
    <x v="0"/>
    <x v="1"/>
    <x v="1"/>
    <s v="M00000319906"/>
    <d v="2007-12-13T00:00:00"/>
    <n v="0"/>
    <n v="75.52"/>
    <n v="725"/>
    <n v="295"/>
    <x v="2"/>
    <s v="38"/>
    <s v="1180"/>
    <n v="27"/>
    <n v="0.61440677966101698"/>
    <n v="2.275580665411174E-2"/>
  </r>
  <r>
    <x v="0"/>
    <x v="1"/>
    <x v="1"/>
    <s v="M00000348420"/>
    <d v="2008-03-27T00:00:00"/>
    <n v="0"/>
    <n v="132.80000000000001"/>
    <n v="1275"/>
    <n v="518.75"/>
    <x v="2"/>
    <s v="38"/>
    <s v="2075"/>
    <n v="27"/>
    <n v="0.61445783132530118"/>
    <n v="2.2757697456492636E-2"/>
  </r>
  <r>
    <x v="0"/>
    <x v="1"/>
    <x v="1"/>
    <s v="M00000350962"/>
    <d v="2008-04-03T00:00:00"/>
    <n v="0"/>
    <n v="56.83"/>
    <n v="546"/>
    <n v="222"/>
    <x v="2"/>
    <s v="38"/>
    <s v="888"/>
    <n v="27"/>
    <n v="0.61486486486486491"/>
    <n v="2.2772772772772773E-2"/>
  </r>
  <r>
    <x v="0"/>
    <x v="1"/>
    <x v="1"/>
    <s v="M00000273540"/>
    <d v="2007-08-09T00:00:00"/>
    <n v="0"/>
    <n v="101.38"/>
    <n v="721.51"/>
    <n v="396"/>
    <x v="6"/>
    <s v="38"/>
    <s v="1584"/>
    <n v="20"/>
    <n v="0.45549873737373736"/>
    <n v="2.2774936868686868E-2"/>
  </r>
  <r>
    <x v="0"/>
    <x v="1"/>
    <x v="1"/>
    <s v="M00000322217"/>
    <d v="2007-12-13T00:00:00"/>
    <n v="0"/>
    <n v="96"/>
    <n v="650"/>
    <n v="375"/>
    <x v="5"/>
    <s v="38"/>
    <s v="1500"/>
    <n v="19"/>
    <n v="0.43333333333333335"/>
    <n v="2.2807017543859651E-2"/>
  </r>
  <r>
    <x v="0"/>
    <x v="1"/>
    <x v="1"/>
    <s v="M00000341227"/>
    <d v="2008-03-13T00:00:00"/>
    <n v="0"/>
    <n v="87.87"/>
    <n v="1098"/>
    <n v="343.25"/>
    <x v="13"/>
    <s v="38"/>
    <s v="1373"/>
    <n v="35"/>
    <n v="0.79970866715222144"/>
    <n v="2.284881906149204E-2"/>
  </r>
  <r>
    <x v="0"/>
    <x v="1"/>
    <x v="1"/>
    <s v="M00000343912"/>
    <d v="2008-04-17T00:00:00"/>
    <n v="0"/>
    <n v="103.94"/>
    <n v="1187.97"/>
    <n v="406"/>
    <x v="15"/>
    <s v="49"/>
    <s v="1624"/>
    <n v="32"/>
    <n v="0.73150862068965516"/>
    <n v="2.2859644396551724E-2"/>
  </r>
  <r>
    <x v="0"/>
    <x v="1"/>
    <x v="1"/>
    <s v="M00000348424"/>
    <d v="2008-03-20T00:00:00"/>
    <n v="0"/>
    <n v="98.69"/>
    <n v="917"/>
    <n v="385.5"/>
    <x v="14"/>
    <s v="38"/>
    <s v="1542"/>
    <n v="26"/>
    <n v="0.59468223086900129"/>
    <n v="2.2872393494961587E-2"/>
  </r>
  <r>
    <x v="0"/>
    <x v="1"/>
    <x v="1"/>
    <s v="M00000337121"/>
    <d v="2008-02-07T00:00:00"/>
    <n v="0"/>
    <n v="83.2"/>
    <n v="804"/>
    <n v="325"/>
    <x v="2"/>
    <s v="38"/>
    <s v="1300"/>
    <n v="27"/>
    <n v="0.61846153846153851"/>
    <n v="2.2905982905982909E-2"/>
  </r>
  <r>
    <x v="0"/>
    <x v="1"/>
    <x v="1"/>
    <s v="M00000338669"/>
    <d v="2008-03-13T00:00:00"/>
    <n v="0"/>
    <n v="70.400000000000006"/>
    <n v="681"/>
    <n v="275"/>
    <x v="2"/>
    <s v="38"/>
    <s v="1100"/>
    <n v="27"/>
    <n v="0.61909090909090914"/>
    <n v="2.2929292929292931E-2"/>
  </r>
  <r>
    <x v="0"/>
    <x v="1"/>
    <x v="1"/>
    <s v="M00000308371"/>
    <d v="2007-10-25T00:00:00"/>
    <n v="0"/>
    <n v="78.34"/>
    <n v="842"/>
    <n v="306"/>
    <x v="1"/>
    <s v="38"/>
    <s v="1224"/>
    <n v="30"/>
    <n v="0.68790849673202614"/>
    <n v="2.2930283224400872E-2"/>
  </r>
  <r>
    <x v="0"/>
    <x v="1"/>
    <x v="1"/>
    <s v="M00000320551"/>
    <d v="2007-12-13T00:00:00"/>
    <n v="0"/>
    <n v="27.52"/>
    <n v="375"/>
    <n v="107.5"/>
    <x v="0"/>
    <s v="38"/>
    <s v="430"/>
    <n v="38"/>
    <n v="0.87209302325581395"/>
    <n v="2.2949816401468787E-2"/>
  </r>
  <r>
    <x v="0"/>
    <x v="1"/>
    <x v="1"/>
    <s v="M00000347998"/>
    <d v="2008-04-10T00:00:00"/>
    <n v="0"/>
    <n v="46.08"/>
    <n v="314.02"/>
    <n v="180"/>
    <x v="5"/>
    <s v="38"/>
    <s v="720"/>
    <n v="19"/>
    <n v="0.43613888888888885"/>
    <n v="2.2954678362573099E-2"/>
  </r>
  <r>
    <x v="0"/>
    <x v="1"/>
    <x v="1"/>
    <s v="M00000310169"/>
    <d v="2007-11-15T00:00:00"/>
    <n v="0"/>
    <n v="89.6"/>
    <n v="964.97"/>
    <n v="350"/>
    <x v="11"/>
    <s v="40"/>
    <s v="1400"/>
    <n v="30"/>
    <n v="0.68926428571428577"/>
    <n v="2.2975476190476192E-2"/>
  </r>
  <r>
    <x v="0"/>
    <x v="1"/>
    <x v="1"/>
    <s v="M00000374686"/>
    <d v="2008-07-10T00:00:00"/>
    <n v="0"/>
    <n v="107.52"/>
    <n v="1045"/>
    <n v="420"/>
    <x v="2"/>
    <s v="38"/>
    <s v="1680"/>
    <n v="27"/>
    <n v="0.62202380952380953"/>
    <n v="2.3037918871252203E-2"/>
  </r>
  <r>
    <x v="0"/>
    <x v="1"/>
    <x v="1"/>
    <s v="M00000286690"/>
    <d v="2007-07-26T00:00:00"/>
    <n v="0"/>
    <n v="65.28"/>
    <n v="706.04"/>
    <n v="255"/>
    <x v="1"/>
    <s v="38"/>
    <s v="1020"/>
    <n v="30"/>
    <n v="0.69219607843137254"/>
    <n v="2.3073202614379083E-2"/>
  </r>
  <r>
    <x v="0"/>
    <x v="1"/>
    <x v="1"/>
    <s v="M00000269593"/>
    <d v="2007-06-28T00:00:00"/>
    <n v="0"/>
    <n v="166.4"/>
    <n v="1139.8399999999999"/>
    <n v="650"/>
    <x v="5"/>
    <s v="38"/>
    <s v="2600"/>
    <n v="19"/>
    <n v="0.43839999999999996"/>
    <n v="2.3073684210526312E-2"/>
  </r>
  <r>
    <x v="0"/>
    <x v="1"/>
    <x v="1"/>
    <s v="M00000336443"/>
    <d v="2008-02-29T00:00:00"/>
    <n v="0"/>
    <n v="86.72"/>
    <n v="844.25"/>
    <n v="338.75"/>
    <x v="2"/>
    <s v="38"/>
    <s v="1355"/>
    <n v="27"/>
    <n v="0.62306273062730633"/>
    <n v="2.3076397430640976E-2"/>
  </r>
  <r>
    <x v="0"/>
    <x v="1"/>
    <x v="1"/>
    <s v="M00000332176"/>
    <d v="2007-12-31T00:00:00"/>
    <n v="0"/>
    <n v="83.2"/>
    <n v="900"/>
    <n v="325"/>
    <x v="1"/>
    <s v="38"/>
    <s v="1300"/>
    <n v="30"/>
    <n v="0.69230769230769229"/>
    <n v="2.3076923076923075E-2"/>
  </r>
  <r>
    <x v="0"/>
    <x v="1"/>
    <x v="1"/>
    <s v="M00000275391"/>
    <d v="2007-07-06T00:00:00"/>
    <n v="0"/>
    <n v="58.37"/>
    <n v="800.46"/>
    <n v="228"/>
    <x v="0"/>
    <s v="38"/>
    <s v="912"/>
    <n v="38"/>
    <n v="0.87769736842105273"/>
    <n v="2.3097299168975072E-2"/>
  </r>
  <r>
    <x v="0"/>
    <x v="1"/>
    <x v="1"/>
    <s v="M00000279722"/>
    <d v="2007-06-28T00:00:00"/>
    <n v="0"/>
    <n v="108.16"/>
    <n v="742.92"/>
    <n v="422.5"/>
    <x v="5"/>
    <s v="38"/>
    <s v="1690"/>
    <n v="19"/>
    <n v="0.43959763313609462"/>
    <n v="2.3136717533478665E-2"/>
  </r>
  <r>
    <x v="0"/>
    <x v="1"/>
    <x v="1"/>
    <s v="M00000301451"/>
    <d v="2007-12-06T00:00:00"/>
    <n v="0"/>
    <n v="102.4"/>
    <n v="1000"/>
    <n v="400"/>
    <x v="2"/>
    <s v="38"/>
    <s v="1600"/>
    <n v="27"/>
    <n v="0.625"/>
    <n v="2.3148148148148147E-2"/>
  </r>
  <r>
    <x v="0"/>
    <x v="1"/>
    <x v="1"/>
    <s v="M00000281781"/>
    <d v="2007-07-06T00:00:00"/>
    <n v="0"/>
    <n v="78.459999999999994"/>
    <n v="910.06"/>
    <n v="306.5"/>
    <x v="12"/>
    <s v="38"/>
    <s v="1226"/>
    <n v="32"/>
    <n v="0.74230016313213698"/>
    <n v="2.3196880097879281E-2"/>
  </r>
  <r>
    <x v="0"/>
    <x v="1"/>
    <x v="1"/>
    <s v="M00000350929"/>
    <d v="2008-04-03T00:00:00"/>
    <n v="0"/>
    <n v="87.42"/>
    <n v="604"/>
    <n v="341.5"/>
    <x v="5"/>
    <s v="38"/>
    <s v="1366"/>
    <n v="19"/>
    <n v="0.44216691068814057"/>
    <n v="2.3271942667796874E-2"/>
  </r>
  <r>
    <x v="0"/>
    <x v="1"/>
    <x v="1"/>
    <s v="M00000282202"/>
    <d v="2007-07-06T00:00:00"/>
    <n v="0"/>
    <n v="96"/>
    <n v="1050"/>
    <n v="375"/>
    <x v="1"/>
    <s v="38"/>
    <s v="1500"/>
    <n v="30"/>
    <n v="0.7"/>
    <n v="2.3333333333333331E-2"/>
  </r>
  <r>
    <x v="0"/>
    <x v="1"/>
    <x v="1"/>
    <s v="M00000322171"/>
    <d v="2007-12-13T00:00:00"/>
    <n v="0"/>
    <n v="117.76"/>
    <n v="1288"/>
    <n v="460"/>
    <x v="1"/>
    <s v="38"/>
    <s v="1840"/>
    <n v="30"/>
    <n v="0.7"/>
    <n v="2.3333333333333331E-2"/>
  </r>
  <r>
    <x v="0"/>
    <x v="1"/>
    <x v="1"/>
    <s v="M00000336627"/>
    <d v="2008-03-06T00:00:00"/>
    <n v="0"/>
    <n v="89.6"/>
    <n v="980"/>
    <n v="350"/>
    <x v="1"/>
    <s v="38"/>
    <s v="1400"/>
    <n v="30"/>
    <n v="0.7"/>
    <n v="2.3333333333333331E-2"/>
  </r>
  <r>
    <x v="0"/>
    <x v="1"/>
    <x v="1"/>
    <s v="M00000358567"/>
    <d v="2008-05-08T00:00:00"/>
    <n v="0"/>
    <n v="128"/>
    <n v="1260"/>
    <n v="500"/>
    <x v="2"/>
    <s v="38"/>
    <s v="2000"/>
    <n v="27"/>
    <n v="0.63"/>
    <n v="2.3333333333333334E-2"/>
  </r>
  <r>
    <x v="0"/>
    <x v="1"/>
    <x v="1"/>
    <s v="M00000274410"/>
    <d v="2007-06-07T00:00:00"/>
    <n v="0"/>
    <n v="69.12"/>
    <n v="957.96"/>
    <n v="270"/>
    <x v="0"/>
    <s v="38"/>
    <s v="1080"/>
    <n v="38"/>
    <n v="0.88700000000000001"/>
    <n v="2.3342105263157897E-2"/>
  </r>
  <r>
    <x v="0"/>
    <x v="1"/>
    <x v="1"/>
    <s v="M00000361347"/>
    <d v="2008-05-22T00:00:00"/>
    <n v="0"/>
    <n v="90.88"/>
    <n v="995"/>
    <n v="355"/>
    <x v="1"/>
    <s v="38"/>
    <s v="1420"/>
    <n v="30"/>
    <n v="0.70070422535211263"/>
    <n v="2.3356807511737087E-2"/>
  </r>
  <r>
    <x v="0"/>
    <x v="1"/>
    <x v="1"/>
    <s v="M00000290448"/>
    <d v="2007-09-20T00:00:00"/>
    <n v="0"/>
    <n v="81.150000000000006"/>
    <n v="799.98"/>
    <n v="317"/>
    <x v="2"/>
    <s v="38"/>
    <s v="1268"/>
    <n v="27"/>
    <n v="0.63089905362776022"/>
    <n v="2.3366631615842973E-2"/>
  </r>
  <r>
    <x v="0"/>
    <x v="1"/>
    <x v="1"/>
    <s v="M00000342380"/>
    <d v="2008-03-06T00:00:00"/>
    <n v="0"/>
    <n v="80.64"/>
    <n v="1120"/>
    <n v="315"/>
    <x v="0"/>
    <s v="38"/>
    <s v="1260"/>
    <n v="38"/>
    <n v="0.88888888888888884"/>
    <n v="2.3391812865497075E-2"/>
  </r>
  <r>
    <x v="0"/>
    <x v="1"/>
    <x v="1"/>
    <s v="M00000333227"/>
    <d v="2008-01-17T00:00:00"/>
    <n v="0"/>
    <n v="72.959999999999994"/>
    <n v="774"/>
    <n v="285"/>
    <x v="8"/>
    <s v="38"/>
    <s v="1140"/>
    <n v="29"/>
    <n v="0.67894736842105263"/>
    <n v="2.3411978221415608E-2"/>
  </r>
  <r>
    <x v="0"/>
    <x v="1"/>
    <x v="1"/>
    <s v="M00000281441"/>
    <d v="2007-07-06T00:00:00"/>
    <n v="0"/>
    <n v="99.71"/>
    <n v="838.98"/>
    <n v="389.5"/>
    <x v="4"/>
    <s v="38"/>
    <s v="1558"/>
    <n v="23"/>
    <n v="0.53849807445442877"/>
    <n v="2.3412959758888206E-2"/>
  </r>
  <r>
    <x v="0"/>
    <x v="1"/>
    <x v="1"/>
    <s v="M00000310635"/>
    <d v="2007-11-09T00:00:00"/>
    <n v="0"/>
    <n v="102.4"/>
    <n v="937"/>
    <n v="400"/>
    <x v="3"/>
    <s v="38"/>
    <s v="1600"/>
    <n v="25"/>
    <n v="0.58562499999999995"/>
    <n v="2.3424999999999998E-2"/>
  </r>
  <r>
    <x v="0"/>
    <x v="1"/>
    <x v="1"/>
    <s v="M00000321594"/>
    <d v="2008-02-07T00:00:00"/>
    <n v="0"/>
    <n v="92.42"/>
    <n v="779"/>
    <n v="361"/>
    <x v="4"/>
    <s v="38"/>
    <s v="1444"/>
    <n v="23"/>
    <n v="0.53947368421052633"/>
    <n v="2.345537757437071E-2"/>
  </r>
  <r>
    <x v="0"/>
    <x v="1"/>
    <x v="1"/>
    <s v="M00000373596"/>
    <d v="2008-07-10T00:00:00"/>
    <n v="0"/>
    <n v="79.099999999999994"/>
    <n v="899.58"/>
    <n v="309"/>
    <x v="16"/>
    <s v="38"/>
    <s v="1236"/>
    <n v="31"/>
    <n v="0.72781553398058252"/>
    <n v="2.3477920450986532E-2"/>
  </r>
  <r>
    <x v="0"/>
    <x v="1"/>
    <x v="1"/>
    <s v="M00000353166"/>
    <d v="2008-04-17T00:00:00"/>
    <n v="0"/>
    <n v="89.6"/>
    <n v="625"/>
    <n v="350"/>
    <x v="5"/>
    <s v="38"/>
    <s v="1400"/>
    <n v="19"/>
    <n v="0.44642857142857145"/>
    <n v="2.3496240601503762E-2"/>
  </r>
  <r>
    <x v="0"/>
    <x v="1"/>
    <x v="1"/>
    <s v="M00000308412"/>
    <d v="2007-11-01T00:00:00"/>
    <n v="0"/>
    <n v="66.180000000000007"/>
    <n v="656"/>
    <n v="258.5"/>
    <x v="2"/>
    <s v="38"/>
    <s v="1034"/>
    <n v="27"/>
    <n v="0.63442940038684714"/>
    <n v="2.3497385199512857E-2"/>
  </r>
  <r>
    <x v="0"/>
    <x v="1"/>
    <x v="1"/>
    <s v="M00000291132"/>
    <d v="2007-08-16T00:00:00"/>
    <n v="0"/>
    <n v="99.2"/>
    <n v="1204.97"/>
    <n v="387.5"/>
    <x v="10"/>
    <s v="38"/>
    <s v="1550"/>
    <n v="33"/>
    <n v="0.77739999999999998"/>
    <n v="2.3557575757575756E-2"/>
  </r>
  <r>
    <x v="0"/>
    <x v="1"/>
    <x v="1"/>
    <s v="M00000313464"/>
    <d v="2007-11-15T00:00:00"/>
    <n v="0"/>
    <n v="53.76"/>
    <n v="376"/>
    <n v="210"/>
    <x v="5"/>
    <s v="38"/>
    <s v="840"/>
    <n v="19"/>
    <n v="0.44761904761904764"/>
    <n v="2.3558897243107769E-2"/>
  </r>
  <r>
    <x v="0"/>
    <x v="1"/>
    <x v="1"/>
    <s v="M00000341309"/>
    <d v="2008-02-29T00:00:00"/>
    <n v="0"/>
    <n v="153.91999999999999"/>
    <n v="1077"/>
    <n v="601.25"/>
    <x v="5"/>
    <s v="38"/>
    <s v="2405"/>
    <n v="19"/>
    <n v="0.44781704781704784"/>
    <n v="2.3569318306160412E-2"/>
  </r>
  <r>
    <x v="0"/>
    <x v="1"/>
    <x v="1"/>
    <s v="M00000358960"/>
    <d v="2008-05-15T00:00:00"/>
    <n v="0"/>
    <n v="53.12"/>
    <n v="450"/>
    <n v="207.5"/>
    <x v="4"/>
    <s v="38"/>
    <s v="830"/>
    <n v="23"/>
    <n v="0.54216867469879515"/>
    <n v="2.3572551073860658E-2"/>
  </r>
  <r>
    <x v="0"/>
    <x v="1"/>
    <x v="1"/>
    <s v="M00000269860"/>
    <d v="2007-05-17T00:00:00"/>
    <n v="0"/>
    <n v="53.76"/>
    <n v="495.6"/>
    <n v="210"/>
    <x v="3"/>
    <s v="38"/>
    <s v="840"/>
    <n v="25"/>
    <n v="0.59"/>
    <n v="2.3600000000000003E-2"/>
  </r>
  <r>
    <x v="0"/>
    <x v="1"/>
    <x v="1"/>
    <s v="M00000324669"/>
    <d v="2007-12-20T00:00:00"/>
    <n v="0"/>
    <n v="104.45"/>
    <n v="810"/>
    <n v="408"/>
    <x v="15"/>
    <s v="38"/>
    <s v="1632"/>
    <n v="21"/>
    <n v="0.49632352941176472"/>
    <n v="2.3634453781512604E-2"/>
  </r>
  <r>
    <x v="0"/>
    <x v="1"/>
    <x v="1"/>
    <s v="M00000338248"/>
    <d v="2008-05-08T00:00:00"/>
    <n v="0"/>
    <n v="112.51"/>
    <n v="831"/>
    <n v="439.5"/>
    <x v="6"/>
    <s v="38"/>
    <s v="1758"/>
    <n v="20"/>
    <n v="0.47269624573378838"/>
    <n v="2.363481228668942E-2"/>
  </r>
  <r>
    <x v="0"/>
    <x v="1"/>
    <x v="1"/>
    <s v="M00000284440"/>
    <d v="2007-07-19T00:00:00"/>
    <n v="0"/>
    <n v="106.88"/>
    <n v="1185.03"/>
    <n v="417.5"/>
    <x v="1"/>
    <s v="38"/>
    <s v="1670"/>
    <n v="30"/>
    <n v="0.70959880239520956"/>
    <n v="2.365329341317365E-2"/>
  </r>
  <r>
    <x v="0"/>
    <x v="1"/>
    <x v="1"/>
    <s v="M00000349417"/>
    <d v="2008-05-08T00:00:00"/>
    <n v="0"/>
    <n v="112.64"/>
    <n v="1087.23"/>
    <n v="440"/>
    <x v="14"/>
    <s v="38"/>
    <s v="1760"/>
    <n v="26"/>
    <n v="0.61774431818181819"/>
    <n v="2.3759396853146854E-2"/>
  </r>
  <r>
    <x v="0"/>
    <x v="1"/>
    <x v="1"/>
    <s v="M00000299221"/>
    <d v="2007-09-20T00:00:00"/>
    <n v="0"/>
    <n v="102.4"/>
    <n v="800"/>
    <n v="400"/>
    <x v="15"/>
    <s v="38"/>
    <s v="1600"/>
    <n v="21"/>
    <n v="0.5"/>
    <n v="2.3809523809523808E-2"/>
  </r>
  <r>
    <x v="0"/>
    <x v="1"/>
    <x v="1"/>
    <s v="M00000313462"/>
    <d v="2007-11-21T00:00:00"/>
    <n v="0"/>
    <n v="80.64"/>
    <n v="750"/>
    <n v="315"/>
    <x v="3"/>
    <s v="38"/>
    <s v="1260"/>
    <n v="25"/>
    <n v="0.59523809523809523"/>
    <n v="2.3809523809523808E-2"/>
  </r>
  <r>
    <x v="0"/>
    <x v="1"/>
    <x v="1"/>
    <s v="M00000325003"/>
    <d v="2007-12-27T00:00:00"/>
    <n v="0"/>
    <n v="34.56"/>
    <n v="450"/>
    <n v="135"/>
    <x v="13"/>
    <s v="38"/>
    <s v="540"/>
    <n v="35"/>
    <n v="0.83333333333333337"/>
    <n v="2.3809523809523812E-2"/>
  </r>
  <r>
    <x v="0"/>
    <x v="1"/>
    <x v="1"/>
    <s v="M00000371085"/>
    <d v="2008-06-26T00:00:00"/>
    <n v="0"/>
    <n v="48"/>
    <n v="679"/>
    <n v="187.5"/>
    <x v="0"/>
    <s v="38"/>
    <s v="750"/>
    <n v="38"/>
    <n v="0.90533333333333332"/>
    <n v="2.3824561403508773E-2"/>
  </r>
  <r>
    <x v="0"/>
    <x v="1"/>
    <x v="1"/>
    <s v="M00000325087"/>
    <d v="2007-12-27T00:00:00"/>
    <n v="0"/>
    <n v="78.72"/>
    <n v="645"/>
    <n v="307.5"/>
    <x v="7"/>
    <s v="38"/>
    <s v="1230"/>
    <n v="22"/>
    <n v="0.52439024390243905"/>
    <n v="2.3835920177383594E-2"/>
  </r>
  <r>
    <x v="0"/>
    <x v="1"/>
    <x v="1"/>
    <s v="M00000331679"/>
    <d v="2007-12-31T00:00:00"/>
    <n v="0"/>
    <n v="62.21"/>
    <n v="626"/>
    <n v="243"/>
    <x v="2"/>
    <s v="38"/>
    <s v="972"/>
    <n v="27"/>
    <n v="0.6440329218106996"/>
    <n v="2.3853071178174059E-2"/>
  </r>
  <r>
    <x v="0"/>
    <x v="1"/>
    <x v="1"/>
    <s v="M00000300051"/>
    <d v="2007-09-20T00:00:00"/>
    <n v="0"/>
    <n v="85.57"/>
    <n v="734"/>
    <n v="334.25"/>
    <x v="4"/>
    <s v="38"/>
    <s v="1337"/>
    <n v="23"/>
    <n v="0.54899027673896783"/>
    <n v="2.3869142466911644E-2"/>
  </r>
  <r>
    <x v="0"/>
    <x v="1"/>
    <x v="1"/>
    <s v="M00000277125"/>
    <d v="2007-06-14T00:00:00"/>
    <n v="0"/>
    <n v="31.87"/>
    <n v="451.98"/>
    <n v="124.5"/>
    <x v="0"/>
    <s v="38"/>
    <s v="498"/>
    <n v="38"/>
    <n v="0.9075903614457832"/>
    <n v="2.3883956880152189E-2"/>
  </r>
  <r>
    <x v="0"/>
    <x v="1"/>
    <x v="1"/>
    <s v="M00000272806"/>
    <d v="2007-05-24T00:00:00"/>
    <n v="0"/>
    <n v="99.84"/>
    <n v="707.93"/>
    <n v="390"/>
    <x v="5"/>
    <s v="38"/>
    <s v="1560"/>
    <n v="19"/>
    <n v="0.45380128205128201"/>
    <n v="2.3884278002699055E-2"/>
  </r>
  <r>
    <x v="0"/>
    <x v="1"/>
    <x v="1"/>
    <s v="M00000292573"/>
    <d v="2007-08-23T00:00:00"/>
    <n v="0"/>
    <n v="60.8"/>
    <n v="454.01"/>
    <n v="237.5"/>
    <x v="6"/>
    <s v="38"/>
    <s v="950"/>
    <n v="20"/>
    <n v="0.47790526315789472"/>
    <n v="2.3895263157894735E-2"/>
  </r>
  <r>
    <x v="0"/>
    <x v="1"/>
    <x v="1"/>
    <s v="M00000279638"/>
    <d v="2007-08-16T00:00:00"/>
    <n v="0"/>
    <n v="70.400000000000006"/>
    <n v="1000.01"/>
    <n v="275"/>
    <x v="0"/>
    <s v="38"/>
    <s v="1100"/>
    <n v="38"/>
    <n v="0.90910000000000002"/>
    <n v="2.3923684210526316E-2"/>
  </r>
  <r>
    <x v="0"/>
    <x v="1"/>
    <x v="1"/>
    <s v="M00000362381"/>
    <d v="2008-05-22T00:00:00"/>
    <n v="0"/>
    <n v="62.72"/>
    <n v="468.99"/>
    <n v="245"/>
    <x v="6"/>
    <s v="38"/>
    <s v="980"/>
    <n v="20"/>
    <n v="0.47856122448979593"/>
    <n v="2.3928061224489795E-2"/>
  </r>
  <r>
    <x v="0"/>
    <x v="1"/>
    <x v="1"/>
    <s v="M00000346012"/>
    <d v="2008-03-20T00:00:00"/>
    <n v="0"/>
    <n v="83.2"/>
    <n v="1182.94"/>
    <n v="325"/>
    <x v="0"/>
    <s v="38"/>
    <s v="1300"/>
    <n v="38"/>
    <n v="0.90995384615384622"/>
    <n v="2.394615384615385E-2"/>
  </r>
  <r>
    <x v="0"/>
    <x v="1"/>
    <x v="1"/>
    <s v="M00000271685"/>
    <d v="2007-05-17T00:00:00"/>
    <n v="0"/>
    <n v="134.08000000000001"/>
    <n v="1906.45"/>
    <n v="523.75"/>
    <x v="0"/>
    <s v="38"/>
    <s v="2095"/>
    <n v="38"/>
    <n v="0.91"/>
    <n v="2.3947368421052634E-2"/>
  </r>
  <r>
    <x v="0"/>
    <x v="1"/>
    <x v="1"/>
    <s v="M00000369072"/>
    <d v="2008-06-19T00:00:00"/>
    <n v="0"/>
    <n v="97.79"/>
    <n v="990"/>
    <n v="382"/>
    <x v="2"/>
    <s v="38"/>
    <s v="1528"/>
    <n v="27"/>
    <n v="0.64790575916230364"/>
    <n v="2.3996509598603839E-2"/>
  </r>
  <r>
    <x v="0"/>
    <x v="1"/>
    <x v="1"/>
    <s v="M00000294526"/>
    <d v="2007-08-30T00:00:00"/>
    <n v="0"/>
    <n v="64"/>
    <n v="600"/>
    <n v="250"/>
    <x v="3"/>
    <s v="38"/>
    <s v="1000"/>
    <n v="25"/>
    <n v="0.6"/>
    <n v="2.4E-2"/>
  </r>
  <r>
    <x v="0"/>
    <x v="1"/>
    <x v="1"/>
    <s v="M00000373045"/>
    <d v="2008-07-03T00:00:00"/>
    <n v="0"/>
    <n v="16"/>
    <n v="150"/>
    <n v="62.5"/>
    <x v="18"/>
    <s v="39"/>
    <s v="250"/>
    <n v="25"/>
    <n v="0.6"/>
    <n v="2.4E-2"/>
  </r>
  <r>
    <x v="0"/>
    <x v="1"/>
    <x v="1"/>
    <s v="M00000335169"/>
    <d v="2008-01-24T00:00:00"/>
    <n v="0"/>
    <n v="69.63"/>
    <n v="993"/>
    <n v="272"/>
    <x v="0"/>
    <s v="38"/>
    <s v="1088"/>
    <n v="38"/>
    <n v="0.9126838235294118"/>
    <n v="2.4017995356037151E-2"/>
  </r>
  <r>
    <x v="0"/>
    <x v="1"/>
    <x v="1"/>
    <s v="M00000317000"/>
    <d v="2007-12-31T00:00:00"/>
    <n v="0"/>
    <n v="76.349999999999994"/>
    <n v="660"/>
    <n v="298.25"/>
    <x v="4"/>
    <s v="38"/>
    <s v="1193"/>
    <n v="23"/>
    <n v="0.55322715842414083"/>
    <n v="2.4053354714093079E-2"/>
  </r>
  <r>
    <x v="0"/>
    <x v="1"/>
    <x v="1"/>
    <s v="M00000280837"/>
    <d v="2007-07-06T00:00:00"/>
    <n v="0"/>
    <n v="89.6"/>
    <n v="639.94000000000005"/>
    <n v="350"/>
    <x v="5"/>
    <s v="38"/>
    <s v="1400"/>
    <n v="19"/>
    <n v="0.45710000000000006"/>
    <n v="2.4057894736842108E-2"/>
  </r>
  <r>
    <x v="0"/>
    <x v="1"/>
    <x v="1"/>
    <s v="M00000362309"/>
    <d v="2008-05-22T00:00:00"/>
    <n v="0"/>
    <n v="80.959999999999994"/>
    <n v="700"/>
    <n v="316.25"/>
    <x v="4"/>
    <s v="38"/>
    <s v="1265"/>
    <n v="23"/>
    <n v="0.55335968379446643"/>
    <n v="2.4059116686715933E-2"/>
  </r>
  <r>
    <x v="0"/>
    <x v="1"/>
    <x v="1"/>
    <s v="M00000308708"/>
    <d v="2007-11-29T00:00:00"/>
    <n v="0"/>
    <n v="102.4"/>
    <n v="1078.02"/>
    <n v="400"/>
    <x v="11"/>
    <s v="38"/>
    <s v="1600"/>
    <n v="28"/>
    <n v="0.67376250000000004"/>
    <n v="2.406294642857143E-2"/>
  </r>
  <r>
    <x v="0"/>
    <x v="1"/>
    <x v="1"/>
    <s v="M00000317903"/>
    <d v="2007-11-30T00:00:00"/>
    <n v="0"/>
    <n v="57.6"/>
    <n v="823"/>
    <n v="225"/>
    <x v="0"/>
    <s v="38"/>
    <s v="900"/>
    <n v="38"/>
    <n v="0.91444444444444439"/>
    <n v="2.4064327485380115E-2"/>
  </r>
  <r>
    <x v="0"/>
    <x v="1"/>
    <x v="1"/>
    <s v="M00000297338"/>
    <d v="2007-09-14T00:00:00"/>
    <n v="0"/>
    <n v="102.4"/>
    <n v="1040"/>
    <n v="400"/>
    <x v="2"/>
    <s v="38"/>
    <s v="1600"/>
    <n v="27"/>
    <n v="0.65"/>
    <n v="2.4074074074074074E-2"/>
  </r>
  <r>
    <x v="0"/>
    <x v="1"/>
    <x v="1"/>
    <s v="M00000322094"/>
    <d v="2007-12-13T00:00:00"/>
    <n v="0"/>
    <n v="96"/>
    <n v="975"/>
    <n v="375"/>
    <x v="2"/>
    <s v="38"/>
    <s v="1500"/>
    <n v="27"/>
    <n v="0.65"/>
    <n v="2.4074074074074074E-2"/>
  </r>
  <r>
    <x v="0"/>
    <x v="1"/>
    <x v="1"/>
    <s v="M00000323056"/>
    <d v="2007-12-31T00:00:00"/>
    <n v="0"/>
    <n v="89.6"/>
    <n v="910"/>
    <n v="350"/>
    <x v="2"/>
    <s v="38"/>
    <s v="1400"/>
    <n v="27"/>
    <n v="0.65"/>
    <n v="2.4074074074074074E-2"/>
  </r>
  <r>
    <x v="0"/>
    <x v="1"/>
    <x v="1"/>
    <s v="M00000350770"/>
    <d v="2008-04-03T00:00:00"/>
    <n v="0"/>
    <n v="102.21"/>
    <n v="1040"/>
    <n v="399.25"/>
    <x v="2"/>
    <s v="38"/>
    <s v="1597"/>
    <n v="27"/>
    <n v="0.65122103944896681"/>
    <n v="2.4119297757369141E-2"/>
  </r>
  <r>
    <x v="0"/>
    <x v="1"/>
    <x v="1"/>
    <s v="M00000350387"/>
    <d v="2008-04-03T00:00:00"/>
    <n v="0"/>
    <n v="140.80000000000001"/>
    <n v="1700"/>
    <n v="550"/>
    <x v="12"/>
    <s v="38"/>
    <s v="2200"/>
    <n v="32"/>
    <n v="0.77272727272727271"/>
    <n v="2.4147727272727272E-2"/>
  </r>
  <r>
    <x v="0"/>
    <x v="1"/>
    <x v="1"/>
    <s v="M00000347051"/>
    <d v="2008-03-20T00:00:00"/>
    <n v="0"/>
    <n v="75.260000000000005"/>
    <n v="1081"/>
    <n v="294"/>
    <x v="0"/>
    <s v="38"/>
    <s v="1176"/>
    <n v="38"/>
    <n v="0.91921768707482998"/>
    <n v="2.4189939133548156E-2"/>
  </r>
  <r>
    <x v="0"/>
    <x v="1"/>
    <x v="1"/>
    <s v="M00000270276"/>
    <d v="2007-05-31T00:00:00"/>
    <n v="0"/>
    <n v="105.66"/>
    <n v="1079.92"/>
    <n v="412.75"/>
    <x v="2"/>
    <s v="38"/>
    <s v="1651"/>
    <n v="27"/>
    <n v="0.65410054512416727"/>
    <n v="2.4225946115709898E-2"/>
  </r>
  <r>
    <x v="0"/>
    <x v="1"/>
    <x v="1"/>
    <s v="M00000309952"/>
    <d v="2007-11-01T00:00:00"/>
    <n v="0"/>
    <n v="83.2"/>
    <n v="945"/>
    <n v="325"/>
    <x v="1"/>
    <s v="38"/>
    <s v="1300"/>
    <n v="30"/>
    <n v="0.72692307692307689"/>
    <n v="2.4230769230769229E-2"/>
  </r>
  <r>
    <x v="0"/>
    <x v="1"/>
    <x v="1"/>
    <s v="M00000316051"/>
    <d v="2007-12-31T00:00:00"/>
    <n v="0"/>
    <n v="149.12"/>
    <n v="1694"/>
    <n v="582.5"/>
    <x v="1"/>
    <s v="38"/>
    <s v="2330"/>
    <n v="30"/>
    <n v="0.72703862660944207"/>
    <n v="2.4234620886981403E-2"/>
  </r>
  <r>
    <x v="0"/>
    <x v="1"/>
    <x v="1"/>
    <s v="M00000347704"/>
    <d v="2008-03-20T00:00:00"/>
    <n v="0"/>
    <n v="64"/>
    <n v="800"/>
    <n v="250"/>
    <x v="10"/>
    <s v="38"/>
    <s v="1000"/>
    <n v="33"/>
    <n v="0.8"/>
    <n v="2.4242424242424242E-2"/>
  </r>
  <r>
    <x v="0"/>
    <x v="1"/>
    <x v="1"/>
    <s v="M00000346164"/>
    <d v="2008-04-03T00:00:00"/>
    <n v="0"/>
    <n v="42.56"/>
    <n v="612.62"/>
    <n v="166.25"/>
    <x v="0"/>
    <s v="38"/>
    <s v="665"/>
    <n v="38"/>
    <n v="0.92123308270676696"/>
    <n v="2.4242975860704393E-2"/>
  </r>
  <r>
    <x v="0"/>
    <x v="1"/>
    <x v="1"/>
    <s v="M00000351456"/>
    <d v="2008-04-03T00:00:00"/>
    <n v="0"/>
    <n v="58.88"/>
    <n v="580"/>
    <n v="230"/>
    <x v="14"/>
    <s v="38"/>
    <s v="920"/>
    <n v="26"/>
    <n v="0.63043478260869568"/>
    <n v="2.4247491638795988E-2"/>
  </r>
  <r>
    <x v="0"/>
    <x v="1"/>
    <x v="1"/>
    <s v="M00000323802"/>
    <d v="2007-12-20T00:00:00"/>
    <n v="0"/>
    <n v="64"/>
    <n v="875"/>
    <n v="250"/>
    <x v="17"/>
    <s v="38"/>
    <s v="1000"/>
    <n v="36"/>
    <n v="0.875"/>
    <n v="2.4305555555555556E-2"/>
  </r>
  <r>
    <x v="0"/>
    <x v="1"/>
    <x v="1"/>
    <s v="M00000325079"/>
    <d v="2007-12-27T00:00:00"/>
    <n v="0"/>
    <n v="64.510000000000005"/>
    <n v="735"/>
    <n v="252"/>
    <x v="1"/>
    <s v="38"/>
    <s v="1008"/>
    <n v="30"/>
    <n v="0.72916666666666663"/>
    <n v="2.4305555555555556E-2"/>
  </r>
  <r>
    <x v="0"/>
    <x v="1"/>
    <x v="1"/>
    <s v="M00000314812"/>
    <d v="2007-12-31T00:00:00"/>
    <n v="0"/>
    <n v="71.680000000000007"/>
    <n v="817.6"/>
    <n v="280"/>
    <x v="6"/>
    <s v="48"/>
    <s v="1120"/>
    <n v="30"/>
    <n v="0.73"/>
    <n v="2.4333333333333332E-2"/>
  </r>
  <r>
    <x v="0"/>
    <x v="1"/>
    <x v="1"/>
    <s v="M00000348523"/>
    <d v="2008-04-24T00:00:00"/>
    <n v="0"/>
    <n v="40.96"/>
    <n v="467.2"/>
    <n v="160"/>
    <x v="5"/>
    <s v="49"/>
    <s v="640"/>
    <n v="30"/>
    <n v="0.73"/>
    <n v="2.4333333333333332E-2"/>
  </r>
  <r>
    <x v="0"/>
    <x v="1"/>
    <x v="1"/>
    <s v="M00000348132"/>
    <d v="2008-03-27T00:00:00"/>
    <n v="0"/>
    <n v="126.4"/>
    <n v="1250"/>
    <n v="493.75"/>
    <x v="14"/>
    <s v="38"/>
    <s v="1975"/>
    <n v="26"/>
    <n v="0.63291139240506333"/>
    <n v="2.4342745861733205E-2"/>
  </r>
  <r>
    <x v="0"/>
    <x v="1"/>
    <x v="1"/>
    <s v="M00000313798"/>
    <d v="2007-11-21T00:00:00"/>
    <n v="0"/>
    <n v="66.88"/>
    <n v="967"/>
    <n v="261.25"/>
    <x v="0"/>
    <s v="38"/>
    <s v="1045"/>
    <n v="38"/>
    <n v="0.92535885167464116"/>
    <n v="2.4351548728280031E-2"/>
  </r>
  <r>
    <x v="0"/>
    <x v="1"/>
    <x v="1"/>
    <s v="M00000351375"/>
    <d v="2008-05-08T00:00:00"/>
    <n v="0"/>
    <n v="44.8"/>
    <n v="511.6"/>
    <n v="175"/>
    <x v="11"/>
    <s v="40"/>
    <s v="700"/>
    <n v="30"/>
    <n v="0.73085714285714287"/>
    <n v="2.4361904761904762E-2"/>
  </r>
  <r>
    <x v="0"/>
    <x v="1"/>
    <x v="1"/>
    <s v="M00000357284"/>
    <d v="2008-04-30T00:00:00"/>
    <n v="0"/>
    <n v="104.58"/>
    <n v="930"/>
    <n v="408.5"/>
    <x v="1"/>
    <s v="49"/>
    <s v="930"/>
    <n v="41"/>
    <n v="1"/>
    <n v="2.4390243902439025E-2"/>
  </r>
  <r>
    <x v="0"/>
    <x v="1"/>
    <x v="1"/>
    <s v="M00000269932"/>
    <d v="2007-05-10T00:00:00"/>
    <n v="0"/>
    <n v="73.73"/>
    <n v="702.72"/>
    <n v="288"/>
    <x v="3"/>
    <s v="38"/>
    <s v="1152"/>
    <n v="25"/>
    <n v="0.61"/>
    <n v="2.4399999999999998E-2"/>
  </r>
  <r>
    <x v="0"/>
    <x v="1"/>
    <x v="1"/>
    <s v="M00000308812"/>
    <d v="2007-11-09T00:00:00"/>
    <n v="0"/>
    <n v="54.53"/>
    <n v="790"/>
    <n v="213"/>
    <x v="0"/>
    <s v="38"/>
    <s v="852"/>
    <n v="38"/>
    <n v="0.92723004694835676"/>
    <n v="2.4400790709167283E-2"/>
  </r>
  <r>
    <x v="0"/>
    <x v="1"/>
    <x v="1"/>
    <s v="M00000304173"/>
    <d v="2007-10-11T00:00:00"/>
    <n v="0"/>
    <n v="89.6"/>
    <n v="1300"/>
    <n v="350"/>
    <x v="0"/>
    <s v="38"/>
    <s v="1400"/>
    <n v="38"/>
    <n v="0.9285714285714286"/>
    <n v="2.4436090225563912E-2"/>
  </r>
  <r>
    <x v="0"/>
    <x v="1"/>
    <x v="1"/>
    <s v="M00000322689"/>
    <d v="2007-12-20T00:00:00"/>
    <n v="0"/>
    <n v="53.25"/>
    <n v="550"/>
    <n v="208"/>
    <x v="2"/>
    <s v="38"/>
    <s v="832"/>
    <n v="27"/>
    <n v="0.66105769230769229"/>
    <n v="2.4483618233618235E-2"/>
  </r>
  <r>
    <x v="0"/>
    <x v="1"/>
    <x v="1"/>
    <s v="M00000369757"/>
    <d v="2008-06-26T00:00:00"/>
    <n v="0"/>
    <n v="67.2"/>
    <n v="695"/>
    <n v="262.5"/>
    <x v="2"/>
    <s v="38"/>
    <s v="1050"/>
    <n v="27"/>
    <n v="0.66190476190476188"/>
    <n v="2.4514991181657848E-2"/>
  </r>
  <r>
    <x v="0"/>
    <x v="1"/>
    <x v="1"/>
    <s v="M00000281133"/>
    <d v="2007-07-06T00:00:00"/>
    <n v="0"/>
    <n v="74.88"/>
    <n v="718.03"/>
    <n v="292.5"/>
    <x v="3"/>
    <s v="38"/>
    <s v="1170"/>
    <n v="25"/>
    <n v="0.61370085470085467"/>
    <n v="2.4548034188034185E-2"/>
  </r>
  <r>
    <x v="0"/>
    <x v="1"/>
    <x v="1"/>
    <s v="M00000326762"/>
    <d v="2007-12-31T00:00:00"/>
    <n v="0"/>
    <n v="55.3"/>
    <n v="488"/>
    <n v="216"/>
    <x v="4"/>
    <s v="38"/>
    <s v="864"/>
    <n v="23"/>
    <n v="0.56481481481481477"/>
    <n v="2.4557165861513686E-2"/>
  </r>
  <r>
    <x v="0"/>
    <x v="1"/>
    <x v="1"/>
    <s v="M00000370304"/>
    <d v="2008-06-26T00:00:00"/>
    <n v="0"/>
    <n v="96"/>
    <n v="775"/>
    <n v="375"/>
    <x v="15"/>
    <s v="38"/>
    <s v="1500"/>
    <n v="21"/>
    <n v="0.51666666666666672"/>
    <n v="2.4603174603174606E-2"/>
  </r>
  <r>
    <x v="0"/>
    <x v="1"/>
    <x v="1"/>
    <s v="M00000301137"/>
    <d v="2007-10-11T00:00:00"/>
    <n v="0"/>
    <n v="48"/>
    <n v="351.54"/>
    <n v="187.5"/>
    <x v="14"/>
    <s v="31"/>
    <s v="750"/>
    <n v="19"/>
    <n v="0.46872000000000003"/>
    <n v="2.4669473684210529E-2"/>
  </r>
  <r>
    <x v="0"/>
    <x v="1"/>
    <x v="1"/>
    <s v="M00000348974"/>
    <d v="2008-03-27T00:00:00"/>
    <n v="0"/>
    <n v="74.239999999999995"/>
    <n v="544"/>
    <n v="290"/>
    <x v="5"/>
    <s v="38"/>
    <s v="1160"/>
    <n v="19"/>
    <n v="0.4689655172413793"/>
    <n v="2.4682395644283123E-2"/>
  </r>
  <r>
    <x v="0"/>
    <x v="1"/>
    <x v="1"/>
    <s v="M00000327350"/>
    <d v="2007-12-31T00:00:00"/>
    <n v="0"/>
    <n v="76.8"/>
    <n v="800"/>
    <n v="300"/>
    <x v="2"/>
    <s v="38"/>
    <s v="1200"/>
    <n v="27"/>
    <n v="0.66666666666666663"/>
    <n v="2.4691358024691357E-2"/>
  </r>
  <r>
    <x v="0"/>
    <x v="1"/>
    <x v="1"/>
    <s v="M00000334515"/>
    <d v="2008-01-24T00:00:00"/>
    <n v="0"/>
    <n v="88.32"/>
    <n v="920"/>
    <n v="345"/>
    <x v="2"/>
    <s v="38"/>
    <s v="1380"/>
    <n v="27"/>
    <n v="0.66666666666666663"/>
    <n v="2.4691358024691357E-2"/>
  </r>
  <r>
    <x v="0"/>
    <x v="1"/>
    <x v="1"/>
    <s v="M00000368286"/>
    <d v="2008-06-19T00:00:00"/>
    <n v="0"/>
    <n v="96"/>
    <n v="1000"/>
    <n v="375"/>
    <x v="2"/>
    <s v="38"/>
    <s v="1500"/>
    <n v="27"/>
    <n v="0.66666666666666663"/>
    <n v="2.4691358024691357E-2"/>
  </r>
  <r>
    <x v="0"/>
    <x v="1"/>
    <x v="1"/>
    <s v="M00000281510"/>
    <d v="2007-07-06T00:00:00"/>
    <n v="0"/>
    <n v="179.2"/>
    <n v="2628.08"/>
    <n v="700"/>
    <x v="0"/>
    <s v="38"/>
    <s v="2800"/>
    <n v="38"/>
    <n v="0.93859999999999999"/>
    <n v="2.47E-2"/>
  </r>
  <r>
    <x v="0"/>
    <x v="1"/>
    <x v="1"/>
    <s v="M00000317040"/>
    <d v="2007-12-31T00:00:00"/>
    <n v="0"/>
    <n v="76.8"/>
    <n v="711.38"/>
    <n v="300"/>
    <x v="18"/>
    <s v="38"/>
    <s v="1200"/>
    <n v="24"/>
    <n v="0.59281666666666666"/>
    <n v="2.4700694444444445E-2"/>
  </r>
  <r>
    <x v="0"/>
    <x v="1"/>
    <x v="1"/>
    <s v="M00000310923"/>
    <d v="2007-11-09T00:00:00"/>
    <n v="0"/>
    <n v="77.44"/>
    <n v="957"/>
    <n v="302.5"/>
    <x v="12"/>
    <s v="38"/>
    <s v="1210"/>
    <n v="32"/>
    <n v="0.79090909090909089"/>
    <n v="2.471590909090909E-2"/>
  </r>
  <r>
    <x v="0"/>
    <x v="1"/>
    <x v="1"/>
    <s v="M00000321761"/>
    <d v="2007-12-13T00:00:00"/>
    <n v="0"/>
    <n v="100.42"/>
    <n v="1475"/>
    <n v="392.25"/>
    <x v="0"/>
    <s v="38"/>
    <s v="1569"/>
    <n v="38"/>
    <n v="0.94008922880815804"/>
    <n v="2.4739190231793634E-2"/>
  </r>
  <r>
    <x v="0"/>
    <x v="1"/>
    <x v="1"/>
    <s v="M00000341789"/>
    <d v="2008-02-29T00:00:00"/>
    <n v="0"/>
    <n v="66.56"/>
    <n v="695"/>
    <n v="260"/>
    <x v="2"/>
    <s v="38"/>
    <s v="1040"/>
    <n v="27"/>
    <n v="0.66826923076923073"/>
    <n v="2.4750712250712251E-2"/>
  </r>
  <r>
    <x v="0"/>
    <x v="1"/>
    <x v="1"/>
    <s v="M00000341487"/>
    <d v="2008-02-29T00:00:00"/>
    <n v="0"/>
    <n v="72.45"/>
    <n v="590"/>
    <n v="283"/>
    <x v="15"/>
    <s v="38"/>
    <s v="1132"/>
    <n v="21"/>
    <n v="0.52120141342756188"/>
    <n v="2.4819114925121993E-2"/>
  </r>
  <r>
    <x v="0"/>
    <x v="1"/>
    <x v="1"/>
    <s v="M00000343357"/>
    <d v="2008-04-17T00:00:00"/>
    <n v="0"/>
    <n v="113.6"/>
    <n v="1193.8599999999999"/>
    <n v="443.75"/>
    <x v="2"/>
    <s v="38"/>
    <s v="1775"/>
    <n v="27"/>
    <n v="0.67259718309859151"/>
    <n v="2.4911006781429317E-2"/>
  </r>
  <r>
    <x v="0"/>
    <x v="1"/>
    <x v="1"/>
    <s v="M00000281371"/>
    <d v="2007-09-20T00:00:00"/>
    <n v="0"/>
    <n v="33.79"/>
    <n v="250.01"/>
    <n v="132"/>
    <x v="5"/>
    <s v="38"/>
    <s v="528"/>
    <n v="19"/>
    <n v="0.47350378787878789"/>
    <n v="2.4921251993620414E-2"/>
  </r>
  <r>
    <x v="0"/>
    <x v="1"/>
    <x v="1"/>
    <s v="M00000326879"/>
    <d v="2007-12-31T00:00:00"/>
    <n v="0"/>
    <n v="86.4"/>
    <n v="774"/>
    <n v="337.5"/>
    <x v="4"/>
    <s v="38"/>
    <s v="1350"/>
    <n v="23"/>
    <n v="0.57333333333333336"/>
    <n v="2.4927536231884061E-2"/>
  </r>
  <r>
    <x v="0"/>
    <x v="1"/>
    <x v="1"/>
    <s v="M00000373005"/>
    <d v="2008-07-03T00:00:00"/>
    <n v="0"/>
    <n v="110.08"/>
    <n v="1073"/>
    <n v="430"/>
    <x v="3"/>
    <s v="38"/>
    <s v="1720"/>
    <n v="25"/>
    <n v="0.62383720930232556"/>
    <n v="2.4953488372093022E-2"/>
  </r>
  <r>
    <x v="0"/>
    <x v="1"/>
    <x v="1"/>
    <s v="M00000319173"/>
    <d v="2008-01-17T00:00:00"/>
    <n v="0"/>
    <n v="49.79"/>
    <n v="582.66999999999996"/>
    <n v="194.5"/>
    <x v="4"/>
    <s v="45"/>
    <s v="778"/>
    <n v="30"/>
    <n v="0.7489331619537275"/>
    <n v="2.4964438731790918E-2"/>
  </r>
  <r>
    <x v="0"/>
    <x v="1"/>
    <x v="1"/>
    <s v="M00000291550"/>
    <d v="2007-08-16T00:00:00"/>
    <n v="0"/>
    <n v="87.74"/>
    <n v="1197.98"/>
    <n v="342.75"/>
    <x v="13"/>
    <s v="38"/>
    <s v="1371"/>
    <n v="35"/>
    <n v="0.87380014587892052"/>
    <n v="2.4965718453683443E-2"/>
  </r>
  <r>
    <x v="0"/>
    <x v="1"/>
    <x v="1"/>
    <s v="M00000274964"/>
    <d v="2007-07-26T00:00:00"/>
    <n v="0"/>
    <n v="32"/>
    <n v="374.85"/>
    <n v="125"/>
    <x v="1"/>
    <s v="38"/>
    <s v="500"/>
    <n v="30"/>
    <n v="0.74970000000000003"/>
    <n v="2.4990000000000002E-2"/>
  </r>
  <r>
    <x v="0"/>
    <x v="1"/>
    <x v="1"/>
    <s v="M00000320430"/>
    <d v="2007-12-13T00:00:00"/>
    <n v="0"/>
    <n v="44.8"/>
    <n v="420"/>
    <n v="175"/>
    <x v="18"/>
    <s v="38"/>
    <s v="700"/>
    <n v="24"/>
    <n v="0.6"/>
    <n v="2.5000000000000001E-2"/>
  </r>
  <r>
    <x v="0"/>
    <x v="1"/>
    <x v="1"/>
    <s v="M00000276777"/>
    <d v="2007-06-14T00:00:00"/>
    <n v="0"/>
    <n v="25.6"/>
    <n v="220"/>
    <n v="100"/>
    <x v="7"/>
    <s v="38"/>
    <s v="400"/>
    <n v="22"/>
    <n v="0.55000000000000004"/>
    <n v="2.5000000000000001E-2"/>
  </r>
  <r>
    <x v="0"/>
    <x v="1"/>
    <x v="1"/>
    <s v="M00000300053"/>
    <d v="2007-09-20T00:00:00"/>
    <n v="0"/>
    <n v="64"/>
    <n v="750"/>
    <n v="250"/>
    <x v="1"/>
    <s v="38"/>
    <s v="1000"/>
    <n v="30"/>
    <n v="0.75"/>
    <n v="2.5000000000000001E-2"/>
  </r>
  <r>
    <x v="0"/>
    <x v="1"/>
    <x v="1"/>
    <s v="M00000301764"/>
    <d v="2007-09-28T00:00:00"/>
    <n v="0"/>
    <n v="51.2"/>
    <n v="540"/>
    <n v="200"/>
    <x v="2"/>
    <s v="38"/>
    <s v="800"/>
    <n v="27"/>
    <n v="0.67500000000000004"/>
    <n v="2.5000000000000001E-2"/>
  </r>
  <r>
    <x v="0"/>
    <x v="1"/>
    <x v="1"/>
    <s v="M00000324447"/>
    <d v="2007-12-20T00:00:00"/>
    <n v="0"/>
    <n v="96"/>
    <n v="1125"/>
    <n v="375"/>
    <x v="1"/>
    <s v="38"/>
    <s v="1500"/>
    <n v="30"/>
    <n v="0.75"/>
    <n v="2.5000000000000001E-2"/>
  </r>
  <r>
    <x v="0"/>
    <x v="1"/>
    <x v="1"/>
    <s v="M00000342658"/>
    <d v="2008-03-06T00:00:00"/>
    <n v="0"/>
    <n v="76.8"/>
    <n v="900"/>
    <n v="300"/>
    <x v="1"/>
    <s v="38"/>
    <s v="1200"/>
    <n v="30"/>
    <n v="0.75"/>
    <n v="2.5000000000000001E-2"/>
  </r>
  <r>
    <x v="0"/>
    <x v="1"/>
    <x v="1"/>
    <s v="M00000356819"/>
    <d v="2008-04-30T00:00:00"/>
    <n v="0"/>
    <n v="51.2"/>
    <n v="700"/>
    <n v="200"/>
    <x v="13"/>
    <s v="38"/>
    <s v="800"/>
    <n v="35"/>
    <n v="0.875"/>
    <n v="2.5000000000000001E-2"/>
  </r>
  <r>
    <x v="0"/>
    <x v="1"/>
    <x v="1"/>
    <s v="M00000359794"/>
    <d v="2008-05-15T00:00:00"/>
    <n v="0"/>
    <n v="79.36"/>
    <n v="930"/>
    <n v="310"/>
    <x v="1"/>
    <s v="38"/>
    <s v="1240"/>
    <n v="30"/>
    <n v="0.75"/>
    <n v="2.5000000000000001E-2"/>
  </r>
  <r>
    <x v="0"/>
    <x v="1"/>
    <x v="1"/>
    <s v="M00000311165"/>
    <d v="2007-11-09T00:00:00"/>
    <n v="0"/>
    <n v="68.22"/>
    <n v="800"/>
    <n v="266.5"/>
    <x v="1"/>
    <s v="38"/>
    <s v="1066"/>
    <n v="30"/>
    <n v="0.75046904315196994"/>
    <n v="2.5015634771732333E-2"/>
  </r>
  <r>
    <x v="0"/>
    <x v="1"/>
    <x v="1"/>
    <s v="M00000299037"/>
    <d v="2007-10-11T00:00:00"/>
    <n v="0"/>
    <n v="55.62"/>
    <n v="652.82000000000005"/>
    <n v="217.25"/>
    <x v="1"/>
    <s v="38"/>
    <s v="869"/>
    <n v="30"/>
    <n v="0.75123130034522445"/>
    <n v="2.5041043344840815E-2"/>
  </r>
  <r>
    <x v="0"/>
    <x v="1"/>
    <x v="1"/>
    <s v="M00000367917"/>
    <d v="2008-06-26T00:00:00"/>
    <n v="0"/>
    <n v="20.16"/>
    <n v="300"/>
    <n v="78.75"/>
    <x v="0"/>
    <s v="38"/>
    <s v="315"/>
    <n v="38"/>
    <n v="0.95238095238095233"/>
    <n v="2.5062656641604009E-2"/>
  </r>
  <r>
    <x v="0"/>
    <x v="1"/>
    <x v="1"/>
    <s v="M00000343947"/>
    <d v="2008-03-13T00:00:00"/>
    <n v="0"/>
    <n v="96"/>
    <n v="1055"/>
    <n v="375"/>
    <x v="11"/>
    <s v="38"/>
    <s v="1500"/>
    <n v="28"/>
    <n v="0.70333333333333337"/>
    <n v="2.5119047619047621E-2"/>
  </r>
  <r>
    <x v="0"/>
    <x v="1"/>
    <x v="1"/>
    <s v="M00000314429"/>
    <d v="2007-11-21T00:00:00"/>
    <n v="0"/>
    <n v="83.2"/>
    <n v="980"/>
    <n v="325"/>
    <x v="1"/>
    <s v="38"/>
    <s v="1300"/>
    <n v="30"/>
    <n v="0.75384615384615383"/>
    <n v="2.5128205128205128E-2"/>
  </r>
  <r>
    <x v="0"/>
    <x v="1"/>
    <x v="1"/>
    <s v="M00000362116"/>
    <d v="2008-05-22T00:00:00"/>
    <n v="0"/>
    <n v="52.86"/>
    <n v="685"/>
    <n v="206.5"/>
    <x v="10"/>
    <s v="38"/>
    <s v="826"/>
    <n v="33"/>
    <n v="0.82929782082324455"/>
    <n v="2.5130236994643774E-2"/>
  </r>
  <r>
    <x v="0"/>
    <x v="1"/>
    <x v="1"/>
    <s v="M00000342264"/>
    <d v="2008-03-20T00:00:00"/>
    <n v="0"/>
    <n v="81.92"/>
    <n v="772.94"/>
    <n v="320"/>
    <x v="18"/>
    <s v="38"/>
    <s v="1280"/>
    <n v="24"/>
    <n v="0.60385937500000009"/>
    <n v="2.516080729166667E-2"/>
  </r>
  <r>
    <x v="0"/>
    <x v="1"/>
    <x v="1"/>
    <s v="M00000318039"/>
    <d v="2007-12-06T00:00:00"/>
    <n v="0"/>
    <n v="128"/>
    <n v="1510"/>
    <n v="500"/>
    <x v="1"/>
    <s v="38"/>
    <s v="2000"/>
    <n v="30"/>
    <n v="0.755"/>
    <n v="2.5166666666666667E-2"/>
  </r>
  <r>
    <x v="0"/>
    <x v="1"/>
    <x v="1"/>
    <s v="M00000297972"/>
    <d v="2007-10-04T00:00:00"/>
    <n v="0"/>
    <n v="64.510000000000005"/>
    <n v="482.63"/>
    <n v="252"/>
    <x v="5"/>
    <s v="38"/>
    <s v="1008"/>
    <n v="19"/>
    <n v="0.47879960317460318"/>
    <n v="2.5199979114452799E-2"/>
  </r>
  <r>
    <x v="0"/>
    <x v="1"/>
    <x v="1"/>
    <s v="M00000299874"/>
    <d v="2007-10-04T00:00:00"/>
    <n v="0"/>
    <n v="89.86"/>
    <n v="1348"/>
    <n v="351"/>
    <x v="0"/>
    <s v="38"/>
    <s v="1404"/>
    <n v="38"/>
    <n v="0.96011396011396011"/>
    <n v="2.5266156845104214E-2"/>
  </r>
  <r>
    <x v="0"/>
    <x v="1"/>
    <x v="1"/>
    <s v="M00000347379"/>
    <d v="2008-04-03T00:00:00"/>
    <n v="0"/>
    <n v="59.14"/>
    <n v="700.8"/>
    <n v="231"/>
    <x v="6"/>
    <s v="48"/>
    <s v="924"/>
    <n v="30"/>
    <n v="0.75844155844155836"/>
    <n v="2.528138528138528E-2"/>
  </r>
  <r>
    <x v="0"/>
    <x v="1"/>
    <x v="1"/>
    <s v="M00000306659"/>
    <d v="2007-10-25T00:00:00"/>
    <n v="0"/>
    <n v="118.53"/>
    <n v="1265"/>
    <n v="463"/>
    <x v="2"/>
    <s v="38"/>
    <s v="1852"/>
    <n v="27"/>
    <n v="0.68304535637149033"/>
    <n v="2.529797616190705E-2"/>
  </r>
  <r>
    <x v="0"/>
    <x v="1"/>
    <x v="1"/>
    <s v="M00000297846"/>
    <d v="2007-09-28T00:00:00"/>
    <n v="0"/>
    <n v="79.23"/>
    <n v="626.42999999999995"/>
    <n v="309.5"/>
    <x v="6"/>
    <s v="38"/>
    <s v="1238"/>
    <n v="20"/>
    <n v="0.50600161550888523"/>
    <n v="2.530008077544426E-2"/>
  </r>
  <r>
    <x v="0"/>
    <x v="1"/>
    <x v="1"/>
    <s v="M00000285215"/>
    <d v="2007-10-11T00:00:00"/>
    <n v="0"/>
    <n v="96"/>
    <n v="1519.8"/>
    <n v="375"/>
    <x v="8"/>
    <s v="49"/>
    <s v="1500"/>
    <n v="40"/>
    <n v="1.0131999999999999"/>
    <n v="2.5329999999999998E-2"/>
  </r>
  <r>
    <x v="0"/>
    <x v="1"/>
    <x v="1"/>
    <s v="M00000275505"/>
    <d v="2007-06-07T00:00:00"/>
    <n v="0"/>
    <n v="48.64"/>
    <n v="519.99"/>
    <n v="190"/>
    <x v="2"/>
    <s v="38"/>
    <s v="760"/>
    <n v="27"/>
    <n v="0.68419736842105261"/>
    <n v="2.5340643274853799E-2"/>
  </r>
  <r>
    <x v="0"/>
    <x v="1"/>
    <x v="1"/>
    <s v="M00000287212"/>
    <d v="2007-08-09T00:00:00"/>
    <n v="0"/>
    <n v="106.88"/>
    <n v="1185.53"/>
    <n v="417.5"/>
    <x v="11"/>
    <s v="38"/>
    <s v="1670"/>
    <n v="28"/>
    <n v="0.7098982035928143"/>
    <n v="2.535350727117194E-2"/>
  </r>
  <r>
    <x v="0"/>
    <x v="1"/>
    <x v="1"/>
    <s v="M00000335063"/>
    <d v="2008-02-21T00:00:00"/>
    <n v="0"/>
    <n v="101.44"/>
    <n v="964.59"/>
    <n v="396.25"/>
    <x v="18"/>
    <s v="38"/>
    <s v="1585"/>
    <n v="24"/>
    <n v="0.60857413249211356"/>
    <n v="2.5357255520504732E-2"/>
  </r>
  <r>
    <x v="0"/>
    <x v="1"/>
    <x v="1"/>
    <s v="M00000342144"/>
    <d v="2008-02-29T00:00:00"/>
    <n v="0"/>
    <n v="101.18"/>
    <n v="1083"/>
    <n v="395.25"/>
    <x v="2"/>
    <s v="38"/>
    <s v="1581"/>
    <n v="27"/>
    <n v="0.6850094876660342"/>
    <n v="2.5370721765408673E-2"/>
  </r>
  <r>
    <x v="0"/>
    <x v="1"/>
    <x v="1"/>
    <s v="M00000333875"/>
    <d v="2008-01-24T00:00:00"/>
    <n v="0"/>
    <n v="36.61"/>
    <n v="436"/>
    <n v="143"/>
    <x v="1"/>
    <s v="38"/>
    <s v="572"/>
    <n v="30"/>
    <n v="0.76223776223776218"/>
    <n v="2.5407925407925407E-2"/>
  </r>
  <r>
    <x v="0"/>
    <x v="1"/>
    <x v="1"/>
    <s v="M00000346838"/>
    <d v="2008-03-13T00:00:00"/>
    <n v="0"/>
    <n v="108.8"/>
    <n v="865"/>
    <n v="425"/>
    <x v="6"/>
    <s v="38"/>
    <s v="1700"/>
    <n v="20"/>
    <n v="0.50882352941176467"/>
    <n v="2.5441176470588234E-2"/>
  </r>
  <r>
    <x v="0"/>
    <x v="1"/>
    <x v="1"/>
    <s v="M00000315400"/>
    <d v="2007-12-31T00:00:00"/>
    <n v="0"/>
    <n v="60.67"/>
    <n v="701.01"/>
    <n v="237"/>
    <x v="8"/>
    <s v="38"/>
    <s v="948"/>
    <n v="29"/>
    <n v="0.73946202531645566"/>
    <n v="2.5498690528153643E-2"/>
  </r>
  <r>
    <x v="0"/>
    <x v="1"/>
    <x v="1"/>
    <s v="M00000341515"/>
    <d v="2008-03-06T00:00:00"/>
    <n v="0"/>
    <n v="70.08"/>
    <n v="1145"/>
    <n v="273.75"/>
    <x v="1"/>
    <s v="49"/>
    <s v="1095"/>
    <n v="41"/>
    <n v="1.0456621004566211"/>
    <n v="2.5503953669673687E-2"/>
  </r>
  <r>
    <x v="0"/>
    <x v="1"/>
    <x v="1"/>
    <s v="M00000297966"/>
    <d v="2007-09-14T00:00:00"/>
    <n v="0"/>
    <n v="78.66"/>
    <n v="783.98"/>
    <n v="307.25"/>
    <x v="3"/>
    <s v="38"/>
    <s v="1229"/>
    <n v="25"/>
    <n v="0.63790073230268507"/>
    <n v="2.5516029292107403E-2"/>
  </r>
  <r>
    <x v="0"/>
    <x v="1"/>
    <x v="1"/>
    <s v="M00000322723"/>
    <d v="2007-12-20T00:00:00"/>
    <n v="0"/>
    <n v="42.69"/>
    <n v="460"/>
    <n v="166.75"/>
    <x v="2"/>
    <s v="38"/>
    <s v="667"/>
    <n v="27"/>
    <n v="0.68965517241379315"/>
    <n v="2.554278416347382E-2"/>
  </r>
  <r>
    <x v="0"/>
    <x v="1"/>
    <x v="1"/>
    <s v="M00000275038"/>
    <d v="2007-08-16T00:00:00"/>
    <n v="0"/>
    <n v="192"/>
    <n v="1839.9"/>
    <n v="750"/>
    <x v="18"/>
    <s v="38"/>
    <s v="3000"/>
    <n v="24"/>
    <n v="0.61330000000000007"/>
    <n v="2.5554166666666669E-2"/>
  </r>
  <r>
    <x v="0"/>
    <x v="1"/>
    <x v="1"/>
    <s v="M00000356150"/>
    <d v="2008-04-30T00:00:00"/>
    <n v="0"/>
    <n v="37.119999999999997"/>
    <n v="460"/>
    <n v="145"/>
    <x v="6"/>
    <s v="49"/>
    <s v="580"/>
    <n v="31"/>
    <n v="0.7931034482758621"/>
    <n v="2.5583982202447165E-2"/>
  </r>
  <r>
    <x v="0"/>
    <x v="1"/>
    <x v="1"/>
    <s v="M00000276900"/>
    <d v="2007-06-14T00:00:00"/>
    <n v="0"/>
    <n v="136.96"/>
    <n v="1643.09"/>
    <n v="535"/>
    <x v="1"/>
    <s v="38"/>
    <s v="2140"/>
    <n v="30"/>
    <n v="0.76779906542056076"/>
    <n v="2.5593302180685357E-2"/>
  </r>
  <r>
    <x v="0"/>
    <x v="1"/>
    <x v="1"/>
    <s v="M00000344928"/>
    <d v="2008-04-10T00:00:00"/>
    <n v="0"/>
    <n v="83.2"/>
    <n v="1000.13"/>
    <n v="325"/>
    <x v="1"/>
    <s v="38"/>
    <s v="1300"/>
    <n v="30"/>
    <n v="0.76933076923076926"/>
    <n v="2.5644358974358974E-2"/>
  </r>
  <r>
    <x v="0"/>
    <x v="1"/>
    <x v="1"/>
    <s v="M00000336958"/>
    <d v="2008-02-07T00:00:00"/>
    <n v="0"/>
    <n v="46.08"/>
    <n v="702"/>
    <n v="180"/>
    <x v="0"/>
    <s v="38"/>
    <s v="720"/>
    <n v="38"/>
    <n v="0.97499999999999998"/>
    <n v="2.5657894736842105E-2"/>
  </r>
  <r>
    <x v="0"/>
    <x v="1"/>
    <x v="1"/>
    <s v="M00000303168"/>
    <d v="2007-10-25T00:00:00"/>
    <n v="0"/>
    <n v="78.209999999999994"/>
    <n v="1067.1600000000001"/>
    <n v="305.5"/>
    <x v="9"/>
    <s v="38"/>
    <s v="1222"/>
    <n v="34"/>
    <n v="0.87328968903436999"/>
    <n v="2.568499085395206E-2"/>
  </r>
  <r>
    <x v="0"/>
    <x v="1"/>
    <x v="1"/>
    <s v="M00000350083"/>
    <d v="2008-05-08T00:00:00"/>
    <n v="0"/>
    <n v="115.9"/>
    <n v="1256.6199999999999"/>
    <n v="452.75"/>
    <x v="2"/>
    <s v="38"/>
    <s v="1811"/>
    <n v="27"/>
    <n v="0.69388183324130304"/>
    <n v="2.5699327157085297E-2"/>
  </r>
  <r>
    <x v="0"/>
    <x v="1"/>
    <x v="1"/>
    <s v="M00000335207"/>
    <d v="2008-01-31T00:00:00"/>
    <n v="0"/>
    <n v="96.64"/>
    <n v="1167"/>
    <n v="377.5"/>
    <x v="1"/>
    <s v="38"/>
    <s v="1510"/>
    <n v="30"/>
    <n v="0.77284768211920529"/>
    <n v="2.5761589403973509E-2"/>
  </r>
  <r>
    <x v="0"/>
    <x v="1"/>
    <x v="1"/>
    <s v="M00000292054"/>
    <d v="2007-09-20T00:00:00"/>
    <n v="0"/>
    <n v="104.96"/>
    <n v="1141.93"/>
    <n v="410"/>
    <x v="2"/>
    <s v="38"/>
    <s v="1640"/>
    <n v="27"/>
    <n v="0.69629878048780491"/>
    <n v="2.5788843721770552E-2"/>
  </r>
  <r>
    <x v="0"/>
    <x v="1"/>
    <x v="1"/>
    <s v="M00000307375"/>
    <d v="2007-10-25T00:00:00"/>
    <n v="0"/>
    <n v="87.04"/>
    <n v="947"/>
    <n v="340"/>
    <x v="2"/>
    <s v="38"/>
    <s v="1360"/>
    <n v="27"/>
    <n v="0.69632352941176467"/>
    <n v="2.5789760348583875E-2"/>
  </r>
  <r>
    <x v="0"/>
    <x v="1"/>
    <x v="1"/>
    <s v="M00000310427"/>
    <d v="2007-11-29T00:00:00"/>
    <n v="0"/>
    <n v="128.58000000000001"/>
    <n v="1297"/>
    <n v="502.25"/>
    <x v="3"/>
    <s v="38"/>
    <s v="2009"/>
    <n v="25"/>
    <n v="0.6455948232951717"/>
    <n v="2.5823792931806869E-2"/>
  </r>
  <r>
    <x v="0"/>
    <x v="1"/>
    <x v="1"/>
    <s v="M00000373439"/>
    <d v="2008-07-10T00:00:00"/>
    <n v="0"/>
    <n v="46.34"/>
    <n v="561"/>
    <n v="181"/>
    <x v="1"/>
    <s v="38"/>
    <s v="724"/>
    <n v="30"/>
    <n v="0.77486187845303867"/>
    <n v="2.5828729281767954E-2"/>
  </r>
  <r>
    <x v="0"/>
    <x v="1"/>
    <x v="1"/>
    <s v="M00000277239"/>
    <d v="2007-06-14T00:00:00"/>
    <n v="0"/>
    <n v="67.709999999999994"/>
    <n v="737.96"/>
    <n v="264.5"/>
    <x v="2"/>
    <s v="38"/>
    <s v="1058"/>
    <n v="27"/>
    <n v="0.69750472589792067"/>
    <n v="2.5833508366589656E-2"/>
  </r>
  <r>
    <x v="0"/>
    <x v="1"/>
    <x v="1"/>
    <s v="M00000286684"/>
    <d v="2007-07-26T00:00:00"/>
    <n v="0"/>
    <n v="156.80000000000001"/>
    <n v="1899"/>
    <n v="612.5"/>
    <x v="1"/>
    <s v="38"/>
    <s v="2450"/>
    <n v="30"/>
    <n v="0.7751020408163265"/>
    <n v="2.5836734693877549E-2"/>
  </r>
  <r>
    <x v="0"/>
    <x v="1"/>
    <x v="1"/>
    <s v="M00000332302"/>
    <d v="2007-12-31T00:00:00"/>
    <n v="0"/>
    <n v="82.37"/>
    <n v="1265"/>
    <n v="321.75"/>
    <x v="0"/>
    <s v="38"/>
    <s v="1287"/>
    <n v="38"/>
    <n v="0.98290598290598286"/>
    <n v="2.5865946918578495E-2"/>
  </r>
  <r>
    <x v="0"/>
    <x v="1"/>
    <x v="1"/>
    <s v="M00000274917"/>
    <d v="2007-06-07T00:00:00"/>
    <n v="0"/>
    <n v="84.48"/>
    <n v="649.97"/>
    <n v="330"/>
    <x v="5"/>
    <s v="38"/>
    <s v="1320"/>
    <n v="19"/>
    <n v="0.49240151515151515"/>
    <n v="2.5915869218500798E-2"/>
  </r>
  <r>
    <x v="0"/>
    <x v="1"/>
    <x v="1"/>
    <s v="M00000353093"/>
    <d v="2008-04-24T00:00:00"/>
    <n v="0"/>
    <n v="53.5"/>
    <n v="650"/>
    <n v="209"/>
    <x v="1"/>
    <s v="38"/>
    <s v="836"/>
    <n v="30"/>
    <n v="0.77751196172248804"/>
    <n v="2.5917065390749602E-2"/>
  </r>
  <r>
    <x v="0"/>
    <x v="1"/>
    <x v="1"/>
    <s v="M00000269344"/>
    <d v="2007-05-17T00:00:00"/>
    <n v="0"/>
    <n v="89.73"/>
    <n v="981.4"/>
    <n v="350.5"/>
    <x v="2"/>
    <s v="38"/>
    <s v="1402"/>
    <n v="27"/>
    <n v="0.7"/>
    <n v="2.5925925925925925E-2"/>
  </r>
  <r>
    <x v="0"/>
    <x v="1"/>
    <x v="1"/>
    <s v="M00000269542"/>
    <d v="2007-05-24T00:00:00"/>
    <n v="0"/>
    <n v="71.040000000000006"/>
    <n v="749.03"/>
    <n v="277.5"/>
    <x v="14"/>
    <s v="38"/>
    <s v="1110"/>
    <n v="26"/>
    <n v="0.67480180180180183"/>
    <n v="2.5953915453915455E-2"/>
  </r>
  <r>
    <x v="0"/>
    <x v="1"/>
    <x v="1"/>
    <s v="M00000363287"/>
    <d v="2008-05-22T00:00:00"/>
    <n v="0"/>
    <n v="40"/>
    <n v="438"/>
    <n v="156.25"/>
    <x v="2"/>
    <s v="38"/>
    <s v="625"/>
    <n v="27"/>
    <n v="0.70079999999999998"/>
    <n v="2.5955555555555555E-2"/>
  </r>
  <r>
    <x v="0"/>
    <x v="1"/>
    <x v="1"/>
    <s v="M00000307674"/>
    <d v="2007-12-31T00:00:00"/>
    <n v="0"/>
    <n v="113.86"/>
    <n v="1247"/>
    <n v="444.75"/>
    <x v="2"/>
    <s v="38"/>
    <s v="1779"/>
    <n v="27"/>
    <n v="0.70095559302979205"/>
    <n v="2.596131826036267E-2"/>
  </r>
  <r>
    <x v="0"/>
    <x v="1"/>
    <x v="1"/>
    <s v="M00000337594"/>
    <d v="2008-02-07T00:00:00"/>
    <n v="0"/>
    <n v="60.8"/>
    <n v="493.68"/>
    <n v="237.5"/>
    <x v="6"/>
    <s v="38"/>
    <s v="950"/>
    <n v="20"/>
    <n v="0.51966315789473683"/>
    <n v="2.598315789473684E-2"/>
  </r>
  <r>
    <x v="0"/>
    <x v="1"/>
    <x v="1"/>
    <s v="M00000339828"/>
    <d v="2008-04-10T00:00:00"/>
    <n v="0"/>
    <n v="92.8"/>
    <n v="980"/>
    <n v="362.5"/>
    <x v="14"/>
    <s v="38"/>
    <s v="1450"/>
    <n v="26"/>
    <n v="0.67586206896551726"/>
    <n v="2.5994694960212204E-2"/>
  </r>
  <r>
    <x v="0"/>
    <x v="1"/>
    <x v="1"/>
    <s v="M00000269531"/>
    <d v="2007-05-10T00:00:00"/>
    <n v="0"/>
    <n v="89.6"/>
    <n v="910"/>
    <n v="350"/>
    <x v="3"/>
    <s v="38"/>
    <s v="1400"/>
    <n v="25"/>
    <n v="0.65"/>
    <n v="2.6000000000000002E-2"/>
  </r>
  <r>
    <x v="0"/>
    <x v="1"/>
    <x v="1"/>
    <s v="M00000316308"/>
    <d v="2007-12-20T00:00:00"/>
    <n v="0"/>
    <n v="52.22"/>
    <n v="659"/>
    <n v="204"/>
    <x v="6"/>
    <s v="49"/>
    <s v="816"/>
    <n v="31"/>
    <n v="0.80759803921568629"/>
    <n v="2.6051549652118911E-2"/>
  </r>
  <r>
    <x v="0"/>
    <x v="1"/>
    <x v="1"/>
    <s v="M00000353664"/>
    <d v="2008-04-17T00:00:00"/>
    <n v="0"/>
    <n v="67.2"/>
    <n v="520"/>
    <n v="262.5"/>
    <x v="5"/>
    <s v="38"/>
    <s v="1050"/>
    <n v="19"/>
    <n v="0.49523809523809526"/>
    <n v="2.606516290726817E-2"/>
  </r>
  <r>
    <x v="0"/>
    <x v="1"/>
    <x v="1"/>
    <s v="M00000277145"/>
    <d v="2007-06-14T00:00:00"/>
    <n v="0"/>
    <n v="30.46"/>
    <n v="335.01"/>
    <n v="119"/>
    <x v="2"/>
    <s v="38"/>
    <s v="476"/>
    <n v="27"/>
    <n v="0.70380252100840335"/>
    <n v="2.6066760037348272E-2"/>
  </r>
  <r>
    <x v="0"/>
    <x v="1"/>
    <x v="1"/>
    <s v="M00000311628"/>
    <d v="2007-11-09T00:00:00"/>
    <n v="0"/>
    <n v="128.96"/>
    <n v="1576"/>
    <n v="503.75"/>
    <x v="1"/>
    <s v="38"/>
    <s v="2015"/>
    <n v="30"/>
    <n v="0.78213399503722081"/>
    <n v="2.6071133167907361E-2"/>
  </r>
  <r>
    <x v="0"/>
    <x v="1"/>
    <x v="1"/>
    <s v="M00000313616"/>
    <d v="2007-11-15T00:00:00"/>
    <n v="0"/>
    <n v="119.81"/>
    <n v="1855"/>
    <n v="468"/>
    <x v="0"/>
    <s v="38"/>
    <s v="1872"/>
    <n v="38"/>
    <n v="0.99091880341880345"/>
    <n v="2.60768106162843E-2"/>
  </r>
  <r>
    <x v="0"/>
    <x v="1"/>
    <x v="1"/>
    <s v="M00000271131"/>
    <d v="2007-05-10T00:00:00"/>
    <n v="0"/>
    <n v="63.94"/>
    <n v="599.4"/>
    <n v="249.75"/>
    <x v="4"/>
    <s v="38"/>
    <s v="999"/>
    <n v="23"/>
    <n v="0.6"/>
    <n v="2.6086956521739129E-2"/>
  </r>
  <r>
    <x v="0"/>
    <x v="1"/>
    <x v="1"/>
    <s v="M00000336748"/>
    <d v="2008-02-07T00:00:00"/>
    <n v="0"/>
    <n v="102.4"/>
    <n v="960"/>
    <n v="400"/>
    <x v="4"/>
    <s v="38"/>
    <s v="1600"/>
    <n v="23"/>
    <n v="0.6"/>
    <n v="2.6086956521739129E-2"/>
  </r>
  <r>
    <x v="0"/>
    <x v="1"/>
    <x v="1"/>
    <s v="M00000340843"/>
    <d v="2008-02-21T00:00:00"/>
    <n v="0"/>
    <n v="93.82"/>
    <n v="765"/>
    <n v="366.5"/>
    <x v="6"/>
    <s v="38"/>
    <s v="1466"/>
    <n v="20"/>
    <n v="0.52182810368349253"/>
    <n v="2.6091405184174625E-2"/>
  </r>
  <r>
    <x v="0"/>
    <x v="1"/>
    <x v="1"/>
    <s v="M00000362040"/>
    <d v="2008-05-22T00:00:00"/>
    <n v="0"/>
    <n v="38.4"/>
    <n v="595"/>
    <n v="150"/>
    <x v="0"/>
    <s v="38"/>
    <s v="600"/>
    <n v="38"/>
    <n v="0.9916666666666667"/>
    <n v="2.6096491228070177E-2"/>
  </r>
  <r>
    <x v="0"/>
    <x v="1"/>
    <x v="1"/>
    <s v="M00000353215"/>
    <d v="2008-04-17T00:00:00"/>
    <n v="0"/>
    <n v="7.68"/>
    <n v="119.04"/>
    <n v="30"/>
    <x v="0"/>
    <s v="38"/>
    <s v="120"/>
    <n v="38"/>
    <n v="0.9920000000000001"/>
    <n v="2.6105263157894739E-2"/>
  </r>
  <r>
    <x v="0"/>
    <x v="1"/>
    <x v="1"/>
    <s v="M00000291425"/>
    <d v="2007-08-16T00:00:00"/>
    <n v="0"/>
    <n v="73.09"/>
    <n v="864.95"/>
    <n v="285.5"/>
    <x v="8"/>
    <s v="38"/>
    <s v="1142"/>
    <n v="29"/>
    <n v="0.75739929947460605"/>
    <n v="2.6117217223262278E-2"/>
  </r>
  <r>
    <x v="0"/>
    <x v="1"/>
    <x v="1"/>
    <s v="M00000280594"/>
    <d v="2007-06-28T00:00:00"/>
    <n v="0"/>
    <n v="82.94"/>
    <n v="1287.06"/>
    <n v="324"/>
    <x v="0"/>
    <s v="38"/>
    <s v="1296"/>
    <n v="38"/>
    <n v="0.99310185185185185"/>
    <n v="2.613425925925926E-2"/>
  </r>
  <r>
    <x v="0"/>
    <x v="1"/>
    <x v="1"/>
    <s v="M00000278383"/>
    <d v="2007-06-21T00:00:00"/>
    <n v="0"/>
    <n v="95.36"/>
    <n v="975.06"/>
    <n v="372.5"/>
    <x v="3"/>
    <s v="38"/>
    <s v="1490"/>
    <n v="25"/>
    <n v="0.65440268456375839"/>
    <n v="2.6176107382550336E-2"/>
  </r>
  <r>
    <x v="0"/>
    <x v="1"/>
    <x v="1"/>
    <s v="M00000301896"/>
    <d v="2007-09-28T00:00:00"/>
    <n v="0"/>
    <n v="87.04"/>
    <n v="1353"/>
    <n v="340"/>
    <x v="0"/>
    <s v="38"/>
    <s v="1360"/>
    <n v="38"/>
    <n v="0.99485294117647061"/>
    <n v="2.6180340557275542E-2"/>
  </r>
  <r>
    <x v="0"/>
    <x v="1"/>
    <x v="1"/>
    <s v="M00000271046"/>
    <d v="2007-07-12T00:00:00"/>
    <n v="0"/>
    <n v="83.2"/>
    <n v="975"/>
    <n v="325"/>
    <x v="0"/>
    <s v="38"/>
    <s v="980"/>
    <n v="38"/>
    <n v="0.99489795918367352"/>
    <n v="2.6181525241675618E-2"/>
  </r>
  <r>
    <x v="0"/>
    <x v="1"/>
    <x v="1"/>
    <s v="M00000298932"/>
    <d v="2007-10-04T00:00:00"/>
    <n v="0"/>
    <n v="67.069999999999993"/>
    <n v="797.63"/>
    <n v="262"/>
    <x v="8"/>
    <s v="38"/>
    <s v="1048"/>
    <n v="29"/>
    <n v="0.76109732824427478"/>
    <n v="2.6244735456699132E-2"/>
  </r>
  <r>
    <x v="0"/>
    <x v="1"/>
    <x v="1"/>
    <s v="M00000277529"/>
    <d v="2007-06-14T00:00:00"/>
    <n v="0"/>
    <n v="48.77"/>
    <n v="600"/>
    <n v="190.5"/>
    <x v="1"/>
    <s v="38"/>
    <s v="762"/>
    <n v="30"/>
    <n v="0.78740157480314965"/>
    <n v="2.624671916010499E-2"/>
  </r>
  <r>
    <x v="0"/>
    <x v="1"/>
    <x v="1"/>
    <s v="M00000321652"/>
    <d v="2008-01-17T00:00:00"/>
    <n v="0"/>
    <n v="92.8"/>
    <n v="837.86"/>
    <n v="362.5"/>
    <x v="7"/>
    <s v="38"/>
    <s v="1450"/>
    <n v="22"/>
    <n v="0.5778344827586207"/>
    <n v="2.6265203761755486E-2"/>
  </r>
  <r>
    <x v="0"/>
    <x v="1"/>
    <x v="1"/>
    <s v="M00000327936"/>
    <d v="2007-12-31T00:00:00"/>
    <n v="0"/>
    <n v="108.54"/>
    <n v="1025"/>
    <n v="424"/>
    <x v="4"/>
    <s v="38"/>
    <s v="1696"/>
    <n v="23"/>
    <n v="0.60436320754716977"/>
    <n v="2.6276661197703034E-2"/>
  </r>
  <r>
    <x v="0"/>
    <x v="1"/>
    <x v="1"/>
    <s v="M00000271568"/>
    <d v="2007-05-17T00:00:00"/>
    <n v="0"/>
    <n v="89.6"/>
    <n v="994"/>
    <n v="350"/>
    <x v="2"/>
    <s v="38"/>
    <s v="1400"/>
    <n v="27"/>
    <n v="0.71"/>
    <n v="2.6296296296296293E-2"/>
  </r>
  <r>
    <x v="0"/>
    <x v="1"/>
    <x v="1"/>
    <s v="M00000291319"/>
    <d v="2007-08-16T00:00:00"/>
    <n v="0"/>
    <n v="76.8"/>
    <n v="1200"/>
    <n v="300"/>
    <x v="0"/>
    <s v="38"/>
    <s v="1200"/>
    <n v="38"/>
    <n v="1"/>
    <n v="2.6315789473684209E-2"/>
  </r>
  <r>
    <x v="0"/>
    <x v="1"/>
    <x v="1"/>
    <s v="M00000341744"/>
    <d v="2008-03-27T00:00:00"/>
    <n v="0"/>
    <n v="18.43"/>
    <n v="288"/>
    <n v="72"/>
    <x v="0"/>
    <s v="38"/>
    <s v="288"/>
    <n v="38"/>
    <n v="1"/>
    <n v="2.6315789473684209E-2"/>
  </r>
  <r>
    <x v="0"/>
    <x v="1"/>
    <x v="1"/>
    <s v="M00000355563"/>
    <d v="2008-04-24T00:00:00"/>
    <n v="0"/>
    <n v="53.76"/>
    <n v="840"/>
    <n v="210"/>
    <x v="0"/>
    <s v="38"/>
    <s v="840"/>
    <n v="38"/>
    <n v="1"/>
    <n v="2.6315789473684209E-2"/>
  </r>
  <r>
    <x v="0"/>
    <x v="1"/>
    <x v="1"/>
    <s v="M00000374661"/>
    <d v="2008-07-10T00:00:00"/>
    <n v="0"/>
    <n v="48.38"/>
    <n v="701"/>
    <n v="189"/>
    <x v="0"/>
    <s v="38"/>
    <s v="701"/>
    <n v="38"/>
    <n v="1"/>
    <n v="2.6315789473684209E-2"/>
  </r>
  <r>
    <x v="0"/>
    <x v="1"/>
    <x v="1"/>
    <s v="M00000285166"/>
    <d v="2007-07-19T00:00:00"/>
    <n v="0"/>
    <n v="135.68"/>
    <n v="1394.96"/>
    <n v="530"/>
    <x v="3"/>
    <s v="38"/>
    <s v="2120"/>
    <n v="25"/>
    <n v="0.65800000000000003"/>
    <n v="2.632E-2"/>
  </r>
  <r>
    <x v="0"/>
    <x v="1"/>
    <x v="1"/>
    <s v="M00000319024"/>
    <d v="2007-12-06T00:00:00"/>
    <n v="0"/>
    <n v="66.05"/>
    <n v="626"/>
    <n v="258"/>
    <x v="4"/>
    <s v="38"/>
    <s v="1032"/>
    <n v="23"/>
    <n v="0.60658914728682167"/>
    <n v="2.6373441186383552E-2"/>
  </r>
  <r>
    <x v="0"/>
    <x v="1"/>
    <x v="1"/>
    <s v="M00000301334"/>
    <d v="2007-10-04T00:00:00"/>
    <n v="0"/>
    <n v="83.07"/>
    <n v="755"/>
    <n v="324.5"/>
    <x v="7"/>
    <s v="38"/>
    <s v="1298"/>
    <n v="22"/>
    <n v="0.58166409861325119"/>
    <n v="2.6439277209693236E-2"/>
  </r>
  <r>
    <x v="0"/>
    <x v="1"/>
    <x v="1"/>
    <s v="M00000338130"/>
    <d v="2008-03-13T00:00:00"/>
    <n v="0"/>
    <n v="105.6"/>
    <n v="873"/>
    <n v="412.5"/>
    <x v="6"/>
    <s v="38"/>
    <s v="1650"/>
    <n v="20"/>
    <n v="0.52909090909090906"/>
    <n v="2.6454545454545453E-2"/>
  </r>
  <r>
    <x v="0"/>
    <x v="1"/>
    <x v="1"/>
    <s v="M00000306664"/>
    <d v="2007-11-15T00:00:00"/>
    <n v="0"/>
    <n v="79.62"/>
    <n v="757.91"/>
    <n v="311"/>
    <x v="4"/>
    <s v="38"/>
    <s v="1244"/>
    <n v="23"/>
    <n v="0.60925241157556265"/>
    <n v="2.6489235285894027E-2"/>
  </r>
  <r>
    <x v="0"/>
    <x v="1"/>
    <x v="1"/>
    <s v="M00000347783"/>
    <d v="2008-04-24T00:00:00"/>
    <n v="0"/>
    <n v="110.21"/>
    <n v="913.44"/>
    <n v="430.5"/>
    <x v="6"/>
    <s v="38"/>
    <s v="1722"/>
    <n v="20"/>
    <n v="0.53045296167247391"/>
    <n v="2.6522648083623694E-2"/>
  </r>
  <r>
    <x v="0"/>
    <x v="1"/>
    <x v="1"/>
    <s v="M00000333205"/>
    <d v="2008-02-07T00:00:00"/>
    <n v="0"/>
    <n v="57.79"/>
    <n v="479"/>
    <n v="225.75"/>
    <x v="6"/>
    <s v="38"/>
    <s v="903"/>
    <n v="20"/>
    <n v="0.53045404208194902"/>
    <n v="2.6522702104097452E-2"/>
  </r>
  <r>
    <x v="0"/>
    <x v="1"/>
    <x v="1"/>
    <s v="M00000290831"/>
    <d v="2007-08-16T00:00:00"/>
    <n v="0"/>
    <n v="86.4"/>
    <n v="717.12"/>
    <n v="337.5"/>
    <x v="6"/>
    <s v="38"/>
    <s v="1350"/>
    <n v="20"/>
    <n v="0.53120000000000001"/>
    <n v="2.656E-2"/>
  </r>
  <r>
    <x v="0"/>
    <x v="1"/>
    <x v="1"/>
    <s v="M00000327989"/>
    <d v="2007-12-31T00:00:00"/>
    <n v="0"/>
    <n v="79.87"/>
    <n v="896"/>
    <n v="312"/>
    <x v="2"/>
    <s v="38"/>
    <s v="1248"/>
    <n v="27"/>
    <n v="0.71794871794871795"/>
    <n v="2.6590693257359924E-2"/>
  </r>
  <r>
    <x v="0"/>
    <x v="1"/>
    <x v="1"/>
    <s v="M00000336928"/>
    <d v="2008-02-21T00:00:00"/>
    <n v="0"/>
    <n v="63.36"/>
    <n v="711"/>
    <n v="247.5"/>
    <x v="2"/>
    <s v="38"/>
    <s v="990"/>
    <n v="27"/>
    <n v="0.71818181818181814"/>
    <n v="2.6599326599326598E-2"/>
  </r>
  <r>
    <x v="0"/>
    <x v="1"/>
    <x v="1"/>
    <s v="M00000333929"/>
    <d v="2008-02-21T00:00:00"/>
    <n v="0"/>
    <n v="79.87"/>
    <n v="796.95"/>
    <n v="312"/>
    <x v="18"/>
    <s v="38"/>
    <s v="1248"/>
    <n v="24"/>
    <n v="0.63858173076923086"/>
    <n v="2.6607572115384618E-2"/>
  </r>
  <r>
    <x v="0"/>
    <x v="1"/>
    <x v="1"/>
    <s v="M00000277501"/>
    <d v="2007-06-14T00:00:00"/>
    <n v="0"/>
    <n v="154.11000000000001"/>
    <n v="1923.99"/>
    <n v="602"/>
    <x v="1"/>
    <s v="38"/>
    <s v="2408"/>
    <n v="30"/>
    <n v="0.79899916943521598"/>
    <n v="2.6633305647840534E-2"/>
  </r>
  <r>
    <x v="0"/>
    <x v="1"/>
    <x v="1"/>
    <s v="M00000271385"/>
    <d v="2007-08-09T00:00:00"/>
    <n v="0"/>
    <n v="89.6"/>
    <n v="1344"/>
    <n v="350"/>
    <x v="17"/>
    <s v="38"/>
    <s v="1400"/>
    <n v="36"/>
    <n v="0.96"/>
    <n v="2.6666666666666665E-2"/>
  </r>
  <r>
    <x v="0"/>
    <x v="1"/>
    <x v="1"/>
    <s v="M00000364327"/>
    <d v="2008-06-26T00:00:00"/>
    <n v="0"/>
    <n v="57.6"/>
    <n v="600"/>
    <n v="225"/>
    <x v="3"/>
    <s v="38"/>
    <s v="900"/>
    <n v="25"/>
    <n v="0.66666666666666663"/>
    <n v="2.6666666666666665E-2"/>
  </r>
  <r>
    <x v="0"/>
    <x v="1"/>
    <x v="1"/>
    <s v="M00000268327"/>
    <d v="2007-05-10T00:00:00"/>
    <n v="0"/>
    <n v="99.84"/>
    <n v="1248"/>
    <n v="390"/>
    <x v="1"/>
    <s v="38"/>
    <s v="1560"/>
    <n v="30"/>
    <n v="0.8"/>
    <n v="2.6666666666666668E-2"/>
  </r>
  <r>
    <x v="0"/>
    <x v="1"/>
    <x v="1"/>
    <s v="M00000342006"/>
    <d v="2008-02-29T00:00:00"/>
    <n v="0"/>
    <n v="64"/>
    <n v="800"/>
    <n v="250"/>
    <x v="1"/>
    <s v="38"/>
    <s v="1000"/>
    <n v="30"/>
    <n v="0.8"/>
    <n v="2.6666666666666668E-2"/>
  </r>
  <r>
    <x v="0"/>
    <x v="1"/>
    <x v="1"/>
    <s v="M00000310688"/>
    <d v="2007-11-09T00:00:00"/>
    <n v="0"/>
    <n v="94.72"/>
    <n v="987"/>
    <n v="370"/>
    <x v="3"/>
    <s v="38"/>
    <s v="1480"/>
    <n v="25"/>
    <n v="0.66689189189189191"/>
    <n v="2.6675675675675678E-2"/>
  </r>
  <r>
    <x v="0"/>
    <x v="1"/>
    <x v="1"/>
    <s v="M00000343837"/>
    <d v="2008-03-06T00:00:00"/>
    <n v="0"/>
    <n v="136.83000000000001"/>
    <n v="1255"/>
    <n v="534.5"/>
    <x v="7"/>
    <s v="38"/>
    <s v="2138"/>
    <n v="22"/>
    <n v="0.58699719363891489"/>
    <n v="2.6681690619950679E-2"/>
  </r>
  <r>
    <x v="0"/>
    <x v="1"/>
    <x v="1"/>
    <s v="M00000366072"/>
    <d v="2008-06-12T00:00:00"/>
    <n v="0"/>
    <n v="40.32"/>
    <n v="640"/>
    <n v="157.5"/>
    <x v="0"/>
    <s v="38"/>
    <s v="630"/>
    <n v="38"/>
    <n v="1.0158730158730158"/>
    <n v="2.6733500417710943E-2"/>
  </r>
  <r>
    <x v="0"/>
    <x v="1"/>
    <x v="1"/>
    <s v="M00000298177"/>
    <d v="2007-09-14T00:00:00"/>
    <n v="0"/>
    <n v="89.92"/>
    <n v="752.66"/>
    <n v="351.25"/>
    <x v="6"/>
    <s v="38"/>
    <s v="1405"/>
    <n v="20"/>
    <n v="0.53570106761565839"/>
    <n v="2.6785053380782919E-2"/>
  </r>
  <r>
    <x v="0"/>
    <x v="1"/>
    <x v="1"/>
    <s v="M00000343914"/>
    <d v="2008-04-24T00:00:00"/>
    <n v="0"/>
    <n v="80.319999999999993"/>
    <n v="941.47"/>
    <n v="313.75"/>
    <x v="11"/>
    <s v="38"/>
    <s v="1255"/>
    <n v="28"/>
    <n v="0.75017529880478084"/>
    <n v="2.6791974957313603E-2"/>
  </r>
  <r>
    <x v="0"/>
    <x v="1"/>
    <x v="1"/>
    <s v="M00000280786"/>
    <d v="2007-06-28T00:00:00"/>
    <n v="0"/>
    <n v="103.55"/>
    <n v="1084.06"/>
    <n v="404.5"/>
    <x v="3"/>
    <s v="38"/>
    <s v="1618"/>
    <n v="25"/>
    <n v="0.67"/>
    <n v="2.6799999999999997E-2"/>
  </r>
  <r>
    <x v="0"/>
    <x v="1"/>
    <x v="1"/>
    <s v="M00000269834"/>
    <d v="2007-05-17T00:00:00"/>
    <n v="0"/>
    <n v="55.1"/>
    <n v="439.11"/>
    <n v="215.25"/>
    <x v="5"/>
    <s v="38"/>
    <s v="861"/>
    <n v="19"/>
    <n v="0.51"/>
    <n v="2.6842105263157896E-2"/>
  </r>
  <r>
    <x v="0"/>
    <x v="1"/>
    <x v="1"/>
    <s v="M00000280860"/>
    <d v="2007-06-28T00:00:00"/>
    <n v="0"/>
    <n v="62.72"/>
    <n v="816.05"/>
    <n v="245"/>
    <x v="6"/>
    <s v="49"/>
    <s v="980"/>
    <n v="31"/>
    <n v="0.83270408163265297"/>
    <n v="2.6861421988150096E-2"/>
  </r>
  <r>
    <x v="0"/>
    <x v="1"/>
    <x v="1"/>
    <s v="M00000315211"/>
    <d v="2007-11-21T00:00:00"/>
    <n v="0"/>
    <n v="85.76"/>
    <n v="1080"/>
    <n v="335"/>
    <x v="1"/>
    <s v="38"/>
    <s v="1340"/>
    <n v="30"/>
    <n v="0.80597014925373134"/>
    <n v="2.6865671641791045E-2"/>
  </r>
  <r>
    <x v="0"/>
    <x v="1"/>
    <x v="1"/>
    <s v="M00000307189"/>
    <d v="2007-11-21T00:00:00"/>
    <n v="0"/>
    <n v="123.84"/>
    <n v="1663.81"/>
    <n v="483.75"/>
    <x v="12"/>
    <s v="38"/>
    <s v="1935"/>
    <n v="32"/>
    <n v="0.85985012919896642"/>
    <n v="2.6870316537467701E-2"/>
  </r>
  <r>
    <x v="0"/>
    <x v="1"/>
    <x v="1"/>
    <s v="M00000272355"/>
    <d v="2007-05-17T00:00:00"/>
    <n v="0"/>
    <n v="77.180000000000007"/>
    <n v="939.96"/>
    <n v="301.5"/>
    <x v="8"/>
    <s v="38"/>
    <s v="1206"/>
    <n v="29"/>
    <n v="0.77940298507462691"/>
    <n v="2.6875965002573343E-2"/>
  </r>
  <r>
    <x v="0"/>
    <x v="1"/>
    <x v="1"/>
    <s v="M00000318409"/>
    <d v="2007-12-06T00:00:00"/>
    <n v="0"/>
    <n v="86.4"/>
    <n v="980"/>
    <n v="337.5"/>
    <x v="2"/>
    <s v="38"/>
    <s v="1350"/>
    <n v="27"/>
    <n v="0.72592592592592597"/>
    <n v="2.6886145404663924E-2"/>
  </r>
  <r>
    <x v="0"/>
    <x v="1"/>
    <x v="1"/>
    <s v="M00000281646"/>
    <d v="2007-08-23T00:00:00"/>
    <n v="0"/>
    <n v="58.24"/>
    <n v="807.99"/>
    <n v="227.5"/>
    <x v="10"/>
    <s v="38"/>
    <s v="910"/>
    <n v="33"/>
    <n v="0.88790109890109892"/>
    <n v="2.6906093906093907E-2"/>
  </r>
  <r>
    <x v="0"/>
    <x v="1"/>
    <x v="1"/>
    <s v="M00000301535"/>
    <d v="2007-10-25T00:00:00"/>
    <n v="0"/>
    <n v="59.9"/>
    <n v="806"/>
    <n v="234"/>
    <x v="12"/>
    <s v="38"/>
    <s v="936"/>
    <n v="32"/>
    <n v="0.86111111111111116"/>
    <n v="2.6909722222222224E-2"/>
  </r>
  <r>
    <x v="0"/>
    <x v="1"/>
    <x v="1"/>
    <s v="M00000303477"/>
    <d v="2007-11-09T00:00:00"/>
    <n v="0"/>
    <n v="83.2"/>
    <n v="945"/>
    <n v="325"/>
    <x v="2"/>
    <s v="38"/>
    <s v="1300"/>
    <n v="27"/>
    <n v="0.72692307692307689"/>
    <n v="2.6923076923076921E-2"/>
  </r>
  <r>
    <x v="0"/>
    <x v="1"/>
    <x v="1"/>
    <s v="M00000316919"/>
    <d v="2007-11-29T00:00:00"/>
    <n v="0"/>
    <n v="65.92"/>
    <n v="638"/>
    <n v="257.5"/>
    <x v="4"/>
    <s v="38"/>
    <s v="1030"/>
    <n v="23"/>
    <n v="0.61941747572815531"/>
    <n v="2.6931194596876318E-2"/>
  </r>
  <r>
    <x v="0"/>
    <x v="1"/>
    <x v="1"/>
    <s v="M00000322232"/>
    <d v="2007-12-20T00:00:00"/>
    <n v="0"/>
    <n v="24"/>
    <n v="495"/>
    <n v="93.75"/>
    <x v="0"/>
    <s v="49"/>
    <s v="375"/>
    <n v="49"/>
    <n v="1.32"/>
    <n v="2.6938775510204082E-2"/>
  </r>
  <r>
    <x v="0"/>
    <x v="1"/>
    <x v="1"/>
    <s v="M00000313434"/>
    <d v="2007-12-31T00:00:00"/>
    <n v="0"/>
    <n v="70.209999999999994"/>
    <n v="1124.08"/>
    <n v="274.25"/>
    <x v="0"/>
    <s v="38"/>
    <s v="1097"/>
    <n v="38"/>
    <n v="1.0246855059252507"/>
    <n v="2.696540805066449E-2"/>
  </r>
  <r>
    <x v="0"/>
    <x v="1"/>
    <x v="1"/>
    <s v="M00000354111"/>
    <d v="2008-04-17T00:00:00"/>
    <n v="0"/>
    <n v="46.08"/>
    <n v="583"/>
    <n v="180"/>
    <x v="11"/>
    <s v="40"/>
    <s v="720"/>
    <n v="30"/>
    <n v="0.80972222222222223"/>
    <n v="2.6990740740740742E-2"/>
  </r>
  <r>
    <x v="0"/>
    <x v="1"/>
    <x v="1"/>
    <s v="M00000337281"/>
    <d v="2008-02-14T00:00:00"/>
    <n v="0"/>
    <n v="106.62"/>
    <n v="900"/>
    <n v="416.5"/>
    <x v="6"/>
    <s v="38"/>
    <s v="1666"/>
    <n v="20"/>
    <n v="0.54021608643457386"/>
    <n v="2.7010804321728692E-2"/>
  </r>
  <r>
    <x v="0"/>
    <x v="1"/>
    <x v="1"/>
    <s v="M00000300914"/>
    <d v="2007-09-27T00:00:00"/>
    <n v="0"/>
    <n v="79.55"/>
    <n v="1276"/>
    <n v="310.75"/>
    <x v="0"/>
    <s v="38"/>
    <s v="1243"/>
    <n v="38"/>
    <n v="1.0265486725663717"/>
    <n v="2.7014438751746625E-2"/>
  </r>
  <r>
    <x v="0"/>
    <x v="1"/>
    <x v="1"/>
    <s v="M00000311530"/>
    <d v="2007-11-09T00:00:00"/>
    <n v="0"/>
    <n v="59.14"/>
    <n v="800"/>
    <n v="231"/>
    <x v="12"/>
    <s v="38"/>
    <s v="924"/>
    <n v="32"/>
    <n v="0.86580086580086579"/>
    <n v="2.7056277056277056E-2"/>
  </r>
  <r>
    <x v="0"/>
    <x v="1"/>
    <x v="1"/>
    <s v="M00000306768"/>
    <d v="2007-12-27T00:00:00"/>
    <n v="0"/>
    <n v="120.38"/>
    <n v="1018"/>
    <n v="470.25"/>
    <x v="6"/>
    <s v="38"/>
    <s v="1881"/>
    <n v="20"/>
    <n v="0.54120148856990957"/>
    <n v="2.7060074428495479E-2"/>
  </r>
  <r>
    <x v="0"/>
    <x v="1"/>
    <x v="1"/>
    <s v="M00000331959"/>
    <d v="2007-12-31T00:00:00"/>
    <n v="0"/>
    <n v="72.319999999999993"/>
    <n v="734"/>
    <n v="282.5"/>
    <x v="18"/>
    <s v="38"/>
    <s v="1130"/>
    <n v="24"/>
    <n v="0.64955752212389384"/>
    <n v="2.7064896755162243E-2"/>
  </r>
  <r>
    <x v="0"/>
    <x v="1"/>
    <x v="1"/>
    <s v="M00000334468"/>
    <d v="2008-01-24T00:00:00"/>
    <n v="0"/>
    <n v="102.4"/>
    <n v="1040"/>
    <n v="400"/>
    <x v="18"/>
    <s v="38"/>
    <s v="1600"/>
    <n v="24"/>
    <n v="0.65"/>
    <n v="2.7083333333333334E-2"/>
  </r>
  <r>
    <x v="0"/>
    <x v="1"/>
    <x v="1"/>
    <s v="M00000285734"/>
    <d v="2007-07-19T00:00:00"/>
    <n v="0"/>
    <n v="61.44"/>
    <n v="520.03"/>
    <n v="240"/>
    <x v="6"/>
    <s v="38"/>
    <s v="960"/>
    <n v="20"/>
    <n v="0.54169791666666667"/>
    <n v="2.7084895833333334E-2"/>
  </r>
  <r>
    <x v="0"/>
    <x v="1"/>
    <x v="1"/>
    <s v="M00000317115"/>
    <d v="2007-12-06T00:00:00"/>
    <n v="0"/>
    <n v="112.13"/>
    <n v="1140"/>
    <n v="438"/>
    <x v="18"/>
    <s v="38"/>
    <s v="1752"/>
    <n v="24"/>
    <n v="0.65068493150684936"/>
    <n v="2.7111872146118723E-2"/>
  </r>
  <r>
    <x v="0"/>
    <x v="1"/>
    <x v="1"/>
    <s v="M00000290665"/>
    <d v="2007-08-16T00:00:00"/>
    <n v="0"/>
    <n v="75.52"/>
    <n v="927.95"/>
    <n v="295"/>
    <x v="8"/>
    <s v="38"/>
    <s v="1180"/>
    <n v="29"/>
    <n v="0.78639830508474584"/>
    <n v="2.7117182933956752E-2"/>
  </r>
  <r>
    <x v="0"/>
    <x v="1"/>
    <x v="1"/>
    <s v="M00000346788"/>
    <d v="2008-05-29T00:00:00"/>
    <n v="0"/>
    <n v="102.85"/>
    <n v="1267.32"/>
    <n v="401.75"/>
    <x v="8"/>
    <s v="38"/>
    <s v="1607"/>
    <n v="29"/>
    <n v="0.78862476664592407"/>
    <n v="2.7193957470549104E-2"/>
  </r>
  <r>
    <x v="0"/>
    <x v="1"/>
    <x v="1"/>
    <s v="M00000285967"/>
    <d v="2007-07-26T00:00:00"/>
    <n v="0"/>
    <n v="68.989999999999995"/>
    <n v="644.97"/>
    <n v="269.5"/>
    <x v="7"/>
    <s v="38"/>
    <s v="1078"/>
    <n v="22"/>
    <n v="0.59830241187384048"/>
    <n v="2.7195564176083657E-2"/>
  </r>
  <r>
    <x v="0"/>
    <x v="1"/>
    <x v="1"/>
    <s v="M00000296368"/>
    <d v="2007-09-06T00:00:00"/>
    <n v="0"/>
    <n v="86.4"/>
    <n v="697.95"/>
    <n v="337.5"/>
    <x v="5"/>
    <s v="38"/>
    <s v="1350"/>
    <n v="19"/>
    <n v="0.51700000000000002"/>
    <n v="2.7210526315789473E-2"/>
  </r>
  <r>
    <x v="0"/>
    <x v="1"/>
    <x v="1"/>
    <s v="M00000335309"/>
    <d v="2008-01-31T00:00:00"/>
    <n v="0"/>
    <n v="75.14"/>
    <n v="639"/>
    <n v="293.5"/>
    <x v="6"/>
    <s v="38"/>
    <s v="1174"/>
    <n v="20"/>
    <n v="0.54429301533219765"/>
    <n v="2.7214650766609883E-2"/>
  </r>
  <r>
    <x v="0"/>
    <x v="1"/>
    <x v="1"/>
    <s v="M00000368051"/>
    <d v="2008-06-12T00:00:00"/>
    <n v="0"/>
    <n v="68.099999999999994"/>
    <n v="1100.43"/>
    <n v="266"/>
    <x v="0"/>
    <s v="38"/>
    <s v="1064"/>
    <n v="38"/>
    <n v="1.0342387218045113"/>
    <n v="2.7216808468539772E-2"/>
  </r>
  <r>
    <x v="0"/>
    <x v="1"/>
    <x v="1"/>
    <s v="M00000372822"/>
    <d v="2008-07-03T00:00:00"/>
    <n v="0"/>
    <n v="86.46"/>
    <n v="1400"/>
    <n v="337.75"/>
    <x v="0"/>
    <s v="38"/>
    <s v="1351"/>
    <n v="38"/>
    <n v="1.0362694300518134"/>
    <n v="2.7270248159258246E-2"/>
  </r>
  <r>
    <x v="0"/>
    <x v="1"/>
    <x v="1"/>
    <s v="M00000343541"/>
    <d v="2008-04-03T00:00:00"/>
    <n v="0"/>
    <n v="96"/>
    <n v="982.44"/>
    <n v="375"/>
    <x v="18"/>
    <s v="38"/>
    <s v="1500"/>
    <n v="24"/>
    <n v="0.65495999999999999"/>
    <n v="2.7289999999999998E-2"/>
  </r>
  <r>
    <x v="0"/>
    <x v="1"/>
    <x v="1"/>
    <s v="M00000284780"/>
    <d v="2007-07-19T00:00:00"/>
    <n v="0"/>
    <n v="67.2"/>
    <n v="1090.01"/>
    <n v="262.5"/>
    <x v="0"/>
    <s v="38"/>
    <s v="1050"/>
    <n v="38"/>
    <n v="1.0381047619047619"/>
    <n v="2.7318546365914787E-2"/>
  </r>
  <r>
    <x v="0"/>
    <x v="1"/>
    <x v="1"/>
    <s v="M00000350931"/>
    <d v="2008-04-03T00:00:00"/>
    <n v="0"/>
    <n v="110.08"/>
    <n v="1410"/>
    <n v="430"/>
    <x v="1"/>
    <s v="38"/>
    <s v="1720"/>
    <n v="30"/>
    <n v="0.81976744186046513"/>
    <n v="2.7325581395348839E-2"/>
  </r>
  <r>
    <x v="0"/>
    <x v="1"/>
    <x v="1"/>
    <s v="M00000347118"/>
    <d v="2008-04-17T00:00:00"/>
    <n v="0"/>
    <n v="134.4"/>
    <n v="1148.6600000000001"/>
    <n v="525"/>
    <x v="6"/>
    <s v="38"/>
    <s v="2100"/>
    <n v="20"/>
    <n v="0.54698095238095246"/>
    <n v="2.7349047619047624E-2"/>
  </r>
  <r>
    <x v="0"/>
    <x v="1"/>
    <x v="1"/>
    <s v="M00000342209"/>
    <d v="2008-03-27T00:00:00"/>
    <n v="0"/>
    <n v="55.3"/>
    <n v="474"/>
    <n v="216"/>
    <x v="6"/>
    <s v="38"/>
    <s v="864"/>
    <n v="20"/>
    <n v="0.54861111111111116"/>
    <n v="2.7430555555555559E-2"/>
  </r>
  <r>
    <x v="0"/>
    <x v="1"/>
    <x v="1"/>
    <s v="M00000367029"/>
    <d v="2008-06-12T00:00:00"/>
    <n v="0"/>
    <n v="63.36"/>
    <n v="679"/>
    <n v="247.5"/>
    <x v="3"/>
    <s v="38"/>
    <s v="990"/>
    <n v="25"/>
    <n v="0.68585858585858583"/>
    <n v="2.7434343434343433E-2"/>
  </r>
  <r>
    <x v="0"/>
    <x v="1"/>
    <x v="1"/>
    <s v="M00000313577"/>
    <d v="2007-12-27T00:00:00"/>
    <n v="0"/>
    <n v="67.2"/>
    <n v="981.31"/>
    <n v="262.5"/>
    <x v="9"/>
    <s v="38"/>
    <s v="1050"/>
    <n v="34"/>
    <n v="0.93458095238095229"/>
    <n v="2.7487675070028007E-2"/>
  </r>
  <r>
    <x v="0"/>
    <x v="1"/>
    <x v="1"/>
    <s v="M00000315492"/>
    <d v="2007-11-21T00:00:00"/>
    <n v="0"/>
    <n v="52.22"/>
    <n v="718"/>
    <n v="204"/>
    <x v="15"/>
    <s v="49"/>
    <s v="816"/>
    <n v="32"/>
    <n v="0.87990196078431371"/>
    <n v="2.7496936274509803E-2"/>
  </r>
  <r>
    <x v="0"/>
    <x v="1"/>
    <x v="1"/>
    <s v="M00000308281"/>
    <d v="2007-10-25T00:00:00"/>
    <n v="0"/>
    <n v="85.76"/>
    <n v="995"/>
    <n v="335"/>
    <x v="2"/>
    <s v="38"/>
    <s v="1340"/>
    <n v="27"/>
    <n v="0.7425373134328358"/>
    <n v="2.7501381978993919E-2"/>
  </r>
  <r>
    <x v="0"/>
    <x v="1"/>
    <x v="1"/>
    <s v="M00000334764"/>
    <d v="2008-01-24T00:00:00"/>
    <n v="0"/>
    <n v="38.78"/>
    <n v="500"/>
    <n v="151.5"/>
    <x v="1"/>
    <s v="38"/>
    <s v="606"/>
    <n v="30"/>
    <n v="0.82508250825082508"/>
    <n v="2.7502750275027504E-2"/>
  </r>
  <r>
    <x v="0"/>
    <x v="1"/>
    <x v="1"/>
    <s v="M00000281446"/>
    <d v="2007-07-06T00:00:00"/>
    <n v="0"/>
    <n v="70.400000000000006"/>
    <n v="1149.94"/>
    <n v="275"/>
    <x v="16"/>
    <s v="45"/>
    <s v="1100"/>
    <n v="38"/>
    <n v="1.0454000000000001"/>
    <n v="2.7510526315789475E-2"/>
  </r>
  <r>
    <x v="0"/>
    <x v="1"/>
    <x v="1"/>
    <s v="M00000349604"/>
    <d v="2008-05-22T00:00:00"/>
    <n v="0"/>
    <n v="57.41"/>
    <n v="608.9"/>
    <n v="224.25"/>
    <x v="4"/>
    <s v="38"/>
    <s v="960"/>
    <n v="23"/>
    <n v="0.63427083333333334"/>
    <n v="2.757699275362319E-2"/>
  </r>
  <r>
    <x v="0"/>
    <x v="1"/>
    <x v="1"/>
    <s v="M00000313455"/>
    <d v="2007-11-15T00:00:00"/>
    <n v="0"/>
    <n v="51.52"/>
    <n v="844"/>
    <n v="201.25"/>
    <x v="0"/>
    <s v="38"/>
    <s v="805"/>
    <n v="38"/>
    <n v="1.0484472049689442"/>
    <n v="2.7590715920235372E-2"/>
  </r>
  <r>
    <x v="0"/>
    <x v="1"/>
    <x v="1"/>
    <s v="M00000319918"/>
    <d v="2007-12-13T00:00:00"/>
    <n v="0"/>
    <n v="51.58"/>
    <n v="846"/>
    <n v="201.5"/>
    <x v="0"/>
    <s v="38"/>
    <s v="806"/>
    <n v="38"/>
    <n v="1.0496277915632755"/>
    <n v="2.7621783988507249E-2"/>
  </r>
  <r>
    <x v="0"/>
    <x v="1"/>
    <x v="1"/>
    <s v="M00000347794"/>
    <d v="2008-03-20T00:00:00"/>
    <n v="0"/>
    <n v="64.510000000000005"/>
    <n v="585"/>
    <n v="252"/>
    <x v="15"/>
    <s v="38"/>
    <s v="1008"/>
    <n v="21"/>
    <n v="0.5803571428571429"/>
    <n v="2.763605442176871E-2"/>
  </r>
  <r>
    <x v="0"/>
    <x v="1"/>
    <x v="1"/>
    <s v="M00000273229"/>
    <d v="2007-05-31T00:00:00"/>
    <n v="0"/>
    <n v="83.2"/>
    <n v="719.94"/>
    <n v="325"/>
    <x v="6"/>
    <s v="38"/>
    <s v="1300"/>
    <n v="20"/>
    <n v="0.55380000000000007"/>
    <n v="2.7690000000000003E-2"/>
  </r>
  <r>
    <x v="0"/>
    <x v="1"/>
    <x v="1"/>
    <s v="M00000352205"/>
    <d v="2008-04-10T00:00:00"/>
    <n v="0"/>
    <n v="8.58"/>
    <n v="141"/>
    <n v="33.5"/>
    <x v="0"/>
    <s v="38"/>
    <s v="134"/>
    <n v="38"/>
    <n v="1.0522388059701493"/>
    <n v="2.7690494893951298E-2"/>
  </r>
  <r>
    <x v="0"/>
    <x v="1"/>
    <x v="1"/>
    <s v="M00000342604"/>
    <d v="2008-03-06T00:00:00"/>
    <n v="0"/>
    <n v="41.6"/>
    <n v="360"/>
    <n v="162.5"/>
    <x v="6"/>
    <s v="38"/>
    <s v="650"/>
    <n v="20"/>
    <n v="0.55384615384615388"/>
    <n v="2.7692307692307693E-2"/>
  </r>
  <r>
    <x v="0"/>
    <x v="1"/>
    <x v="1"/>
    <s v="M00000319325"/>
    <d v="2007-12-06T00:00:00"/>
    <n v="0"/>
    <n v="46.08"/>
    <n v="758"/>
    <n v="180"/>
    <x v="0"/>
    <s v="38"/>
    <s v="720"/>
    <n v="38"/>
    <n v="1.0527777777777778"/>
    <n v="2.77046783625731E-2"/>
  </r>
  <r>
    <x v="0"/>
    <x v="1"/>
    <x v="1"/>
    <s v="M00000348581"/>
    <d v="2008-05-22T00:00:00"/>
    <n v="0"/>
    <n v="51.2"/>
    <n v="930.9"/>
    <n v="200"/>
    <x v="0"/>
    <s v="42"/>
    <s v="800"/>
    <n v="42"/>
    <n v="1.1636249999999999"/>
    <n v="2.7705357142857139E-2"/>
  </r>
  <r>
    <x v="0"/>
    <x v="1"/>
    <x v="1"/>
    <s v="M00000306013"/>
    <d v="2007-10-25T00:00:00"/>
    <n v="0"/>
    <n v="53.76"/>
    <n v="699.97"/>
    <n v="210"/>
    <x v="5"/>
    <s v="49"/>
    <s v="840"/>
    <n v="30"/>
    <n v="0.83329761904761912"/>
    <n v="2.7776587301587306E-2"/>
  </r>
  <r>
    <x v="0"/>
    <x v="1"/>
    <x v="1"/>
    <s v="M00000321522"/>
    <d v="2008-01-17T00:00:00"/>
    <n v="0"/>
    <n v="83.2"/>
    <n v="975"/>
    <n v="325"/>
    <x v="2"/>
    <s v="38"/>
    <s v="1300"/>
    <n v="27"/>
    <n v="0.75"/>
    <n v="2.7777777777777776E-2"/>
  </r>
  <r>
    <x v="0"/>
    <x v="1"/>
    <x v="1"/>
    <s v="M00000316741"/>
    <d v="2007-11-30T00:00:00"/>
    <n v="0"/>
    <n v="109.57"/>
    <n v="1048.9000000000001"/>
    <n v="428"/>
    <x v="7"/>
    <s v="38"/>
    <s v="1712"/>
    <n v="22"/>
    <n v="0.61267523364485987"/>
    <n v="2.7848874256584541E-2"/>
  </r>
  <r>
    <x v="0"/>
    <x v="1"/>
    <x v="1"/>
    <s v="M00000323083"/>
    <d v="2007-12-20T00:00:00"/>
    <n v="0"/>
    <n v="46.08"/>
    <n v="762"/>
    <n v="180"/>
    <x v="0"/>
    <s v="38"/>
    <s v="720"/>
    <n v="38"/>
    <n v="1.0583333333333333"/>
    <n v="2.7850877192982456E-2"/>
  </r>
  <r>
    <x v="0"/>
    <x v="1"/>
    <x v="1"/>
    <s v="M00000300521"/>
    <d v="2007-09-27T00:00:00"/>
    <n v="0"/>
    <n v="84.8"/>
    <n v="997.5"/>
    <n v="331.25"/>
    <x v="2"/>
    <s v="38"/>
    <s v="1325"/>
    <n v="27"/>
    <n v="0.75283018867924534"/>
    <n v="2.7882599580712791E-2"/>
  </r>
  <r>
    <x v="0"/>
    <x v="1"/>
    <x v="1"/>
    <s v="M00000295676"/>
    <d v="2007-09-28T00:00:00"/>
    <n v="0"/>
    <n v="72.45"/>
    <n v="1200.03"/>
    <n v="283"/>
    <x v="0"/>
    <s v="38"/>
    <s v="1132"/>
    <n v="38"/>
    <n v="1.0600971731448763"/>
    <n v="2.7897294030128323E-2"/>
  </r>
  <r>
    <x v="0"/>
    <x v="1"/>
    <x v="1"/>
    <s v="M00000346632"/>
    <d v="2008-03-20T00:00:00"/>
    <n v="0"/>
    <n v="126.46"/>
    <n v="1435"/>
    <n v="494"/>
    <x v="14"/>
    <s v="38"/>
    <s v="1976"/>
    <n v="26"/>
    <n v="0.72621457489878538"/>
    <n v="2.7931329803799438E-2"/>
  </r>
  <r>
    <x v="0"/>
    <x v="1"/>
    <x v="1"/>
    <s v="M00000304077"/>
    <d v="2007-10-11T00:00:00"/>
    <n v="0"/>
    <n v="102.4"/>
    <n v="850"/>
    <n v="400"/>
    <x v="5"/>
    <s v="38"/>
    <s v="1600"/>
    <n v="19"/>
    <n v="0.53125"/>
    <n v="2.7960526315789474E-2"/>
  </r>
  <r>
    <x v="0"/>
    <x v="1"/>
    <x v="1"/>
    <s v="M00000334508"/>
    <d v="2008-02-07T00:00:00"/>
    <n v="0"/>
    <n v="60.8"/>
    <n v="505"/>
    <n v="237.5"/>
    <x v="5"/>
    <s v="38"/>
    <s v="950"/>
    <n v="19"/>
    <n v="0.53157894736842104"/>
    <n v="2.7977839335180055E-2"/>
  </r>
  <r>
    <x v="0"/>
    <x v="1"/>
    <x v="1"/>
    <s v="M00000288910"/>
    <d v="2007-08-02T00:00:00"/>
    <n v="0"/>
    <n v="32"/>
    <n v="350"/>
    <n v="125"/>
    <x v="3"/>
    <s v="38"/>
    <s v="500"/>
    <n v="25"/>
    <n v="0.7"/>
    <n v="2.7999999999999997E-2"/>
  </r>
  <r>
    <x v="0"/>
    <x v="1"/>
    <x v="1"/>
    <s v="M00000355866"/>
    <d v="2008-05-29T00:00:00"/>
    <n v="0"/>
    <n v="82.56"/>
    <n v="1382.5"/>
    <n v="322.5"/>
    <x v="0"/>
    <s v="38"/>
    <s v="1290"/>
    <n v="38"/>
    <n v="1.0717054263565891"/>
    <n v="2.8202774377804975E-2"/>
  </r>
  <r>
    <x v="0"/>
    <x v="1"/>
    <x v="1"/>
    <s v="M00000343813"/>
    <d v="2008-03-27T00:00:00"/>
    <n v="0"/>
    <n v="48"/>
    <n v="572"/>
    <n v="187.5"/>
    <x v="2"/>
    <s v="38"/>
    <s v="750"/>
    <n v="27"/>
    <n v="0.76266666666666671"/>
    <n v="2.8246913580246915E-2"/>
  </r>
  <r>
    <x v="0"/>
    <x v="1"/>
    <x v="1"/>
    <s v="M00000319198"/>
    <d v="2007-12-06T00:00:00"/>
    <n v="0"/>
    <n v="55.36"/>
    <n v="514"/>
    <n v="216.25"/>
    <x v="15"/>
    <s v="38"/>
    <s v="865"/>
    <n v="21"/>
    <n v="0.59421965317919079"/>
    <n v="2.8296173960913846E-2"/>
  </r>
  <r>
    <x v="0"/>
    <x v="1"/>
    <x v="1"/>
    <s v="M00000269139"/>
    <d v="2007-06-28T00:00:00"/>
    <n v="0"/>
    <n v="59.9"/>
    <n v="795.04"/>
    <n v="234"/>
    <x v="1"/>
    <s v="38"/>
    <s v="936"/>
    <n v="30"/>
    <n v="0.84940170940170934"/>
    <n v="2.8313390313390311E-2"/>
  </r>
  <r>
    <x v="0"/>
    <x v="1"/>
    <x v="1"/>
    <s v="M00000285661"/>
    <d v="2007-07-19T00:00:00"/>
    <n v="0"/>
    <n v="80.510000000000005"/>
    <n v="783.99"/>
    <n v="314.5"/>
    <x v="1"/>
    <s v="30"/>
    <s v="1258"/>
    <n v="22"/>
    <n v="0.62320349761526228"/>
    <n v="2.8327431709784648E-2"/>
  </r>
  <r>
    <x v="0"/>
    <x v="1"/>
    <x v="1"/>
    <s v="M00000283477"/>
    <d v="2007-07-12T00:00:00"/>
    <n v="0"/>
    <n v="61.44"/>
    <n v="1034.98"/>
    <n v="240"/>
    <x v="0"/>
    <s v="38"/>
    <s v="960"/>
    <n v="38"/>
    <n v="1.0781041666666666"/>
    <n v="2.8371162280701755E-2"/>
  </r>
  <r>
    <x v="0"/>
    <x v="1"/>
    <x v="1"/>
    <s v="M00000355526"/>
    <d v="2008-04-24T00:00:00"/>
    <n v="0"/>
    <n v="40.96"/>
    <n v="690"/>
    <n v="160"/>
    <x v="0"/>
    <s v="38"/>
    <s v="640"/>
    <n v="38"/>
    <n v="1.078125"/>
    <n v="2.8371710526315791E-2"/>
  </r>
  <r>
    <x v="0"/>
    <x v="1"/>
    <x v="1"/>
    <s v="M00000359364"/>
    <d v="2008-05-22T00:00:00"/>
    <n v="0"/>
    <n v="59.65"/>
    <n v="715"/>
    <n v="233"/>
    <x v="2"/>
    <s v="38"/>
    <s v="932"/>
    <n v="27"/>
    <n v="0.76716738197424894"/>
    <n v="2.8413606739786997E-2"/>
  </r>
  <r>
    <x v="0"/>
    <x v="1"/>
    <x v="1"/>
    <s v="M00000335596"/>
    <d v="2008-01-31T00:00:00"/>
    <n v="0"/>
    <n v="108.8"/>
    <n v="1305"/>
    <n v="425"/>
    <x v="2"/>
    <s v="38"/>
    <s v="1700"/>
    <n v="27"/>
    <n v="0.76764705882352946"/>
    <n v="2.8431372549019611E-2"/>
  </r>
  <r>
    <x v="0"/>
    <x v="1"/>
    <x v="1"/>
    <s v="M00000356416"/>
    <d v="2008-05-29T00:00:00"/>
    <n v="0"/>
    <n v="57.15"/>
    <n v="635"/>
    <n v="223.25"/>
    <x v="3"/>
    <s v="38"/>
    <s v="893"/>
    <n v="25"/>
    <n v="0.71108622620380735"/>
    <n v="2.8443449048152294E-2"/>
  </r>
  <r>
    <x v="0"/>
    <x v="1"/>
    <x v="1"/>
    <s v="M00000333095"/>
    <d v="2007-12-31T00:00:00"/>
    <n v="0"/>
    <n v="86.4"/>
    <n v="768"/>
    <n v="337.5"/>
    <x v="6"/>
    <s v="38"/>
    <s v="1350"/>
    <n v="20"/>
    <n v="0.56888888888888889"/>
    <n v="2.8444444444444446E-2"/>
  </r>
  <r>
    <x v="0"/>
    <x v="1"/>
    <x v="1"/>
    <s v="M00000273030"/>
    <d v="2007-06-14T00:00:00"/>
    <n v="0"/>
    <n v="62.08"/>
    <n v="857"/>
    <n v="242.5"/>
    <x v="6"/>
    <s v="49"/>
    <s v="970"/>
    <n v="31"/>
    <n v="0.88350515463917523"/>
    <n v="2.8500166278683074E-2"/>
  </r>
  <r>
    <x v="0"/>
    <x v="1"/>
    <x v="1"/>
    <s v="M00000332323"/>
    <d v="2007-12-31T00:00:00"/>
    <n v="0"/>
    <n v="228.8"/>
    <n v="2751"/>
    <n v="893.75"/>
    <x v="2"/>
    <s v="38"/>
    <s v="3575"/>
    <n v="27"/>
    <n v="0.7695104895104895"/>
    <n v="2.8500388500388499E-2"/>
  </r>
  <r>
    <x v="0"/>
    <x v="1"/>
    <x v="1"/>
    <s v="M00000298565"/>
    <d v="2008-03-06T00:00:00"/>
    <n v="0"/>
    <n v="92.8"/>
    <n v="827.66"/>
    <n v="362.5"/>
    <x v="6"/>
    <s v="38"/>
    <s v="1450"/>
    <n v="20"/>
    <n v="0.57079999999999997"/>
    <n v="2.8539999999999999E-2"/>
  </r>
  <r>
    <x v="0"/>
    <x v="1"/>
    <x v="1"/>
    <s v="M00000291345"/>
    <d v="2007-08-16T00:00:00"/>
    <n v="0"/>
    <n v="63.74"/>
    <n v="1080.96"/>
    <n v="249"/>
    <x v="0"/>
    <s v="38"/>
    <s v="996"/>
    <n v="38"/>
    <n v="1.0853012048192772"/>
    <n v="2.8560558021559924E-2"/>
  </r>
  <r>
    <x v="0"/>
    <x v="1"/>
    <x v="1"/>
    <s v="M00000355271"/>
    <d v="2008-05-15T00:00:00"/>
    <n v="0"/>
    <n v="89.6"/>
    <n v="920"/>
    <n v="350"/>
    <x v="4"/>
    <s v="38"/>
    <s v="1400"/>
    <n v="23"/>
    <n v="0.65714285714285714"/>
    <n v="2.8571428571428571E-2"/>
  </r>
  <r>
    <x v="0"/>
    <x v="1"/>
    <x v="1"/>
    <s v="M00000320931"/>
    <d v="2007-12-13T00:00:00"/>
    <n v="0"/>
    <n v="86.4"/>
    <n v="1043"/>
    <n v="337.5"/>
    <x v="2"/>
    <s v="38"/>
    <s v="1350"/>
    <n v="27"/>
    <n v="0.77259259259259261"/>
    <n v="2.8614540466392318E-2"/>
  </r>
  <r>
    <x v="0"/>
    <x v="1"/>
    <x v="1"/>
    <s v="M00000289545"/>
    <d v="2007-09-06T00:00:00"/>
    <n v="0"/>
    <n v="72.38"/>
    <n v="1229.96"/>
    <n v="282.75"/>
    <x v="0"/>
    <s v="38"/>
    <s v="1131"/>
    <n v="38"/>
    <n v="1.087497789566755"/>
    <n v="2.8618362883335659E-2"/>
  </r>
  <r>
    <x v="0"/>
    <x v="1"/>
    <x v="1"/>
    <s v="M00000314645"/>
    <d v="2007-11-21T00:00:00"/>
    <n v="0"/>
    <n v="108.8"/>
    <n v="1460"/>
    <n v="425"/>
    <x v="3"/>
    <s v="43"/>
    <s v="1700"/>
    <n v="30"/>
    <n v="0.85882352941176465"/>
    <n v="2.8627450980392155E-2"/>
  </r>
  <r>
    <x v="0"/>
    <x v="1"/>
    <x v="1"/>
    <s v="M00000277220"/>
    <d v="2007-06-14T00:00:00"/>
    <n v="0"/>
    <n v="63.23"/>
    <n v="764.02"/>
    <n v="247"/>
    <x v="2"/>
    <s v="38"/>
    <s v="988"/>
    <n v="27"/>
    <n v="0.77329959514170044"/>
    <n v="2.8640725745988905E-2"/>
  </r>
  <r>
    <x v="0"/>
    <x v="1"/>
    <x v="1"/>
    <s v="M00000367536"/>
    <d v="2008-06-12T00:00:00"/>
    <n v="0"/>
    <n v="70.66"/>
    <n v="952"/>
    <n v="276"/>
    <x v="1"/>
    <s v="38"/>
    <s v="1104"/>
    <n v="30"/>
    <n v="0.8623188405797102"/>
    <n v="2.8743961352657006E-2"/>
  </r>
  <r>
    <x v="0"/>
    <x v="1"/>
    <x v="1"/>
    <s v="M00000310414"/>
    <d v="2007-12-06T00:00:00"/>
    <n v="0"/>
    <n v="57.6"/>
    <n v="725"/>
    <n v="225"/>
    <x v="11"/>
    <s v="38"/>
    <s v="900"/>
    <n v="28"/>
    <n v="0.80555555555555558"/>
    <n v="2.8769841269841272E-2"/>
  </r>
  <r>
    <x v="0"/>
    <x v="1"/>
    <x v="1"/>
    <s v="M00000341960"/>
    <d v="2008-02-29T00:00:00"/>
    <n v="0"/>
    <n v="38.78"/>
    <n v="349"/>
    <n v="151.5"/>
    <x v="6"/>
    <s v="38"/>
    <s v="606"/>
    <n v="20"/>
    <n v="0.57590759075907594"/>
    <n v="2.8795379537953796E-2"/>
  </r>
  <r>
    <x v="0"/>
    <x v="1"/>
    <x v="1"/>
    <s v="M00000294410"/>
    <d v="2007-08-30T00:00:00"/>
    <n v="0"/>
    <n v="89.6"/>
    <n v="1169.98"/>
    <n v="350"/>
    <x v="8"/>
    <s v="38"/>
    <s v="1400"/>
    <n v="29"/>
    <n v="0.8357"/>
    <n v="2.8817241379310344E-2"/>
  </r>
  <r>
    <x v="0"/>
    <x v="1"/>
    <x v="1"/>
    <s v="M00000286686"/>
    <d v="2007-07-26T00:00:00"/>
    <n v="0"/>
    <n v="71.680000000000007"/>
    <n v="972.05"/>
    <n v="280"/>
    <x v="1"/>
    <s v="38"/>
    <s v="1120"/>
    <n v="30"/>
    <n v="0.86790178571428567"/>
    <n v="2.8930059523809521E-2"/>
  </r>
  <r>
    <x v="0"/>
    <x v="1"/>
    <x v="1"/>
    <s v="M00000373029"/>
    <d v="2008-07-03T00:00:00"/>
    <n v="0"/>
    <n v="104.64"/>
    <n v="1088"/>
    <n v="408.75"/>
    <x v="4"/>
    <s v="38"/>
    <s v="1635"/>
    <n v="23"/>
    <n v="0.6654434250764526"/>
    <n v="2.8932322829410984E-2"/>
  </r>
  <r>
    <x v="0"/>
    <x v="1"/>
    <x v="1"/>
    <s v="M00000357623"/>
    <d v="2008-04-30T00:00:00"/>
    <n v="0"/>
    <n v="76.8"/>
    <n v="1320"/>
    <n v="300"/>
    <x v="0"/>
    <s v="38"/>
    <s v="1200"/>
    <n v="38"/>
    <n v="1.1000000000000001"/>
    <n v="2.8947368421052635E-2"/>
  </r>
  <r>
    <x v="0"/>
    <x v="1"/>
    <x v="1"/>
    <s v="M00000355825"/>
    <d v="2008-05-29T00:00:00"/>
    <n v="0"/>
    <n v="35.97"/>
    <n v="619.17999999999995"/>
    <n v="140.5"/>
    <x v="0"/>
    <s v="38"/>
    <s v="562"/>
    <n v="38"/>
    <n v="1.1017437722419927"/>
    <n v="2.8993257164262966E-2"/>
  </r>
  <r>
    <x v="0"/>
    <x v="1"/>
    <x v="1"/>
    <s v="M00000368077"/>
    <d v="2008-06-12T00:00:00"/>
    <n v="0"/>
    <n v="86.53"/>
    <n v="1176"/>
    <n v="338"/>
    <x v="1"/>
    <s v="38"/>
    <s v="1352"/>
    <n v="30"/>
    <n v="0.86982248520710059"/>
    <n v="2.8994082840236687E-2"/>
  </r>
  <r>
    <x v="0"/>
    <x v="1"/>
    <x v="1"/>
    <s v="M00000304446"/>
    <d v="2007-10-11T00:00:00"/>
    <n v="0"/>
    <n v="60.48"/>
    <n v="1042"/>
    <n v="236.25"/>
    <x v="0"/>
    <s v="38"/>
    <s v="945"/>
    <n v="38"/>
    <n v="1.1026455026455027"/>
    <n v="2.9016986911723754E-2"/>
  </r>
  <r>
    <x v="0"/>
    <x v="1"/>
    <x v="1"/>
    <s v="M00000319760"/>
    <d v="2007-12-13T00:00:00"/>
    <n v="0"/>
    <n v="44.54"/>
    <n v="505"/>
    <n v="174"/>
    <x v="3"/>
    <s v="38"/>
    <s v="696"/>
    <n v="25"/>
    <n v="0.72557471264367812"/>
    <n v="2.9022988505747124E-2"/>
  </r>
  <r>
    <x v="0"/>
    <x v="1"/>
    <x v="1"/>
    <s v="M00000277547"/>
    <d v="2007-06-14T00:00:00"/>
    <n v="0"/>
    <n v="128"/>
    <n v="1800"/>
    <n v="500"/>
    <x v="16"/>
    <s v="38"/>
    <s v="2000"/>
    <n v="31"/>
    <n v="0.9"/>
    <n v="2.903225806451613E-2"/>
  </r>
  <r>
    <x v="0"/>
    <x v="1"/>
    <x v="1"/>
    <s v="M00000298523"/>
    <d v="2007-10-04T00:00:00"/>
    <n v="0"/>
    <n v="48"/>
    <n v="720.88"/>
    <n v="187.5"/>
    <x v="10"/>
    <s v="38"/>
    <s v="750"/>
    <n v="33"/>
    <n v="0.96117333333333332"/>
    <n v="2.9126464646464647E-2"/>
  </r>
  <r>
    <x v="0"/>
    <x v="1"/>
    <x v="1"/>
    <s v="M00000308200"/>
    <d v="2007-10-25T00:00:00"/>
    <n v="0"/>
    <n v="29.7"/>
    <n v="284"/>
    <n v="116"/>
    <x v="15"/>
    <s v="38"/>
    <s v="464"/>
    <n v="21"/>
    <n v="0.61206896551724133"/>
    <n v="2.9146141215106731E-2"/>
  </r>
  <r>
    <x v="0"/>
    <x v="1"/>
    <x v="1"/>
    <s v="M00000308040"/>
    <d v="2007-10-25T00:00:00"/>
    <n v="0"/>
    <n v="153.6"/>
    <n v="1889"/>
    <n v="600"/>
    <x v="2"/>
    <s v="38"/>
    <s v="2400"/>
    <n v="27"/>
    <n v="0.78708333333333336"/>
    <n v="2.9151234567901235E-2"/>
  </r>
  <r>
    <x v="0"/>
    <x v="1"/>
    <x v="1"/>
    <s v="M00000334116"/>
    <d v="2008-01-24T00:00:00"/>
    <n v="0"/>
    <n v="76.8"/>
    <n v="700"/>
    <n v="300"/>
    <x v="6"/>
    <s v="38"/>
    <s v="1200"/>
    <n v="20"/>
    <n v="0.58333333333333337"/>
    <n v="2.9166666666666667E-2"/>
  </r>
  <r>
    <x v="0"/>
    <x v="1"/>
    <x v="1"/>
    <s v="M00000325257"/>
    <d v="2007-12-27T00:00:00"/>
    <n v="0"/>
    <n v="89.6"/>
    <n v="1800"/>
    <n v="350"/>
    <x v="0"/>
    <s v="44"/>
    <s v="1400"/>
    <n v="44"/>
    <n v="1.2857142857142858"/>
    <n v="2.9220779220779224E-2"/>
  </r>
  <r>
    <x v="0"/>
    <x v="1"/>
    <x v="1"/>
    <s v="M00000322583"/>
    <d v="2008-01-24T00:00:00"/>
    <n v="0"/>
    <n v="123.26"/>
    <n v="1688.43"/>
    <n v="481.5"/>
    <x v="1"/>
    <s v="38"/>
    <s v="1926"/>
    <n v="30"/>
    <n v="0.87665109034267918"/>
    <n v="2.9221703011422639E-2"/>
  </r>
  <r>
    <x v="0"/>
    <x v="1"/>
    <x v="1"/>
    <s v="M00000287665"/>
    <d v="2007-07-26T00:00:00"/>
    <n v="0"/>
    <n v="70.400000000000006"/>
    <n v="707.96"/>
    <n v="275"/>
    <x v="1"/>
    <s v="30"/>
    <s v="1100"/>
    <n v="22"/>
    <n v="0.64360000000000006"/>
    <n v="2.9254545454545457E-2"/>
  </r>
  <r>
    <x v="0"/>
    <x v="1"/>
    <x v="1"/>
    <s v="M00000343354"/>
    <d v="2008-03-06T00:00:00"/>
    <n v="0"/>
    <n v="125.44"/>
    <n v="1149"/>
    <n v="490"/>
    <x v="6"/>
    <s v="38"/>
    <s v="1960"/>
    <n v="20"/>
    <n v="0.58622448979591835"/>
    <n v="2.9311224489795916E-2"/>
  </r>
  <r>
    <x v="0"/>
    <x v="1"/>
    <x v="1"/>
    <s v="M00000282327"/>
    <d v="2007-07-06T00:00:00"/>
    <n v="0"/>
    <n v="20.8"/>
    <n v="219.99"/>
    <n v="81.25"/>
    <x v="4"/>
    <s v="38"/>
    <s v="325"/>
    <n v="23"/>
    <n v="0.67689230769230768"/>
    <n v="2.9430100334448161E-2"/>
  </r>
  <r>
    <x v="0"/>
    <x v="1"/>
    <x v="1"/>
    <s v="M00000313183"/>
    <d v="2007-12-13T00:00:00"/>
    <n v="0"/>
    <n v="89.34"/>
    <n v="945"/>
    <n v="349"/>
    <x v="4"/>
    <s v="38"/>
    <s v="1396"/>
    <n v="23"/>
    <n v="0.67693409742120347"/>
    <n v="2.9431917279182759E-2"/>
  </r>
  <r>
    <x v="0"/>
    <x v="1"/>
    <x v="1"/>
    <s v="M00000324912"/>
    <d v="2007-12-20T00:00:00"/>
    <n v="0"/>
    <n v="56"/>
    <n v="980"/>
    <n v="218.75"/>
    <x v="0"/>
    <s v="38"/>
    <s v="875"/>
    <n v="38"/>
    <n v="1.1200000000000001"/>
    <n v="2.9473684210526319E-2"/>
  </r>
  <r>
    <x v="0"/>
    <x v="1"/>
    <x v="1"/>
    <s v="M00000286653"/>
    <d v="2007-08-16T00:00:00"/>
    <n v="0"/>
    <n v="136.32"/>
    <n v="2390.9299999999998"/>
    <n v="532.5"/>
    <x v="0"/>
    <s v="38"/>
    <s v="2130"/>
    <n v="38"/>
    <n v="1.1225023474178404"/>
    <n v="2.953953545836422E-2"/>
  </r>
  <r>
    <x v="0"/>
    <x v="1"/>
    <x v="1"/>
    <s v="M00000323961"/>
    <d v="2007-12-20T00:00:00"/>
    <n v="0"/>
    <n v="87.42"/>
    <n v="1536"/>
    <n v="341.5"/>
    <x v="0"/>
    <s v="38"/>
    <s v="1366"/>
    <n v="38"/>
    <n v="1.1244509516837482"/>
    <n v="2.9590814517993374E-2"/>
  </r>
  <r>
    <x v="0"/>
    <x v="1"/>
    <x v="1"/>
    <s v="M00000269997"/>
    <d v="2007-06-07T00:00:00"/>
    <n v="0"/>
    <n v="63.62"/>
    <n v="794.21"/>
    <n v="248.5"/>
    <x v="2"/>
    <s v="38"/>
    <s v="994"/>
    <n v="27"/>
    <n v="0.79900402414486926"/>
    <n v="2.9592741634995159E-2"/>
  </r>
  <r>
    <x v="0"/>
    <x v="1"/>
    <x v="1"/>
    <s v="M00000348090"/>
    <d v="2008-03-20T00:00:00"/>
    <n v="0"/>
    <n v="87.04"/>
    <n v="1047"/>
    <n v="340"/>
    <x v="14"/>
    <s v="38"/>
    <s v="1360"/>
    <n v="26"/>
    <n v="0.76985294117647063"/>
    <n v="2.9609728506787333E-2"/>
  </r>
  <r>
    <x v="0"/>
    <x v="1"/>
    <x v="1"/>
    <s v="M00000305974"/>
    <d v="2007-11-09T00:00:00"/>
    <n v="0"/>
    <n v="89.09"/>
    <n v="907"/>
    <n v="348"/>
    <x v="7"/>
    <s v="38"/>
    <s v="1392"/>
    <n v="22"/>
    <n v="0.65158045977011492"/>
    <n v="2.9617293625914313E-2"/>
  </r>
  <r>
    <x v="0"/>
    <x v="1"/>
    <x v="1"/>
    <s v="M00000335488"/>
    <d v="2008-01-31T00:00:00"/>
    <n v="0"/>
    <n v="64"/>
    <n v="800"/>
    <n v="250"/>
    <x v="2"/>
    <s v="38"/>
    <s v="1000"/>
    <n v="27"/>
    <n v="0.8"/>
    <n v="2.9629629629629631E-2"/>
  </r>
  <r>
    <x v="0"/>
    <x v="1"/>
    <x v="1"/>
    <s v="M00000335491"/>
    <d v="2008-01-31T00:00:00"/>
    <n v="0"/>
    <n v="64"/>
    <n v="800"/>
    <n v="250"/>
    <x v="2"/>
    <s v="38"/>
    <s v="1000"/>
    <n v="27"/>
    <n v="0.8"/>
    <n v="2.9629629629629631E-2"/>
  </r>
  <r>
    <x v="0"/>
    <x v="1"/>
    <x v="1"/>
    <s v="M00000343625"/>
    <d v="2008-03-06T00:00:00"/>
    <n v="0"/>
    <n v="102.4"/>
    <n v="1280"/>
    <n v="400"/>
    <x v="2"/>
    <s v="38"/>
    <s v="1600"/>
    <n v="27"/>
    <n v="0.8"/>
    <n v="2.9629629629629631E-2"/>
  </r>
  <r>
    <x v="0"/>
    <x v="1"/>
    <x v="1"/>
    <s v="M00000327216"/>
    <d v="2007-12-31T00:00:00"/>
    <n v="0"/>
    <n v="85.76"/>
    <n v="1075"/>
    <n v="335"/>
    <x v="2"/>
    <s v="38"/>
    <s v="1340"/>
    <n v="27"/>
    <n v="0.80223880597014929"/>
    <n v="2.9712548369264787E-2"/>
  </r>
  <r>
    <x v="0"/>
    <x v="1"/>
    <x v="1"/>
    <s v="M00000306585"/>
    <d v="2007-10-25T00:00:00"/>
    <n v="0"/>
    <n v="89.6"/>
    <n v="832"/>
    <n v="350"/>
    <x v="6"/>
    <s v="38"/>
    <s v="1400"/>
    <n v="20"/>
    <n v="0.59428571428571431"/>
    <n v="2.9714285714285714E-2"/>
  </r>
  <r>
    <x v="0"/>
    <x v="1"/>
    <x v="1"/>
    <s v="M00000366407"/>
    <d v="2008-07-03T00:00:00"/>
    <n v="0"/>
    <n v="106.11"/>
    <n v="1330.35"/>
    <n v="414.5"/>
    <x v="2"/>
    <s v="38"/>
    <s v="1658"/>
    <n v="27"/>
    <n v="0.80238238841978282"/>
    <n v="2.9717866237769733E-2"/>
  </r>
  <r>
    <x v="0"/>
    <x v="1"/>
    <x v="1"/>
    <s v="M00000318083"/>
    <d v="2007-12-06T00:00:00"/>
    <n v="0"/>
    <n v="64"/>
    <n v="773"/>
    <n v="250"/>
    <x v="14"/>
    <s v="38"/>
    <s v="1000"/>
    <n v="26"/>
    <n v="0.77300000000000002"/>
    <n v="2.9730769230769231E-2"/>
  </r>
  <r>
    <x v="0"/>
    <x v="1"/>
    <x v="1"/>
    <s v="M00000318601"/>
    <d v="2007-12-06T00:00:00"/>
    <n v="0"/>
    <n v="64"/>
    <n v="1130"/>
    <n v="250"/>
    <x v="0"/>
    <s v="38"/>
    <s v="1000"/>
    <n v="38"/>
    <n v="1.1299999999999999"/>
    <n v="2.9736842105263155E-2"/>
  </r>
  <r>
    <x v="0"/>
    <x v="1"/>
    <x v="1"/>
    <s v="M00000292583"/>
    <d v="2007-08-23T00:00:00"/>
    <n v="0"/>
    <n v="150.4"/>
    <n v="1887.05"/>
    <n v="587.5"/>
    <x v="2"/>
    <s v="38"/>
    <s v="2350"/>
    <n v="27"/>
    <n v="0.80299999999999994"/>
    <n v="2.9740740740740738E-2"/>
  </r>
  <r>
    <x v="0"/>
    <x v="1"/>
    <x v="1"/>
    <s v="M00000315365"/>
    <d v="2007-12-31T00:00:00"/>
    <n v="0"/>
    <n v="110.4"/>
    <n v="1026.6199999999999"/>
    <n v="431.25"/>
    <x v="6"/>
    <s v="38"/>
    <s v="1725"/>
    <n v="20"/>
    <n v="0.59514202898550717"/>
    <n v="2.9757101449275358E-2"/>
  </r>
  <r>
    <x v="0"/>
    <x v="1"/>
    <x v="1"/>
    <s v="M00000342249"/>
    <d v="2008-02-29T00:00:00"/>
    <n v="0"/>
    <n v="44.99"/>
    <n v="795"/>
    <n v="175.75"/>
    <x v="0"/>
    <s v="38"/>
    <s v="703"/>
    <n v="38"/>
    <n v="1.1308677098150783"/>
    <n v="2.9759676574081007E-2"/>
  </r>
  <r>
    <x v="0"/>
    <x v="1"/>
    <x v="1"/>
    <s v="M00000367077"/>
    <d v="2008-06-12T00:00:00"/>
    <n v="0"/>
    <n v="85.57"/>
    <n v="1114.77"/>
    <n v="334.25"/>
    <x v="11"/>
    <s v="38"/>
    <s v="1337"/>
    <n v="28"/>
    <n v="0.83378459237097979"/>
    <n v="2.9778021156106421E-2"/>
  </r>
  <r>
    <x v="0"/>
    <x v="1"/>
    <x v="1"/>
    <s v="M00000333016"/>
    <d v="2008-01-24T00:00:00"/>
    <n v="0"/>
    <n v="115.2"/>
    <n v="1234"/>
    <n v="450"/>
    <x v="4"/>
    <s v="38"/>
    <s v="1800"/>
    <n v="23"/>
    <n v="0.68555555555555558"/>
    <n v="2.9806763285024157E-2"/>
  </r>
  <r>
    <x v="0"/>
    <x v="1"/>
    <x v="1"/>
    <s v="M00000344058"/>
    <d v="2008-03-13T00:00:00"/>
    <n v="0"/>
    <n v="54.08"/>
    <n v="960"/>
    <n v="211.25"/>
    <x v="0"/>
    <s v="38"/>
    <s v="845"/>
    <n v="38"/>
    <n v="1.136094674556213"/>
    <n v="2.989722827779508E-2"/>
  </r>
  <r>
    <x v="0"/>
    <x v="1"/>
    <x v="1"/>
    <s v="M00000335152"/>
    <d v="2008-01-24T00:00:00"/>
    <n v="0"/>
    <n v="16.38"/>
    <n v="291"/>
    <n v="64"/>
    <x v="0"/>
    <s v="38"/>
    <s v="256"/>
    <n v="38"/>
    <n v="1.13671875"/>
    <n v="2.9913651315789474E-2"/>
  </r>
  <r>
    <x v="0"/>
    <x v="1"/>
    <x v="1"/>
    <s v="M00000368119"/>
    <d v="2008-06-19T00:00:00"/>
    <n v="0"/>
    <n v="122.88"/>
    <n v="1149"/>
    <n v="480"/>
    <x v="6"/>
    <s v="38"/>
    <s v="1920"/>
    <n v="20"/>
    <n v="0.59843749999999996"/>
    <n v="2.9921875000000001E-2"/>
  </r>
  <r>
    <x v="0"/>
    <x v="1"/>
    <x v="1"/>
    <s v="M00000374544"/>
    <d v="2008-07-10T00:00:00"/>
    <n v="0"/>
    <n v="92.8"/>
    <n v="1085"/>
    <n v="362.5"/>
    <x v="3"/>
    <s v="38"/>
    <s v="1450"/>
    <n v="25"/>
    <n v="0.74827586206896557"/>
    <n v="2.9931034482758623E-2"/>
  </r>
  <r>
    <x v="0"/>
    <x v="1"/>
    <x v="1"/>
    <s v="M00000367073"/>
    <d v="2008-06-12T00:00:00"/>
    <n v="0"/>
    <n v="97.79"/>
    <n v="1053.02"/>
    <n v="382"/>
    <x v="4"/>
    <s v="38"/>
    <s v="1528"/>
    <n v="23"/>
    <n v="0.68914921465968582"/>
    <n v="2.9963009333029818E-2"/>
  </r>
  <r>
    <x v="0"/>
    <x v="1"/>
    <x v="1"/>
    <s v="M00000297091"/>
    <d v="2007-09-14T00:00:00"/>
    <n v="0"/>
    <n v="72.959999999999994"/>
    <n v="1299.03"/>
    <n v="285"/>
    <x v="0"/>
    <s v="38"/>
    <s v="1140"/>
    <n v="38"/>
    <n v="1.1395"/>
    <n v="2.9986842105263155E-2"/>
  </r>
  <r>
    <x v="0"/>
    <x v="1"/>
    <x v="1"/>
    <s v="M00000268944"/>
    <d v="2007-05-10T00:00:00"/>
    <n v="0"/>
    <n v="64"/>
    <n v="720"/>
    <n v="250"/>
    <x v="18"/>
    <s v="38"/>
    <s v="1000"/>
    <n v="24"/>
    <n v="0.72"/>
    <n v="0.03"/>
  </r>
  <r>
    <x v="0"/>
    <x v="1"/>
    <x v="1"/>
    <s v="M00000271432"/>
    <d v="2007-12-31T00:00:00"/>
    <n v="0"/>
    <n v="102.4"/>
    <n v="1008"/>
    <n v="400"/>
    <x v="15"/>
    <s v="38"/>
    <s v="1600"/>
    <n v="21"/>
    <n v="0.63"/>
    <n v="0.03"/>
  </r>
  <r>
    <x v="0"/>
    <x v="1"/>
    <x v="1"/>
    <s v="M00000338788"/>
    <d v="2008-03-06T00:00:00"/>
    <n v="0"/>
    <n v="92.8"/>
    <n v="870"/>
    <n v="362.5"/>
    <x v="6"/>
    <s v="38"/>
    <s v="1450"/>
    <n v="20"/>
    <n v="0.6"/>
    <n v="0.03"/>
  </r>
  <r>
    <x v="0"/>
    <x v="1"/>
    <x v="1"/>
    <s v="M00000346605"/>
    <d v="2008-03-13T00:00:00"/>
    <n v="0"/>
    <n v="32"/>
    <n v="225"/>
    <n v="125"/>
    <x v="0"/>
    <s v="15"/>
    <s v="500"/>
    <n v="15"/>
    <n v="0.45"/>
    <n v="0.03"/>
  </r>
  <r>
    <x v="0"/>
    <x v="1"/>
    <x v="1"/>
    <s v="M00000300840"/>
    <d v="2007-11-01T00:00:00"/>
    <n v="0"/>
    <n v="68.739999999999995"/>
    <n v="967.57"/>
    <n v="268.5"/>
    <x v="1"/>
    <s v="38"/>
    <s v="1074"/>
    <n v="30"/>
    <n v="0.90090316573556806"/>
    <n v="3.0030105524518937E-2"/>
  </r>
  <r>
    <x v="0"/>
    <x v="1"/>
    <x v="1"/>
    <s v="M00000285596"/>
    <d v="2007-07-19T00:00:00"/>
    <n v="0"/>
    <n v="42.82"/>
    <n v="765"/>
    <n v="167.25"/>
    <x v="0"/>
    <s v="38"/>
    <s v="669"/>
    <n v="38"/>
    <n v="1.1434977578475336"/>
    <n v="3.0092046259145622E-2"/>
  </r>
  <r>
    <x v="0"/>
    <x v="1"/>
    <x v="1"/>
    <s v="M00000329220"/>
    <d v="2007-12-31T00:00:00"/>
    <n v="0"/>
    <n v="96"/>
    <n v="1355"/>
    <n v="375"/>
    <x v="1"/>
    <s v="38"/>
    <s v="1500"/>
    <n v="30"/>
    <n v="0.90333333333333332"/>
    <n v="3.0111111111111109E-2"/>
  </r>
  <r>
    <x v="0"/>
    <x v="1"/>
    <x v="1"/>
    <s v="M00000355850"/>
    <d v="2008-04-24T00:00:00"/>
    <n v="0"/>
    <n v="73.22"/>
    <n v="827"/>
    <n v="286"/>
    <x v="18"/>
    <s v="38"/>
    <s v="1144"/>
    <n v="24"/>
    <n v="0.72290209790209792"/>
    <n v="3.0120920745920748E-2"/>
  </r>
  <r>
    <x v="0"/>
    <x v="1"/>
    <x v="1"/>
    <s v="M00000312695"/>
    <d v="2007-12-13T00:00:00"/>
    <n v="0"/>
    <n v="100.03"/>
    <n v="1412.59"/>
    <n v="390.75"/>
    <x v="1"/>
    <s v="38"/>
    <s v="1563"/>
    <n v="30"/>
    <n v="0.90376839411388354"/>
    <n v="3.0125613137129453E-2"/>
  </r>
  <r>
    <x v="0"/>
    <x v="1"/>
    <x v="1"/>
    <s v="M00000353849"/>
    <d v="2008-04-24T00:00:00"/>
    <n v="0"/>
    <n v="71.94"/>
    <n v="1289.53"/>
    <n v="281"/>
    <x v="0"/>
    <s v="38"/>
    <s v="1124"/>
    <n v="38"/>
    <n v="1.1472686832740213"/>
    <n v="3.0191281138790035E-2"/>
  </r>
  <r>
    <x v="0"/>
    <x v="1"/>
    <x v="1"/>
    <s v="M00000348599"/>
    <d v="2008-03-27T00:00:00"/>
    <n v="0"/>
    <n v="62.4"/>
    <n v="795"/>
    <n v="243.75"/>
    <x v="2"/>
    <s v="38"/>
    <s v="975"/>
    <n v="27"/>
    <n v="0.81538461538461537"/>
    <n v="3.0199430199430197E-2"/>
  </r>
  <r>
    <x v="0"/>
    <x v="1"/>
    <x v="1"/>
    <s v="M00000313452"/>
    <d v="2007-11-15T00:00:00"/>
    <n v="0"/>
    <n v="63.23"/>
    <n v="807"/>
    <n v="247"/>
    <x v="2"/>
    <s v="38"/>
    <s v="988"/>
    <n v="27"/>
    <n v="0.8168016194331984"/>
    <n v="3.02519118308592E-2"/>
  </r>
  <r>
    <x v="0"/>
    <x v="1"/>
    <x v="1"/>
    <s v="M00000307463"/>
    <d v="2007-12-20T00:00:00"/>
    <n v="0"/>
    <n v="76.8"/>
    <n v="1380"/>
    <n v="300"/>
    <x v="0"/>
    <s v="38"/>
    <s v="1200"/>
    <n v="38"/>
    <n v="1.1499999999999999"/>
    <n v="3.0263157894736839E-2"/>
  </r>
  <r>
    <x v="0"/>
    <x v="1"/>
    <x v="1"/>
    <s v="M00000350279"/>
    <d v="2008-05-08T00:00:00"/>
    <n v="0"/>
    <n v="109.18"/>
    <n v="1239.9100000000001"/>
    <n v="426.5"/>
    <x v="18"/>
    <s v="38"/>
    <s v="1706"/>
    <n v="24"/>
    <n v="0.72679366940211021"/>
    <n v="3.028306955842126E-2"/>
  </r>
  <r>
    <x v="0"/>
    <x v="1"/>
    <x v="1"/>
    <s v="M00000318641"/>
    <d v="2007-12-06T00:00:00"/>
    <n v="0"/>
    <n v="53.25"/>
    <n v="958"/>
    <n v="208"/>
    <x v="0"/>
    <s v="38"/>
    <s v="832"/>
    <n v="38"/>
    <n v="1.1514423076923077"/>
    <n v="3.0301113360323886E-2"/>
  </r>
  <r>
    <x v="0"/>
    <x v="1"/>
    <x v="1"/>
    <s v="M00000302602"/>
    <d v="2007-10-04T00:00:00"/>
    <n v="0"/>
    <n v="22.4"/>
    <n v="350"/>
    <n v="87.5"/>
    <x v="10"/>
    <s v="38"/>
    <s v="350"/>
    <n v="33"/>
    <n v="1"/>
    <n v="3.0303030303030304E-2"/>
  </r>
  <r>
    <x v="0"/>
    <x v="1"/>
    <x v="1"/>
    <s v="M00000326754"/>
    <d v="2007-12-31T00:00:00"/>
    <n v="0"/>
    <n v="115.2"/>
    <n v="1474"/>
    <n v="450"/>
    <x v="2"/>
    <s v="38"/>
    <s v="1800"/>
    <n v="27"/>
    <n v="0.81888888888888889"/>
    <n v="3.0329218106995886E-2"/>
  </r>
  <r>
    <x v="0"/>
    <x v="1"/>
    <x v="1"/>
    <s v="M00000326974"/>
    <d v="2007-12-31T00:00:00"/>
    <n v="0"/>
    <n v="83.9"/>
    <n v="875"/>
    <n v="327.75"/>
    <x v="7"/>
    <s v="38"/>
    <s v="1311"/>
    <n v="22"/>
    <n v="0.66742944317315023"/>
    <n v="3.0337701962415919E-2"/>
  </r>
  <r>
    <x v="0"/>
    <x v="1"/>
    <x v="1"/>
    <s v="M00000276885"/>
    <d v="2007-06-14T00:00:00"/>
    <n v="0"/>
    <n v="64"/>
    <n v="820"/>
    <n v="250"/>
    <x v="2"/>
    <s v="38"/>
    <s v="1000"/>
    <n v="27"/>
    <n v="0.82"/>
    <n v="3.0370370370370367E-2"/>
  </r>
  <r>
    <x v="0"/>
    <x v="1"/>
    <x v="1"/>
    <s v="M00000343525"/>
    <d v="2008-03-06T00:00:00"/>
    <n v="0"/>
    <n v="61.95"/>
    <n v="795"/>
    <n v="242"/>
    <x v="2"/>
    <s v="38"/>
    <s v="968"/>
    <n v="27"/>
    <n v="0.82128099173553715"/>
    <n v="3.0417814508723599E-2"/>
  </r>
  <r>
    <x v="0"/>
    <x v="1"/>
    <x v="1"/>
    <s v="M00000286318"/>
    <d v="2007-08-09T00:00:00"/>
    <n v="0"/>
    <n v="73.599999999999994"/>
    <n v="944.96"/>
    <n v="287.5"/>
    <x v="2"/>
    <s v="38"/>
    <s v="1150"/>
    <n v="27"/>
    <n v="0.82170434782608703"/>
    <n v="3.0433494363929149E-2"/>
  </r>
  <r>
    <x v="0"/>
    <x v="1"/>
    <x v="1"/>
    <s v="M00000355597"/>
    <d v="2008-04-24T00:00:00"/>
    <n v="0"/>
    <n v="96"/>
    <n v="1050"/>
    <n v="375"/>
    <x v="4"/>
    <s v="38"/>
    <s v="1500"/>
    <n v="23"/>
    <n v="0.7"/>
    <n v="3.043478260869565E-2"/>
  </r>
  <r>
    <x v="0"/>
    <x v="1"/>
    <x v="1"/>
    <s v="M00000284180"/>
    <d v="2007-07-19T00:00:00"/>
    <n v="0"/>
    <n v="105.73"/>
    <n v="1055.96"/>
    <n v="413"/>
    <x v="15"/>
    <s v="38"/>
    <s v="1652"/>
    <n v="21"/>
    <n v="0.63920096852300246"/>
    <n v="3.0438141358238212E-2"/>
  </r>
  <r>
    <x v="0"/>
    <x v="1"/>
    <x v="1"/>
    <s v="M00000316987"/>
    <d v="2007-11-29T00:00:00"/>
    <n v="0"/>
    <n v="73.73"/>
    <n v="702"/>
    <n v="288"/>
    <x v="6"/>
    <s v="38"/>
    <s v="1152"/>
    <n v="20"/>
    <n v="0.609375"/>
    <n v="3.0468749999999999E-2"/>
  </r>
  <r>
    <x v="0"/>
    <x v="1"/>
    <x v="1"/>
    <s v="M00000339820"/>
    <d v="2008-03-06T00:00:00"/>
    <n v="0"/>
    <n v="86.4"/>
    <n v="822.67"/>
    <n v="337.5"/>
    <x v="6"/>
    <s v="38"/>
    <s v="1350"/>
    <n v="20"/>
    <n v="0.60938518518518514"/>
    <n v="3.0469259259259258E-2"/>
  </r>
  <r>
    <x v="0"/>
    <x v="1"/>
    <x v="1"/>
    <s v="M00000319020"/>
    <d v="2007-12-31T00:00:00"/>
    <n v="0"/>
    <n v="60.8"/>
    <n v="1100"/>
    <n v="237.5"/>
    <x v="0"/>
    <s v="38"/>
    <s v="950"/>
    <n v="38"/>
    <n v="1.1578947368421053"/>
    <n v="3.0470914127423823E-2"/>
  </r>
  <r>
    <x v="0"/>
    <x v="1"/>
    <x v="1"/>
    <s v="M00000351080"/>
    <d v="2008-04-17T00:00:00"/>
    <n v="0"/>
    <n v="98.56"/>
    <n v="1409.94"/>
    <n v="385"/>
    <x v="1"/>
    <s v="38"/>
    <s v="1540"/>
    <n v="30"/>
    <n v="0.91554545454545455"/>
    <n v="3.0518181818181819E-2"/>
  </r>
  <r>
    <x v="0"/>
    <x v="1"/>
    <x v="1"/>
    <s v="M00000296402"/>
    <d v="2007-09-06T00:00:00"/>
    <n v="0"/>
    <n v="70.400000000000006"/>
    <n v="671.99"/>
    <n v="275"/>
    <x v="6"/>
    <s v="38"/>
    <s v="1100"/>
    <n v="20"/>
    <n v="0.6109"/>
    <n v="3.0544999999999999E-2"/>
  </r>
  <r>
    <x v="0"/>
    <x v="1"/>
    <x v="1"/>
    <s v="M00000341878"/>
    <d v="2008-02-29T00:00:00"/>
    <n v="0"/>
    <n v="118.02"/>
    <n v="2142"/>
    <n v="461"/>
    <x v="0"/>
    <s v="38"/>
    <s v="1844"/>
    <n v="38"/>
    <n v="1.1616052060737527"/>
    <n v="3.0568558054572439E-2"/>
  </r>
  <r>
    <x v="0"/>
    <x v="1"/>
    <x v="1"/>
    <s v="M00000302198"/>
    <d v="2007-10-04T00:00:00"/>
    <n v="0"/>
    <n v="67.52"/>
    <n v="968"/>
    <n v="263.75"/>
    <x v="1"/>
    <s v="38"/>
    <s v="1055"/>
    <n v="30"/>
    <n v="0.91753554502369672"/>
    <n v="3.0584518167456557E-2"/>
  </r>
  <r>
    <x v="0"/>
    <x v="1"/>
    <x v="1"/>
    <s v="M00000284599"/>
    <d v="2007-07-19T00:00:00"/>
    <n v="0"/>
    <n v="57.34"/>
    <n v="521.02"/>
    <n v="224"/>
    <x v="5"/>
    <s v="38"/>
    <s v="896"/>
    <n v="19"/>
    <n v="0.58149553571428569"/>
    <n v="3.0605028195488722E-2"/>
  </r>
  <r>
    <x v="0"/>
    <x v="1"/>
    <x v="1"/>
    <s v="M00000358958"/>
    <d v="2008-05-08T00:00:00"/>
    <n v="0"/>
    <n v="140.80000000000001"/>
    <n v="2570"/>
    <n v="550"/>
    <x v="0"/>
    <s v="38"/>
    <s v="2200"/>
    <n v="38"/>
    <n v="1.1681818181818182"/>
    <n v="3.0741626794258375E-2"/>
  </r>
  <r>
    <x v="0"/>
    <x v="1"/>
    <x v="1"/>
    <s v="M00000350449"/>
    <d v="2008-05-15T00:00:00"/>
    <n v="0"/>
    <n v="77.12"/>
    <n v="890.98"/>
    <n v="301.25"/>
    <x v="18"/>
    <s v="38"/>
    <s v="1205"/>
    <n v="24"/>
    <n v="0.73940248962655608"/>
    <n v="3.080843706777317E-2"/>
  </r>
  <r>
    <x v="0"/>
    <x v="1"/>
    <x v="1"/>
    <s v="M00000304354"/>
    <d v="2007-10-11T00:00:00"/>
    <n v="0"/>
    <n v="45.7"/>
    <n v="660"/>
    <n v="178.5"/>
    <x v="1"/>
    <s v="38"/>
    <s v="714"/>
    <n v="30"/>
    <n v="0.92436974789915971"/>
    <n v="3.081232492997199E-2"/>
  </r>
  <r>
    <x v="0"/>
    <x v="1"/>
    <x v="1"/>
    <s v="M00000282311"/>
    <d v="2007-08-23T00:00:00"/>
    <n v="0"/>
    <n v="57.34"/>
    <n v="1050.02"/>
    <n v="224"/>
    <x v="0"/>
    <s v="38"/>
    <s v="896"/>
    <n v="38"/>
    <n v="1.1718973214285715"/>
    <n v="3.0839403195488724E-2"/>
  </r>
  <r>
    <x v="0"/>
    <x v="1"/>
    <x v="1"/>
    <s v="M00000303221"/>
    <d v="2007-10-11T00:00:00"/>
    <n v="0"/>
    <n v="80.7"/>
    <n v="1050"/>
    <n v="315.25"/>
    <x v="2"/>
    <s v="38"/>
    <s v="1261"/>
    <n v="27"/>
    <n v="0.83267248215701828"/>
    <n v="3.0839721561371047E-2"/>
  </r>
  <r>
    <x v="0"/>
    <x v="1"/>
    <x v="1"/>
    <s v="M00000309760"/>
    <d v="2007-11-09T00:00:00"/>
    <n v="0"/>
    <n v="71.17"/>
    <n v="1029"/>
    <n v="278"/>
    <x v="1"/>
    <s v="38"/>
    <s v="1112"/>
    <n v="30"/>
    <n v="0.92535971223021585"/>
    <n v="3.0845323741007194E-2"/>
  </r>
  <r>
    <x v="0"/>
    <x v="1"/>
    <x v="1"/>
    <s v="M00000341099"/>
    <d v="2008-02-21T00:00:00"/>
    <n v="0"/>
    <n v="51.84"/>
    <n v="950"/>
    <n v="202.5"/>
    <x v="0"/>
    <s v="38"/>
    <s v="810"/>
    <n v="38"/>
    <n v="1.1728395061728396"/>
    <n v="3.0864197530864199E-2"/>
  </r>
  <r>
    <x v="0"/>
    <x v="1"/>
    <x v="1"/>
    <s v="M00000316764"/>
    <d v="2008-01-24T00:00:00"/>
    <n v="0"/>
    <n v="80"/>
    <n v="1196"/>
    <n v="312.5"/>
    <x v="16"/>
    <s v="38"/>
    <s v="1250"/>
    <n v="31"/>
    <n v="0.95679999999999998"/>
    <n v="3.0864516129032259E-2"/>
  </r>
  <r>
    <x v="0"/>
    <x v="1"/>
    <x v="1"/>
    <s v="M00000292339"/>
    <d v="2007-09-06T00:00:00"/>
    <n v="0"/>
    <n v="108.42"/>
    <n v="1989.94"/>
    <n v="423.5"/>
    <x v="0"/>
    <s v="38"/>
    <s v="1694"/>
    <n v="38"/>
    <n v="1.1746989374262102"/>
    <n v="3.091312993226869E-2"/>
  </r>
  <r>
    <x v="0"/>
    <x v="1"/>
    <x v="1"/>
    <s v="M00000300901"/>
    <d v="2007-10-18T00:00:00"/>
    <n v="0"/>
    <n v="74.75"/>
    <n v="975"/>
    <n v="292"/>
    <x v="2"/>
    <s v="38"/>
    <s v="1168"/>
    <n v="27"/>
    <n v="0.83476027397260277"/>
    <n v="3.0917047184170474E-2"/>
  </r>
  <r>
    <x v="0"/>
    <x v="1"/>
    <x v="1"/>
    <s v="M00000276937"/>
    <d v="2007-06-14T00:00:00"/>
    <n v="0"/>
    <n v="38.909999999999997"/>
    <n v="717.99"/>
    <n v="152"/>
    <x v="0"/>
    <s v="38"/>
    <s v="608"/>
    <n v="38"/>
    <n v="1.180904605263158"/>
    <n v="3.1076436980609422E-2"/>
  </r>
  <r>
    <x v="0"/>
    <x v="1"/>
    <x v="1"/>
    <s v="M00000313005"/>
    <d v="2007-12-31T00:00:00"/>
    <n v="0"/>
    <n v="112"/>
    <n v="1305.45"/>
    <n v="437.5"/>
    <x v="18"/>
    <s v="38"/>
    <s v="1750"/>
    <n v="24"/>
    <n v="0.74597142857142862"/>
    <n v="3.108214285714286E-2"/>
  </r>
  <r>
    <x v="0"/>
    <x v="1"/>
    <x v="1"/>
    <s v="M00000285235"/>
    <d v="2007-09-14T00:00:00"/>
    <n v="0"/>
    <n v="140.80000000000001"/>
    <n v="1299.98"/>
    <n v="550"/>
    <x v="5"/>
    <s v="38"/>
    <s v="2200"/>
    <n v="19"/>
    <n v="0.59089999999999998"/>
    <n v="3.1099999999999999E-2"/>
  </r>
  <r>
    <x v="0"/>
    <x v="1"/>
    <x v="1"/>
    <s v="M00000305598"/>
    <d v="2007-10-18T00:00:00"/>
    <n v="0"/>
    <n v="28.8"/>
    <n v="350"/>
    <n v="112.5"/>
    <x v="3"/>
    <s v="38"/>
    <s v="450"/>
    <n v="25"/>
    <n v="0.77777777777777779"/>
    <n v="3.111111111111111E-2"/>
  </r>
  <r>
    <x v="0"/>
    <x v="1"/>
    <x v="1"/>
    <s v="M00000341126"/>
    <d v="2008-03-20T00:00:00"/>
    <n v="0"/>
    <n v="78.849999999999994"/>
    <n v="1035"/>
    <n v="308"/>
    <x v="2"/>
    <s v="38"/>
    <s v="1232"/>
    <n v="27"/>
    <n v="0.84009740259740262"/>
    <n v="3.1114718614718616E-2"/>
  </r>
  <r>
    <x v="0"/>
    <x v="1"/>
    <x v="1"/>
    <s v="M00000282330"/>
    <d v="2007-07-06T00:00:00"/>
    <n v="0"/>
    <n v="69.5"/>
    <n v="676.04"/>
    <n v="271.5"/>
    <x v="6"/>
    <s v="38"/>
    <s v="1086"/>
    <n v="20"/>
    <n v="0.62250460405156538"/>
    <n v="3.112523020257827E-2"/>
  </r>
  <r>
    <x v="0"/>
    <x v="1"/>
    <x v="1"/>
    <s v="M00000346736"/>
    <d v="2008-03-27T00:00:00"/>
    <n v="0"/>
    <n v="122.75"/>
    <n v="1375"/>
    <n v="479.5"/>
    <x v="4"/>
    <s v="38"/>
    <s v="1918"/>
    <n v="23"/>
    <n v="0.71689259645464021"/>
    <n v="3.1169243324114793E-2"/>
  </r>
  <r>
    <x v="0"/>
    <x v="1"/>
    <x v="1"/>
    <s v="M00000272762"/>
    <d v="2007-05-24T00:00:00"/>
    <n v="0"/>
    <n v="109.63"/>
    <n v="1334.94"/>
    <n v="428.25"/>
    <x v="3"/>
    <s v="38"/>
    <s v="1713"/>
    <n v="25"/>
    <n v="0.7792994746059545"/>
    <n v="3.117197898423818E-2"/>
  </r>
  <r>
    <x v="0"/>
    <x v="1"/>
    <x v="1"/>
    <s v="M00000284415"/>
    <d v="2007-07-19T00:00:00"/>
    <n v="0"/>
    <n v="61.44"/>
    <n v="808.03"/>
    <n v="240"/>
    <x v="2"/>
    <s v="38"/>
    <s v="960"/>
    <n v="27"/>
    <n v="0.8416979166666666"/>
    <n v="3.1173996913580245E-2"/>
  </r>
  <r>
    <x v="0"/>
    <x v="1"/>
    <x v="1"/>
    <s v="M00000284654"/>
    <d v="2007-07-19T00:00:00"/>
    <n v="0"/>
    <n v="117.7"/>
    <n v="1261.92"/>
    <n v="459.75"/>
    <x v="7"/>
    <s v="38"/>
    <s v="1839"/>
    <n v="22"/>
    <n v="0.68619902120717791"/>
    <n v="3.119086460032627E-2"/>
  </r>
  <r>
    <x v="0"/>
    <x v="1"/>
    <x v="1"/>
    <s v="M00000302063"/>
    <d v="2007-10-25T00:00:00"/>
    <n v="0"/>
    <n v="99.78"/>
    <n v="1022"/>
    <n v="389.75"/>
    <x v="15"/>
    <s v="38"/>
    <s v="1559"/>
    <n v="21"/>
    <n v="0.65554842847979478"/>
    <n v="3.1216591832371181E-2"/>
  </r>
  <r>
    <x v="0"/>
    <x v="1"/>
    <x v="1"/>
    <s v="M00000349762"/>
    <d v="2008-03-27T00:00:00"/>
    <n v="0"/>
    <n v="69.89"/>
    <n v="682"/>
    <n v="273"/>
    <x v="6"/>
    <s v="38"/>
    <s v="1092"/>
    <n v="20"/>
    <n v="0.62454212454212454"/>
    <n v="3.1227106227106227E-2"/>
  </r>
  <r>
    <x v="0"/>
    <x v="1"/>
    <x v="1"/>
    <s v="M00000339963"/>
    <d v="2008-03-20T00:00:00"/>
    <n v="0"/>
    <n v="38.4"/>
    <n v="468.6"/>
    <n v="150"/>
    <x v="10"/>
    <s v="30"/>
    <s v="600"/>
    <n v="25"/>
    <n v="0.78100000000000003"/>
    <n v="3.124E-2"/>
  </r>
  <r>
    <x v="0"/>
    <x v="1"/>
    <x v="1"/>
    <s v="M00000333248"/>
    <d v="2008-01-17T00:00:00"/>
    <n v="0"/>
    <n v="104.96"/>
    <n v="1025.18"/>
    <n v="410"/>
    <x v="6"/>
    <s v="38"/>
    <s v="1640"/>
    <n v="20"/>
    <n v="0.62510975609756103"/>
    <n v="3.1255487804878052E-2"/>
  </r>
  <r>
    <x v="0"/>
    <x v="1"/>
    <x v="1"/>
    <s v="M00000341943"/>
    <d v="2008-02-29T00:00:00"/>
    <n v="0"/>
    <n v="67.58"/>
    <n v="1255"/>
    <n v="264"/>
    <x v="0"/>
    <s v="38"/>
    <s v="1056"/>
    <n v="38"/>
    <n v="1.1884469696969697"/>
    <n v="3.1274920255183414E-2"/>
  </r>
  <r>
    <x v="0"/>
    <x v="1"/>
    <x v="1"/>
    <s v="M00000325103"/>
    <d v="2007-12-31T00:00:00"/>
    <n v="0"/>
    <n v="69.760000000000005"/>
    <n v="750"/>
    <n v="272.5"/>
    <x v="7"/>
    <s v="38"/>
    <s v="1090"/>
    <n v="22"/>
    <n v="0.68807339449541283"/>
    <n v="3.1276063386155128E-2"/>
  </r>
  <r>
    <x v="0"/>
    <x v="1"/>
    <x v="1"/>
    <s v="M00000339124"/>
    <d v="2008-04-10T00:00:00"/>
    <n v="0"/>
    <n v="83.58"/>
    <n v="1104"/>
    <n v="326.5"/>
    <x v="2"/>
    <s v="38"/>
    <s v="1306"/>
    <n v="27"/>
    <n v="0.84532924961715161"/>
    <n v="3.1308490726561174E-2"/>
  </r>
  <r>
    <x v="0"/>
    <x v="1"/>
    <x v="1"/>
    <s v="M00000358123"/>
    <d v="2008-05-08T00:00:00"/>
    <n v="0"/>
    <n v="78.59"/>
    <n v="1155"/>
    <n v="307"/>
    <x v="3"/>
    <s v="43"/>
    <s v="1228"/>
    <n v="30"/>
    <n v="0.94055374592833874"/>
    <n v="3.1351791530944625E-2"/>
  </r>
  <r>
    <x v="0"/>
    <x v="1"/>
    <x v="1"/>
    <s v="M00000349589"/>
    <d v="2008-05-08T00:00:00"/>
    <n v="0"/>
    <n v="75.459999999999994"/>
    <n v="1294.79"/>
    <n v="294.75"/>
    <x v="13"/>
    <s v="38"/>
    <s v="1179"/>
    <n v="35"/>
    <n v="1.0982103477523324"/>
    <n v="3.1377438507209497E-2"/>
  </r>
  <r>
    <x v="0"/>
    <x v="1"/>
    <x v="1"/>
    <s v="M00000303937"/>
    <d v="2007-11-09T00:00:00"/>
    <n v="0"/>
    <n v="56.06"/>
    <n v="1045"/>
    <n v="219"/>
    <x v="0"/>
    <s v="38"/>
    <s v="876"/>
    <n v="38"/>
    <n v="1.1929223744292237"/>
    <n v="3.1392694063926939E-2"/>
  </r>
  <r>
    <x v="0"/>
    <x v="1"/>
    <x v="1"/>
    <s v="M00000300863"/>
    <d v="2007-09-27T00:00:00"/>
    <n v="0"/>
    <n v="49.02"/>
    <n v="626"/>
    <n v="191.5"/>
    <x v="14"/>
    <s v="38"/>
    <s v="766"/>
    <n v="26"/>
    <n v="0.81723237597911225"/>
    <n v="3.1432014460735083E-2"/>
  </r>
  <r>
    <x v="0"/>
    <x v="1"/>
    <x v="1"/>
    <s v="M00000322307"/>
    <d v="2008-01-24T00:00:00"/>
    <n v="0"/>
    <n v="67.459999999999994"/>
    <n v="630"/>
    <n v="263.5"/>
    <x v="5"/>
    <s v="38"/>
    <s v="1054"/>
    <n v="19"/>
    <n v="0.59772296015180271"/>
    <n v="3.145910316588435E-2"/>
  </r>
  <r>
    <x v="0"/>
    <x v="1"/>
    <x v="1"/>
    <s v="M00000323968"/>
    <d v="2007-12-20T00:00:00"/>
    <n v="0"/>
    <n v="105.41"/>
    <n v="1140"/>
    <n v="411.75"/>
    <x v="7"/>
    <s v="38"/>
    <s v="1647"/>
    <n v="22"/>
    <n v="0.69216757741347901"/>
    <n v="3.1462162609703588E-2"/>
  </r>
  <r>
    <x v="0"/>
    <x v="1"/>
    <x v="1"/>
    <s v="M00000301940"/>
    <d v="2007-09-28T00:00:00"/>
    <n v="0"/>
    <n v="86.4"/>
    <n v="1020"/>
    <n v="337.5"/>
    <x v="18"/>
    <s v="38"/>
    <s v="1350"/>
    <n v="24"/>
    <n v="0.75555555555555554"/>
    <n v="3.1481481481481478E-2"/>
  </r>
  <r>
    <x v="0"/>
    <x v="1"/>
    <x v="1"/>
    <s v="M00000326910"/>
    <d v="2008-01-31T00:00:00"/>
    <n v="0"/>
    <n v="89.6"/>
    <n v="1190"/>
    <n v="350"/>
    <x v="2"/>
    <s v="38"/>
    <s v="1400"/>
    <n v="27"/>
    <n v="0.85"/>
    <n v="3.1481481481481478E-2"/>
  </r>
  <r>
    <x v="0"/>
    <x v="1"/>
    <x v="1"/>
    <s v="M00000343412"/>
    <d v="2008-03-06T00:00:00"/>
    <n v="0"/>
    <n v="51.2"/>
    <n v="680"/>
    <n v="200"/>
    <x v="2"/>
    <s v="38"/>
    <s v="800"/>
    <n v="27"/>
    <n v="0.85"/>
    <n v="3.1481481481481478E-2"/>
  </r>
  <r>
    <x v="0"/>
    <x v="1"/>
    <x v="1"/>
    <s v="M00000315678"/>
    <d v="2008-02-07T00:00:00"/>
    <n v="0"/>
    <n v="59.71"/>
    <n v="940"/>
    <n v="233.25"/>
    <x v="12"/>
    <s v="38"/>
    <s v="933"/>
    <n v="32"/>
    <n v="1.007502679528403"/>
    <n v="3.1484458735262594E-2"/>
  </r>
  <r>
    <x v="0"/>
    <x v="1"/>
    <x v="1"/>
    <s v="M00000296023"/>
    <d v="2007-09-28T00:00:00"/>
    <n v="0"/>
    <n v="101.12"/>
    <n v="996.03"/>
    <n v="395"/>
    <x v="6"/>
    <s v="38"/>
    <s v="1580"/>
    <n v="20"/>
    <n v="0.63039873417721515"/>
    <n v="3.151993670886076E-2"/>
  </r>
  <r>
    <x v="0"/>
    <x v="1"/>
    <x v="1"/>
    <s v="M00000362723"/>
    <d v="2008-05-29T00:00:00"/>
    <n v="0"/>
    <n v="70.400000000000006"/>
    <n v="937"/>
    <n v="275"/>
    <x v="2"/>
    <s v="38"/>
    <s v="1100"/>
    <n v="27"/>
    <n v="0.85181818181818181"/>
    <n v="3.1548821548821548E-2"/>
  </r>
  <r>
    <x v="0"/>
    <x v="1"/>
    <x v="1"/>
    <s v="M00000335322"/>
    <d v="2008-02-21T00:00:00"/>
    <n v="0"/>
    <n v="33.729999999999997"/>
    <n v="500"/>
    <n v="131.75"/>
    <x v="1"/>
    <s v="38"/>
    <s v="527"/>
    <n v="30"/>
    <n v="0.94876660341555974"/>
    <n v="3.1625553447185324E-2"/>
  </r>
  <r>
    <x v="0"/>
    <x v="1"/>
    <x v="1"/>
    <s v="M00000374589"/>
    <d v="2008-07-10T00:00:00"/>
    <n v="0"/>
    <n v="73.599999999999994"/>
    <n v="730"/>
    <n v="287.5"/>
    <x v="6"/>
    <s v="38"/>
    <s v="1150"/>
    <n v="20"/>
    <n v="0.63478260869565217"/>
    <n v="3.173913043478261E-2"/>
  </r>
  <r>
    <x v="0"/>
    <x v="1"/>
    <x v="1"/>
    <s v="M00000343770"/>
    <d v="2008-04-24T00:00:00"/>
    <n v="0"/>
    <n v="44.8"/>
    <n v="689.33"/>
    <n v="175"/>
    <x v="16"/>
    <s v="38"/>
    <s v="700"/>
    <n v="31"/>
    <n v="0.98475714285714289"/>
    <n v="3.1766359447004608E-2"/>
  </r>
  <r>
    <x v="0"/>
    <x v="1"/>
    <x v="1"/>
    <s v="M00000319431"/>
    <d v="2007-12-06T00:00:00"/>
    <n v="0"/>
    <n v="14.08"/>
    <n v="210"/>
    <n v="55"/>
    <x v="1"/>
    <s v="38"/>
    <s v="220"/>
    <n v="30"/>
    <n v="0.95454545454545459"/>
    <n v="3.1818181818181822E-2"/>
  </r>
  <r>
    <x v="0"/>
    <x v="1"/>
    <x v="1"/>
    <s v="M00000291239"/>
    <d v="2007-09-06T00:00:00"/>
    <n v="0"/>
    <n v="32"/>
    <n v="430"/>
    <n v="125"/>
    <x v="2"/>
    <s v="38"/>
    <s v="500"/>
    <n v="27"/>
    <n v="0.86"/>
    <n v="3.1851851851851853E-2"/>
  </r>
  <r>
    <x v="0"/>
    <x v="1"/>
    <x v="1"/>
    <s v="M00000326976"/>
    <d v="2007-12-31T00:00:00"/>
    <n v="0"/>
    <n v="66.56"/>
    <n v="895"/>
    <n v="260"/>
    <x v="2"/>
    <s v="38"/>
    <s v="1040"/>
    <n v="27"/>
    <n v="0.86057692307692313"/>
    <n v="3.1873219373219373E-2"/>
  </r>
  <r>
    <x v="0"/>
    <x v="1"/>
    <x v="1"/>
    <s v="M00000272608"/>
    <d v="2007-06-28T00:00:00"/>
    <n v="0"/>
    <n v="47.87"/>
    <n v="620.02"/>
    <n v="187"/>
    <x v="14"/>
    <s v="38"/>
    <s v="748"/>
    <n v="26"/>
    <n v="0.82890374331550798"/>
    <n v="3.1880913204442612E-2"/>
  </r>
  <r>
    <x v="0"/>
    <x v="1"/>
    <x v="1"/>
    <s v="M00000343560"/>
    <d v="2008-04-03T00:00:00"/>
    <n v="0"/>
    <n v="89.6"/>
    <n v="1120"/>
    <n v="350"/>
    <x v="0"/>
    <s v="25"/>
    <s v="1400"/>
    <n v="25"/>
    <n v="0.8"/>
    <n v="3.2000000000000001E-2"/>
  </r>
  <r>
    <x v="0"/>
    <x v="1"/>
    <x v="1"/>
    <s v="M00000319086"/>
    <d v="2008-01-17T00:00:00"/>
    <n v="0"/>
    <n v="41.6"/>
    <n v="562.32000000000005"/>
    <n v="162.5"/>
    <x v="2"/>
    <s v="38"/>
    <s v="650"/>
    <n v="27"/>
    <n v="0.86510769230769236"/>
    <n v="3.2041025641025643E-2"/>
  </r>
  <r>
    <x v="0"/>
    <x v="1"/>
    <x v="1"/>
    <s v="M00000272740"/>
    <d v="2007-07-12T00:00:00"/>
    <n v="0"/>
    <n v="96.26"/>
    <n v="1254.94"/>
    <n v="376"/>
    <x v="14"/>
    <s v="38"/>
    <s v="1504"/>
    <n v="26"/>
    <n v="0.83440159574468087"/>
    <n v="3.209236906710311E-2"/>
  </r>
  <r>
    <x v="0"/>
    <x v="1"/>
    <x v="1"/>
    <s v="M00000303850"/>
    <d v="2007-10-11T00:00:00"/>
    <n v="0"/>
    <n v="89.09"/>
    <n v="1702"/>
    <n v="348"/>
    <x v="0"/>
    <s v="38"/>
    <s v="1392"/>
    <n v="38"/>
    <n v="1.2227011494252873"/>
    <n v="3.2176346037507561E-2"/>
  </r>
  <r>
    <x v="0"/>
    <x v="1"/>
    <x v="1"/>
    <s v="M00000291440"/>
    <d v="2007-08-16T00:00:00"/>
    <n v="0"/>
    <n v="54.4"/>
    <n v="1039.98"/>
    <n v="212.5"/>
    <x v="0"/>
    <s v="38"/>
    <s v="850"/>
    <n v="38"/>
    <n v="1.2235058823529412"/>
    <n v="3.2197523219814242E-2"/>
  </r>
  <r>
    <x v="0"/>
    <x v="1"/>
    <x v="1"/>
    <s v="M00000368639"/>
    <d v="2008-06-19T00:00:00"/>
    <n v="0"/>
    <n v="67.2"/>
    <n v="1050"/>
    <n v="262.5"/>
    <x v="16"/>
    <s v="38"/>
    <s v="1050"/>
    <n v="31"/>
    <n v="1"/>
    <n v="3.2258064516129031E-2"/>
  </r>
  <r>
    <x v="0"/>
    <x v="1"/>
    <x v="1"/>
    <s v="M00000349345"/>
    <d v="2008-03-27T00:00:00"/>
    <n v="0"/>
    <n v="105.6"/>
    <n v="1336"/>
    <n v="412.5"/>
    <x v="3"/>
    <s v="38"/>
    <s v="1650"/>
    <n v="25"/>
    <n v="0.80969696969696969"/>
    <n v="3.2387878787878785E-2"/>
  </r>
  <r>
    <x v="0"/>
    <x v="1"/>
    <x v="1"/>
    <s v="M00000294664"/>
    <d v="2007-09-14T00:00:00"/>
    <n v="0"/>
    <n v="35.33"/>
    <n v="339.98"/>
    <n v="138"/>
    <x v="5"/>
    <s v="38"/>
    <s v="552"/>
    <n v="19"/>
    <n v="0.61590579710144933"/>
    <n v="3.2416094584286806E-2"/>
  </r>
  <r>
    <x v="0"/>
    <x v="1"/>
    <x v="1"/>
    <s v="M00000327313"/>
    <d v="2008-02-14T00:00:00"/>
    <n v="0"/>
    <n v="79.17"/>
    <n v="1524.87"/>
    <n v="309.25"/>
    <x v="0"/>
    <s v="38"/>
    <s v="1237"/>
    <n v="38"/>
    <n v="1.2327162489894907"/>
    <n v="3.2439901289197125E-2"/>
  </r>
  <r>
    <x v="0"/>
    <x v="1"/>
    <x v="1"/>
    <s v="M00000269231"/>
    <d v="2007-07-26T00:00:00"/>
    <n v="0"/>
    <n v="104.32"/>
    <n v="1321.93"/>
    <n v="407.5"/>
    <x v="3"/>
    <s v="38"/>
    <s v="1630"/>
    <n v="25"/>
    <n v="0.81100000000000005"/>
    <n v="3.2440000000000004E-2"/>
  </r>
  <r>
    <x v="0"/>
    <x v="1"/>
    <x v="1"/>
    <s v="M00000353297"/>
    <d v="2008-05-15T00:00:00"/>
    <n v="0"/>
    <n v="128"/>
    <n v="1753"/>
    <n v="500"/>
    <x v="2"/>
    <s v="38"/>
    <s v="2000"/>
    <n v="27"/>
    <n v="0.87649999999999995"/>
    <n v="3.2462962962962964E-2"/>
  </r>
  <r>
    <x v="0"/>
    <x v="1"/>
    <x v="1"/>
    <s v="M00000275343"/>
    <d v="2007-08-02T00:00:00"/>
    <n v="0"/>
    <n v="70.400000000000006"/>
    <n v="1001.88"/>
    <n v="275"/>
    <x v="11"/>
    <s v="38"/>
    <s v="1100"/>
    <n v="28"/>
    <n v="0.91079999999999994"/>
    <n v="3.2528571428571428E-2"/>
  </r>
  <r>
    <x v="0"/>
    <x v="1"/>
    <x v="1"/>
    <s v="M00000281843"/>
    <d v="2007-07-06T00:00:00"/>
    <n v="0"/>
    <n v="96.51"/>
    <n v="1864.04"/>
    <n v="377"/>
    <x v="0"/>
    <s v="38"/>
    <s v="1508"/>
    <n v="38"/>
    <n v="1.2361007957559682"/>
    <n v="3.2528968309367585E-2"/>
  </r>
  <r>
    <x v="0"/>
    <x v="1"/>
    <x v="1"/>
    <s v="M00000306830"/>
    <d v="2007-10-25T00:00:00"/>
    <n v="0"/>
    <n v="55.94"/>
    <n v="598.1"/>
    <n v="218.5"/>
    <x v="15"/>
    <s v="38"/>
    <s v="874"/>
    <n v="21"/>
    <n v="0.68432494279176204"/>
    <n v="3.2586902037702953E-2"/>
  </r>
  <r>
    <x v="0"/>
    <x v="1"/>
    <x v="1"/>
    <s v="M00000297912"/>
    <d v="2007-09-14T00:00:00"/>
    <n v="0"/>
    <n v="91.39"/>
    <n v="931.91"/>
    <n v="357"/>
    <x v="6"/>
    <s v="38"/>
    <s v="1428"/>
    <n v="20"/>
    <n v="0.65259803921568627"/>
    <n v="3.2629901960784316E-2"/>
  </r>
  <r>
    <x v="0"/>
    <x v="1"/>
    <x v="1"/>
    <s v="M00000271349"/>
    <d v="2007-05-17T00:00:00"/>
    <n v="0"/>
    <n v="74.37"/>
    <n v="1440.88"/>
    <n v="290.5"/>
    <x v="0"/>
    <s v="38"/>
    <s v="1162"/>
    <n v="38"/>
    <n v="1.24"/>
    <n v="3.2631578947368421E-2"/>
  </r>
  <r>
    <x v="0"/>
    <x v="1"/>
    <x v="1"/>
    <s v="M00000351797"/>
    <d v="2008-04-10T00:00:00"/>
    <n v="0"/>
    <n v="106.94"/>
    <n v="1366"/>
    <n v="417.75"/>
    <x v="3"/>
    <s v="38"/>
    <s v="1671"/>
    <n v="25"/>
    <n v="0.81747456612806702"/>
    <n v="3.2698982645122679E-2"/>
  </r>
  <r>
    <x v="0"/>
    <x v="1"/>
    <x v="1"/>
    <s v="M00000353217"/>
    <d v="2008-04-17T00:00:00"/>
    <n v="0"/>
    <n v="85.76"/>
    <n v="1185"/>
    <n v="335"/>
    <x v="2"/>
    <s v="38"/>
    <s v="1340"/>
    <n v="27"/>
    <n v="0.88432835820895528"/>
    <n v="3.2752902155887234E-2"/>
  </r>
  <r>
    <x v="0"/>
    <x v="1"/>
    <x v="1"/>
    <s v="M00000373431"/>
    <d v="2008-07-10T00:00:00"/>
    <n v="0"/>
    <n v="34.56"/>
    <n v="460"/>
    <n v="135"/>
    <x v="14"/>
    <s v="38"/>
    <s v="540"/>
    <n v="26"/>
    <n v="0.85185185185185186"/>
    <n v="3.2763532763532763E-2"/>
  </r>
  <r>
    <x v="0"/>
    <x v="1"/>
    <x v="1"/>
    <s v="M00000343670"/>
    <d v="2008-04-24T00:00:00"/>
    <n v="0"/>
    <n v="100.99"/>
    <n v="1189.83"/>
    <n v="394.5"/>
    <x v="4"/>
    <s v="38"/>
    <s v="1578"/>
    <n v="23"/>
    <n v="0.75401140684410639"/>
    <n v="3.2783104645395932E-2"/>
  </r>
  <r>
    <x v="0"/>
    <x v="1"/>
    <x v="1"/>
    <s v="M00000285633"/>
    <d v="2007-07-19T00:00:00"/>
    <n v="0"/>
    <n v="124.93"/>
    <n v="1855.96"/>
    <n v="488"/>
    <x v="8"/>
    <s v="38"/>
    <s v="1952"/>
    <n v="29"/>
    <n v="0.95079918032786892"/>
    <n v="3.2786178631995483E-2"/>
  </r>
  <r>
    <x v="0"/>
    <x v="1"/>
    <x v="1"/>
    <s v="M00000282715"/>
    <d v="2007-08-23T00:00:00"/>
    <n v="0"/>
    <n v="67.2"/>
    <n v="861"/>
    <n v="262.5"/>
    <x v="3"/>
    <s v="38"/>
    <s v="1050"/>
    <n v="25"/>
    <n v="0.82"/>
    <n v="3.2799999999999996E-2"/>
  </r>
  <r>
    <x v="0"/>
    <x v="1"/>
    <x v="1"/>
    <s v="M00000321391"/>
    <d v="2007-12-20T00:00:00"/>
    <n v="0"/>
    <n v="128"/>
    <n v="1640"/>
    <n v="500"/>
    <x v="3"/>
    <s v="38"/>
    <s v="2000"/>
    <n v="25"/>
    <n v="0.82"/>
    <n v="3.2799999999999996E-2"/>
  </r>
  <r>
    <x v="0"/>
    <x v="1"/>
    <x v="1"/>
    <s v="M00000276107"/>
    <d v="2007-06-07T00:00:00"/>
    <n v="0"/>
    <n v="92.8"/>
    <n v="1812.07"/>
    <n v="362.5"/>
    <x v="2"/>
    <s v="49"/>
    <s v="1450"/>
    <n v="38"/>
    <n v="1.249703448275862"/>
    <n v="3.2886932849364788E-2"/>
  </r>
  <r>
    <x v="0"/>
    <x v="1"/>
    <x v="1"/>
    <s v="M00000279505"/>
    <d v="2007-06-28T00:00:00"/>
    <n v="0"/>
    <n v="38.4"/>
    <n v="750"/>
    <n v="150"/>
    <x v="0"/>
    <s v="38"/>
    <s v="600"/>
    <n v="38"/>
    <n v="1.25"/>
    <n v="3.2894736842105261E-2"/>
  </r>
  <r>
    <x v="0"/>
    <x v="1"/>
    <x v="1"/>
    <s v="M00000307161"/>
    <d v="2007-10-25T00:00:00"/>
    <n v="0"/>
    <n v="55.3"/>
    <n v="1080"/>
    <n v="216"/>
    <x v="0"/>
    <s v="38"/>
    <s v="864"/>
    <n v="38"/>
    <n v="1.25"/>
    <n v="3.2894736842105261E-2"/>
  </r>
  <r>
    <x v="0"/>
    <x v="1"/>
    <x v="1"/>
    <s v="M00000301900"/>
    <d v="2007-10-04T00:00:00"/>
    <n v="0"/>
    <n v="58.37"/>
    <n v="600"/>
    <n v="228"/>
    <x v="6"/>
    <s v="38"/>
    <s v="912"/>
    <n v="20"/>
    <n v="0.65789473684210531"/>
    <n v="3.2894736842105268E-2"/>
  </r>
  <r>
    <x v="0"/>
    <x v="1"/>
    <x v="1"/>
    <s v="M00000348744"/>
    <d v="2008-03-27T00:00:00"/>
    <n v="0"/>
    <n v="113.28"/>
    <n v="1165"/>
    <n v="442.5"/>
    <x v="6"/>
    <s v="38"/>
    <s v="1770"/>
    <n v="20"/>
    <n v="0.65819209039548021"/>
    <n v="3.2909604519774011E-2"/>
  </r>
  <r>
    <x v="0"/>
    <x v="1"/>
    <x v="1"/>
    <s v="M00000296236"/>
    <d v="2007-09-06T00:00:00"/>
    <n v="0"/>
    <n v="67.2"/>
    <n v="864.05"/>
    <n v="262.5"/>
    <x v="3"/>
    <s v="38"/>
    <s v="1050"/>
    <n v="25"/>
    <n v="0.82290476190476192"/>
    <n v="3.2916190476190474E-2"/>
  </r>
  <r>
    <x v="0"/>
    <x v="1"/>
    <x v="1"/>
    <s v="M00000308299"/>
    <d v="2007-10-25T00:00:00"/>
    <n v="0"/>
    <n v="36.799999999999997"/>
    <n v="625"/>
    <n v="143.75"/>
    <x v="10"/>
    <s v="38"/>
    <s v="575"/>
    <n v="33"/>
    <n v="1.0869565217391304"/>
    <n v="3.2938076416337281E-2"/>
  </r>
  <r>
    <x v="0"/>
    <x v="1"/>
    <x v="1"/>
    <s v="M00000308377"/>
    <d v="2007-11-21T00:00:00"/>
    <n v="0"/>
    <n v="86.4"/>
    <n v="890"/>
    <n v="337.5"/>
    <x v="6"/>
    <s v="38"/>
    <s v="1350"/>
    <n v="20"/>
    <n v="0.65925925925925921"/>
    <n v="3.2962962962962958E-2"/>
  </r>
  <r>
    <x v="0"/>
    <x v="1"/>
    <x v="1"/>
    <s v="M00000308866"/>
    <d v="2007-11-21T00:00:00"/>
    <n v="0"/>
    <n v="88.96"/>
    <n v="1374.75"/>
    <n v="347.5"/>
    <x v="1"/>
    <s v="38"/>
    <s v="1390"/>
    <n v="30"/>
    <n v="0.98902877697841729"/>
    <n v="3.2967625899280574E-2"/>
  </r>
  <r>
    <x v="0"/>
    <x v="1"/>
    <x v="1"/>
    <s v="M00000359856"/>
    <d v="2008-05-15T00:00:00"/>
    <n v="0"/>
    <n v="121.6"/>
    <n v="1695"/>
    <n v="475"/>
    <x v="2"/>
    <s v="38"/>
    <s v="1900"/>
    <n v="27"/>
    <n v="0.89210526315789473"/>
    <n v="3.3040935672514621E-2"/>
  </r>
  <r>
    <x v="0"/>
    <x v="1"/>
    <x v="1"/>
    <s v="M00000368198"/>
    <d v="2008-07-03T00:00:00"/>
    <n v="0"/>
    <n v="100.99"/>
    <n v="1097"/>
    <n v="394.5"/>
    <x v="15"/>
    <s v="38"/>
    <s v="1578"/>
    <n v="21"/>
    <n v="0.6951837769328264"/>
    <n v="3.3103989377753641E-2"/>
  </r>
  <r>
    <x v="0"/>
    <x v="1"/>
    <x v="1"/>
    <s v="M00000328769"/>
    <d v="2007-12-31T00:00:00"/>
    <n v="0"/>
    <n v="93.95"/>
    <n v="1118"/>
    <n v="367"/>
    <x v="4"/>
    <s v="38"/>
    <s v="1468"/>
    <n v="23"/>
    <n v="0.76158038147138962"/>
    <n v="3.3112190498756071E-2"/>
  </r>
  <r>
    <x v="0"/>
    <x v="1"/>
    <x v="1"/>
    <s v="M00000335655"/>
    <d v="2008-02-29T00:00:00"/>
    <n v="0"/>
    <n v="96.13"/>
    <n v="1890"/>
    <n v="375.5"/>
    <x v="0"/>
    <s v="38"/>
    <s v="1502"/>
    <n v="38"/>
    <n v="1.2583222370173102"/>
    <n v="3.3113743079402902E-2"/>
  </r>
  <r>
    <x v="0"/>
    <x v="1"/>
    <x v="1"/>
    <s v="M00000279973"/>
    <d v="2007-10-25T00:00:00"/>
    <n v="0"/>
    <n v="85.63"/>
    <n v="1329.7"/>
    <n v="334.5"/>
    <x v="1"/>
    <s v="38"/>
    <s v="1338"/>
    <n v="30"/>
    <n v="0.99379671150971605"/>
    <n v="3.3126557050323871E-2"/>
  </r>
  <r>
    <x v="0"/>
    <x v="1"/>
    <x v="1"/>
    <s v="M00000331810"/>
    <d v="2007-12-31T00:00:00"/>
    <n v="0"/>
    <n v="43.52"/>
    <n v="428"/>
    <n v="170"/>
    <x v="5"/>
    <s v="38"/>
    <s v="680"/>
    <n v="19"/>
    <n v="0.62941176470588234"/>
    <n v="3.3126934984520122E-2"/>
  </r>
  <r>
    <x v="0"/>
    <x v="1"/>
    <x v="1"/>
    <s v="M00000317585"/>
    <d v="2007-11-30T00:00:00"/>
    <n v="0"/>
    <n v="112.96"/>
    <n v="1462"/>
    <n v="441.25"/>
    <x v="3"/>
    <s v="38"/>
    <s v="1765"/>
    <n v="25"/>
    <n v="0.82832861189801699"/>
    <n v="3.3133144475920681E-2"/>
  </r>
  <r>
    <x v="0"/>
    <x v="1"/>
    <x v="1"/>
    <s v="M00000310627"/>
    <d v="2007-11-09T00:00:00"/>
    <n v="0"/>
    <n v="103.74"/>
    <n v="1077"/>
    <n v="405.25"/>
    <x v="6"/>
    <s v="38"/>
    <s v="1621"/>
    <n v="20"/>
    <n v="0.66440468846391121"/>
    <n v="3.3220234423195563E-2"/>
  </r>
  <r>
    <x v="0"/>
    <x v="1"/>
    <x v="1"/>
    <s v="M00000339759"/>
    <d v="2008-02-14T00:00:00"/>
    <n v="0"/>
    <n v="66.819999999999993"/>
    <n v="1320"/>
    <n v="261"/>
    <x v="0"/>
    <s v="38"/>
    <s v="1044"/>
    <n v="38"/>
    <n v="1.264367816091954"/>
    <n v="3.327283726557774E-2"/>
  </r>
  <r>
    <x v="0"/>
    <x v="1"/>
    <x v="1"/>
    <s v="M00000320904"/>
    <d v="2007-12-13T00:00:00"/>
    <n v="0"/>
    <n v="115.2"/>
    <n v="1200"/>
    <n v="450"/>
    <x v="6"/>
    <s v="38"/>
    <s v="1800"/>
    <n v="20"/>
    <n v="0.66666666666666663"/>
    <n v="3.3333333333333333E-2"/>
  </r>
  <r>
    <x v="0"/>
    <x v="1"/>
    <x v="1"/>
    <s v="M00000342078"/>
    <d v="2008-02-29T00:00:00"/>
    <n v="0"/>
    <n v="38.909999999999997"/>
    <n v="794"/>
    <n v="152"/>
    <x v="1"/>
    <s v="38"/>
    <s v="794"/>
    <n v="30"/>
    <n v="1"/>
    <n v="3.3333333333333333E-2"/>
  </r>
  <r>
    <x v="0"/>
    <x v="1"/>
    <x v="1"/>
    <s v="M00000343290"/>
    <d v="2008-03-06T00:00:00"/>
    <n v="0"/>
    <n v="76.8"/>
    <n v="1080"/>
    <n v="300"/>
    <x v="2"/>
    <s v="38"/>
    <s v="1200"/>
    <n v="27"/>
    <n v="0.9"/>
    <n v="3.3333333333333333E-2"/>
  </r>
  <r>
    <x v="0"/>
    <x v="1"/>
    <x v="1"/>
    <s v="M00000346715"/>
    <d v="2008-04-24T00:00:00"/>
    <n v="0"/>
    <n v="57.6"/>
    <n v="600"/>
    <n v="225"/>
    <x v="6"/>
    <s v="38"/>
    <s v="900"/>
    <n v="20"/>
    <n v="0.66666666666666663"/>
    <n v="3.3333333333333333E-2"/>
  </r>
  <r>
    <x v="0"/>
    <x v="1"/>
    <x v="1"/>
    <s v="M00000371362"/>
    <d v="2008-06-26T00:00:00"/>
    <n v="0"/>
    <n v="64.510000000000005"/>
    <n v="1850"/>
    <n v="252"/>
    <x v="1"/>
    <s v="38"/>
    <s v="1850"/>
    <n v="30"/>
    <n v="1"/>
    <n v="3.3333333333333333E-2"/>
  </r>
  <r>
    <x v="0"/>
    <x v="1"/>
    <x v="1"/>
    <s v="M00000373715"/>
    <d v="2008-07-10T00:00:00"/>
    <n v="0"/>
    <n v="87.04"/>
    <n v="1225"/>
    <n v="340"/>
    <x v="2"/>
    <s v="38"/>
    <s v="1360"/>
    <n v="27"/>
    <n v="0.90073529411764708"/>
    <n v="3.3360566448801747E-2"/>
  </r>
  <r>
    <x v="0"/>
    <x v="1"/>
    <x v="1"/>
    <s v="M00000356345"/>
    <d v="2008-04-30T00:00:00"/>
    <n v="0"/>
    <n v="85.44"/>
    <n v="1116.2"/>
    <n v="333.75"/>
    <x v="3"/>
    <s v="38"/>
    <s v="1335"/>
    <n v="25"/>
    <n v="0.83610486891385771"/>
    <n v="3.3444194756554309E-2"/>
  </r>
  <r>
    <x v="0"/>
    <x v="1"/>
    <x v="1"/>
    <s v="M00000356345"/>
    <d v="2008-07-03T00:00:00"/>
    <n v="0"/>
    <n v="-85.44"/>
    <n v="1116.2"/>
    <n v="333.75"/>
    <x v="3"/>
    <s v="38"/>
    <s v="1335"/>
    <n v="25"/>
    <n v="0.83610486891385771"/>
    <n v="3.3444194756554309E-2"/>
  </r>
  <r>
    <x v="0"/>
    <x v="1"/>
    <x v="1"/>
    <s v="M00000372469"/>
    <d v="2008-07-03T00:00:00"/>
    <n v="0"/>
    <n v="85.44"/>
    <n v="1116.2"/>
    <n v="333.75"/>
    <x v="3"/>
    <s v="38"/>
    <s v="1335"/>
    <n v="25"/>
    <n v="0.83610486891385771"/>
    <n v="3.3444194756554309E-2"/>
  </r>
  <r>
    <x v="0"/>
    <x v="1"/>
    <x v="1"/>
    <s v="M00000301878"/>
    <d v="2007-09-28T00:00:00"/>
    <n v="0"/>
    <n v="77.760000000000005"/>
    <n v="775"/>
    <n v="303.75"/>
    <x v="5"/>
    <s v="38"/>
    <s v="1215"/>
    <n v="19"/>
    <n v="0.63786008230452673"/>
    <n v="3.3571583279185614E-2"/>
  </r>
  <r>
    <x v="0"/>
    <x v="1"/>
    <x v="1"/>
    <s v="M00000273072"/>
    <d v="2007-08-09T00:00:00"/>
    <n v="0"/>
    <n v="96.19"/>
    <n v="1262.07"/>
    <n v="375.75"/>
    <x v="3"/>
    <s v="38"/>
    <s v="1503"/>
    <n v="25"/>
    <n v="0.83970059880239512"/>
    <n v="3.3588023952095807E-2"/>
  </r>
  <r>
    <x v="0"/>
    <x v="1"/>
    <x v="1"/>
    <s v="M00000342219"/>
    <d v="2008-02-29T00:00:00"/>
    <n v="0"/>
    <n v="57.6"/>
    <n v="1150"/>
    <n v="225"/>
    <x v="0"/>
    <s v="38"/>
    <s v="900"/>
    <n v="38"/>
    <n v="1.2777777777777777"/>
    <n v="3.3625730994152045E-2"/>
  </r>
  <r>
    <x v="0"/>
    <x v="1"/>
    <x v="1"/>
    <s v="M00000344930"/>
    <d v="2008-03-20T00:00:00"/>
    <n v="0"/>
    <n v="78.34"/>
    <n v="1565"/>
    <n v="306"/>
    <x v="0"/>
    <s v="38"/>
    <s v="1224"/>
    <n v="38"/>
    <n v="1.27859477124183"/>
    <n v="3.3647230822153422E-2"/>
  </r>
  <r>
    <x v="0"/>
    <x v="1"/>
    <x v="1"/>
    <s v="M00000364279"/>
    <d v="2008-05-29T00:00:00"/>
    <n v="0"/>
    <n v="77.819999999999993"/>
    <n v="1555"/>
    <n v="304"/>
    <x v="0"/>
    <s v="38"/>
    <s v="1216"/>
    <n v="38"/>
    <n v="1.278782894736842"/>
    <n v="3.3652181440443213E-2"/>
  </r>
  <r>
    <x v="0"/>
    <x v="1"/>
    <x v="1"/>
    <s v="M00000309000"/>
    <d v="2007-11-21T00:00:00"/>
    <n v="0"/>
    <n v="105.41"/>
    <n v="1164.23"/>
    <n v="411.75"/>
    <x v="15"/>
    <s v="38"/>
    <s v="1647"/>
    <n v="21"/>
    <n v="0.70687917425622349"/>
    <n v="3.3660913059820163E-2"/>
  </r>
  <r>
    <x v="0"/>
    <x v="1"/>
    <x v="1"/>
    <s v="M00000370395"/>
    <d v="2008-06-26T00:00:00"/>
    <n v="0"/>
    <n v="89.28"/>
    <n v="1175"/>
    <n v="348.75"/>
    <x v="3"/>
    <s v="38"/>
    <s v="1395"/>
    <n v="25"/>
    <n v="0.8422939068100358"/>
    <n v="3.3691756272401431E-2"/>
  </r>
  <r>
    <x v="0"/>
    <x v="1"/>
    <x v="1"/>
    <s v="M00000301536"/>
    <d v="2007-10-11T00:00:00"/>
    <n v="0"/>
    <n v="94.21"/>
    <n v="992"/>
    <n v="368"/>
    <x v="6"/>
    <s v="38"/>
    <s v="1472"/>
    <n v="20"/>
    <n v="0.67391304347826086"/>
    <n v="3.3695652173913043E-2"/>
  </r>
  <r>
    <x v="0"/>
    <x v="1"/>
    <x v="1"/>
    <s v="M00000354936"/>
    <d v="2008-04-24T00:00:00"/>
    <n v="0"/>
    <n v="70.27"/>
    <n v="740"/>
    <n v="274.5"/>
    <x v="6"/>
    <s v="38"/>
    <s v="1098"/>
    <n v="20"/>
    <n v="0.67395264116575593"/>
    <n v="3.3697632058287796E-2"/>
  </r>
  <r>
    <x v="0"/>
    <x v="1"/>
    <x v="1"/>
    <s v="M00000299375"/>
    <d v="2007-10-11T00:00:00"/>
    <n v="0"/>
    <n v="81.28"/>
    <n v="985"/>
    <n v="317.5"/>
    <x v="4"/>
    <s v="38"/>
    <s v="1270"/>
    <n v="23"/>
    <n v="0.77559055118110232"/>
    <n v="3.372132831222184E-2"/>
  </r>
  <r>
    <x v="0"/>
    <x v="1"/>
    <x v="1"/>
    <s v="M00000289482"/>
    <d v="2007-08-09T00:00:00"/>
    <n v="0"/>
    <n v="61.44"/>
    <n v="875.04"/>
    <n v="240"/>
    <x v="2"/>
    <s v="38"/>
    <s v="960"/>
    <n v="27"/>
    <n v="0.91149999999999998"/>
    <n v="3.375925925925926E-2"/>
  </r>
  <r>
    <x v="0"/>
    <x v="1"/>
    <x v="1"/>
    <s v="M00000287096"/>
    <d v="2007-10-04T00:00:00"/>
    <n v="0"/>
    <n v="102.53"/>
    <n v="1081.99"/>
    <n v="400.5"/>
    <x v="6"/>
    <s v="38"/>
    <s v="1602"/>
    <n v="20"/>
    <n v="0.67539950062421972"/>
    <n v="3.3769975031210986E-2"/>
  </r>
  <r>
    <x v="0"/>
    <x v="1"/>
    <x v="1"/>
    <s v="M00000339639"/>
    <d v="2008-02-14T00:00:00"/>
    <n v="0"/>
    <n v="66.430000000000007"/>
    <n v="1333"/>
    <n v="259.5"/>
    <x v="0"/>
    <s v="38"/>
    <s v="1038"/>
    <n v="38"/>
    <n v="1.2842003853564548"/>
    <n v="3.3794746983064596E-2"/>
  </r>
  <r>
    <x v="0"/>
    <x v="1"/>
    <x v="1"/>
    <s v="M00000298027"/>
    <d v="2007-09-14T00:00:00"/>
    <n v="0"/>
    <n v="86.4"/>
    <n v="916"/>
    <n v="337.5"/>
    <x v="6"/>
    <s v="38"/>
    <s v="1350"/>
    <n v="20"/>
    <n v="0.67851851851851852"/>
    <n v="3.3925925925925929E-2"/>
  </r>
  <r>
    <x v="0"/>
    <x v="1"/>
    <x v="1"/>
    <s v="M00000373467"/>
    <d v="2008-07-10T00:00:00"/>
    <n v="0"/>
    <n v="89.34"/>
    <n v="900"/>
    <n v="349"/>
    <x v="5"/>
    <s v="38"/>
    <s v="1396"/>
    <n v="19"/>
    <n v="0.64469914040114618"/>
    <n v="3.393153370532348E-2"/>
  </r>
  <r>
    <x v="0"/>
    <x v="1"/>
    <x v="1"/>
    <s v="M00000342026"/>
    <d v="2008-02-29T00:00:00"/>
    <n v="0"/>
    <n v="50.37"/>
    <n v="1015"/>
    <n v="196.75"/>
    <x v="0"/>
    <s v="38"/>
    <s v="787"/>
    <n v="38"/>
    <n v="1.289707750952986"/>
    <n v="3.3939677656657528E-2"/>
  </r>
  <r>
    <x v="0"/>
    <x v="1"/>
    <x v="1"/>
    <s v="M00000276889"/>
    <d v="2007-06-14T00:00:00"/>
    <n v="0"/>
    <n v="98.05"/>
    <n v="1302.05"/>
    <n v="383"/>
    <x v="3"/>
    <s v="38"/>
    <s v="1532"/>
    <n v="25"/>
    <n v="0.8499020887728459"/>
    <n v="3.3996083550913839E-2"/>
  </r>
  <r>
    <x v="0"/>
    <x v="1"/>
    <x v="1"/>
    <s v="M00000271359"/>
    <d v="2007-05-17T00:00:00"/>
    <n v="0"/>
    <n v="66.56"/>
    <n v="884"/>
    <n v="260"/>
    <x v="3"/>
    <s v="38"/>
    <s v="1040"/>
    <n v="25"/>
    <n v="0.85"/>
    <n v="3.4000000000000002E-2"/>
  </r>
  <r>
    <x v="0"/>
    <x v="1"/>
    <x v="1"/>
    <s v="M00000271750"/>
    <d v="2007-05-17T00:00:00"/>
    <n v="0"/>
    <n v="57.6"/>
    <n v="765"/>
    <n v="225"/>
    <x v="3"/>
    <s v="38"/>
    <s v="900"/>
    <n v="25"/>
    <n v="0.85"/>
    <n v="3.4000000000000002E-2"/>
  </r>
  <r>
    <x v="0"/>
    <x v="1"/>
    <x v="1"/>
    <s v="M00000287196"/>
    <d v="2007-12-31T00:00:00"/>
    <n v="0"/>
    <n v="99.58"/>
    <n v="1269.8499999999999"/>
    <n v="389"/>
    <x v="18"/>
    <s v="38"/>
    <s v="1556"/>
    <n v="24"/>
    <n v="0.81609897172236501"/>
    <n v="3.4004123821765209E-2"/>
  </r>
  <r>
    <x v="0"/>
    <x v="1"/>
    <x v="1"/>
    <s v="M00000333296"/>
    <d v="2007-12-31T00:00:00"/>
    <n v="0"/>
    <n v="19.579999999999998"/>
    <n v="396.78"/>
    <n v="76.5"/>
    <x v="0"/>
    <s v="38"/>
    <s v="306"/>
    <n v="38"/>
    <n v="1.2966666666666666"/>
    <n v="3.412280701754386E-2"/>
  </r>
  <r>
    <x v="0"/>
    <x v="1"/>
    <x v="1"/>
    <s v="M00000317467"/>
    <d v="2007-12-06T00:00:00"/>
    <n v="0"/>
    <n v="68.48"/>
    <n v="769"/>
    <n v="267.5"/>
    <x v="15"/>
    <s v="38"/>
    <s v="1070"/>
    <n v="21"/>
    <n v="0.71869158878504669"/>
    <n v="3.4223408989764129E-2"/>
  </r>
  <r>
    <x v="0"/>
    <x v="1"/>
    <x v="1"/>
    <s v="M00000298053"/>
    <d v="2007-09-14T00:00:00"/>
    <n v="0"/>
    <n v="43.01"/>
    <n v="875"/>
    <n v="168"/>
    <x v="0"/>
    <s v="38"/>
    <s v="672"/>
    <n v="38"/>
    <n v="1.3020833333333333"/>
    <n v="3.4265350877192978E-2"/>
  </r>
  <r>
    <x v="0"/>
    <x v="1"/>
    <x v="1"/>
    <s v="M00000332599"/>
    <d v="2007-12-31T00:00:00"/>
    <n v="0"/>
    <n v="82.37"/>
    <n v="1323"/>
    <n v="321.75"/>
    <x v="1"/>
    <s v="38"/>
    <s v="1287"/>
    <n v="30"/>
    <n v="1.0279720279720279"/>
    <n v="3.4265734265734267E-2"/>
  </r>
  <r>
    <x v="0"/>
    <x v="1"/>
    <x v="1"/>
    <s v="M00000343868"/>
    <d v="2008-03-27T00:00:00"/>
    <n v="0"/>
    <n v="128"/>
    <n v="1440"/>
    <n v="500"/>
    <x v="15"/>
    <s v="38"/>
    <s v="2000"/>
    <n v="21"/>
    <n v="0.72"/>
    <n v="3.4285714285714287E-2"/>
  </r>
  <r>
    <x v="0"/>
    <x v="1"/>
    <x v="1"/>
    <s v="M00000343868"/>
    <d v="2008-05-15T00:00:00"/>
    <n v="0"/>
    <n v="-128"/>
    <n v="1440"/>
    <n v="500"/>
    <x v="15"/>
    <s v="38"/>
    <s v="2000"/>
    <n v="21"/>
    <n v="0.72"/>
    <n v="3.4285714285714287E-2"/>
  </r>
  <r>
    <x v="0"/>
    <x v="1"/>
    <x v="1"/>
    <s v="M00000320821"/>
    <d v="2007-12-13T00:00:00"/>
    <n v="0"/>
    <n v="74.37"/>
    <n v="797"/>
    <n v="290.5"/>
    <x v="6"/>
    <s v="38"/>
    <s v="1162"/>
    <n v="20"/>
    <n v="0.68588640275387258"/>
    <n v="3.429432013769363E-2"/>
  </r>
  <r>
    <x v="0"/>
    <x v="1"/>
    <x v="1"/>
    <s v="M00000313289"/>
    <d v="2007-11-15T00:00:00"/>
    <n v="0"/>
    <n v="79.87"/>
    <n v="1288"/>
    <n v="312"/>
    <x v="1"/>
    <s v="38"/>
    <s v="1248"/>
    <n v="30"/>
    <n v="1.0320512820512822"/>
    <n v="3.4401709401709404E-2"/>
  </r>
  <r>
    <x v="0"/>
    <x v="1"/>
    <x v="1"/>
    <s v="M00000327195"/>
    <d v="2007-12-31T00:00:00"/>
    <n v="0"/>
    <n v="75.010000000000005"/>
    <n v="928"/>
    <n v="293"/>
    <x v="4"/>
    <s v="38"/>
    <s v="1172"/>
    <n v="23"/>
    <n v="0.79180887372013653"/>
    <n v="3.4426472770440718E-2"/>
  </r>
  <r>
    <x v="0"/>
    <x v="1"/>
    <x v="1"/>
    <s v="M00000320052"/>
    <d v="2007-12-13T00:00:00"/>
    <n v="0"/>
    <n v="73.28"/>
    <n v="1500"/>
    <n v="286.25"/>
    <x v="0"/>
    <s v="38"/>
    <s v="1145"/>
    <n v="38"/>
    <n v="1.3100436681222707"/>
    <n v="3.4474833371638702E-2"/>
  </r>
  <r>
    <x v="0"/>
    <x v="1"/>
    <x v="1"/>
    <s v="M00000336463"/>
    <d v="2008-02-29T00:00:00"/>
    <n v="0"/>
    <n v="49.15"/>
    <n v="1008"/>
    <n v="192"/>
    <x v="0"/>
    <s v="38"/>
    <s v="768"/>
    <n v="38"/>
    <n v="1.3125"/>
    <n v="3.453947368421053E-2"/>
  </r>
  <r>
    <x v="0"/>
    <x v="1"/>
    <x v="1"/>
    <s v="M00000337125"/>
    <d v="2008-02-07T00:00:00"/>
    <n v="0"/>
    <n v="55.3"/>
    <n v="628"/>
    <n v="216"/>
    <x v="15"/>
    <s v="38"/>
    <s v="864"/>
    <n v="21"/>
    <n v="0.72685185185185186"/>
    <n v="3.4611992945326277E-2"/>
  </r>
  <r>
    <x v="0"/>
    <x v="1"/>
    <x v="1"/>
    <s v="M00000337779"/>
    <d v="2008-02-07T00:00:00"/>
    <n v="0"/>
    <n v="134.4"/>
    <n v="2769"/>
    <n v="525"/>
    <x v="0"/>
    <s v="38"/>
    <s v="2100"/>
    <n v="38"/>
    <n v="1.3185714285714285"/>
    <n v="3.4699248120300751E-2"/>
  </r>
  <r>
    <x v="0"/>
    <x v="1"/>
    <x v="1"/>
    <s v="M00000274552"/>
    <d v="2007-07-06T00:00:00"/>
    <n v="0"/>
    <n v="96.64"/>
    <n v="1047.94"/>
    <n v="377.5"/>
    <x v="6"/>
    <s v="38"/>
    <s v="1510"/>
    <n v="20"/>
    <n v="0.69400000000000006"/>
    <n v="3.4700000000000002E-2"/>
  </r>
  <r>
    <x v="0"/>
    <x v="1"/>
    <x v="1"/>
    <s v="M00000371751"/>
    <d v="2008-07-03T00:00:00"/>
    <n v="0"/>
    <n v="70.66"/>
    <n v="575"/>
    <n v="276"/>
    <x v="19"/>
    <s v="38"/>
    <s v="1104"/>
    <n v="15"/>
    <n v="0.52083333333333337"/>
    <n v="3.4722222222222224E-2"/>
  </r>
  <r>
    <x v="0"/>
    <x v="1"/>
    <x v="1"/>
    <s v="M00000349744"/>
    <d v="2008-04-17T00:00:00"/>
    <n v="0"/>
    <n v="99.2"/>
    <n v="1401.32"/>
    <n v="387.5"/>
    <x v="14"/>
    <s v="38"/>
    <s v="1550"/>
    <n v="26"/>
    <n v="0.90407741935483865"/>
    <n v="3.4772208436724565E-2"/>
  </r>
  <r>
    <x v="0"/>
    <x v="1"/>
    <x v="1"/>
    <s v="M00000307760"/>
    <d v="2007-10-25T00:00:00"/>
    <n v="0"/>
    <n v="51.84"/>
    <n v="845"/>
    <n v="202.5"/>
    <x v="0"/>
    <s v="30"/>
    <s v="810"/>
    <n v="30"/>
    <n v="1.0432098765432098"/>
    <n v="3.4773662551440328E-2"/>
  </r>
  <r>
    <x v="0"/>
    <x v="1"/>
    <x v="1"/>
    <s v="M00000297989"/>
    <d v="2007-09-14T00:00:00"/>
    <n v="0"/>
    <n v="54.02"/>
    <n v="1112"/>
    <n v="211"/>
    <x v="0"/>
    <s v="38"/>
    <s v="840"/>
    <n v="38"/>
    <n v="1.3238095238095238"/>
    <n v="3.4837092731829576E-2"/>
  </r>
  <r>
    <x v="0"/>
    <x v="1"/>
    <x v="1"/>
    <s v="M00000312743"/>
    <d v="2007-11-15T00:00:00"/>
    <n v="0"/>
    <n v="57.6"/>
    <n v="853"/>
    <n v="225"/>
    <x v="2"/>
    <s v="38"/>
    <s v="900"/>
    <n v="27"/>
    <n v="0.94777777777777783"/>
    <n v="3.5102880658436218E-2"/>
  </r>
  <r>
    <x v="0"/>
    <x v="1"/>
    <x v="1"/>
    <s v="M00000334422"/>
    <d v="2008-01-24T00:00:00"/>
    <n v="0"/>
    <n v="120.9"/>
    <n v="2520"/>
    <n v="472.25"/>
    <x v="0"/>
    <s v="38"/>
    <s v="1889"/>
    <n v="38"/>
    <n v="1.3340391741662254"/>
    <n v="3.5106294057005931E-2"/>
  </r>
  <r>
    <x v="0"/>
    <x v="1"/>
    <x v="1"/>
    <s v="M00000339786"/>
    <d v="2008-03-13T00:00:00"/>
    <n v="0"/>
    <n v="120.9"/>
    <n v="1327.79"/>
    <n v="472.25"/>
    <x v="6"/>
    <s v="38"/>
    <s v="1889"/>
    <n v="20"/>
    <n v="0.70290629962943352"/>
    <n v="3.5145314981471679E-2"/>
  </r>
  <r>
    <x v="0"/>
    <x v="1"/>
    <x v="1"/>
    <s v="M00000320913"/>
    <d v="2008-03-20T00:00:00"/>
    <n v="0"/>
    <n v="80.64"/>
    <n v="1063.03"/>
    <n v="315"/>
    <x v="18"/>
    <s v="38"/>
    <s v="1260"/>
    <n v="24"/>
    <n v="0.84367460317460319"/>
    <n v="3.5153108465608464E-2"/>
  </r>
  <r>
    <x v="0"/>
    <x v="1"/>
    <x v="1"/>
    <s v="M00000284268"/>
    <d v="2007-07-12T00:00:00"/>
    <n v="0"/>
    <n v="59.58"/>
    <n v="1051.01"/>
    <n v="232.75"/>
    <x v="12"/>
    <s v="38"/>
    <s v="931"/>
    <n v="32"/>
    <n v="1.1289044038668099"/>
    <n v="3.5278262620837809E-2"/>
  </r>
  <r>
    <x v="0"/>
    <x v="1"/>
    <x v="1"/>
    <s v="M00000291392"/>
    <d v="2007-08-16T00:00:00"/>
    <n v="0"/>
    <n v="70.400000000000006"/>
    <n v="932.58"/>
    <n v="275"/>
    <x v="18"/>
    <s v="38"/>
    <s v="1100"/>
    <n v="24"/>
    <n v="0.8478"/>
    <n v="3.5325000000000002E-2"/>
  </r>
  <r>
    <x v="0"/>
    <x v="1"/>
    <x v="1"/>
    <s v="M00000298437"/>
    <d v="2007-10-25T00:00:00"/>
    <n v="0"/>
    <n v="135.22999999999999"/>
    <n v="1494.1"/>
    <n v="528.25"/>
    <x v="6"/>
    <s v="38"/>
    <s v="2113"/>
    <n v="20"/>
    <n v="0.70709891150023663"/>
    <n v="3.5354945575011829E-2"/>
  </r>
  <r>
    <x v="0"/>
    <x v="1"/>
    <x v="1"/>
    <s v="M00000277097"/>
    <d v="2007-06-14T00:00:00"/>
    <n v="0"/>
    <n v="84.99"/>
    <n v="1409.01"/>
    <n v="332"/>
    <x v="1"/>
    <s v="38"/>
    <s v="1328"/>
    <n v="30"/>
    <n v="1.0610015060240965"/>
    <n v="3.536671686746988E-2"/>
  </r>
  <r>
    <x v="0"/>
    <x v="1"/>
    <x v="1"/>
    <s v="M00000308767"/>
    <d v="2007-11-29T00:00:00"/>
    <n v="0"/>
    <n v="43.52"/>
    <n v="915"/>
    <n v="170"/>
    <x v="0"/>
    <s v="38"/>
    <s v="680"/>
    <n v="38"/>
    <n v="1.3455882352941178"/>
    <n v="3.5410216718266253E-2"/>
  </r>
  <r>
    <x v="0"/>
    <x v="1"/>
    <x v="1"/>
    <s v="M00000299757"/>
    <d v="2008-04-17T00:00:00"/>
    <n v="0"/>
    <n v="96"/>
    <n v="1171.05"/>
    <n v="375"/>
    <x v="7"/>
    <s v="38"/>
    <s v="1500"/>
    <n v="22"/>
    <n v="0.78069999999999995"/>
    <n v="3.5486363636363635E-2"/>
  </r>
  <r>
    <x v="0"/>
    <x v="1"/>
    <x v="1"/>
    <s v="M00000283273"/>
    <d v="2007-09-06T00:00:00"/>
    <n v="0"/>
    <n v="9.4700000000000006"/>
    <n v="199.99"/>
    <n v="37"/>
    <x v="0"/>
    <s v="38"/>
    <s v="148"/>
    <n v="38"/>
    <n v="1.3512837837837839"/>
    <n v="3.5560099573257474E-2"/>
  </r>
  <r>
    <x v="0"/>
    <x v="1"/>
    <x v="1"/>
    <s v="M00000335580"/>
    <d v="2008-04-24T00:00:00"/>
    <n v="0"/>
    <n v="111.04"/>
    <n v="1235"/>
    <n v="433.75"/>
    <x v="6"/>
    <s v="38"/>
    <s v="1735"/>
    <n v="20"/>
    <n v="0.71181556195965423"/>
    <n v="3.5590778097982709E-2"/>
  </r>
  <r>
    <x v="0"/>
    <x v="1"/>
    <x v="1"/>
    <s v="M00000335120"/>
    <d v="2008-01-31T00:00:00"/>
    <n v="0"/>
    <n v="40.32"/>
    <n v="762.75"/>
    <n v="157.5"/>
    <x v="12"/>
    <s v="40"/>
    <s v="630"/>
    <n v="34"/>
    <n v="1.2107142857142856"/>
    <n v="3.560924369747899E-2"/>
  </r>
  <r>
    <x v="0"/>
    <x v="1"/>
    <x v="1"/>
    <s v="M00000279933"/>
    <d v="2007-08-30T00:00:00"/>
    <n v="0"/>
    <n v="76.8"/>
    <n v="855"/>
    <n v="300"/>
    <x v="6"/>
    <s v="38"/>
    <s v="1200"/>
    <n v="20"/>
    <n v="0.71250000000000002"/>
    <n v="3.5624999999999997E-2"/>
  </r>
  <r>
    <x v="0"/>
    <x v="1"/>
    <x v="1"/>
    <s v="M00000276906"/>
    <d v="2007-06-14T00:00:00"/>
    <n v="0"/>
    <n v="82.62"/>
    <n v="919.97"/>
    <n v="322.75"/>
    <x v="6"/>
    <s v="38"/>
    <s v="1291"/>
    <n v="20"/>
    <n v="0.71260263361735088"/>
    <n v="3.5630131680867545E-2"/>
  </r>
  <r>
    <x v="0"/>
    <x v="1"/>
    <x v="1"/>
    <s v="M00000342191"/>
    <d v="2008-02-29T00:00:00"/>
    <n v="0"/>
    <n v="78.209999999999994"/>
    <n v="871"/>
    <n v="305.5"/>
    <x v="6"/>
    <s v="38"/>
    <s v="1222"/>
    <n v="20"/>
    <n v="0.71276595744680848"/>
    <n v="3.5638297872340421E-2"/>
  </r>
  <r>
    <x v="0"/>
    <x v="1"/>
    <x v="1"/>
    <s v="M00000371837"/>
    <d v="2008-07-03T00:00:00"/>
    <n v="0"/>
    <n v="86.59"/>
    <n v="1302.82"/>
    <n v="338.25"/>
    <x v="2"/>
    <s v="38"/>
    <s v="1353"/>
    <n v="27"/>
    <n v="0.96291204730229119"/>
    <n v="3.5663409159344121E-2"/>
  </r>
  <r>
    <x v="0"/>
    <x v="1"/>
    <x v="1"/>
    <s v="M00000366156"/>
    <d v="2008-06-12T00:00:00"/>
    <n v="0"/>
    <n v="73.73"/>
    <n v="988"/>
    <n v="288"/>
    <x v="18"/>
    <s v="38"/>
    <s v="1152"/>
    <n v="24"/>
    <n v="0.85763888888888884"/>
    <n v="3.5734953703703699E-2"/>
  </r>
  <r>
    <x v="0"/>
    <x v="1"/>
    <x v="1"/>
    <s v="M00000287268"/>
    <d v="2007-08-16T00:00:00"/>
    <n v="0"/>
    <n v="118.02"/>
    <n v="1515.95"/>
    <n v="461"/>
    <x v="4"/>
    <s v="38"/>
    <s v="1844"/>
    <n v="23"/>
    <n v="0.82209869848156181"/>
    <n v="3.5743421673111384E-2"/>
  </r>
  <r>
    <x v="0"/>
    <x v="1"/>
    <x v="1"/>
    <s v="M00000291206"/>
    <d v="2007-08-16T00:00:00"/>
    <n v="0"/>
    <n v="85.31"/>
    <n v="1524.95"/>
    <n v="333.25"/>
    <x v="12"/>
    <s v="38"/>
    <s v="1333"/>
    <n v="32"/>
    <n v="1.1439984996249062"/>
    <n v="3.5749953113278318E-2"/>
  </r>
  <r>
    <x v="0"/>
    <x v="1"/>
    <x v="1"/>
    <s v="M00000316103"/>
    <d v="2007-12-27T00:00:00"/>
    <n v="0"/>
    <n v="135.68"/>
    <n v="1895"/>
    <n v="530"/>
    <x v="3"/>
    <s v="38"/>
    <s v="2120"/>
    <n v="25"/>
    <n v="0.89386792452830188"/>
    <n v="3.5754716981132077E-2"/>
  </r>
  <r>
    <x v="0"/>
    <x v="1"/>
    <x v="1"/>
    <s v="M00000353648"/>
    <d v="2008-04-17T00:00:00"/>
    <n v="0"/>
    <n v="91.2"/>
    <n v="1121"/>
    <n v="356.25"/>
    <x v="7"/>
    <s v="38"/>
    <s v="1425"/>
    <n v="22"/>
    <n v="0.78666666666666663"/>
    <n v="3.5757575757575759E-2"/>
  </r>
  <r>
    <x v="0"/>
    <x v="1"/>
    <x v="1"/>
    <s v="M00000350085"/>
    <d v="2008-03-27T00:00:00"/>
    <n v="0"/>
    <n v="96"/>
    <n v="1073"/>
    <n v="375"/>
    <x v="6"/>
    <s v="38"/>
    <s v="1500"/>
    <n v="20"/>
    <n v="0.71533333333333338"/>
    <n v="3.5766666666666669E-2"/>
  </r>
  <r>
    <x v="0"/>
    <x v="1"/>
    <x v="1"/>
    <s v="M00000276934"/>
    <d v="2007-08-09T00:00:00"/>
    <n v="0"/>
    <n v="105.98"/>
    <n v="1421.68"/>
    <n v="414"/>
    <x v="18"/>
    <s v="38"/>
    <s v="1656"/>
    <n v="24"/>
    <n v="0.85850241545893724"/>
    <n v="3.5770933977455718E-2"/>
  </r>
  <r>
    <x v="0"/>
    <x v="1"/>
    <x v="1"/>
    <s v="M00000330391"/>
    <d v="2007-12-31T00:00:00"/>
    <n v="0"/>
    <n v="49.92"/>
    <n v="754"/>
    <n v="195"/>
    <x v="2"/>
    <s v="38"/>
    <s v="780"/>
    <n v="27"/>
    <n v="0.96666666666666667"/>
    <n v="3.580246913580247E-2"/>
  </r>
  <r>
    <x v="0"/>
    <x v="1"/>
    <x v="1"/>
    <s v="M00000303088"/>
    <d v="2007-10-04T00:00:00"/>
    <n v="0"/>
    <n v="66.05"/>
    <n v="740"/>
    <n v="258"/>
    <x v="6"/>
    <s v="38"/>
    <s v="1032"/>
    <n v="20"/>
    <n v="0.71705426356589153"/>
    <n v="3.5852713178294575E-2"/>
  </r>
  <r>
    <x v="0"/>
    <x v="1"/>
    <x v="1"/>
    <s v="M00000299546"/>
    <d v="2007-09-20T00:00:00"/>
    <n v="0"/>
    <n v="71.739999999999995"/>
    <n v="765"/>
    <n v="280.25"/>
    <x v="5"/>
    <s v="38"/>
    <s v="1121"/>
    <n v="19"/>
    <n v="0.68242640499553975"/>
    <n v="3.5917179210291562E-2"/>
  </r>
  <r>
    <x v="0"/>
    <x v="1"/>
    <x v="1"/>
    <s v="M00000271331"/>
    <d v="2007-05-17T00:00:00"/>
    <n v="0"/>
    <n v="62.46"/>
    <n v="946.72"/>
    <n v="244"/>
    <x v="2"/>
    <s v="38"/>
    <s v="976"/>
    <n v="27"/>
    <n v="0.97"/>
    <n v="3.5925925925925924E-2"/>
  </r>
  <r>
    <x v="0"/>
    <x v="1"/>
    <x v="1"/>
    <s v="M00000304221"/>
    <d v="2007-10-11T00:00:00"/>
    <n v="0"/>
    <n v="97.28"/>
    <n v="1094"/>
    <n v="380"/>
    <x v="6"/>
    <s v="38"/>
    <s v="1520"/>
    <n v="20"/>
    <n v="0.71973684210526312"/>
    <n v="3.5986842105263157E-2"/>
  </r>
  <r>
    <x v="0"/>
    <x v="1"/>
    <x v="1"/>
    <s v="M00000319245"/>
    <d v="2007-12-06T00:00:00"/>
    <n v="0"/>
    <n v="89.6"/>
    <n v="1012"/>
    <n v="350"/>
    <x v="6"/>
    <s v="38"/>
    <s v="1400"/>
    <n v="20"/>
    <n v="0.72285714285714286"/>
    <n v="3.6142857142857143E-2"/>
  </r>
  <r>
    <x v="0"/>
    <x v="1"/>
    <x v="1"/>
    <s v="M00000285077"/>
    <d v="2007-07-19T00:00:00"/>
    <n v="0"/>
    <n v="82.94"/>
    <n v="938.95"/>
    <n v="324"/>
    <x v="6"/>
    <s v="38"/>
    <s v="1296"/>
    <n v="20"/>
    <n v="0.72449845679012348"/>
    <n v="3.6224922839506173E-2"/>
  </r>
  <r>
    <x v="0"/>
    <x v="1"/>
    <x v="1"/>
    <s v="M00000343879"/>
    <d v="2008-04-24T00:00:00"/>
    <n v="0"/>
    <n v="88"/>
    <n v="1145.67"/>
    <n v="343.75"/>
    <x v="4"/>
    <s v="38"/>
    <s v="1375"/>
    <n v="23"/>
    <n v="0.83321454545454554"/>
    <n v="3.6226719367588936E-2"/>
  </r>
  <r>
    <x v="0"/>
    <x v="1"/>
    <x v="1"/>
    <s v="M00000335078"/>
    <d v="2008-02-29T00:00:00"/>
    <n v="0"/>
    <n v="24.96"/>
    <n v="325"/>
    <n v="97.5"/>
    <x v="4"/>
    <s v="38"/>
    <s v="390"/>
    <n v="23"/>
    <n v="0.83333333333333337"/>
    <n v="3.6231884057971016E-2"/>
  </r>
  <r>
    <x v="0"/>
    <x v="1"/>
    <x v="1"/>
    <s v="M00000342357"/>
    <d v="2008-03-13T00:00:00"/>
    <n v="0"/>
    <n v="80"/>
    <n v="1224"/>
    <n v="312.5"/>
    <x v="2"/>
    <s v="38"/>
    <s v="1250"/>
    <n v="27"/>
    <n v="0.97919999999999996"/>
    <n v="3.6266666666666662E-2"/>
  </r>
  <r>
    <x v="0"/>
    <x v="1"/>
    <x v="1"/>
    <s v="M00000307203"/>
    <d v="2007-11-30T00:00:00"/>
    <n v="0"/>
    <n v="105.6"/>
    <n v="1377.94"/>
    <n v="412.5"/>
    <x v="4"/>
    <s v="38"/>
    <s v="1650"/>
    <n v="23"/>
    <n v="0.83511515151515159"/>
    <n v="3.6309354413702241E-2"/>
  </r>
  <r>
    <x v="0"/>
    <x v="1"/>
    <x v="1"/>
    <s v="M00000293911"/>
    <d v="2007-09-28T00:00:00"/>
    <n v="0"/>
    <n v="36.86"/>
    <n v="794.88"/>
    <n v="144"/>
    <x v="0"/>
    <s v="38"/>
    <s v="576"/>
    <n v="38"/>
    <n v="1.38"/>
    <n v="3.6315789473684211E-2"/>
  </r>
  <r>
    <x v="0"/>
    <x v="1"/>
    <x v="1"/>
    <s v="M00000348736"/>
    <d v="2008-03-27T00:00:00"/>
    <n v="0"/>
    <n v="48.64"/>
    <n v="552"/>
    <n v="190"/>
    <x v="6"/>
    <s v="38"/>
    <s v="760"/>
    <n v="20"/>
    <n v="0.72631578947368425"/>
    <n v="3.6315789473684211E-2"/>
  </r>
  <r>
    <x v="0"/>
    <x v="1"/>
    <x v="1"/>
    <s v="M00000308778"/>
    <d v="2007-11-30T00:00:00"/>
    <n v="0"/>
    <n v="108.03"/>
    <n v="1350"/>
    <n v="422"/>
    <x v="7"/>
    <s v="38"/>
    <s v="1688"/>
    <n v="22"/>
    <n v="0.79976303317535546"/>
    <n v="3.6352865144334341E-2"/>
  </r>
  <r>
    <x v="0"/>
    <x v="1"/>
    <x v="1"/>
    <s v="M00000291023"/>
    <d v="2007-09-06T00:00:00"/>
    <n v="0"/>
    <n v="106.24"/>
    <n v="1328"/>
    <n v="415"/>
    <x v="7"/>
    <s v="38"/>
    <s v="1660"/>
    <n v="22"/>
    <n v="0.8"/>
    <n v="3.6363636363636369E-2"/>
  </r>
  <r>
    <x v="0"/>
    <x v="1"/>
    <x v="1"/>
    <s v="M00000301674"/>
    <d v="2007-09-28T00:00:00"/>
    <n v="0"/>
    <n v="61.44"/>
    <n v="945"/>
    <n v="240"/>
    <x v="2"/>
    <s v="38"/>
    <s v="960"/>
    <n v="27"/>
    <n v="0.984375"/>
    <n v="3.6458333333333336E-2"/>
  </r>
  <r>
    <x v="0"/>
    <x v="1"/>
    <x v="1"/>
    <s v="M00000269522"/>
    <d v="2007-05-17T00:00:00"/>
    <n v="0"/>
    <n v="49.41"/>
    <n v="563.55999999999995"/>
    <n v="193"/>
    <x v="6"/>
    <s v="38"/>
    <s v="772"/>
    <n v="20"/>
    <n v="0.73"/>
    <n v="3.6499999999999998E-2"/>
  </r>
  <r>
    <x v="0"/>
    <x v="1"/>
    <x v="1"/>
    <s v="M00000316343"/>
    <d v="2007-11-30T00:00:00"/>
    <n v="0"/>
    <n v="70.400000000000006"/>
    <n v="1045"/>
    <n v="275"/>
    <x v="14"/>
    <s v="38"/>
    <s v="1100"/>
    <n v="26"/>
    <n v="0.95"/>
    <n v="3.6538461538461534E-2"/>
  </r>
  <r>
    <x v="0"/>
    <x v="1"/>
    <x v="1"/>
    <s v="M00000305245"/>
    <d v="2007-11-21T00:00:00"/>
    <n v="0"/>
    <n v="80"/>
    <n v="1142"/>
    <n v="312.5"/>
    <x v="3"/>
    <s v="38"/>
    <s v="1250"/>
    <n v="25"/>
    <n v="0.91359999999999997"/>
    <n v="3.6544E-2"/>
  </r>
  <r>
    <x v="0"/>
    <x v="1"/>
    <x v="1"/>
    <s v="M00000294525"/>
    <d v="2007-08-30T00:00:00"/>
    <n v="0"/>
    <n v="13.82"/>
    <n v="300"/>
    <n v="54"/>
    <x v="0"/>
    <s v="38"/>
    <s v="216"/>
    <n v="38"/>
    <n v="1.3888888888888888"/>
    <n v="3.6549707602339179E-2"/>
  </r>
  <r>
    <x v="0"/>
    <x v="1"/>
    <x v="1"/>
    <s v="M00000299225"/>
    <d v="2007-10-04T00:00:00"/>
    <n v="0"/>
    <n v="76.8"/>
    <n v="1010"/>
    <n v="300"/>
    <x v="4"/>
    <s v="38"/>
    <s v="1200"/>
    <n v="23"/>
    <n v="0.84166666666666667"/>
    <n v="3.6594202898550726E-2"/>
  </r>
  <r>
    <x v="0"/>
    <x v="1"/>
    <x v="1"/>
    <s v="M00000283605"/>
    <d v="2007-07-26T00:00:00"/>
    <n v="0"/>
    <n v="43.26"/>
    <n v="568.99"/>
    <n v="169"/>
    <x v="4"/>
    <s v="38"/>
    <s v="676"/>
    <n v="23"/>
    <n v="0.84170118343195266"/>
    <n v="3.6595703627476203E-2"/>
  </r>
  <r>
    <x v="0"/>
    <x v="1"/>
    <x v="1"/>
    <s v="M00000290938"/>
    <d v="2007-08-23T00:00:00"/>
    <n v="0"/>
    <n v="82.24"/>
    <n v="1081.97"/>
    <n v="321.25"/>
    <x v="4"/>
    <s v="38"/>
    <s v="1285"/>
    <n v="23"/>
    <n v="0.84199999999999997"/>
    <n v="3.6608695652173909E-2"/>
  </r>
  <r>
    <x v="0"/>
    <x v="1"/>
    <x v="1"/>
    <s v="M00000335481"/>
    <d v="2008-01-31T00:00:00"/>
    <n v="0"/>
    <n v="73.599999999999994"/>
    <n v="1137"/>
    <n v="287.5"/>
    <x v="2"/>
    <s v="38"/>
    <s v="1150"/>
    <n v="27"/>
    <n v="0.98869565217391309"/>
    <n v="3.6618357487922706E-2"/>
  </r>
  <r>
    <x v="0"/>
    <x v="1"/>
    <x v="1"/>
    <s v="M00000297913"/>
    <d v="2007-10-11T00:00:00"/>
    <n v="0"/>
    <n v="77.31"/>
    <n v="885.1"/>
    <n v="302"/>
    <x v="6"/>
    <s v="38"/>
    <s v="1208"/>
    <n v="20"/>
    <n v="0.73269867549668877"/>
    <n v="3.6634933774834441E-2"/>
  </r>
  <r>
    <x v="0"/>
    <x v="1"/>
    <x v="1"/>
    <s v="M00000269820"/>
    <d v="2007-06-14T00:00:00"/>
    <n v="0"/>
    <n v="61.95"/>
    <n v="886.98"/>
    <n v="242"/>
    <x v="3"/>
    <s v="38"/>
    <s v="968"/>
    <n v="25"/>
    <n v="0.91630165289256205"/>
    <n v="3.6652066115702479E-2"/>
  </r>
  <r>
    <x v="0"/>
    <x v="1"/>
    <x v="1"/>
    <s v="M00000268952"/>
    <d v="2007-06-28T00:00:00"/>
    <n v="0"/>
    <n v="75.52"/>
    <n v="994.98"/>
    <n v="295"/>
    <x v="4"/>
    <s v="38"/>
    <s v="1180"/>
    <n v="23"/>
    <n v="0.84320338983050847"/>
    <n v="3.6661016949152539E-2"/>
  </r>
  <r>
    <x v="0"/>
    <x v="1"/>
    <x v="1"/>
    <s v="M00000270421"/>
    <d v="2007-07-12T00:00:00"/>
    <n v="0"/>
    <n v="91.39"/>
    <n v="1048.01"/>
    <n v="357"/>
    <x v="6"/>
    <s v="38"/>
    <s v="1428"/>
    <n v="20"/>
    <n v="0.73390056022408967"/>
    <n v="3.6695028011204486E-2"/>
  </r>
  <r>
    <x v="0"/>
    <x v="1"/>
    <x v="1"/>
    <s v="M00000348004"/>
    <d v="2008-04-24T00:00:00"/>
    <n v="0"/>
    <n v="97.92"/>
    <n v="1912"/>
    <n v="382.5"/>
    <x v="4"/>
    <s v="49"/>
    <s v="1530"/>
    <n v="34"/>
    <n v="1.2496732026143791"/>
    <n v="3.6755094194540559E-2"/>
  </r>
  <r>
    <x v="0"/>
    <x v="1"/>
    <x v="1"/>
    <s v="M00000359906"/>
    <d v="2008-05-15T00:00:00"/>
    <n v="0"/>
    <n v="93.12"/>
    <n v="1445"/>
    <n v="363.75"/>
    <x v="2"/>
    <s v="38"/>
    <s v="1455"/>
    <n v="27"/>
    <n v="0.99312714776632305"/>
    <n v="3.6782486954308261E-2"/>
  </r>
  <r>
    <x v="0"/>
    <x v="1"/>
    <x v="1"/>
    <s v="M00000357597"/>
    <d v="2008-04-30T00:00:00"/>
    <n v="0"/>
    <n v="52.16"/>
    <n v="810"/>
    <n v="203.75"/>
    <x v="2"/>
    <s v="38"/>
    <s v="815"/>
    <n v="27"/>
    <n v="0.99386503067484666"/>
    <n v="3.6809815950920248E-2"/>
  </r>
  <r>
    <x v="0"/>
    <x v="1"/>
    <x v="1"/>
    <s v="M00000368999"/>
    <d v="2008-07-03T00:00:00"/>
    <n v="0"/>
    <n v="76.540000000000006"/>
    <n v="970.94"/>
    <n v="299"/>
    <x v="7"/>
    <s v="38"/>
    <s v="1196"/>
    <n v="22"/>
    <n v="0.81182274247491648"/>
    <n v="3.6901033748859842E-2"/>
  </r>
  <r>
    <x v="0"/>
    <x v="1"/>
    <x v="1"/>
    <s v="M00000320368"/>
    <d v="2007-12-13T00:00:00"/>
    <n v="0"/>
    <n v="109.63"/>
    <n v="1454.29"/>
    <n v="428.25"/>
    <x v="4"/>
    <s v="38"/>
    <s v="1713"/>
    <n v="23"/>
    <n v="0.8489725627553999"/>
    <n v="3.6911850554582605E-2"/>
  </r>
  <r>
    <x v="0"/>
    <x v="1"/>
    <x v="1"/>
    <s v="M00000332217"/>
    <d v="2007-12-31T00:00:00"/>
    <n v="0"/>
    <n v="56.32"/>
    <n v="1235"/>
    <n v="220"/>
    <x v="0"/>
    <s v="38"/>
    <s v="880"/>
    <n v="38"/>
    <n v="1.4034090909090908"/>
    <n v="3.6931818181818177E-2"/>
  </r>
  <r>
    <x v="0"/>
    <x v="1"/>
    <x v="1"/>
    <s v="M00000346802"/>
    <d v="2008-04-17T00:00:00"/>
    <n v="0"/>
    <n v="96"/>
    <n v="1275"/>
    <n v="375"/>
    <x v="4"/>
    <s v="38"/>
    <s v="1500"/>
    <n v="23"/>
    <n v="0.85"/>
    <n v="3.6956521739130437E-2"/>
  </r>
  <r>
    <x v="0"/>
    <x v="1"/>
    <x v="1"/>
    <s v="M00000314562"/>
    <d v="2007-12-31T00:00:00"/>
    <n v="0"/>
    <n v="105.6"/>
    <n v="1220"/>
    <n v="412.5"/>
    <x v="6"/>
    <s v="38"/>
    <s v="1650"/>
    <n v="20"/>
    <n v="0.73939393939393938"/>
    <n v="3.6969696969696972E-2"/>
  </r>
  <r>
    <x v="0"/>
    <x v="1"/>
    <x v="1"/>
    <s v="M00000283255"/>
    <d v="2007-07-19T00:00:00"/>
    <n v="0"/>
    <n v="128.38"/>
    <n v="3638.08"/>
    <n v="501.5"/>
    <x v="0"/>
    <s v="49"/>
    <s v="2006"/>
    <n v="49"/>
    <n v="1.8135992023928216"/>
    <n v="3.7012228620261663E-2"/>
  </r>
  <r>
    <x v="0"/>
    <x v="1"/>
    <x v="1"/>
    <s v="M00000283830"/>
    <d v="2007-08-09T00:00:00"/>
    <n v="0"/>
    <n v="68.290000000000006"/>
    <n v="789.9"/>
    <n v="266.75"/>
    <x v="6"/>
    <s v="38"/>
    <s v="1067"/>
    <n v="20"/>
    <n v="0.74029990627928766"/>
    <n v="3.7014995313964384E-2"/>
  </r>
  <r>
    <x v="0"/>
    <x v="1"/>
    <x v="1"/>
    <s v="M00000302920"/>
    <d v="2007-10-04T00:00:00"/>
    <n v="0"/>
    <n v="106.5"/>
    <n v="1496"/>
    <n v="416"/>
    <x v="2"/>
    <s v="38"/>
    <s v="1496"/>
    <n v="27"/>
    <n v="1"/>
    <n v="3.7037037037037035E-2"/>
  </r>
  <r>
    <x v="0"/>
    <x v="1"/>
    <x v="1"/>
    <s v="M00000340572"/>
    <d v="2008-02-21T00:00:00"/>
    <n v="0"/>
    <n v="51.2"/>
    <n v="800"/>
    <n v="200"/>
    <x v="2"/>
    <s v="38"/>
    <s v="800"/>
    <n v="27"/>
    <n v="1"/>
    <n v="3.7037037037037035E-2"/>
  </r>
  <r>
    <x v="0"/>
    <x v="1"/>
    <x v="1"/>
    <s v="M00000340577"/>
    <d v="2008-02-21T00:00:00"/>
    <n v="0"/>
    <n v="51.2"/>
    <n v="800"/>
    <n v="200"/>
    <x v="2"/>
    <s v="38"/>
    <s v="800"/>
    <n v="27"/>
    <n v="1"/>
    <n v="3.7037037037037035E-2"/>
  </r>
  <r>
    <x v="0"/>
    <x v="1"/>
    <x v="1"/>
    <s v="M00000369075"/>
    <d v="2008-06-19T00:00:00"/>
    <n v="0"/>
    <n v="168.96"/>
    <n v="1957.38"/>
    <n v="660"/>
    <x v="6"/>
    <s v="38"/>
    <s v="2640"/>
    <n v="20"/>
    <n v="0.74143181818181825"/>
    <n v="3.7071590909090915E-2"/>
  </r>
  <r>
    <x v="0"/>
    <x v="1"/>
    <x v="1"/>
    <s v="M00000323828"/>
    <d v="2008-01-31T00:00:00"/>
    <n v="0"/>
    <n v="64.959999999999994"/>
    <n v="1430"/>
    <n v="253.75"/>
    <x v="0"/>
    <s v="38"/>
    <s v="1015"/>
    <n v="38"/>
    <n v="1.4088669950738917"/>
    <n v="3.707544723878662E-2"/>
  </r>
  <r>
    <x v="0"/>
    <x v="1"/>
    <x v="1"/>
    <s v="M00000277473"/>
    <d v="2007-06-14T00:00:00"/>
    <n v="0"/>
    <n v="84.93"/>
    <n v="1132.06"/>
    <n v="331.75"/>
    <x v="4"/>
    <s v="38"/>
    <s v="1327"/>
    <n v="23"/>
    <n v="0.85309721175584019"/>
    <n v="3.7091183119819141E-2"/>
  </r>
  <r>
    <x v="0"/>
    <x v="1"/>
    <x v="1"/>
    <s v="M00000340585"/>
    <d v="2008-02-21T00:00:00"/>
    <n v="0"/>
    <n v="106.94"/>
    <n v="1368"/>
    <n v="417.75"/>
    <x v="7"/>
    <s v="38"/>
    <s v="1671"/>
    <n v="22"/>
    <n v="0.81867145421903054"/>
    <n v="3.721233882813775E-2"/>
  </r>
  <r>
    <x v="0"/>
    <x v="1"/>
    <x v="1"/>
    <s v="M00000319263"/>
    <d v="2007-12-06T00:00:00"/>
    <n v="0"/>
    <n v="72.319999999999993"/>
    <n v="800"/>
    <n v="282.5"/>
    <x v="5"/>
    <s v="38"/>
    <s v="1130"/>
    <n v="19"/>
    <n v="0.70796460176991149"/>
    <n v="3.7261294829995344E-2"/>
  </r>
  <r>
    <x v="0"/>
    <x v="1"/>
    <x v="1"/>
    <s v="M00000340101"/>
    <d v="2008-02-21T00:00:00"/>
    <n v="0"/>
    <n v="64.64"/>
    <n v="1434"/>
    <n v="252.5"/>
    <x v="0"/>
    <s v="38"/>
    <s v="1010"/>
    <n v="38"/>
    <n v="1.4198019801980197"/>
    <n v="3.7363210005211048E-2"/>
  </r>
  <r>
    <x v="0"/>
    <x v="1"/>
    <x v="1"/>
    <s v="M00000367960"/>
    <d v="2008-06-12T00:00:00"/>
    <n v="0"/>
    <n v="112"/>
    <n v="1377.62"/>
    <n v="437.5"/>
    <x v="15"/>
    <s v="38"/>
    <s v="1750"/>
    <n v="21"/>
    <n v="0.78721142857142856"/>
    <n v="3.7486258503401357E-2"/>
  </r>
  <r>
    <x v="0"/>
    <x v="1"/>
    <x v="1"/>
    <s v="M00000366116"/>
    <d v="2008-06-12T00:00:00"/>
    <n v="0"/>
    <n v="51.2"/>
    <n v="900"/>
    <n v="200"/>
    <x v="1"/>
    <s v="38"/>
    <s v="800"/>
    <n v="30"/>
    <n v="1.125"/>
    <n v="3.7499999999999999E-2"/>
  </r>
  <r>
    <x v="0"/>
    <x v="1"/>
    <x v="1"/>
    <s v="M00000360856"/>
    <d v="2008-05-15T00:00:00"/>
    <n v="0"/>
    <n v="44.03"/>
    <n v="981"/>
    <n v="172"/>
    <x v="0"/>
    <s v="38"/>
    <s v="688"/>
    <n v="38"/>
    <n v="1.4258720930232558"/>
    <n v="3.7522949816401467E-2"/>
  </r>
  <r>
    <x v="0"/>
    <x v="1"/>
    <x v="1"/>
    <s v="M00000282886"/>
    <d v="2007-08-23T00:00:00"/>
    <n v="0"/>
    <n v="71.040000000000006"/>
    <n v="1041.96"/>
    <n v="277.5"/>
    <x v="3"/>
    <s v="38"/>
    <s v="1110"/>
    <n v="25"/>
    <n v="0.93870270270270273"/>
    <n v="3.7548108108108109E-2"/>
  </r>
  <r>
    <x v="0"/>
    <x v="1"/>
    <x v="1"/>
    <s v="M00000367346"/>
    <d v="2008-06-12T00:00:00"/>
    <n v="0"/>
    <n v="90.94"/>
    <n v="1388"/>
    <n v="355.25"/>
    <x v="14"/>
    <s v="38"/>
    <s v="1421"/>
    <n v="26"/>
    <n v="0.97677691766361718"/>
    <n v="3.75683429870622E-2"/>
  </r>
  <r>
    <x v="0"/>
    <x v="1"/>
    <x v="1"/>
    <s v="M00000300925"/>
    <d v="2007-09-27T00:00:00"/>
    <n v="0"/>
    <n v="37.119999999999997"/>
    <n v="655"/>
    <n v="145"/>
    <x v="1"/>
    <s v="38"/>
    <s v="580"/>
    <n v="30"/>
    <n v="1.1293103448275863"/>
    <n v="3.7643678160919541E-2"/>
  </r>
  <r>
    <x v="0"/>
    <x v="1"/>
    <x v="1"/>
    <s v="M00000342691"/>
    <d v="2008-03-06T00:00:00"/>
    <n v="0"/>
    <n v="76.8"/>
    <n v="904"/>
    <n v="300"/>
    <x v="6"/>
    <s v="38"/>
    <s v="1200"/>
    <n v="20"/>
    <n v="0.7533333333333333"/>
    <n v="3.7666666666666668E-2"/>
  </r>
  <r>
    <x v="0"/>
    <x v="1"/>
    <x v="1"/>
    <s v="M00000359436"/>
    <d v="2008-05-15T00:00:00"/>
    <n v="0"/>
    <n v="89.92"/>
    <n v="1326.15"/>
    <n v="351.25"/>
    <x v="3"/>
    <s v="38"/>
    <s v="1405"/>
    <n v="25"/>
    <n v="0.9438790035587189"/>
    <n v="3.7755160142348754E-2"/>
  </r>
  <r>
    <x v="0"/>
    <x v="1"/>
    <x v="1"/>
    <s v="M00000370895"/>
    <d v="2008-07-03T00:00:00"/>
    <n v="0"/>
    <n v="54.4"/>
    <n v="643"/>
    <n v="212.5"/>
    <x v="6"/>
    <s v="38"/>
    <s v="850"/>
    <n v="20"/>
    <n v="0.75647058823529412"/>
    <n v="3.7823529411764707E-2"/>
  </r>
  <r>
    <x v="0"/>
    <x v="1"/>
    <x v="1"/>
    <s v="M00000313444"/>
    <d v="2007-12-20T00:00:00"/>
    <n v="0"/>
    <n v="75.33"/>
    <n v="1205.71"/>
    <n v="294.25"/>
    <x v="2"/>
    <s v="38"/>
    <s v="1177"/>
    <n v="27"/>
    <n v="1.0243925233644859"/>
    <n v="3.7940463828314293E-2"/>
  </r>
  <r>
    <x v="0"/>
    <x v="1"/>
    <x v="1"/>
    <s v="M00000291347"/>
    <d v="2007-08-16T00:00:00"/>
    <n v="0"/>
    <n v="56.45"/>
    <n v="905.99"/>
    <n v="220.5"/>
    <x v="2"/>
    <s v="38"/>
    <s v="882"/>
    <n v="27"/>
    <n v="1.0271995464852608"/>
    <n v="3.8044427647602248E-2"/>
  </r>
  <r>
    <x v="0"/>
    <x v="1"/>
    <x v="1"/>
    <s v="M00000339045"/>
    <d v="2008-02-29T00:00:00"/>
    <n v="0"/>
    <n v="86.53"/>
    <n v="1288"/>
    <n v="338"/>
    <x v="3"/>
    <s v="38"/>
    <s v="1352"/>
    <n v="25"/>
    <n v="0.9526627218934911"/>
    <n v="3.8106508875739645E-2"/>
  </r>
  <r>
    <x v="0"/>
    <x v="1"/>
    <x v="1"/>
    <s v="M00000291341"/>
    <d v="2007-08-16T00:00:00"/>
    <n v="0"/>
    <n v="55.17"/>
    <n v="755.97"/>
    <n v="215.5"/>
    <x v="4"/>
    <s v="38"/>
    <s v="862"/>
    <n v="23"/>
    <n v="0.87699535962877029"/>
    <n v="3.813023302733784E-2"/>
  </r>
  <r>
    <x v="0"/>
    <x v="1"/>
    <x v="1"/>
    <s v="M00000299832"/>
    <d v="2007-11-09T00:00:00"/>
    <n v="0"/>
    <n v="50.43"/>
    <n v="601.01"/>
    <n v="197"/>
    <x v="6"/>
    <s v="38"/>
    <s v="788"/>
    <n v="20"/>
    <n v="0.76270304568527914"/>
    <n v="3.8135152284263958E-2"/>
  </r>
  <r>
    <x v="0"/>
    <x v="1"/>
    <x v="1"/>
    <s v="M00000336440"/>
    <d v="2008-02-21T00:00:00"/>
    <n v="0"/>
    <n v="51.2"/>
    <n v="580"/>
    <n v="200"/>
    <x v="5"/>
    <s v="38"/>
    <s v="800"/>
    <n v="19"/>
    <n v="0.72499999999999998"/>
    <n v="3.8157894736842106E-2"/>
  </r>
  <r>
    <x v="0"/>
    <x v="1"/>
    <x v="1"/>
    <s v="M00000269283"/>
    <d v="2007-07-12T00:00:00"/>
    <n v="0"/>
    <n v="89.6"/>
    <n v="1122.94"/>
    <n v="350"/>
    <x v="15"/>
    <s v="38"/>
    <s v="1400"/>
    <n v="21"/>
    <n v="0.80210000000000004"/>
    <n v="3.8195238095238095E-2"/>
  </r>
  <r>
    <x v="0"/>
    <x v="1"/>
    <x v="1"/>
    <s v="M00000306242"/>
    <d v="2007-10-18T00:00:00"/>
    <n v="0"/>
    <n v="39.17"/>
    <n v="890"/>
    <n v="153"/>
    <x v="0"/>
    <s v="38"/>
    <s v="612"/>
    <n v="38"/>
    <n v="1.4542483660130718"/>
    <n v="3.8269693842449257E-2"/>
  </r>
  <r>
    <x v="0"/>
    <x v="1"/>
    <x v="1"/>
    <s v="M00000359868"/>
    <d v="2008-05-15T00:00:00"/>
    <n v="0"/>
    <n v="85.89"/>
    <n v="1182"/>
    <n v="335.5"/>
    <x v="4"/>
    <s v="38"/>
    <s v="1342"/>
    <n v="23"/>
    <n v="0.88077496274217582"/>
    <n v="3.8294563597485905E-2"/>
  </r>
  <r>
    <x v="0"/>
    <x v="1"/>
    <x v="1"/>
    <s v="M00000299089"/>
    <d v="2007-09-14T00:00:00"/>
    <n v="0"/>
    <n v="22.4"/>
    <n v="510"/>
    <n v="87.5"/>
    <x v="0"/>
    <s v="38"/>
    <s v="350"/>
    <n v="38"/>
    <n v="1.4571428571428571"/>
    <n v="3.8345864661654135E-2"/>
  </r>
  <r>
    <x v="0"/>
    <x v="1"/>
    <x v="1"/>
    <s v="M00000329199"/>
    <d v="2007-12-31T00:00:00"/>
    <n v="0"/>
    <n v="60.8"/>
    <n v="1095"/>
    <n v="237.5"/>
    <x v="1"/>
    <s v="38"/>
    <s v="950"/>
    <n v="30"/>
    <n v="1.1526315789473685"/>
    <n v="3.8421052631578946E-2"/>
  </r>
  <r>
    <x v="0"/>
    <x v="1"/>
    <x v="1"/>
    <s v="M00000351843"/>
    <d v="2008-04-10T00:00:00"/>
    <n v="0"/>
    <n v="61.44"/>
    <n v="1296"/>
    <n v="240"/>
    <x v="13"/>
    <s v="38"/>
    <s v="960"/>
    <n v="35"/>
    <n v="1.35"/>
    <n v="3.8571428571428576E-2"/>
  </r>
  <r>
    <x v="0"/>
    <x v="1"/>
    <x v="1"/>
    <s v="M00000316633"/>
    <d v="2007-12-31T00:00:00"/>
    <n v="0"/>
    <n v="59.9"/>
    <n v="976"/>
    <n v="234"/>
    <x v="2"/>
    <s v="38"/>
    <s v="936"/>
    <n v="27"/>
    <n v="1.0427350427350428"/>
    <n v="3.8619816397594181E-2"/>
  </r>
  <r>
    <x v="0"/>
    <x v="1"/>
    <x v="1"/>
    <s v="M00000339063"/>
    <d v="2008-03-06T00:00:00"/>
    <n v="0"/>
    <n v="71.81"/>
    <n v="867"/>
    <n v="280.5"/>
    <x v="6"/>
    <s v="38"/>
    <s v="1122"/>
    <n v="20"/>
    <n v="0.77272727272727271"/>
    <n v="3.8636363636363635E-2"/>
  </r>
  <r>
    <x v="0"/>
    <x v="1"/>
    <x v="1"/>
    <s v="M00000280825"/>
    <d v="2007-06-28T00:00:00"/>
    <n v="0"/>
    <n v="80.64"/>
    <n v="1120.01"/>
    <n v="315"/>
    <x v="4"/>
    <s v="38"/>
    <s v="1260"/>
    <n v="23"/>
    <n v="0.88889682539682535"/>
    <n v="3.8647688060731537E-2"/>
  </r>
  <r>
    <x v="0"/>
    <x v="1"/>
    <x v="1"/>
    <s v="M00000269692"/>
    <d v="2007-05-10T00:00:00"/>
    <n v="0"/>
    <n v="59.9"/>
    <n v="833.04"/>
    <n v="234"/>
    <x v="4"/>
    <s v="38"/>
    <s v="936"/>
    <n v="23"/>
    <n v="0.89"/>
    <n v="3.8695652173913041E-2"/>
  </r>
  <r>
    <x v="0"/>
    <x v="1"/>
    <x v="1"/>
    <s v="M00000330675"/>
    <d v="2007-12-31T00:00:00"/>
    <n v="0"/>
    <n v="15.23"/>
    <n v="350"/>
    <n v="59.5"/>
    <x v="0"/>
    <s v="38"/>
    <s v="238"/>
    <n v="38"/>
    <n v="1.4705882352941178"/>
    <n v="3.8699690402476783E-2"/>
  </r>
  <r>
    <x v="0"/>
    <x v="1"/>
    <x v="1"/>
    <s v="M00000340449"/>
    <d v="2008-03-13T00:00:00"/>
    <n v="0"/>
    <n v="93.76"/>
    <n v="1134"/>
    <n v="366.25"/>
    <x v="6"/>
    <s v="38"/>
    <s v="1465"/>
    <n v="20"/>
    <n v="0.77406143344709899"/>
    <n v="3.8703071672354948E-2"/>
  </r>
  <r>
    <x v="0"/>
    <x v="1"/>
    <x v="1"/>
    <s v="M00000362695"/>
    <d v="2008-05-22T00:00:00"/>
    <n v="0"/>
    <n v="102.4"/>
    <n v="1672.45"/>
    <n v="400"/>
    <x v="2"/>
    <s v="38"/>
    <s v="1600"/>
    <n v="27"/>
    <n v="1.0452812499999999"/>
    <n v="3.8714120370370371E-2"/>
  </r>
  <r>
    <x v="0"/>
    <x v="1"/>
    <x v="1"/>
    <s v="M00000307880"/>
    <d v="2007-11-21T00:00:00"/>
    <n v="0"/>
    <n v="131.19999999999999"/>
    <n v="1588"/>
    <n v="512.5"/>
    <x v="6"/>
    <s v="38"/>
    <s v="2050"/>
    <n v="20"/>
    <n v="0.77463414634146344"/>
    <n v="3.873170731707317E-2"/>
  </r>
  <r>
    <x v="0"/>
    <x v="1"/>
    <x v="1"/>
    <s v="M00000342500"/>
    <d v="2008-02-29T00:00:00"/>
    <n v="0"/>
    <n v="43.01"/>
    <n v="495"/>
    <n v="168"/>
    <x v="5"/>
    <s v="38"/>
    <s v="672"/>
    <n v="19"/>
    <n v="0.7366071428571429"/>
    <n v="3.8768796992481203E-2"/>
  </r>
  <r>
    <x v="0"/>
    <x v="1"/>
    <x v="1"/>
    <s v="M00000374688"/>
    <d v="2008-07-10T00:00:00"/>
    <n v="0"/>
    <n v="56.32"/>
    <n v="650"/>
    <n v="220"/>
    <x v="0"/>
    <s v="19"/>
    <s v="880"/>
    <n v="19"/>
    <n v="0.73863636363636365"/>
    <n v="3.8875598086124404E-2"/>
  </r>
  <r>
    <x v="0"/>
    <x v="1"/>
    <x v="1"/>
    <s v="M00000306853"/>
    <d v="2007-11-09T00:00:00"/>
    <n v="0"/>
    <n v="66.56"/>
    <n v="1092"/>
    <n v="260"/>
    <x v="2"/>
    <s v="38"/>
    <s v="1040"/>
    <n v="27"/>
    <n v="1.05"/>
    <n v="3.888888888888889E-2"/>
  </r>
  <r>
    <x v="0"/>
    <x v="1"/>
    <x v="1"/>
    <s v="M00000341177"/>
    <d v="2008-02-21T00:00:00"/>
    <n v="0"/>
    <n v="115.2"/>
    <n v="1400"/>
    <n v="450"/>
    <x v="6"/>
    <s v="38"/>
    <s v="1800"/>
    <n v="20"/>
    <n v="0.77777777777777779"/>
    <n v="3.888888888888889E-2"/>
  </r>
  <r>
    <x v="0"/>
    <x v="1"/>
    <x v="1"/>
    <s v="M00000289470"/>
    <d v="2007-08-09T00:00:00"/>
    <n v="0"/>
    <n v="88.83"/>
    <n v="1080.97"/>
    <n v="347"/>
    <x v="6"/>
    <s v="38"/>
    <s v="1388"/>
    <n v="20"/>
    <n v="0.7787968299711816"/>
    <n v="3.8939841498559079E-2"/>
  </r>
  <r>
    <x v="0"/>
    <x v="1"/>
    <x v="1"/>
    <s v="M00000335324"/>
    <d v="2008-02-21T00:00:00"/>
    <n v="0"/>
    <n v="12.03"/>
    <n v="219.72"/>
    <n v="47"/>
    <x v="0"/>
    <s v="30"/>
    <s v="188"/>
    <n v="30"/>
    <n v="1.1687234042553192"/>
    <n v="3.895744680851064E-2"/>
  </r>
  <r>
    <x v="0"/>
    <x v="1"/>
    <x v="1"/>
    <s v="M00000272005"/>
    <d v="2007-05-17T00:00:00"/>
    <n v="0"/>
    <n v="49.92"/>
    <n v="975"/>
    <n v="195"/>
    <x v="12"/>
    <s v="38"/>
    <s v="780"/>
    <n v="32"/>
    <n v="1.25"/>
    <n v="3.90625E-2"/>
  </r>
  <r>
    <x v="0"/>
    <x v="1"/>
    <x v="1"/>
    <s v="M00000283109"/>
    <d v="2007-08-02T00:00:00"/>
    <n v="0"/>
    <n v="104"/>
    <n v="1271.08"/>
    <n v="406.25"/>
    <x v="6"/>
    <s v="38"/>
    <s v="1625"/>
    <n v="20"/>
    <n v="0.78220307692307689"/>
    <n v="3.9110153846153843E-2"/>
  </r>
  <r>
    <x v="0"/>
    <x v="1"/>
    <x v="1"/>
    <s v="M00000277629"/>
    <d v="2007-06-21T00:00:00"/>
    <n v="0"/>
    <n v="77.760000000000005"/>
    <n v="1284.98"/>
    <n v="303.75"/>
    <x v="2"/>
    <s v="38"/>
    <s v="1215"/>
    <n v="27"/>
    <n v="1.0575967078189301"/>
    <n v="3.9170248437738149E-2"/>
  </r>
  <r>
    <x v="0"/>
    <x v="1"/>
    <x v="1"/>
    <s v="M00000330780"/>
    <d v="2007-12-31T00:00:00"/>
    <n v="0"/>
    <n v="107.52"/>
    <n v="1317"/>
    <n v="420"/>
    <x v="6"/>
    <s v="38"/>
    <s v="1680"/>
    <n v="20"/>
    <n v="0.78392857142857142"/>
    <n v="3.919642857142857E-2"/>
  </r>
  <r>
    <x v="0"/>
    <x v="1"/>
    <x v="1"/>
    <s v="M00000325436"/>
    <d v="2007-12-27T00:00:00"/>
    <n v="0"/>
    <n v="101.95"/>
    <n v="1562"/>
    <n v="398.25"/>
    <x v="3"/>
    <s v="38"/>
    <s v="1593"/>
    <n v="25"/>
    <n v="0.98053986189579412"/>
    <n v="3.9221594475831761E-2"/>
  </r>
  <r>
    <x v="0"/>
    <x v="1"/>
    <x v="1"/>
    <s v="M00000311873"/>
    <d v="2007-12-13T00:00:00"/>
    <n v="0"/>
    <n v="87.42"/>
    <n v="1348"/>
    <n v="341.5"/>
    <x v="3"/>
    <s v="38"/>
    <s v="1366"/>
    <n v="25"/>
    <n v="0.98682284040995605"/>
    <n v="3.9472913616398243E-2"/>
  </r>
  <r>
    <x v="0"/>
    <x v="1"/>
    <x v="1"/>
    <s v="M00000269673"/>
    <d v="2007-05-17T00:00:00"/>
    <n v="0"/>
    <n v="68.349999999999994"/>
    <n v="843.72"/>
    <n v="267"/>
    <x v="6"/>
    <s v="38"/>
    <s v="1068"/>
    <n v="20"/>
    <n v="0.79"/>
    <n v="3.95E-2"/>
  </r>
  <r>
    <x v="0"/>
    <x v="1"/>
    <x v="1"/>
    <s v="M00000339073"/>
    <d v="2008-02-14T00:00:00"/>
    <n v="0"/>
    <n v="88.26"/>
    <n v="1095"/>
    <n v="344.75"/>
    <x v="6"/>
    <s v="38"/>
    <s v="1379"/>
    <n v="20"/>
    <n v="0.79405366207396666"/>
    <n v="3.970268310369833E-2"/>
  </r>
  <r>
    <x v="0"/>
    <x v="1"/>
    <x v="1"/>
    <s v="M00000342411"/>
    <d v="2008-02-29T00:00:00"/>
    <n v="0"/>
    <n v="103.94"/>
    <n v="1294"/>
    <n v="406"/>
    <x v="6"/>
    <s v="38"/>
    <s v="1624"/>
    <n v="20"/>
    <n v="0.79679802955665024"/>
    <n v="3.9839901477832514E-2"/>
  </r>
  <r>
    <x v="0"/>
    <x v="1"/>
    <x v="1"/>
    <s v="M00000319027"/>
    <d v="2007-12-06T00:00:00"/>
    <n v="0"/>
    <n v="71.36"/>
    <n v="1200"/>
    <n v="278.75"/>
    <x v="2"/>
    <s v="38"/>
    <s v="1115"/>
    <n v="27"/>
    <n v="1.0762331838565022"/>
    <n v="3.9860488290981565E-2"/>
  </r>
  <r>
    <x v="0"/>
    <x v="1"/>
    <x v="1"/>
    <s v="M00000318781"/>
    <d v="2007-12-06T00:00:00"/>
    <n v="0"/>
    <n v="32.9"/>
    <n v="472"/>
    <n v="128.5"/>
    <x v="4"/>
    <s v="38"/>
    <s v="514"/>
    <n v="23"/>
    <n v="0.91828793774319062"/>
    <n v="3.9925562510573505E-2"/>
  </r>
  <r>
    <x v="0"/>
    <x v="1"/>
    <x v="1"/>
    <s v="M00000318781"/>
    <d v="2008-04-24T00:00:00"/>
    <n v="0"/>
    <n v="-32.9"/>
    <n v="472"/>
    <n v="128.5"/>
    <x v="4"/>
    <s v="38"/>
    <s v="514"/>
    <n v="23"/>
    <n v="0.91828793774319062"/>
    <n v="3.9925562510573505E-2"/>
  </r>
  <r>
    <x v="0"/>
    <x v="1"/>
    <x v="1"/>
    <s v="M00000318781"/>
    <d v="2008-04-24T00:00:00"/>
    <n v="0"/>
    <n v="32.9"/>
    <n v="472"/>
    <n v="128.5"/>
    <x v="4"/>
    <s v="38"/>
    <s v="514"/>
    <n v="23"/>
    <n v="0.91828793774319062"/>
    <n v="3.9925562510573505E-2"/>
  </r>
  <r>
    <x v="0"/>
    <x v="1"/>
    <x v="1"/>
    <s v="M00000352987"/>
    <d v="2008-05-30T00:00:00"/>
    <n v="0"/>
    <n v="60.54"/>
    <n v="756"/>
    <n v="236.5"/>
    <x v="6"/>
    <s v="38"/>
    <s v="946"/>
    <n v="20"/>
    <n v="0.79915433403805491"/>
    <n v="3.9957716701902748E-2"/>
  </r>
  <r>
    <x v="0"/>
    <x v="1"/>
    <x v="1"/>
    <s v="M00000296307"/>
    <d v="2007-11-21T00:00:00"/>
    <n v="0"/>
    <n v="95.3"/>
    <n v="1369.73"/>
    <n v="372.25"/>
    <x v="4"/>
    <s v="38"/>
    <s v="1489"/>
    <n v="23"/>
    <n v="0.91989926124916055"/>
    <n v="3.9995620054311329E-2"/>
  </r>
  <r>
    <x v="0"/>
    <x v="1"/>
    <x v="1"/>
    <s v="M00000310183"/>
    <d v="2007-11-09T00:00:00"/>
    <n v="0"/>
    <n v="26.56"/>
    <n v="415"/>
    <n v="103.75"/>
    <x v="3"/>
    <s v="38"/>
    <s v="415"/>
    <n v="25"/>
    <n v="1"/>
    <n v="0.04"/>
  </r>
  <r>
    <x v="0"/>
    <x v="1"/>
    <x v="1"/>
    <s v="M00000325598"/>
    <d v="2007-12-31T00:00:00"/>
    <n v="0"/>
    <n v="48"/>
    <n v="660"/>
    <n v="187.5"/>
    <x v="7"/>
    <s v="38"/>
    <s v="750"/>
    <n v="22"/>
    <n v="0.88"/>
    <n v="0.04"/>
  </r>
  <r>
    <x v="0"/>
    <x v="1"/>
    <x v="1"/>
    <s v="M00000348524"/>
    <d v="2008-03-27T00:00:00"/>
    <n v="0"/>
    <n v="140.80000000000001"/>
    <n v="1760"/>
    <n v="550"/>
    <x v="6"/>
    <s v="38"/>
    <s v="2200"/>
    <n v="20"/>
    <n v="0.8"/>
    <n v="0.04"/>
  </r>
  <r>
    <x v="0"/>
    <x v="1"/>
    <x v="1"/>
    <s v="M00000300823"/>
    <d v="2007-12-31T00:00:00"/>
    <n v="0"/>
    <n v="78.08"/>
    <n v="1861.84"/>
    <n v="305"/>
    <x v="0"/>
    <s v="38"/>
    <s v="1220"/>
    <n v="38"/>
    <n v="1.5260983606557377"/>
    <n v="4.0160483175150995E-2"/>
  </r>
  <r>
    <x v="0"/>
    <x v="1"/>
    <x v="1"/>
    <s v="M00000300879"/>
    <d v="2007-09-27T00:00:00"/>
    <n v="0"/>
    <n v="94.08"/>
    <n v="650"/>
    <n v="367.5"/>
    <x v="5"/>
    <s v="30"/>
    <s v="1470"/>
    <n v="11"/>
    <n v="0.44217687074829931"/>
    <n v="4.0197897340754483E-2"/>
  </r>
  <r>
    <x v="0"/>
    <x v="1"/>
    <x v="1"/>
    <s v="M00000358347"/>
    <d v="2008-05-08T00:00:00"/>
    <n v="0"/>
    <n v="51.46"/>
    <n v="680"/>
    <n v="201"/>
    <x v="15"/>
    <s v="38"/>
    <s v="804"/>
    <n v="21"/>
    <n v="0.845771144278607"/>
    <n v="4.0274816394219384E-2"/>
  </r>
  <r>
    <x v="0"/>
    <x v="1"/>
    <x v="1"/>
    <s v="M00000349533"/>
    <d v="2008-04-24T00:00:00"/>
    <n v="0"/>
    <n v="78.400000000000006"/>
    <n v="990"/>
    <n v="306.25"/>
    <x v="6"/>
    <s v="38"/>
    <s v="1225"/>
    <n v="20"/>
    <n v="0.80816326530612248"/>
    <n v="4.0408163265306121E-2"/>
  </r>
  <r>
    <x v="0"/>
    <x v="1"/>
    <x v="1"/>
    <s v="M00000354895"/>
    <d v="2008-04-24T00:00:00"/>
    <n v="0"/>
    <n v="86.02"/>
    <n v="1358"/>
    <n v="336"/>
    <x v="3"/>
    <s v="38"/>
    <s v="1344"/>
    <n v="25"/>
    <n v="1.0104166666666667"/>
    <n v="4.041666666666667E-2"/>
  </r>
  <r>
    <x v="0"/>
    <x v="1"/>
    <x v="1"/>
    <s v="M00000339752"/>
    <d v="2008-02-14T00:00:00"/>
    <n v="0"/>
    <n v="41.6"/>
    <n v="527"/>
    <n v="162.5"/>
    <x v="6"/>
    <s v="38"/>
    <s v="650"/>
    <n v="20"/>
    <n v="0.8107692307692308"/>
    <n v="4.0538461538461537E-2"/>
  </r>
  <r>
    <x v="0"/>
    <x v="1"/>
    <x v="1"/>
    <s v="M00000299086"/>
    <d v="2007-09-14T00:00:00"/>
    <n v="0"/>
    <n v="68.67"/>
    <n v="1175"/>
    <n v="268.25"/>
    <x v="2"/>
    <s v="38"/>
    <s v="1073"/>
    <n v="27"/>
    <n v="1.0950605778191984"/>
    <n v="4.0557799178488833E-2"/>
  </r>
  <r>
    <x v="0"/>
    <x v="1"/>
    <x v="1"/>
    <s v="M00000283650"/>
    <d v="2007-07-12T00:00:00"/>
    <n v="0"/>
    <n v="94.72"/>
    <n v="1322.97"/>
    <n v="370"/>
    <x v="7"/>
    <s v="38"/>
    <s v="1480"/>
    <n v="22"/>
    <n v="0.89389864864864865"/>
    <n v="4.0631756756756759E-2"/>
  </r>
  <r>
    <x v="0"/>
    <x v="1"/>
    <x v="1"/>
    <s v="M00000296241"/>
    <d v="2007-09-06T00:00:00"/>
    <n v="0"/>
    <n v="48"/>
    <n v="1161.98"/>
    <n v="187.5"/>
    <x v="0"/>
    <s v="38"/>
    <s v="750"/>
    <n v="38"/>
    <n v="1.5493066666666666"/>
    <n v="4.0771228070175435E-2"/>
  </r>
  <r>
    <x v="0"/>
    <x v="1"/>
    <x v="1"/>
    <s v="M00000332257"/>
    <d v="2007-12-31T00:00:00"/>
    <n v="0"/>
    <n v="69.12"/>
    <n v="1685"/>
    <n v="270"/>
    <x v="0"/>
    <s v="38"/>
    <s v="1080"/>
    <n v="38"/>
    <n v="1.5601851851851851"/>
    <n v="4.1057504873294348E-2"/>
  </r>
  <r>
    <x v="0"/>
    <x v="1"/>
    <x v="1"/>
    <s v="M00000356143"/>
    <d v="2008-05-08T00:00:00"/>
    <n v="0"/>
    <n v="40"/>
    <n v="694"/>
    <n v="156.25"/>
    <x v="2"/>
    <s v="38"/>
    <s v="625"/>
    <n v="27"/>
    <n v="1.1104000000000001"/>
    <n v="4.1125925925925927E-2"/>
  </r>
  <r>
    <x v="0"/>
    <x v="1"/>
    <x v="1"/>
    <s v="M00000321394"/>
    <d v="2007-12-13T00:00:00"/>
    <n v="0"/>
    <n v="160"/>
    <n v="1234"/>
    <n v="625"/>
    <x v="6"/>
    <s v="30"/>
    <s v="2500"/>
    <n v="12"/>
    <n v="0.49359999999999998"/>
    <n v="4.1133333333333334E-2"/>
  </r>
  <r>
    <x v="0"/>
    <x v="1"/>
    <x v="1"/>
    <s v="M00000307241"/>
    <d v="2007-10-25T00:00:00"/>
    <n v="0"/>
    <n v="66.56"/>
    <n v="1287"/>
    <n v="260"/>
    <x v="1"/>
    <s v="38"/>
    <s v="1040"/>
    <n v="30"/>
    <n v="1.2375"/>
    <n v="4.1250000000000002E-2"/>
  </r>
  <r>
    <x v="0"/>
    <x v="1"/>
    <x v="1"/>
    <s v="M00000268888"/>
    <d v="2007-07-06T00:00:00"/>
    <n v="0"/>
    <n v="22.21"/>
    <n v="544.79"/>
    <n v="86.75"/>
    <x v="0"/>
    <s v="38"/>
    <s v="347"/>
    <n v="38"/>
    <n v="1.57"/>
    <n v="4.1315789473684209E-2"/>
  </r>
  <r>
    <x v="0"/>
    <x v="1"/>
    <x v="1"/>
    <s v="M00000363754"/>
    <d v="2008-06-26T00:00:00"/>
    <n v="0"/>
    <n v="61.44"/>
    <n v="794.05"/>
    <n v="240"/>
    <x v="6"/>
    <s v="38"/>
    <s v="960"/>
    <n v="20"/>
    <n v="0.82713541666666657"/>
    <n v="4.1356770833333327E-2"/>
  </r>
  <r>
    <x v="0"/>
    <x v="1"/>
    <x v="1"/>
    <s v="M00000331884"/>
    <d v="2008-01-17T00:00:00"/>
    <n v="0"/>
    <n v="69.63"/>
    <n v="901"/>
    <n v="272"/>
    <x v="6"/>
    <s v="38"/>
    <s v="1088"/>
    <n v="20"/>
    <n v="0.828125"/>
    <n v="4.1406249999999999E-2"/>
  </r>
  <r>
    <x v="0"/>
    <x v="1"/>
    <x v="1"/>
    <s v="M00000305079"/>
    <d v="2007-12-20T00:00:00"/>
    <n v="0"/>
    <n v="28.42"/>
    <n v="368"/>
    <n v="111"/>
    <x v="6"/>
    <s v="38"/>
    <s v="444"/>
    <n v="20"/>
    <n v="0.8288288288288288"/>
    <n v="4.1441441441441441E-2"/>
  </r>
  <r>
    <x v="0"/>
    <x v="1"/>
    <x v="1"/>
    <s v="M00000337308"/>
    <d v="2008-02-07T00:00:00"/>
    <n v="0"/>
    <n v="75.78"/>
    <n v="1325"/>
    <n v="296"/>
    <x v="2"/>
    <s v="38"/>
    <s v="1184"/>
    <n v="27"/>
    <n v="1.1190878378378379"/>
    <n v="4.1447697697697704E-2"/>
  </r>
  <r>
    <x v="0"/>
    <x v="1"/>
    <x v="1"/>
    <s v="M00000372824"/>
    <d v="2008-07-03T00:00:00"/>
    <n v="0"/>
    <n v="96.58"/>
    <n v="1190"/>
    <n v="377.25"/>
    <x v="5"/>
    <s v="38"/>
    <s v="1509"/>
    <n v="19"/>
    <n v="0.78860172299536113"/>
    <n v="4.150535384186111E-2"/>
  </r>
  <r>
    <x v="0"/>
    <x v="1"/>
    <x v="1"/>
    <s v="M00000338593"/>
    <d v="2008-02-21T00:00:00"/>
    <n v="0"/>
    <n v="115.58"/>
    <n v="1735"/>
    <n v="451.5"/>
    <x v="4"/>
    <s v="38"/>
    <s v="1806"/>
    <n v="23"/>
    <n v="0.96068660022148389"/>
    <n v="4.1768982618325387E-2"/>
  </r>
  <r>
    <x v="0"/>
    <x v="1"/>
    <x v="1"/>
    <s v="M00000271977"/>
    <d v="2007-06-21T00:00:00"/>
    <n v="0"/>
    <n v="79.040000000000006"/>
    <n v="1548.2"/>
    <n v="308.75"/>
    <x v="1"/>
    <s v="38"/>
    <s v="1235"/>
    <n v="30"/>
    <n v="1.2536032388663969"/>
    <n v="4.1786774628879898E-2"/>
  </r>
  <r>
    <x v="0"/>
    <x v="1"/>
    <x v="1"/>
    <s v="M00000280093"/>
    <d v="2007-08-02T00:00:00"/>
    <n v="0"/>
    <n v="76.16"/>
    <n v="1246.05"/>
    <n v="297.5"/>
    <x v="3"/>
    <s v="38"/>
    <s v="1190"/>
    <n v="25"/>
    <n v="1.0471008403361344"/>
    <n v="4.1884033613445372E-2"/>
  </r>
  <r>
    <x v="0"/>
    <x v="1"/>
    <x v="1"/>
    <s v="M00000350077"/>
    <d v="2008-06-12T00:00:00"/>
    <n v="0"/>
    <n v="55.3"/>
    <n v="723.97"/>
    <n v="216"/>
    <x v="6"/>
    <s v="38"/>
    <s v="864"/>
    <n v="20"/>
    <n v="0.83792824074074079"/>
    <n v="4.1896412037037041E-2"/>
  </r>
  <r>
    <x v="0"/>
    <x v="1"/>
    <x v="1"/>
    <s v="M00000316716"/>
    <d v="2007-12-20T00:00:00"/>
    <n v="0"/>
    <n v="99.2"/>
    <n v="1300"/>
    <n v="387.5"/>
    <x v="6"/>
    <s v="38"/>
    <s v="1550"/>
    <n v="20"/>
    <n v="0.83870967741935487"/>
    <n v="4.1935483870967745E-2"/>
  </r>
  <r>
    <x v="0"/>
    <x v="1"/>
    <x v="1"/>
    <s v="M00000268921"/>
    <d v="2007-06-28T00:00:00"/>
    <n v="0"/>
    <n v="112"/>
    <n v="1394.93"/>
    <n v="437.5"/>
    <x v="5"/>
    <s v="38"/>
    <s v="1750"/>
    <n v="19"/>
    <n v="0.79710285714285722"/>
    <n v="4.1952781954887219E-2"/>
  </r>
  <r>
    <x v="0"/>
    <x v="1"/>
    <x v="1"/>
    <s v="M00000303388"/>
    <d v="2007-11-09T00:00:00"/>
    <n v="0"/>
    <n v="87.74"/>
    <n v="1152.4100000000001"/>
    <n v="342.75"/>
    <x v="6"/>
    <s v="38"/>
    <s v="1371"/>
    <n v="20"/>
    <n v="0.84056163384390958"/>
    <n v="4.2028081692195476E-2"/>
  </r>
  <r>
    <x v="0"/>
    <x v="1"/>
    <x v="1"/>
    <s v="M00000357222"/>
    <d v="2008-04-30T00:00:00"/>
    <n v="0"/>
    <n v="16"/>
    <n v="201"/>
    <n v="62.5"/>
    <x v="5"/>
    <s v="38"/>
    <s v="250"/>
    <n v="19"/>
    <n v="0.80400000000000005"/>
    <n v="4.2315789473684216E-2"/>
  </r>
  <r>
    <x v="0"/>
    <x v="1"/>
    <x v="1"/>
    <s v="M00000326104"/>
    <d v="2007-12-31T00:00:00"/>
    <n v="0"/>
    <n v="48.64"/>
    <n v="997"/>
    <n v="190"/>
    <x v="16"/>
    <s v="38"/>
    <s v="760"/>
    <n v="31"/>
    <n v="1.3118421052631579"/>
    <n v="4.2317487266553482E-2"/>
  </r>
  <r>
    <x v="0"/>
    <x v="1"/>
    <x v="1"/>
    <s v="M00000275528"/>
    <d v="2007-06-07T00:00:00"/>
    <n v="0"/>
    <n v="54.4"/>
    <n v="974.01"/>
    <n v="212.5"/>
    <x v="2"/>
    <s v="38"/>
    <s v="850"/>
    <n v="27"/>
    <n v="1.1458941176470587"/>
    <n v="4.244052287581699E-2"/>
  </r>
  <r>
    <x v="0"/>
    <x v="1"/>
    <x v="1"/>
    <s v="M00000328101"/>
    <d v="2007-12-31T00:00:00"/>
    <n v="0"/>
    <n v="46.08"/>
    <n v="828"/>
    <n v="180"/>
    <x v="2"/>
    <s v="38"/>
    <s v="720"/>
    <n v="27"/>
    <n v="1.1499999999999999"/>
    <n v="4.2592592592592592E-2"/>
  </r>
  <r>
    <x v="0"/>
    <x v="1"/>
    <x v="1"/>
    <s v="M00000278321"/>
    <d v="2007-06-28T00:00:00"/>
    <n v="0"/>
    <n v="82.94"/>
    <n v="1104.97"/>
    <n v="324"/>
    <x v="6"/>
    <s v="38"/>
    <s v="1296"/>
    <n v="20"/>
    <n v="0.85260030864197534"/>
    <n v="4.2630015432098767E-2"/>
  </r>
  <r>
    <x v="0"/>
    <x v="1"/>
    <x v="1"/>
    <s v="M00000355831"/>
    <d v="2008-04-24T00:00:00"/>
    <n v="0"/>
    <n v="80"/>
    <n v="1230"/>
    <n v="312.5"/>
    <x v="4"/>
    <s v="38"/>
    <s v="1250"/>
    <n v="23"/>
    <n v="0.98399999999999999"/>
    <n v="4.2782608695652175E-2"/>
  </r>
  <r>
    <x v="0"/>
    <x v="1"/>
    <x v="1"/>
    <s v="M00000333458"/>
    <d v="2008-01-24T00:00:00"/>
    <n v="0"/>
    <n v="51.2"/>
    <n v="686"/>
    <n v="200"/>
    <x v="6"/>
    <s v="38"/>
    <s v="800"/>
    <n v="20"/>
    <n v="0.85750000000000004"/>
    <n v="4.2875000000000003E-2"/>
  </r>
  <r>
    <x v="0"/>
    <x v="1"/>
    <x v="1"/>
    <s v="M00000302260"/>
    <d v="2007-10-04T00:00:00"/>
    <n v="0"/>
    <n v="44.48"/>
    <n v="596"/>
    <n v="173.75"/>
    <x v="6"/>
    <s v="38"/>
    <s v="695"/>
    <n v="20"/>
    <n v="0.85755395683453239"/>
    <n v="4.2877697841726618E-2"/>
  </r>
  <r>
    <x v="0"/>
    <x v="1"/>
    <x v="1"/>
    <s v="M00000370387"/>
    <d v="2008-06-26T00:00:00"/>
    <n v="0"/>
    <n v="73.66"/>
    <n v="1877"/>
    <n v="287.75"/>
    <x v="0"/>
    <s v="38"/>
    <s v="1151"/>
    <n v="38"/>
    <n v="1.6307558644656821"/>
    <n v="4.2914628012254791E-2"/>
  </r>
  <r>
    <x v="0"/>
    <x v="1"/>
    <x v="1"/>
    <s v="M00000337155"/>
    <d v="2008-02-07T00:00:00"/>
    <n v="0"/>
    <n v="81.790000000000006"/>
    <n v="2087"/>
    <n v="319.5"/>
    <x v="0"/>
    <s v="38"/>
    <s v="1278"/>
    <n v="38"/>
    <n v="1.6330203442879498"/>
    <n v="4.2974219586524996E-2"/>
  </r>
  <r>
    <x v="0"/>
    <x v="1"/>
    <x v="1"/>
    <s v="M00000285202"/>
    <d v="2007-07-19T00:00:00"/>
    <n v="0"/>
    <n v="76.8"/>
    <n v="1960.44"/>
    <n v="300"/>
    <x v="0"/>
    <s v="38"/>
    <s v="1200"/>
    <n v="38"/>
    <n v="1.6337000000000002"/>
    <n v="4.2992105263157901E-2"/>
  </r>
  <r>
    <x v="0"/>
    <x v="1"/>
    <x v="1"/>
    <s v="M00000341921"/>
    <d v="2008-02-29T00:00:00"/>
    <n v="0"/>
    <n v="63.36"/>
    <n v="810"/>
    <n v="247.5"/>
    <x v="5"/>
    <s v="38"/>
    <s v="990"/>
    <n v="19"/>
    <n v="0.81818181818181823"/>
    <n v="4.3062200956937802E-2"/>
  </r>
  <r>
    <x v="0"/>
    <x v="1"/>
    <x v="1"/>
    <s v="M00000345066"/>
    <d v="2008-03-13T00:00:00"/>
    <n v="0"/>
    <n v="83.2"/>
    <n v="1124"/>
    <n v="325"/>
    <x v="6"/>
    <s v="38"/>
    <s v="1300"/>
    <n v="20"/>
    <n v="0.86461538461538456"/>
    <n v="4.3230769230769225E-2"/>
  </r>
  <r>
    <x v="0"/>
    <x v="1"/>
    <x v="1"/>
    <s v="M00000351076"/>
    <d v="2008-05-08T00:00:00"/>
    <n v="0"/>
    <n v="41.6"/>
    <n v="618.52"/>
    <n v="162.5"/>
    <x v="7"/>
    <s v="38"/>
    <s v="650"/>
    <n v="22"/>
    <n v="0.95156923076923072"/>
    <n v="4.3253146853146851E-2"/>
  </r>
  <r>
    <x v="0"/>
    <x v="1"/>
    <x v="1"/>
    <s v="M00000320401"/>
    <d v="2007-12-13T00:00:00"/>
    <n v="0"/>
    <n v="46.59"/>
    <n v="945"/>
    <n v="182"/>
    <x v="1"/>
    <s v="38"/>
    <s v="728"/>
    <n v="30"/>
    <n v="1.2980769230769231"/>
    <n v="4.3269230769230768E-2"/>
  </r>
  <r>
    <x v="0"/>
    <x v="1"/>
    <x v="1"/>
    <s v="M00000340596"/>
    <d v="2008-02-21T00:00:00"/>
    <n v="0"/>
    <n v="91.14"/>
    <n v="1233"/>
    <n v="356"/>
    <x v="6"/>
    <s v="38"/>
    <s v="1424"/>
    <n v="20"/>
    <n v="0.8658707865168539"/>
    <n v="4.3293539325842692E-2"/>
  </r>
  <r>
    <x v="0"/>
    <x v="1"/>
    <x v="1"/>
    <s v="M00000320375"/>
    <d v="2007-12-13T00:00:00"/>
    <n v="0"/>
    <n v="40.96"/>
    <n v="835"/>
    <n v="160"/>
    <x v="1"/>
    <s v="38"/>
    <s v="640"/>
    <n v="30"/>
    <n v="1.3046875"/>
    <n v="4.3489583333333331E-2"/>
  </r>
  <r>
    <x v="0"/>
    <x v="1"/>
    <x v="1"/>
    <s v="M00000341380"/>
    <d v="2008-03-13T00:00:00"/>
    <n v="0"/>
    <n v="82.05"/>
    <n v="1060"/>
    <n v="320.5"/>
    <x v="5"/>
    <s v="38"/>
    <s v="1282"/>
    <n v="19"/>
    <n v="0.82683307332293288"/>
    <n v="4.3517530174891204E-2"/>
  </r>
  <r>
    <x v="0"/>
    <x v="1"/>
    <x v="1"/>
    <s v="M00000347847"/>
    <d v="2008-05-15T00:00:00"/>
    <n v="0"/>
    <n v="58.24"/>
    <n v="1030.43"/>
    <n v="227.5"/>
    <x v="14"/>
    <s v="38"/>
    <s v="910"/>
    <n v="26"/>
    <n v="1.1323406593406593"/>
    <n v="4.3551563820794587E-2"/>
  </r>
  <r>
    <x v="0"/>
    <x v="1"/>
    <x v="1"/>
    <s v="M00000335080"/>
    <d v="2008-02-21T00:00:00"/>
    <n v="0"/>
    <n v="115.2"/>
    <n v="1648"/>
    <n v="450"/>
    <x v="15"/>
    <s v="38"/>
    <s v="1800"/>
    <n v="21"/>
    <n v="0.91555555555555557"/>
    <n v="4.3597883597883601E-2"/>
  </r>
  <r>
    <x v="0"/>
    <x v="1"/>
    <x v="1"/>
    <s v="M00000294288"/>
    <d v="2007-09-20T00:00:00"/>
    <n v="0"/>
    <n v="32"/>
    <n v="438"/>
    <n v="125"/>
    <x v="6"/>
    <s v="38"/>
    <s v="500"/>
    <n v="20"/>
    <n v="0.876"/>
    <n v="4.3799999999999999E-2"/>
  </r>
  <r>
    <x v="0"/>
    <x v="1"/>
    <x v="1"/>
    <s v="M00000315420"/>
    <d v="2007-12-31T00:00:00"/>
    <n v="0"/>
    <n v="92.8"/>
    <n v="1336"/>
    <n v="362.5"/>
    <x v="15"/>
    <s v="38"/>
    <s v="1450"/>
    <n v="21"/>
    <n v="0.92137931034482756"/>
    <n v="4.3875205254515597E-2"/>
  </r>
  <r>
    <x v="0"/>
    <x v="1"/>
    <x v="1"/>
    <s v="M00000304759"/>
    <d v="2007-11-29T00:00:00"/>
    <n v="0"/>
    <n v="73.540000000000006"/>
    <n v="1723.5"/>
    <n v="287.25"/>
    <x v="9"/>
    <s v="38"/>
    <s v="1149"/>
    <n v="34"/>
    <n v="1.5"/>
    <n v="4.4117647058823532E-2"/>
  </r>
  <r>
    <x v="0"/>
    <x v="1"/>
    <x v="1"/>
    <s v="M00000368199"/>
    <d v="2008-06-19T00:00:00"/>
    <n v="0"/>
    <n v="49.92"/>
    <n v="836"/>
    <n v="195"/>
    <x v="18"/>
    <s v="38"/>
    <s v="780"/>
    <n v="24"/>
    <n v="1.0717948717948718"/>
    <n v="4.4658119658119659E-2"/>
  </r>
  <r>
    <x v="0"/>
    <x v="1"/>
    <x v="1"/>
    <s v="M00000351075"/>
    <d v="2008-04-24T00:00:00"/>
    <n v="0"/>
    <n v="68.48"/>
    <n v="956.26"/>
    <n v="267.5"/>
    <x v="6"/>
    <s v="38"/>
    <s v="1070"/>
    <n v="20"/>
    <n v="0.89370093457943922"/>
    <n v="4.4685046728971958E-2"/>
  </r>
  <r>
    <x v="0"/>
    <x v="1"/>
    <x v="1"/>
    <s v="M00000352207"/>
    <d v="2008-04-10T00:00:00"/>
    <n v="0"/>
    <n v="117.12"/>
    <n v="2540"/>
    <n v="457.5"/>
    <x v="16"/>
    <s v="38"/>
    <s v="1830"/>
    <n v="31"/>
    <n v="1.3879781420765027"/>
    <n v="4.4773488454080732E-2"/>
  </r>
  <r>
    <x v="0"/>
    <x v="1"/>
    <x v="1"/>
    <s v="M00000273081"/>
    <d v="2007-05-24T00:00:00"/>
    <n v="0"/>
    <n v="21.12"/>
    <n v="399.99"/>
    <n v="82.5"/>
    <x v="2"/>
    <s v="38"/>
    <s v="330"/>
    <n v="27"/>
    <n v="1.2120909090909091"/>
    <n v="4.4892255892255893E-2"/>
  </r>
  <r>
    <x v="0"/>
    <x v="1"/>
    <x v="1"/>
    <s v="M00000374364"/>
    <d v="2008-07-10T00:00:00"/>
    <n v="0"/>
    <n v="73.73"/>
    <n v="1552"/>
    <n v="288"/>
    <x v="1"/>
    <s v="38"/>
    <s v="1152"/>
    <n v="30"/>
    <n v="1.3472222222222223"/>
    <n v="4.490740740740741E-2"/>
  </r>
  <r>
    <x v="0"/>
    <x v="1"/>
    <x v="1"/>
    <s v="M00000304067"/>
    <d v="2007-10-11T00:00:00"/>
    <n v="0"/>
    <n v="56.32"/>
    <n v="909"/>
    <n v="220"/>
    <x v="4"/>
    <s v="38"/>
    <s v="880"/>
    <n v="23"/>
    <n v="1.0329545454545455"/>
    <n v="4.4911067193675887E-2"/>
  </r>
  <r>
    <x v="0"/>
    <x v="1"/>
    <x v="1"/>
    <s v="M00000347152"/>
    <d v="2008-03-20T00:00:00"/>
    <n v="0"/>
    <n v="56"/>
    <n v="1180"/>
    <n v="218.75"/>
    <x v="1"/>
    <s v="38"/>
    <s v="875"/>
    <n v="30"/>
    <n v="1.3485714285714285"/>
    <n v="4.4952380952380952E-2"/>
  </r>
  <r>
    <x v="0"/>
    <x v="1"/>
    <x v="1"/>
    <s v="M00000323505"/>
    <d v="2007-12-31T00:00:00"/>
    <n v="0"/>
    <n v="72.959999999999994"/>
    <n v="1951"/>
    <n v="285"/>
    <x v="0"/>
    <s v="38"/>
    <s v="1140"/>
    <n v="38"/>
    <n v="1.7114035087719299"/>
    <n v="4.5036934441366576E-2"/>
  </r>
  <r>
    <x v="0"/>
    <x v="1"/>
    <x v="1"/>
    <s v="M00000301615"/>
    <d v="2007-09-28T00:00:00"/>
    <n v="0"/>
    <n v="66.94"/>
    <n v="1798"/>
    <n v="261.5"/>
    <x v="0"/>
    <s v="38"/>
    <s v="1046"/>
    <n v="38"/>
    <n v="1.7189292543021033"/>
    <n v="4.5234980376371137E-2"/>
  </r>
  <r>
    <x v="0"/>
    <x v="1"/>
    <x v="1"/>
    <s v="M00000269785"/>
    <d v="2007-05-10T00:00:00"/>
    <n v="0"/>
    <n v="96.77"/>
    <n v="1300.32"/>
    <n v="378"/>
    <x v="5"/>
    <s v="38"/>
    <s v="1512"/>
    <n v="19"/>
    <n v="0.86"/>
    <n v="4.5263157894736838E-2"/>
  </r>
  <r>
    <x v="0"/>
    <x v="1"/>
    <x v="1"/>
    <s v="M00000280863"/>
    <d v="2007-06-28T00:00:00"/>
    <n v="0"/>
    <n v="36.86"/>
    <n v="783.01"/>
    <n v="144"/>
    <x v="1"/>
    <s v="38"/>
    <s v="576"/>
    <n v="30"/>
    <n v="1.3593923611111112"/>
    <n v="4.5313078703703706E-2"/>
  </r>
  <r>
    <x v="0"/>
    <x v="1"/>
    <x v="1"/>
    <s v="M00000355009"/>
    <d v="2008-04-24T00:00:00"/>
    <n v="0"/>
    <n v="96"/>
    <n v="1496"/>
    <n v="375"/>
    <x v="7"/>
    <s v="38"/>
    <s v="1500"/>
    <n v="22"/>
    <n v="0.99733333333333329"/>
    <n v="4.533333333333333E-2"/>
  </r>
  <r>
    <x v="0"/>
    <x v="1"/>
    <x v="1"/>
    <s v="M00000343922"/>
    <d v="2008-03-13T00:00:00"/>
    <n v="0"/>
    <n v="94.46"/>
    <n v="2345"/>
    <n v="369"/>
    <x v="13"/>
    <s v="38"/>
    <s v="1476"/>
    <n v="35"/>
    <n v="1.5887533875338753"/>
    <n v="4.5392953929539293E-2"/>
  </r>
  <r>
    <x v="0"/>
    <x v="1"/>
    <x v="1"/>
    <s v="M00000346301"/>
    <d v="2008-03-13T00:00:00"/>
    <n v="0"/>
    <n v="80"/>
    <n v="1139"/>
    <n v="312.5"/>
    <x v="6"/>
    <s v="38"/>
    <s v="1250"/>
    <n v="20"/>
    <n v="0.91120000000000001"/>
    <n v="4.5560000000000003E-2"/>
  </r>
  <r>
    <x v="0"/>
    <x v="1"/>
    <x v="1"/>
    <s v="M00000283362"/>
    <d v="2007-07-12T00:00:00"/>
    <n v="0"/>
    <n v="50.69"/>
    <n v="1371.98"/>
    <n v="198"/>
    <x v="0"/>
    <s v="38"/>
    <s v="792"/>
    <n v="38"/>
    <n v="1.7322979797979798"/>
    <n v="4.5586788942052099E-2"/>
  </r>
  <r>
    <x v="0"/>
    <x v="1"/>
    <x v="1"/>
    <s v="M00000336944"/>
    <d v="2008-03-13T00:00:00"/>
    <n v="0"/>
    <n v="23.3"/>
    <n v="350"/>
    <n v="91"/>
    <x v="15"/>
    <s v="38"/>
    <s v="364"/>
    <n v="21"/>
    <n v="0.96153846153846156"/>
    <n v="4.5787545787545791E-2"/>
  </r>
  <r>
    <x v="0"/>
    <x v="1"/>
    <x v="1"/>
    <s v="M00000336944"/>
    <d v="2008-04-10T00:00:00"/>
    <n v="0"/>
    <n v="-23.3"/>
    <n v="350"/>
    <n v="91"/>
    <x v="15"/>
    <s v="38"/>
    <s v="364"/>
    <n v="21"/>
    <n v="0.96153846153846156"/>
    <n v="4.5787545787545791E-2"/>
  </r>
  <r>
    <x v="0"/>
    <x v="1"/>
    <x v="1"/>
    <s v="M00000352832"/>
    <d v="2008-04-10T00:00:00"/>
    <n v="0"/>
    <n v="23.3"/>
    <n v="350"/>
    <n v="91"/>
    <x v="15"/>
    <s v="38"/>
    <s v="364"/>
    <n v="21"/>
    <n v="0.96153846153846156"/>
    <n v="4.5787545787545791E-2"/>
  </r>
  <r>
    <x v="0"/>
    <x v="1"/>
    <x v="1"/>
    <s v="M00000322718"/>
    <d v="2007-12-20T00:00:00"/>
    <n v="0"/>
    <n v="92.8"/>
    <n v="1795"/>
    <n v="362.5"/>
    <x v="2"/>
    <s v="38"/>
    <s v="1450"/>
    <n v="27"/>
    <n v="1.2379310344827585"/>
    <n v="4.5849297573435505E-2"/>
  </r>
  <r>
    <x v="0"/>
    <x v="1"/>
    <x v="1"/>
    <s v="M00000333532"/>
    <d v="2008-01-24T00:00:00"/>
    <n v="0"/>
    <n v="79.94"/>
    <n v="1548"/>
    <n v="312.25"/>
    <x v="2"/>
    <s v="38"/>
    <s v="1249"/>
    <n v="27"/>
    <n v="1.2393915132105684"/>
    <n v="4.59033893781692E-2"/>
  </r>
  <r>
    <x v="0"/>
    <x v="1"/>
    <x v="1"/>
    <s v="M00000358037"/>
    <d v="2008-05-08T00:00:00"/>
    <n v="0"/>
    <n v="75.52"/>
    <n v="1138"/>
    <n v="295"/>
    <x v="5"/>
    <s v="40"/>
    <s v="1180"/>
    <n v="21"/>
    <n v="0.96440677966101696"/>
    <n v="4.5924132364810334E-2"/>
  </r>
  <r>
    <x v="0"/>
    <x v="1"/>
    <x v="1"/>
    <s v="M00000364264"/>
    <d v="2008-05-29T00:00:00"/>
    <n v="0"/>
    <n v="83.2"/>
    <n v="1613.45"/>
    <n v="325"/>
    <x v="2"/>
    <s v="38"/>
    <s v="1300"/>
    <n v="27"/>
    <n v="1.2411153846153846"/>
    <n v="4.5967236467236466E-2"/>
  </r>
  <r>
    <x v="0"/>
    <x v="1"/>
    <x v="1"/>
    <s v="M00000279550"/>
    <d v="2007-07-19T00:00:00"/>
    <n v="0"/>
    <n v="99.84"/>
    <n v="1438.01"/>
    <n v="390"/>
    <x v="6"/>
    <s v="38"/>
    <s v="1560"/>
    <n v="20"/>
    <n v="0.92180128205128209"/>
    <n v="4.6090064102564103E-2"/>
  </r>
  <r>
    <x v="0"/>
    <x v="1"/>
    <x v="1"/>
    <s v="M00000371518"/>
    <d v="2008-07-03T00:00:00"/>
    <n v="0"/>
    <n v="47.04"/>
    <n v="1020"/>
    <n v="183.75"/>
    <x v="1"/>
    <s v="38"/>
    <s v="735"/>
    <n v="30"/>
    <n v="1.3877551020408163"/>
    <n v="4.6258503401360541E-2"/>
  </r>
  <r>
    <x v="0"/>
    <x v="1"/>
    <x v="1"/>
    <s v="M00000301151"/>
    <d v="2007-09-27T00:00:00"/>
    <n v="0"/>
    <n v="28.67"/>
    <n v="622"/>
    <n v="112"/>
    <x v="1"/>
    <s v="38"/>
    <s v="448"/>
    <n v="30"/>
    <n v="1.3883928571428572"/>
    <n v="4.6279761904761907E-2"/>
  </r>
  <r>
    <x v="0"/>
    <x v="1"/>
    <x v="1"/>
    <s v="M00000303098"/>
    <d v="2007-10-04T00:00:00"/>
    <n v="0"/>
    <n v="78.849999999999994"/>
    <n v="1540"/>
    <n v="308"/>
    <x v="2"/>
    <s v="38"/>
    <s v="1232"/>
    <n v="27"/>
    <n v="1.25"/>
    <n v="4.6296296296296294E-2"/>
  </r>
  <r>
    <x v="0"/>
    <x v="1"/>
    <x v="1"/>
    <s v="M00000371346"/>
    <d v="2008-06-26T00:00:00"/>
    <n v="0"/>
    <n v="89.6"/>
    <n v="1750"/>
    <n v="350"/>
    <x v="2"/>
    <s v="38"/>
    <s v="1400"/>
    <n v="27"/>
    <n v="1.25"/>
    <n v="4.6296296296296294E-2"/>
  </r>
  <r>
    <x v="0"/>
    <x v="1"/>
    <x v="1"/>
    <s v="M00000318134"/>
    <d v="2007-12-06T00:00:00"/>
    <n v="0"/>
    <n v="64"/>
    <n v="1389"/>
    <n v="250"/>
    <x v="1"/>
    <s v="38"/>
    <s v="1000"/>
    <n v="30"/>
    <n v="1.389"/>
    <n v="4.6300000000000001E-2"/>
  </r>
  <r>
    <x v="0"/>
    <x v="1"/>
    <x v="1"/>
    <s v="M00000286621"/>
    <d v="2007-08-23T00:00:00"/>
    <n v="0"/>
    <n v="21.89"/>
    <n v="601.99"/>
    <n v="85.5"/>
    <x v="0"/>
    <s v="38"/>
    <s v="342"/>
    <n v="38"/>
    <n v="1.7602046783625731"/>
    <n v="4.6321175746383503E-2"/>
  </r>
  <r>
    <x v="0"/>
    <x v="1"/>
    <x v="1"/>
    <s v="M00000300883"/>
    <d v="2007-09-27T00:00:00"/>
    <n v="0"/>
    <n v="57.98"/>
    <n v="840.23"/>
    <n v="226.5"/>
    <x v="6"/>
    <s v="38"/>
    <s v="906"/>
    <n v="20"/>
    <n v="0.92740618101545258"/>
    <n v="4.6370309050772628E-2"/>
  </r>
  <r>
    <x v="0"/>
    <x v="1"/>
    <x v="1"/>
    <s v="M00000370872"/>
    <d v="2008-06-26T00:00:00"/>
    <n v="0"/>
    <n v="54.27"/>
    <n v="787"/>
    <n v="212"/>
    <x v="6"/>
    <s v="38"/>
    <s v="848"/>
    <n v="20"/>
    <n v="0.92806603773584906"/>
    <n v="4.6403301886792453E-2"/>
  </r>
  <r>
    <x v="0"/>
    <x v="1"/>
    <x v="1"/>
    <s v="M00000359172"/>
    <d v="2008-05-08T00:00:00"/>
    <n v="0"/>
    <n v="86.02"/>
    <n v="1690"/>
    <n v="336"/>
    <x v="2"/>
    <s v="38"/>
    <s v="1344"/>
    <n v="27"/>
    <n v="1.2574404761904763"/>
    <n v="4.6571869488536158E-2"/>
  </r>
  <r>
    <x v="0"/>
    <x v="1"/>
    <x v="1"/>
    <s v="M00000371793"/>
    <d v="2008-07-03T00:00:00"/>
    <n v="0"/>
    <n v="54.14"/>
    <n v="1500"/>
    <n v="211.5"/>
    <x v="0"/>
    <s v="38"/>
    <s v="846"/>
    <n v="38"/>
    <n v="1.7730496453900708"/>
    <n v="4.6659201194475551E-2"/>
  </r>
  <r>
    <x v="0"/>
    <x v="1"/>
    <x v="1"/>
    <s v="M00000343489"/>
    <d v="2008-03-06T00:00:00"/>
    <n v="0"/>
    <n v="83.2"/>
    <n v="1820"/>
    <n v="325"/>
    <x v="1"/>
    <s v="38"/>
    <s v="1300"/>
    <n v="30"/>
    <n v="1.4"/>
    <n v="4.6666666666666662E-2"/>
  </r>
  <r>
    <x v="0"/>
    <x v="1"/>
    <x v="1"/>
    <s v="M00000333815"/>
    <d v="2008-01-24T00:00:00"/>
    <n v="0"/>
    <n v="51.2"/>
    <n v="784"/>
    <n v="200"/>
    <x v="5"/>
    <s v="40"/>
    <s v="800"/>
    <n v="21"/>
    <n v="0.98"/>
    <n v="4.6666666666666669E-2"/>
  </r>
  <r>
    <x v="0"/>
    <x v="1"/>
    <x v="1"/>
    <s v="M00000343419"/>
    <d v="2008-03-13T00:00:00"/>
    <n v="0"/>
    <n v="109.25"/>
    <n v="2390"/>
    <n v="426.75"/>
    <x v="1"/>
    <s v="38"/>
    <s v="1707"/>
    <n v="30"/>
    <n v="1.400117164616286"/>
    <n v="4.6670572153876197E-2"/>
  </r>
  <r>
    <x v="0"/>
    <x v="1"/>
    <x v="1"/>
    <s v="M00000361734"/>
    <d v="2008-05-22T00:00:00"/>
    <n v="0"/>
    <n v="79.94"/>
    <n v="1749.2"/>
    <n v="312.25"/>
    <x v="1"/>
    <s v="38"/>
    <s v="1249"/>
    <n v="30"/>
    <n v="1.400480384307446"/>
    <n v="4.6682679476914866E-2"/>
  </r>
  <r>
    <x v="0"/>
    <x v="1"/>
    <x v="1"/>
    <s v="M00000271796"/>
    <d v="2007-05-17T00:00:00"/>
    <n v="0"/>
    <n v="21.5"/>
    <n v="598.08000000000004"/>
    <n v="84"/>
    <x v="0"/>
    <s v="38"/>
    <s v="336"/>
    <n v="38"/>
    <n v="1.78"/>
    <n v="4.6842105263157893E-2"/>
  </r>
  <r>
    <x v="0"/>
    <x v="1"/>
    <x v="1"/>
    <s v="M00000340668"/>
    <d v="2008-02-21T00:00:00"/>
    <n v="0"/>
    <n v="49.92"/>
    <n v="988"/>
    <n v="195"/>
    <x v="2"/>
    <s v="38"/>
    <s v="780"/>
    <n v="27"/>
    <n v="1.2666666666666666"/>
    <n v="4.6913580246913576E-2"/>
  </r>
  <r>
    <x v="0"/>
    <x v="1"/>
    <x v="1"/>
    <s v="M00000286349"/>
    <d v="2007-07-26T00:00:00"/>
    <n v="0"/>
    <n v="54.14"/>
    <n v="1193.96"/>
    <n v="211.5"/>
    <x v="1"/>
    <s v="38"/>
    <s v="846"/>
    <n v="30"/>
    <n v="1.4113002364066194"/>
    <n v="4.7043341213553982E-2"/>
  </r>
  <r>
    <x v="0"/>
    <x v="1"/>
    <x v="1"/>
    <s v="M00000331920"/>
    <d v="2008-01-31T00:00:00"/>
    <n v="0"/>
    <n v="47.04"/>
    <n v="885"/>
    <n v="183.75"/>
    <x v="3"/>
    <s v="38"/>
    <s v="750"/>
    <n v="25"/>
    <n v="1.18"/>
    <n v="4.7199999999999999E-2"/>
  </r>
  <r>
    <x v="0"/>
    <x v="1"/>
    <x v="1"/>
    <s v="M00000331924"/>
    <d v="2008-01-31T00:00:00"/>
    <n v="0"/>
    <n v="47.04"/>
    <n v="885"/>
    <n v="183.75"/>
    <x v="3"/>
    <s v="38"/>
    <s v="750"/>
    <n v="25"/>
    <n v="1.18"/>
    <n v="4.7199999999999999E-2"/>
  </r>
  <r>
    <x v="0"/>
    <x v="1"/>
    <x v="1"/>
    <s v="M00000294805"/>
    <d v="2007-09-20T00:00:00"/>
    <n v="0"/>
    <n v="45.06"/>
    <n v="898.02"/>
    <n v="176"/>
    <x v="2"/>
    <s v="38"/>
    <s v="704"/>
    <n v="27"/>
    <n v="1.2755965909090909"/>
    <n v="4.7244318181818186E-2"/>
  </r>
  <r>
    <x v="0"/>
    <x v="1"/>
    <x v="1"/>
    <s v="M00000309771"/>
    <d v="2007-11-01T00:00:00"/>
    <n v="0"/>
    <n v="32"/>
    <n v="900"/>
    <n v="125"/>
    <x v="0"/>
    <s v="38"/>
    <s v="500"/>
    <n v="38"/>
    <n v="1.8"/>
    <n v="4.736842105263158E-2"/>
  </r>
  <r>
    <x v="0"/>
    <x v="1"/>
    <x v="1"/>
    <s v="M00000272308"/>
    <d v="2007-07-26T00:00:00"/>
    <n v="0"/>
    <n v="7.3"/>
    <n v="124.26"/>
    <n v="28.5"/>
    <x v="0"/>
    <s v="23"/>
    <s v="114"/>
    <n v="23"/>
    <n v="1.0900000000000001"/>
    <n v="4.739130434782609E-2"/>
  </r>
  <r>
    <x v="0"/>
    <x v="1"/>
    <x v="1"/>
    <s v="M00000280521"/>
    <d v="2007-06-28T00:00:00"/>
    <n v="0"/>
    <n v="69.44"/>
    <n v="1548.95"/>
    <n v="271.25"/>
    <x v="2"/>
    <s v="41"/>
    <s v="1085"/>
    <n v="30"/>
    <n v="1.4276036866359447"/>
    <n v="4.7586789554531488E-2"/>
  </r>
  <r>
    <x v="0"/>
    <x v="1"/>
    <x v="1"/>
    <s v="M00000293463"/>
    <d v="2007-08-23T00:00:00"/>
    <n v="0"/>
    <n v="115.2"/>
    <n v="1713.96"/>
    <n v="450"/>
    <x v="6"/>
    <s v="38"/>
    <s v="1800"/>
    <n v="20"/>
    <n v="0.95220000000000005"/>
    <n v="4.761E-2"/>
  </r>
  <r>
    <x v="0"/>
    <x v="1"/>
    <x v="1"/>
    <s v="M00000283941"/>
    <d v="2007-08-09T00:00:00"/>
    <n v="0"/>
    <n v="26.88"/>
    <n v="462"/>
    <n v="105"/>
    <x v="4"/>
    <s v="38"/>
    <s v="420"/>
    <n v="23"/>
    <n v="1.1000000000000001"/>
    <n v="4.7826086956521741E-2"/>
  </r>
  <r>
    <x v="0"/>
    <x v="1"/>
    <x v="1"/>
    <s v="M00000352996"/>
    <d v="2008-04-10T00:00:00"/>
    <n v="0"/>
    <n v="48"/>
    <n v="1373.07"/>
    <n v="187.5"/>
    <x v="0"/>
    <s v="38"/>
    <s v="750"/>
    <n v="38"/>
    <n v="1.8307599999999999"/>
    <n v="4.8177894736842107E-2"/>
  </r>
  <r>
    <x v="0"/>
    <x v="1"/>
    <x v="1"/>
    <s v="M00000269753"/>
    <d v="2007-08-30T00:00:00"/>
    <n v="0"/>
    <n v="76.03"/>
    <n v="1430.95"/>
    <n v="297"/>
    <x v="3"/>
    <s v="38"/>
    <s v="1188"/>
    <n v="25"/>
    <n v="1.2045033670033671"/>
    <n v="4.8180134680134684E-2"/>
  </r>
  <r>
    <x v="0"/>
    <x v="1"/>
    <x v="1"/>
    <s v="M00000332248"/>
    <d v="2008-01-17T00:00:00"/>
    <n v="0"/>
    <n v="124.74"/>
    <n v="1892"/>
    <n v="487.25"/>
    <x v="6"/>
    <s v="38"/>
    <s v="1949"/>
    <n v="20"/>
    <n v="0.97075423293996921"/>
    <n v="4.8537711646998459E-2"/>
  </r>
  <r>
    <x v="0"/>
    <x v="1"/>
    <x v="1"/>
    <s v="M00000356281"/>
    <d v="2008-04-30T00:00:00"/>
    <n v="0"/>
    <n v="51.84"/>
    <n v="1495"/>
    <n v="202.5"/>
    <x v="0"/>
    <s v="38"/>
    <s v="810"/>
    <n v="38"/>
    <n v="1.845679012345679"/>
    <n v="4.8570500324886287E-2"/>
  </r>
  <r>
    <x v="0"/>
    <x v="1"/>
    <x v="1"/>
    <s v="M00000293725"/>
    <d v="2007-09-20T00:00:00"/>
    <n v="0"/>
    <n v="55.68"/>
    <n v="1606.02"/>
    <n v="217.5"/>
    <x v="0"/>
    <s v="38"/>
    <s v="870"/>
    <n v="38"/>
    <n v="1.8460000000000001"/>
    <n v="4.8578947368421055E-2"/>
  </r>
  <r>
    <x v="0"/>
    <x v="1"/>
    <x v="1"/>
    <s v="M00000278739"/>
    <d v="2007-06-21T00:00:00"/>
    <n v="0"/>
    <n v="46.72"/>
    <n v="1349.99"/>
    <n v="182.5"/>
    <x v="0"/>
    <s v="38"/>
    <s v="730"/>
    <n v="38"/>
    <n v="1.8493013698630136"/>
    <n v="4.8665825522710884E-2"/>
  </r>
  <r>
    <x v="0"/>
    <x v="1"/>
    <x v="1"/>
    <s v="M00000280520"/>
    <d v="2007-10-11T00:00:00"/>
    <n v="0"/>
    <n v="55.04"/>
    <n v="928.71"/>
    <n v="215"/>
    <x v="7"/>
    <s v="38"/>
    <s v="860"/>
    <n v="22"/>
    <n v="1.0798953488372094"/>
    <n v="4.9086152219873155E-2"/>
  </r>
  <r>
    <x v="0"/>
    <x v="1"/>
    <x v="1"/>
    <s v="M00000298072"/>
    <d v="2007-10-11T00:00:00"/>
    <n v="0"/>
    <n v="42.24"/>
    <n v="647.99"/>
    <n v="165"/>
    <x v="6"/>
    <s v="38"/>
    <s v="660"/>
    <n v="20"/>
    <n v="0.98180303030303029"/>
    <n v="4.9090151515151517E-2"/>
  </r>
  <r>
    <x v="0"/>
    <x v="1"/>
    <x v="1"/>
    <s v="M00000339901"/>
    <d v="2008-03-27T00:00:00"/>
    <n v="0"/>
    <n v="57.6"/>
    <n v="1200"/>
    <n v="225"/>
    <x v="2"/>
    <s v="38"/>
    <s v="900"/>
    <n v="27"/>
    <n v="1.3333333333333333"/>
    <n v="4.9382716049382713E-2"/>
  </r>
  <r>
    <x v="0"/>
    <x v="1"/>
    <x v="1"/>
    <s v="M00000274936"/>
    <d v="2007-06-07T00:00:00"/>
    <n v="0"/>
    <n v="55.36"/>
    <n v="1624.21"/>
    <n v="216.25"/>
    <x v="0"/>
    <s v="38"/>
    <s v="865"/>
    <n v="38"/>
    <n v="1.877699421965318"/>
    <n v="4.9413142683297842E-2"/>
  </r>
  <r>
    <x v="0"/>
    <x v="1"/>
    <x v="1"/>
    <s v="M00000277815"/>
    <d v="2007-06-21T00:00:00"/>
    <n v="0"/>
    <n v="58.56"/>
    <n v="1227.02"/>
    <n v="228.75"/>
    <x v="2"/>
    <s v="38"/>
    <s v="915"/>
    <n v="27"/>
    <n v="1.3410054644808742"/>
    <n v="4.9666869054847192E-2"/>
  </r>
  <r>
    <x v="0"/>
    <x v="1"/>
    <x v="1"/>
    <s v="M00000343121"/>
    <d v="2008-03-06T00:00:00"/>
    <n v="0"/>
    <n v="72.959999999999994"/>
    <n v="2152"/>
    <n v="285"/>
    <x v="0"/>
    <s v="38"/>
    <s v="1140"/>
    <n v="38"/>
    <n v="1.8877192982456141"/>
    <n v="4.9676823638042475E-2"/>
  </r>
  <r>
    <x v="0"/>
    <x v="1"/>
    <x v="1"/>
    <s v="M00000349997"/>
    <d v="2008-03-27T00:00:00"/>
    <n v="0"/>
    <n v="16.899999999999999"/>
    <n v="250"/>
    <n v="66"/>
    <x v="5"/>
    <s v="38"/>
    <s v="264"/>
    <n v="19"/>
    <n v="0.94696969696969702"/>
    <n v="4.9840510366826157E-2"/>
  </r>
  <r>
    <x v="0"/>
    <x v="1"/>
    <x v="1"/>
    <s v="M00000373538"/>
    <d v="2008-07-10T00:00:00"/>
    <n v="0"/>
    <n v="35.33"/>
    <n v="662.21"/>
    <n v="138"/>
    <x v="18"/>
    <s v="38"/>
    <s v="552"/>
    <n v="24"/>
    <n v="1.1996557971014494"/>
    <n v="4.9985658212560395E-2"/>
  </r>
  <r>
    <x v="0"/>
    <x v="1"/>
    <x v="1"/>
    <s v="M00000311449"/>
    <d v="2007-11-09T00:00:00"/>
    <n v="0"/>
    <n v="116.35"/>
    <n v="2833"/>
    <n v="454.5"/>
    <x v="16"/>
    <s v="38"/>
    <s v="1818"/>
    <n v="31"/>
    <n v="1.5583058305830584"/>
    <n v="5.0267930018808332E-2"/>
  </r>
  <r>
    <x v="0"/>
    <x v="1"/>
    <x v="1"/>
    <s v="M00000342038"/>
    <d v="2008-03-27T00:00:00"/>
    <n v="0"/>
    <n v="29.82"/>
    <n v="870"/>
    <n v="116.5"/>
    <x v="16"/>
    <s v="44"/>
    <s v="466"/>
    <n v="37"/>
    <n v="1.8669527896995708"/>
    <n v="5.0458183505393807E-2"/>
  </r>
  <r>
    <x v="0"/>
    <x v="1"/>
    <x v="1"/>
    <s v="M00000353884"/>
    <d v="2008-04-17T00:00:00"/>
    <n v="0"/>
    <n v="102.4"/>
    <n v="1615.68"/>
    <n v="400"/>
    <x v="5"/>
    <s v="39"/>
    <s v="1600"/>
    <n v="20"/>
    <n v="1.0098"/>
    <n v="5.049E-2"/>
  </r>
  <r>
    <x v="0"/>
    <x v="1"/>
    <x v="1"/>
    <s v="M00000325011"/>
    <d v="2007-12-27T00:00:00"/>
    <n v="0"/>
    <n v="36.799999999999997"/>
    <n v="785"/>
    <n v="143.75"/>
    <x v="2"/>
    <s v="38"/>
    <s v="575"/>
    <n v="27"/>
    <n v="1.3652173913043477"/>
    <n v="5.0563607085346213E-2"/>
  </r>
  <r>
    <x v="0"/>
    <x v="1"/>
    <x v="1"/>
    <s v="M00000339662"/>
    <d v="2008-02-29T00:00:00"/>
    <n v="0"/>
    <n v="68.8"/>
    <n v="1034"/>
    <n v="268.75"/>
    <x v="5"/>
    <s v="38"/>
    <s v="1075"/>
    <n v="19"/>
    <n v="0.9618604651162791"/>
    <n v="5.0624235006119955E-2"/>
  </r>
  <r>
    <x v="0"/>
    <x v="1"/>
    <x v="1"/>
    <s v="M00000335064"/>
    <d v="2008-01-31T00:00:00"/>
    <n v="0"/>
    <n v="70.400000000000006"/>
    <n v="1290"/>
    <n v="275"/>
    <x v="4"/>
    <s v="38"/>
    <s v="1100"/>
    <n v="23"/>
    <n v="1.1727272727272726"/>
    <n v="5.0988142292490116E-2"/>
  </r>
  <r>
    <x v="0"/>
    <x v="1"/>
    <x v="1"/>
    <s v="M00000337108"/>
    <d v="2008-02-07T00:00:00"/>
    <n v="0"/>
    <n v="12.8"/>
    <n v="235"/>
    <n v="50"/>
    <x v="4"/>
    <s v="38"/>
    <s v="200"/>
    <n v="23"/>
    <n v="1.175"/>
    <n v="5.1086956521739134E-2"/>
  </r>
  <r>
    <x v="0"/>
    <x v="1"/>
    <x v="1"/>
    <s v="M00000354913"/>
    <d v="2008-04-24T00:00:00"/>
    <n v="0"/>
    <n v="16.7"/>
    <n v="307"/>
    <n v="65.25"/>
    <x v="4"/>
    <s v="38"/>
    <s v="261"/>
    <n v="23"/>
    <n v="1.1762452107279693"/>
    <n v="5.1141096118607357E-2"/>
  </r>
  <r>
    <x v="0"/>
    <x v="1"/>
    <x v="1"/>
    <s v="M00000327286"/>
    <d v="2007-12-31T00:00:00"/>
    <n v="0"/>
    <n v="97.02"/>
    <n v="1551"/>
    <n v="379"/>
    <x v="6"/>
    <s v="38"/>
    <s v="1516"/>
    <n v="20"/>
    <n v="1.0230870712401055"/>
    <n v="5.1154353562005275E-2"/>
  </r>
  <r>
    <x v="0"/>
    <x v="1"/>
    <x v="1"/>
    <s v="M00000340273"/>
    <d v="2008-02-14T00:00:00"/>
    <n v="0"/>
    <n v="96.26"/>
    <n v="2078"/>
    <n v="376"/>
    <x v="2"/>
    <s v="38"/>
    <s v="1504"/>
    <n v="27"/>
    <n v="1.3816489361702127"/>
    <n v="5.1172182821118989E-2"/>
  </r>
  <r>
    <x v="0"/>
    <x v="1"/>
    <x v="1"/>
    <s v="M00000346525"/>
    <d v="2008-04-03T00:00:00"/>
    <n v="0"/>
    <n v="152.77000000000001"/>
    <n v="2448.8200000000002"/>
    <n v="596.75"/>
    <x v="0"/>
    <s v="20"/>
    <s v="2387"/>
    <n v="20"/>
    <n v="1.0258986175115208"/>
    <n v="5.1294930875576038E-2"/>
  </r>
  <r>
    <x v="0"/>
    <x v="1"/>
    <x v="1"/>
    <s v="M00000332193"/>
    <d v="2007-12-31T00:00:00"/>
    <n v="0"/>
    <n v="54.14"/>
    <n v="1525"/>
    <n v="211.5"/>
    <x v="13"/>
    <s v="38"/>
    <s v="846"/>
    <n v="35"/>
    <n v="1.8026004728132388"/>
    <n v="5.1502870651806823E-2"/>
  </r>
  <r>
    <x v="0"/>
    <x v="1"/>
    <x v="1"/>
    <s v="M00000291432"/>
    <d v="2007-11-15T00:00:00"/>
    <n v="0"/>
    <n v="26.88"/>
    <n v="585.02"/>
    <n v="105"/>
    <x v="2"/>
    <s v="38"/>
    <s v="420"/>
    <n v="27"/>
    <n v="1.3929047619047619"/>
    <n v="5.1589065255731918E-2"/>
  </r>
  <r>
    <x v="0"/>
    <x v="1"/>
    <x v="1"/>
    <s v="M00000326066"/>
    <d v="2007-12-31T00:00:00"/>
    <n v="0"/>
    <n v="64.510000000000005"/>
    <n v="1043"/>
    <n v="252"/>
    <x v="6"/>
    <s v="38"/>
    <s v="1008"/>
    <n v="20"/>
    <n v="1.0347222222222223"/>
    <n v="5.1736111111111115E-2"/>
  </r>
  <r>
    <x v="0"/>
    <x v="1"/>
    <x v="1"/>
    <s v="M00000316363"/>
    <d v="2007-11-29T00:00:00"/>
    <n v="0"/>
    <n v="48.9"/>
    <n v="791"/>
    <n v="191"/>
    <x v="6"/>
    <s v="38"/>
    <s v="764"/>
    <n v="20"/>
    <n v="1.0353403141361257"/>
    <n v="5.1767015706806287E-2"/>
  </r>
  <r>
    <x v="0"/>
    <x v="1"/>
    <x v="1"/>
    <s v="M00000302052"/>
    <d v="2007-09-28T00:00:00"/>
    <n v="0"/>
    <n v="81.92"/>
    <n v="1792"/>
    <n v="320"/>
    <x v="2"/>
    <s v="38"/>
    <s v="1280"/>
    <n v="27"/>
    <n v="1.4"/>
    <n v="5.185185185185185E-2"/>
  </r>
  <r>
    <x v="0"/>
    <x v="1"/>
    <x v="1"/>
    <s v="M00000336974"/>
    <d v="2008-02-29T00:00:00"/>
    <n v="0"/>
    <n v="44.16"/>
    <n v="1039"/>
    <n v="172.5"/>
    <x v="8"/>
    <s v="38"/>
    <s v="690"/>
    <n v="29"/>
    <n v="1.5057971014492753"/>
    <n v="5.1924037981009488E-2"/>
  </r>
  <r>
    <x v="0"/>
    <x v="1"/>
    <x v="1"/>
    <s v="M00000351633"/>
    <d v="2008-04-03T00:00:00"/>
    <n v="0"/>
    <n v="88.32"/>
    <n v="2154"/>
    <n v="345"/>
    <x v="1"/>
    <s v="38"/>
    <s v="1380"/>
    <n v="30"/>
    <n v="1.5608695652173914"/>
    <n v="5.2028985507246377E-2"/>
  </r>
  <r>
    <x v="0"/>
    <x v="1"/>
    <x v="1"/>
    <s v="M00000340828"/>
    <d v="2008-02-21T00:00:00"/>
    <n v="0"/>
    <n v="70.400000000000006"/>
    <n v="1550"/>
    <n v="275"/>
    <x v="2"/>
    <s v="38"/>
    <s v="1100"/>
    <n v="27"/>
    <n v="1.4090909090909092"/>
    <n v="5.2188552188552194E-2"/>
  </r>
  <r>
    <x v="0"/>
    <x v="1"/>
    <x v="1"/>
    <s v="M00000276417"/>
    <d v="2007-06-14T00:00:00"/>
    <n v="0"/>
    <n v="31.74"/>
    <n v="545"/>
    <n v="124"/>
    <x v="15"/>
    <s v="38"/>
    <s v="496"/>
    <n v="21"/>
    <n v="1.0987903225806452"/>
    <n v="5.2323348694316443E-2"/>
  </r>
  <r>
    <x v="0"/>
    <x v="1"/>
    <x v="1"/>
    <s v="M00000343339"/>
    <d v="2008-03-06T00:00:00"/>
    <n v="0"/>
    <n v="52.61"/>
    <n v="1295"/>
    <n v="205.5"/>
    <x v="1"/>
    <s v="38"/>
    <s v="822"/>
    <n v="30"/>
    <n v="1.5754257907542579"/>
    <n v="5.2514193025141931E-2"/>
  </r>
  <r>
    <x v="0"/>
    <x v="1"/>
    <x v="1"/>
    <s v="M00000299774"/>
    <d v="2007-10-25T00:00:00"/>
    <n v="0"/>
    <n v="53.12"/>
    <n v="1094"/>
    <n v="207.5"/>
    <x v="3"/>
    <s v="38"/>
    <s v="830"/>
    <n v="25"/>
    <n v="1.3180722891566266"/>
    <n v="5.2722891566265064E-2"/>
  </r>
  <r>
    <x v="0"/>
    <x v="1"/>
    <x v="1"/>
    <s v="M00000289779"/>
    <d v="2007-08-30T00:00:00"/>
    <n v="0"/>
    <n v="92.16"/>
    <n v="2050.9899999999998"/>
    <n v="360"/>
    <x v="2"/>
    <s v="38"/>
    <s v="1440"/>
    <n v="27"/>
    <n v="1.4242986111111109"/>
    <n v="5.2751800411522623E-2"/>
  </r>
  <r>
    <x v="0"/>
    <x v="1"/>
    <x v="1"/>
    <s v="M00000331527"/>
    <d v="2007-12-31T00:00:00"/>
    <n v="0"/>
    <n v="57.34"/>
    <n v="1468"/>
    <n v="224"/>
    <x v="16"/>
    <s v="38"/>
    <s v="896"/>
    <n v="31"/>
    <n v="1.6383928571428572"/>
    <n v="5.2851382488479266E-2"/>
  </r>
  <r>
    <x v="0"/>
    <x v="1"/>
    <x v="1"/>
    <s v="M00000313979"/>
    <d v="2007-11-21T00:00:00"/>
    <n v="0"/>
    <n v="67.010000000000005"/>
    <n v="2111"/>
    <n v="261.75"/>
    <x v="0"/>
    <s v="38"/>
    <s v="1047"/>
    <n v="38"/>
    <n v="2.0162368672397326"/>
    <n v="5.3058864927361386E-2"/>
  </r>
  <r>
    <x v="0"/>
    <x v="1"/>
    <x v="1"/>
    <s v="M00000304224"/>
    <d v="2007-10-11T00:00:00"/>
    <n v="0"/>
    <n v="41.15"/>
    <n v="1160"/>
    <n v="160.75"/>
    <x v="9"/>
    <s v="38"/>
    <s v="643"/>
    <n v="34"/>
    <n v="1.8040435458786936"/>
    <n v="5.306010429054981E-2"/>
  </r>
  <r>
    <x v="0"/>
    <x v="1"/>
    <x v="1"/>
    <s v="M00000326886"/>
    <d v="2007-12-31T00:00:00"/>
    <n v="0"/>
    <n v="151.41999999999999"/>
    <n v="4784"/>
    <n v="591.5"/>
    <x v="0"/>
    <s v="38"/>
    <s v="2366"/>
    <n v="38"/>
    <n v="2.0219780219780219"/>
    <n v="5.320994794679005E-2"/>
  </r>
  <r>
    <x v="0"/>
    <x v="1"/>
    <x v="1"/>
    <s v="M00000326886"/>
    <d v="2008-03-27T00:00:00"/>
    <n v="0"/>
    <n v="-151.41999999999999"/>
    <n v="4784"/>
    <n v="591.5"/>
    <x v="0"/>
    <s v="38"/>
    <s v="2366"/>
    <n v="38"/>
    <n v="2.0219780219780219"/>
    <n v="5.320994794679005E-2"/>
  </r>
  <r>
    <x v="0"/>
    <x v="1"/>
    <x v="1"/>
    <s v="M00000350316"/>
    <d v="2008-03-27T00:00:00"/>
    <n v="0"/>
    <n v="151.41999999999999"/>
    <n v="4787"/>
    <n v="591.5"/>
    <x v="0"/>
    <s v="38"/>
    <s v="2366"/>
    <n v="38"/>
    <n v="2.0232459847844462"/>
    <n v="5.324331538906437E-2"/>
  </r>
  <r>
    <x v="0"/>
    <x v="1"/>
    <x v="1"/>
    <s v="M00000350316"/>
    <d v="2008-04-10T00:00:00"/>
    <n v="0"/>
    <n v="-151.41999999999999"/>
    <n v="4787"/>
    <n v="591.5"/>
    <x v="0"/>
    <s v="38"/>
    <s v="2366"/>
    <n v="38"/>
    <n v="2.0232459847844462"/>
    <n v="5.324331538906437E-2"/>
  </r>
  <r>
    <x v="0"/>
    <x v="1"/>
    <x v="1"/>
    <s v="M00000273237"/>
    <d v="2007-05-24T00:00:00"/>
    <n v="0"/>
    <n v="30.72"/>
    <n v="514.99"/>
    <n v="120"/>
    <x v="6"/>
    <s v="38"/>
    <s v="480"/>
    <n v="20"/>
    <n v="1.0728958333333334"/>
    <n v="5.364479166666667E-2"/>
  </r>
  <r>
    <x v="0"/>
    <x v="1"/>
    <x v="1"/>
    <s v="M00000334728"/>
    <d v="2008-02-14T00:00:00"/>
    <n v="0"/>
    <n v="80.77"/>
    <n v="1425"/>
    <n v="315.5"/>
    <x v="15"/>
    <s v="38"/>
    <s v="1262"/>
    <n v="21"/>
    <n v="1.1291600633914423"/>
    <n v="5.3769526828163917E-2"/>
  </r>
  <r>
    <x v="0"/>
    <x v="1"/>
    <x v="1"/>
    <s v="M00000296454"/>
    <d v="2007-09-06T00:00:00"/>
    <n v="0"/>
    <n v="89.66"/>
    <n v="2879.06"/>
    <n v="350.25"/>
    <x v="0"/>
    <s v="38"/>
    <s v="1401"/>
    <n v="38"/>
    <n v="2.0550035688793717"/>
    <n v="5.4079041286299256E-2"/>
  </r>
  <r>
    <x v="0"/>
    <x v="1"/>
    <x v="1"/>
    <s v="M00000327224"/>
    <d v="2007-12-31T00:00:00"/>
    <n v="0"/>
    <n v="22.4"/>
    <n v="729"/>
    <n v="87.5"/>
    <x v="0"/>
    <s v="38"/>
    <s v="350"/>
    <n v="38"/>
    <n v="2.0828571428571427"/>
    <n v="5.4812030075187965E-2"/>
  </r>
  <r>
    <x v="0"/>
    <x v="1"/>
    <x v="1"/>
    <s v="M00000351024"/>
    <d v="2008-05-08T00:00:00"/>
    <n v="0"/>
    <n v="46.85"/>
    <n v="803.58"/>
    <n v="183"/>
    <x v="6"/>
    <s v="38"/>
    <s v="732"/>
    <n v="20"/>
    <n v="1.0977868852459016"/>
    <n v="5.4889344262295081E-2"/>
  </r>
  <r>
    <x v="0"/>
    <x v="1"/>
    <x v="1"/>
    <s v="M00000341196"/>
    <d v="2008-02-29T00:00:00"/>
    <n v="0"/>
    <n v="24.13"/>
    <n v="688"/>
    <n v="94.25"/>
    <x v="10"/>
    <s v="38"/>
    <s v="377"/>
    <n v="33"/>
    <n v="1.8249336870026525"/>
    <n v="5.5301020818262193E-2"/>
  </r>
  <r>
    <x v="0"/>
    <x v="1"/>
    <x v="1"/>
    <s v="M00000269499"/>
    <d v="2007-05-17T00:00:00"/>
    <n v="0"/>
    <n v="41.6"/>
    <n v="975"/>
    <n v="162.5"/>
    <x v="2"/>
    <s v="38"/>
    <s v="650"/>
    <n v="27"/>
    <n v="1.5"/>
    <n v="5.5555555555555552E-2"/>
  </r>
  <r>
    <x v="0"/>
    <x v="1"/>
    <x v="1"/>
    <s v="M00000346901"/>
    <d v="2008-03-13T00:00:00"/>
    <n v="0"/>
    <n v="88.19"/>
    <n v="2067"/>
    <n v="344.5"/>
    <x v="2"/>
    <s v="38"/>
    <s v="1378"/>
    <n v="27"/>
    <n v="1.5"/>
    <n v="5.5555555555555552E-2"/>
  </r>
  <r>
    <x v="0"/>
    <x v="1"/>
    <x v="1"/>
    <s v="M00000355568"/>
    <d v="2008-04-24T00:00:00"/>
    <n v="0"/>
    <n v="76.8"/>
    <n v="1800"/>
    <n v="300"/>
    <x v="2"/>
    <s v="38"/>
    <s v="1200"/>
    <n v="27"/>
    <n v="1.5"/>
    <n v="5.5555555555555552E-2"/>
  </r>
  <r>
    <x v="0"/>
    <x v="1"/>
    <x v="1"/>
    <s v="M00000359116"/>
    <d v="2008-05-08T00:00:00"/>
    <n v="0"/>
    <n v="56.77"/>
    <n v="1528"/>
    <n v="221.75"/>
    <x v="16"/>
    <s v="38"/>
    <s v="887"/>
    <n v="31"/>
    <n v="1.7226606538895153"/>
    <n v="5.5569698512565012E-2"/>
  </r>
  <r>
    <x v="0"/>
    <x v="1"/>
    <x v="1"/>
    <s v="M00000276570"/>
    <d v="2007-06-14T00:00:00"/>
    <n v="0"/>
    <n v="77.760000000000005"/>
    <n v="1354.97"/>
    <n v="303.75"/>
    <x v="6"/>
    <s v="38"/>
    <s v="1215"/>
    <n v="20"/>
    <n v="1.115201646090535"/>
    <n v="5.5760082304526747E-2"/>
  </r>
  <r>
    <x v="0"/>
    <x v="1"/>
    <x v="1"/>
    <s v="M00000292056"/>
    <d v="2007-08-16T00:00:00"/>
    <n v="0"/>
    <n v="56.96"/>
    <n v="596.03"/>
    <n v="222.5"/>
    <x v="3"/>
    <s v="25"/>
    <s v="890"/>
    <n v="12"/>
    <n v="0.66969662921348316"/>
    <n v="5.5808052434456933E-2"/>
  </r>
  <r>
    <x v="0"/>
    <x v="1"/>
    <x v="1"/>
    <s v="M00000364259"/>
    <d v="2008-05-29T00:00:00"/>
    <n v="0"/>
    <n v="140.80000000000001"/>
    <n v="3327.2"/>
    <n v="550"/>
    <x v="2"/>
    <s v="38"/>
    <s v="2200"/>
    <n v="27"/>
    <n v="1.5123636363636364"/>
    <n v="5.6013468013468015E-2"/>
  </r>
  <r>
    <x v="0"/>
    <x v="1"/>
    <x v="1"/>
    <s v="M00000358039"/>
    <d v="2008-05-22T00:00:00"/>
    <n v="0"/>
    <n v="77.25"/>
    <n v="2575"/>
    <n v="301.75"/>
    <x v="0"/>
    <s v="38"/>
    <s v="1207"/>
    <n v="38"/>
    <n v="2.1333885666942836"/>
    <n v="5.6141804386691675E-2"/>
  </r>
  <r>
    <x v="0"/>
    <x v="1"/>
    <x v="1"/>
    <s v="M00000352764"/>
    <d v="2008-04-10T00:00:00"/>
    <n v="0"/>
    <n v="61.44"/>
    <n v="1350"/>
    <n v="240"/>
    <x v="0"/>
    <s v="25"/>
    <s v="960"/>
    <n v="25"/>
    <n v="1.40625"/>
    <n v="5.6250000000000001E-2"/>
  </r>
  <r>
    <x v="0"/>
    <x v="1"/>
    <x v="1"/>
    <s v="M00000337435"/>
    <d v="2008-02-14T00:00:00"/>
    <n v="0"/>
    <n v="98.88"/>
    <n v="2365"/>
    <n v="386.25"/>
    <x v="2"/>
    <s v="38"/>
    <s v="1545"/>
    <n v="27"/>
    <n v="1.5307443365695792"/>
    <n v="5.6694234687762191E-2"/>
  </r>
  <r>
    <x v="0"/>
    <x v="1"/>
    <x v="1"/>
    <s v="M00000373668"/>
    <d v="2008-07-10T00:00:00"/>
    <n v="0"/>
    <n v="32"/>
    <n v="625"/>
    <n v="125"/>
    <x v="1"/>
    <s v="30"/>
    <s v="500"/>
    <n v="22"/>
    <n v="1.25"/>
    <n v="5.6818181818181816E-2"/>
  </r>
  <r>
    <x v="0"/>
    <x v="1"/>
    <x v="1"/>
    <s v="M00000300309"/>
    <d v="2007-09-20T00:00:00"/>
    <n v="0"/>
    <n v="57.34"/>
    <n v="1380"/>
    <n v="224"/>
    <x v="2"/>
    <s v="38"/>
    <s v="896"/>
    <n v="27"/>
    <n v="1.5401785714285714"/>
    <n v="5.7043650793650792E-2"/>
  </r>
  <r>
    <x v="0"/>
    <x v="1"/>
    <x v="1"/>
    <s v="M00000327462"/>
    <d v="2008-01-17T00:00:00"/>
    <n v="0"/>
    <n v="57.6"/>
    <n v="1390"/>
    <n v="225"/>
    <x v="2"/>
    <s v="38"/>
    <s v="900"/>
    <n v="27"/>
    <n v="1.5444444444444445"/>
    <n v="5.7201646090534984E-2"/>
  </r>
  <r>
    <x v="0"/>
    <x v="1"/>
    <x v="1"/>
    <s v="M00000358048"/>
    <d v="2008-05-22T00:00:00"/>
    <n v="0"/>
    <n v="55.1"/>
    <n v="1479"/>
    <n v="215.25"/>
    <x v="1"/>
    <s v="38"/>
    <s v="861"/>
    <n v="30"/>
    <n v="1.7177700348432057"/>
    <n v="5.7259001161440191E-2"/>
  </r>
  <r>
    <x v="0"/>
    <x v="1"/>
    <x v="1"/>
    <s v="M00000349497"/>
    <d v="2008-03-27T00:00:00"/>
    <n v="0"/>
    <n v="51.2"/>
    <n v="873"/>
    <n v="200"/>
    <x v="5"/>
    <s v="38"/>
    <s v="800"/>
    <n v="19"/>
    <n v="1.0912500000000001"/>
    <n v="5.7434210526315789E-2"/>
  </r>
  <r>
    <x v="0"/>
    <x v="1"/>
    <x v="1"/>
    <s v="M00000365324"/>
    <d v="2008-06-12T00:00:00"/>
    <n v="0"/>
    <n v="51.2"/>
    <n v="1388"/>
    <n v="200"/>
    <x v="1"/>
    <s v="38"/>
    <s v="800"/>
    <n v="30"/>
    <n v="1.7350000000000001"/>
    <n v="5.7833333333333334E-2"/>
  </r>
  <r>
    <x v="0"/>
    <x v="1"/>
    <x v="1"/>
    <s v="M00000364261"/>
    <d v="2008-05-29T00:00:00"/>
    <n v="0"/>
    <n v="38.909999999999997"/>
    <n v="703.68"/>
    <n v="152"/>
    <x v="6"/>
    <s v="38"/>
    <s v="608"/>
    <n v="20"/>
    <n v="1.1573684210526316"/>
    <n v="5.7868421052631583E-2"/>
  </r>
  <r>
    <x v="0"/>
    <x v="1"/>
    <x v="1"/>
    <s v="M00000279518"/>
    <d v="2007-06-28T00:00:00"/>
    <n v="0"/>
    <n v="68.22"/>
    <n v="1302.97"/>
    <n v="266.5"/>
    <x v="15"/>
    <s v="38"/>
    <s v="1066"/>
    <n v="21"/>
    <n v="1.2222983114446528"/>
    <n v="5.8204681497364422E-2"/>
  </r>
  <r>
    <x v="0"/>
    <x v="1"/>
    <x v="1"/>
    <s v="M00000350338"/>
    <d v="2008-04-03T00:00:00"/>
    <n v="0"/>
    <n v="72.959999999999994"/>
    <n v="1660"/>
    <n v="285"/>
    <x v="3"/>
    <s v="38"/>
    <s v="1140"/>
    <n v="25"/>
    <n v="1.4561403508771931"/>
    <n v="5.8245614035087726E-2"/>
  </r>
  <r>
    <x v="0"/>
    <x v="1"/>
    <x v="1"/>
    <s v="M00000337119"/>
    <d v="2008-04-10T00:00:00"/>
    <n v="0"/>
    <n v="24.83"/>
    <n v="865"/>
    <n v="97"/>
    <x v="0"/>
    <s v="38"/>
    <s v="388"/>
    <n v="38"/>
    <n v="2.2293814432989691"/>
    <n v="5.8667932718393927E-2"/>
  </r>
  <r>
    <x v="0"/>
    <x v="1"/>
    <x v="1"/>
    <s v="M00000278128"/>
    <d v="2007-06-28T00:00:00"/>
    <n v="0"/>
    <n v="73.47"/>
    <n v="1827.04"/>
    <n v="287"/>
    <x v="2"/>
    <s v="38"/>
    <s v="1148"/>
    <n v="27"/>
    <n v="1.5914982578397212"/>
    <n v="5.8944379919989673E-2"/>
  </r>
  <r>
    <x v="0"/>
    <x v="1"/>
    <x v="1"/>
    <s v="M00000316202"/>
    <d v="2007-11-29T00:00:00"/>
    <n v="0"/>
    <n v="87.1"/>
    <n v="2170"/>
    <n v="340.25"/>
    <x v="2"/>
    <s v="38"/>
    <s v="1361"/>
    <n v="27"/>
    <n v="1.5944158706833211"/>
    <n v="5.9052439654937817E-2"/>
  </r>
  <r>
    <x v="0"/>
    <x v="1"/>
    <x v="1"/>
    <s v="M00000322712"/>
    <d v="2007-12-31T00:00:00"/>
    <n v="0"/>
    <n v="10.88"/>
    <n v="382"/>
    <n v="42.5"/>
    <x v="0"/>
    <s v="38"/>
    <s v="170"/>
    <n v="38"/>
    <n v="2.2470588235294118"/>
    <n v="5.9133126934984521E-2"/>
  </r>
  <r>
    <x v="0"/>
    <x v="1"/>
    <x v="1"/>
    <s v="M00000323826"/>
    <d v="2007-12-20T00:00:00"/>
    <n v="0"/>
    <n v="57.34"/>
    <n v="1590"/>
    <n v="224"/>
    <x v="1"/>
    <s v="38"/>
    <s v="896"/>
    <n v="30"/>
    <n v="1.7745535714285714"/>
    <n v="5.9151785714285712E-2"/>
  </r>
  <r>
    <x v="0"/>
    <x v="1"/>
    <x v="1"/>
    <s v="M00000339032"/>
    <d v="2008-06-05T00:00:00"/>
    <n v="0"/>
    <n v="9.98"/>
    <n v="139"/>
    <n v="39"/>
    <x v="0"/>
    <s v="15"/>
    <s v="156"/>
    <n v="15"/>
    <n v="0.89102564102564108"/>
    <n v="5.9401709401709406E-2"/>
  </r>
  <r>
    <x v="0"/>
    <x v="1"/>
    <x v="1"/>
    <s v="M00000339839"/>
    <d v="2008-03-20T00:00:00"/>
    <n v="0"/>
    <n v="76.8"/>
    <n v="1450"/>
    <n v="300"/>
    <x v="6"/>
    <s v="38"/>
    <s v="1200"/>
    <n v="20"/>
    <n v="1.2083333333333333"/>
    <n v="6.041666666666666E-2"/>
  </r>
  <r>
    <x v="0"/>
    <x v="1"/>
    <x v="1"/>
    <s v="M00000351320"/>
    <d v="2008-04-10T00:00:00"/>
    <n v="0"/>
    <n v="81.92"/>
    <n v="2100"/>
    <n v="320"/>
    <x v="2"/>
    <s v="38"/>
    <s v="1280"/>
    <n v="27"/>
    <n v="1.640625"/>
    <n v="6.0763888888888888E-2"/>
  </r>
  <r>
    <x v="0"/>
    <x v="1"/>
    <x v="1"/>
    <s v="M00000301369"/>
    <d v="2007-09-28T00:00:00"/>
    <n v="0"/>
    <n v="68.48"/>
    <n v="2477"/>
    <n v="267.5"/>
    <x v="0"/>
    <s v="38"/>
    <s v="1070"/>
    <n v="38"/>
    <n v="2.3149532710280374"/>
    <n v="6.0919822921790455E-2"/>
  </r>
  <r>
    <x v="0"/>
    <x v="1"/>
    <x v="1"/>
    <s v="M00000299076"/>
    <d v="2007-10-11T00:00:00"/>
    <n v="0"/>
    <n v="46.08"/>
    <n v="882.74"/>
    <n v="180"/>
    <x v="6"/>
    <s v="38"/>
    <s v="720"/>
    <n v="20"/>
    <n v="1.2260277777777777"/>
    <n v="6.1301388888888884E-2"/>
  </r>
  <r>
    <x v="0"/>
    <x v="1"/>
    <x v="1"/>
    <s v="M00000341296"/>
    <d v="2008-02-29T00:00:00"/>
    <n v="0"/>
    <n v="57.6"/>
    <n v="1658"/>
    <n v="225"/>
    <x v="11"/>
    <s v="40"/>
    <s v="900"/>
    <n v="30"/>
    <n v="1.8422222222222222"/>
    <n v="6.1407407407407404E-2"/>
  </r>
  <r>
    <x v="0"/>
    <x v="1"/>
    <x v="1"/>
    <s v="M00000301796"/>
    <d v="2007-09-28T00:00:00"/>
    <n v="0"/>
    <n v="37.119999999999997"/>
    <n v="1354"/>
    <n v="145"/>
    <x v="0"/>
    <s v="38"/>
    <s v="580"/>
    <n v="38"/>
    <n v="2.3344827586206898"/>
    <n v="6.1433756805807628E-2"/>
  </r>
  <r>
    <x v="0"/>
    <x v="1"/>
    <x v="1"/>
    <s v="M00000351430"/>
    <d v="2008-04-03T00:00:00"/>
    <n v="0"/>
    <n v="62.08"/>
    <n v="1988.5"/>
    <n v="242.5"/>
    <x v="10"/>
    <s v="38"/>
    <s v="970"/>
    <n v="33"/>
    <n v="2.0499999999999998"/>
    <n v="6.2121212121212119E-2"/>
  </r>
  <r>
    <x v="0"/>
    <x v="1"/>
    <x v="1"/>
    <s v="M00000332107"/>
    <d v="2007-12-31T00:00:00"/>
    <n v="0"/>
    <n v="57.6"/>
    <n v="1124"/>
    <n v="225"/>
    <x v="6"/>
    <s v="38"/>
    <s v="900"/>
    <n v="20"/>
    <n v="1.2488888888888889"/>
    <n v="6.2444444444444448E-2"/>
  </r>
  <r>
    <x v="0"/>
    <x v="1"/>
    <x v="1"/>
    <s v="M00000352202"/>
    <d v="2008-06-26T00:00:00"/>
    <n v="0"/>
    <n v="49.92"/>
    <n v="1320"/>
    <n v="195"/>
    <x v="2"/>
    <s v="38"/>
    <s v="780"/>
    <n v="27"/>
    <n v="1.6923076923076923"/>
    <n v="6.2678062678062682E-2"/>
  </r>
  <r>
    <x v="0"/>
    <x v="1"/>
    <x v="1"/>
    <s v="M00000337102"/>
    <d v="2008-02-07T00:00:00"/>
    <n v="0"/>
    <n v="50.24"/>
    <n v="990"/>
    <n v="196.25"/>
    <x v="6"/>
    <s v="38"/>
    <s v="785"/>
    <n v="20"/>
    <n v="1.2611464968152866"/>
    <n v="6.3057324840764331E-2"/>
  </r>
  <r>
    <x v="0"/>
    <x v="1"/>
    <x v="1"/>
    <s v="M00000323586"/>
    <d v="2007-12-20T00:00:00"/>
    <n v="0"/>
    <n v="23.04"/>
    <n v="572"/>
    <n v="90"/>
    <x v="3"/>
    <s v="38"/>
    <s v="360"/>
    <n v="25"/>
    <n v="1.5888888888888888"/>
    <n v="6.3555555555555546E-2"/>
  </r>
  <r>
    <x v="0"/>
    <x v="1"/>
    <x v="1"/>
    <s v="M00000324844"/>
    <d v="2007-12-20T00:00:00"/>
    <n v="0"/>
    <n v="84.48"/>
    <n v="2276.3000000000002"/>
    <n v="330"/>
    <x v="2"/>
    <s v="38"/>
    <s v="1320"/>
    <n v="27"/>
    <n v="1.7244696969696971"/>
    <n v="6.3869248035914705E-2"/>
  </r>
  <r>
    <x v="0"/>
    <x v="1"/>
    <x v="1"/>
    <s v="M00000269068"/>
    <d v="2007-05-10T00:00:00"/>
    <n v="0"/>
    <n v="49.54"/>
    <n v="1137.78"/>
    <n v="193.5"/>
    <x v="4"/>
    <s v="38"/>
    <s v="774"/>
    <n v="23"/>
    <n v="1.47"/>
    <n v="6.3913043478260864E-2"/>
  </r>
  <r>
    <x v="0"/>
    <x v="1"/>
    <x v="1"/>
    <s v="M00000290332"/>
    <d v="2007-08-23T00:00:00"/>
    <n v="0"/>
    <n v="58.88"/>
    <n v="1184.96"/>
    <n v="230"/>
    <x v="6"/>
    <s v="38"/>
    <s v="920"/>
    <n v="20"/>
    <n v="1.288"/>
    <n v="6.4399999999999999E-2"/>
  </r>
  <r>
    <x v="0"/>
    <x v="1"/>
    <x v="1"/>
    <s v="M00000305441"/>
    <d v="2007-11-15T00:00:00"/>
    <n v="0"/>
    <n v="74.05"/>
    <n v="2390.86"/>
    <n v="289.25"/>
    <x v="12"/>
    <s v="38"/>
    <s v="1157"/>
    <n v="32"/>
    <n v="2.0664304235090754"/>
    <n v="6.4575950734658605E-2"/>
  </r>
  <r>
    <x v="0"/>
    <x v="1"/>
    <x v="1"/>
    <s v="M00000275445"/>
    <d v="2007-07-26T00:00:00"/>
    <n v="0"/>
    <n v="81.92"/>
    <n v="2068.9899999999998"/>
    <n v="320"/>
    <x v="0"/>
    <s v="25"/>
    <s v="1280"/>
    <n v="25"/>
    <n v="1.6163984374999998"/>
    <n v="6.4655937499999996E-2"/>
  </r>
  <r>
    <x v="0"/>
    <x v="1"/>
    <x v="1"/>
    <s v="M00000327130"/>
    <d v="2007-12-31T00:00:00"/>
    <n v="0"/>
    <n v="92.42"/>
    <n v="2166"/>
    <n v="361"/>
    <x v="4"/>
    <s v="38"/>
    <s v="1444"/>
    <n v="23"/>
    <n v="1.5"/>
    <n v="6.5217391304347824E-2"/>
  </r>
  <r>
    <x v="0"/>
    <x v="1"/>
    <x v="1"/>
    <s v="M00000346527"/>
    <d v="2008-03-13T00:00:00"/>
    <n v="0"/>
    <n v="89.6"/>
    <n v="1378"/>
    <n v="350"/>
    <x v="0"/>
    <s v="15"/>
    <s v="1400"/>
    <n v="15"/>
    <n v="0.98428571428571432"/>
    <n v="6.5619047619047619E-2"/>
  </r>
  <r>
    <x v="0"/>
    <x v="1"/>
    <x v="1"/>
    <s v="M00000363345"/>
    <d v="2008-05-22T00:00:00"/>
    <n v="0"/>
    <n v="6.4"/>
    <n v="250"/>
    <n v="25"/>
    <x v="0"/>
    <s v="38"/>
    <s v="100"/>
    <n v="38"/>
    <n v="2.5"/>
    <n v="6.5789473684210523E-2"/>
  </r>
  <r>
    <x v="0"/>
    <x v="1"/>
    <x v="1"/>
    <s v="M00000297459"/>
    <d v="2007-09-20T00:00:00"/>
    <n v="0"/>
    <n v="49.92"/>
    <n v="1287"/>
    <n v="195"/>
    <x v="3"/>
    <s v="38"/>
    <s v="780"/>
    <n v="25"/>
    <n v="1.65"/>
    <n v="6.6000000000000003E-2"/>
  </r>
  <r>
    <x v="0"/>
    <x v="1"/>
    <x v="1"/>
    <s v="M00000330998"/>
    <d v="2007-12-31T00:00:00"/>
    <n v="0"/>
    <n v="23.68"/>
    <n v="930"/>
    <n v="92.5"/>
    <x v="0"/>
    <s v="38"/>
    <s v="370"/>
    <n v="38"/>
    <n v="2.5135135135135136"/>
    <n v="6.6145092460881932E-2"/>
  </r>
  <r>
    <x v="0"/>
    <x v="1"/>
    <x v="1"/>
    <s v="M00000354465"/>
    <d v="2008-04-17T00:00:00"/>
    <n v="0"/>
    <n v="38.4"/>
    <n v="1194"/>
    <n v="150"/>
    <x v="1"/>
    <s v="38"/>
    <s v="600"/>
    <n v="30"/>
    <n v="1.99"/>
    <n v="6.6333333333333327E-2"/>
  </r>
  <r>
    <x v="0"/>
    <x v="1"/>
    <x v="1"/>
    <s v="M00000333184"/>
    <d v="2008-01-24T00:00:00"/>
    <n v="0"/>
    <n v="89.6"/>
    <n v="2911"/>
    <n v="350"/>
    <x v="16"/>
    <s v="38"/>
    <s v="1400"/>
    <n v="31"/>
    <n v="2.0792857142857142"/>
    <n v="6.7073732718894011E-2"/>
  </r>
  <r>
    <x v="0"/>
    <x v="1"/>
    <x v="1"/>
    <s v="M00000338985"/>
    <d v="2008-02-14T00:00:00"/>
    <n v="0"/>
    <n v="72.19"/>
    <n v="2044"/>
    <n v="282"/>
    <x v="2"/>
    <s v="38"/>
    <s v="1128"/>
    <n v="27"/>
    <n v="1.8120567375886525"/>
    <n v="6.711321250328342E-2"/>
  </r>
  <r>
    <x v="0"/>
    <x v="1"/>
    <x v="1"/>
    <s v="M00000327379"/>
    <d v="2007-12-31T00:00:00"/>
    <n v="0"/>
    <n v="94.91"/>
    <n v="2203"/>
    <n v="370.75"/>
    <x v="7"/>
    <s v="38"/>
    <s v="1483"/>
    <n v="22"/>
    <n v="1.485502360080917"/>
    <n v="6.752283454913259E-2"/>
  </r>
  <r>
    <x v="0"/>
    <x v="1"/>
    <x v="1"/>
    <s v="M00000368129"/>
    <d v="2008-06-19T00:00:00"/>
    <n v="0"/>
    <n v="101.76"/>
    <n v="4087.5"/>
    <n v="397.5"/>
    <x v="0"/>
    <s v="38"/>
    <s v="1590"/>
    <n v="38"/>
    <n v="2.5707547169811322"/>
    <n v="6.7651439920556111E-2"/>
  </r>
  <r>
    <x v="0"/>
    <x v="1"/>
    <x v="1"/>
    <s v="M00000312645"/>
    <d v="2007-12-20T00:00:00"/>
    <n v="0"/>
    <n v="99.52"/>
    <n v="2650"/>
    <n v="388.75"/>
    <x v="0"/>
    <s v="25"/>
    <s v="1555"/>
    <n v="25"/>
    <n v="1.7041800643086817"/>
    <n v="6.8167202572347263E-2"/>
  </r>
  <r>
    <x v="0"/>
    <x v="1"/>
    <x v="1"/>
    <s v="M00000319007"/>
    <d v="2007-12-06T00:00:00"/>
    <n v="0"/>
    <n v="70.400000000000006"/>
    <n v="1500"/>
    <n v="275"/>
    <x v="6"/>
    <s v="38"/>
    <s v="1100"/>
    <n v="20"/>
    <n v="1.3636363636363635"/>
    <n v="6.8181818181818177E-2"/>
  </r>
  <r>
    <x v="0"/>
    <x v="1"/>
    <x v="1"/>
    <s v="M00000345968"/>
    <d v="2008-03-13T00:00:00"/>
    <n v="0"/>
    <n v="29.95"/>
    <n v="865"/>
    <n v="117"/>
    <x v="2"/>
    <s v="38"/>
    <s v="468"/>
    <n v="27"/>
    <n v="1.8482905982905984"/>
    <n v="6.8455207344096242E-2"/>
  </r>
  <r>
    <x v="0"/>
    <x v="1"/>
    <x v="1"/>
    <s v="M00000332576"/>
    <d v="2007-12-31T00:00:00"/>
    <n v="0"/>
    <n v="25.34"/>
    <n v="732"/>
    <n v="99"/>
    <x v="2"/>
    <s v="38"/>
    <s v="396"/>
    <n v="27"/>
    <n v="1.8484848484848484"/>
    <n v="6.8462401795735123E-2"/>
  </r>
  <r>
    <x v="0"/>
    <x v="1"/>
    <x v="1"/>
    <s v="M00000336989"/>
    <d v="2008-02-07T00:00:00"/>
    <n v="0"/>
    <n v="36.61"/>
    <n v="998.68"/>
    <n v="143"/>
    <x v="3"/>
    <s v="38"/>
    <s v="572"/>
    <n v="25"/>
    <n v="1.7459440559440558"/>
    <n v="6.9837762237762224E-2"/>
  </r>
  <r>
    <x v="0"/>
    <x v="1"/>
    <x v="1"/>
    <s v="M00000302932"/>
    <d v="2007-10-11T00:00:00"/>
    <n v="0"/>
    <n v="47.49"/>
    <n v="2036"/>
    <n v="185.5"/>
    <x v="0"/>
    <s v="38"/>
    <s v="742"/>
    <n v="38"/>
    <n v="2.7439353099730459"/>
    <n v="7.2208823946659104E-2"/>
  </r>
  <r>
    <x v="0"/>
    <x v="1"/>
    <x v="1"/>
    <s v="M00000342120"/>
    <d v="2008-02-29T00:00:00"/>
    <n v="0"/>
    <n v="0.06"/>
    <n v="1098"/>
    <n v="200"/>
    <x v="5"/>
    <s v="38"/>
    <s v="800"/>
    <n v="19"/>
    <n v="1.3725000000000001"/>
    <n v="7.2236842105263155E-2"/>
  </r>
  <r>
    <x v="0"/>
    <x v="1"/>
    <x v="1"/>
    <s v="M00000364258"/>
    <d v="2008-05-29T00:00:00"/>
    <n v="0"/>
    <n v="50.56"/>
    <n v="1850"/>
    <n v="197.5"/>
    <x v="12"/>
    <s v="38"/>
    <s v="790"/>
    <n v="32"/>
    <n v="2.3417721518987342"/>
    <n v="7.3180379746835444E-2"/>
  </r>
  <r>
    <x v="0"/>
    <x v="1"/>
    <x v="1"/>
    <s v="M00000334400"/>
    <d v="2008-01-24T00:00:00"/>
    <n v="0"/>
    <n v="36.86"/>
    <n v="1642"/>
    <n v="144"/>
    <x v="0"/>
    <s v="38"/>
    <s v="576"/>
    <n v="38"/>
    <n v="2.8506944444444446"/>
    <n v="7.5018274853801178E-2"/>
  </r>
  <r>
    <x v="0"/>
    <x v="1"/>
    <x v="1"/>
    <s v="M00000343683"/>
    <d v="2008-03-06T00:00:00"/>
    <n v="0"/>
    <n v="35.33"/>
    <n v="1248"/>
    <n v="138"/>
    <x v="1"/>
    <s v="38"/>
    <s v="552"/>
    <n v="30"/>
    <n v="2.2608695652173911"/>
    <n v="7.5362318840579701E-2"/>
  </r>
  <r>
    <x v="0"/>
    <x v="1"/>
    <x v="1"/>
    <s v="M00000352335"/>
    <d v="2008-04-10T00:00:00"/>
    <n v="0"/>
    <n v="114.69"/>
    <n v="2431"/>
    <n v="448"/>
    <x v="17"/>
    <s v="20"/>
    <s v="1792"/>
    <n v="18"/>
    <n v="1.3565848214285714"/>
    <n v="7.5365823412698416E-2"/>
  </r>
  <r>
    <x v="0"/>
    <x v="1"/>
    <x v="1"/>
    <s v="M00000340706"/>
    <d v="2008-02-21T00:00:00"/>
    <n v="0"/>
    <n v="57.6"/>
    <n v="1527"/>
    <n v="225"/>
    <x v="7"/>
    <s v="38"/>
    <s v="900"/>
    <n v="22"/>
    <n v="1.6966666666666668"/>
    <n v="7.7121212121212132E-2"/>
  </r>
  <r>
    <x v="0"/>
    <x v="1"/>
    <x v="1"/>
    <s v="M00000308295"/>
    <d v="2007-10-25T00:00:00"/>
    <n v="0"/>
    <n v="21.76"/>
    <n v="539"/>
    <n v="85"/>
    <x v="6"/>
    <s v="38"/>
    <s v="340"/>
    <n v="20"/>
    <n v="1.5852941176470587"/>
    <n v="7.9264705882352932E-2"/>
  </r>
  <r>
    <x v="0"/>
    <x v="1"/>
    <x v="1"/>
    <s v="M00000352506"/>
    <d v="2008-04-10T00:00:00"/>
    <n v="0"/>
    <n v="70.400000000000006"/>
    <n v="2686.5"/>
    <n v="275"/>
    <x v="1"/>
    <s v="38"/>
    <s v="1100"/>
    <n v="30"/>
    <n v="2.4422727272727274"/>
    <n v="8.1409090909090917E-2"/>
  </r>
  <r>
    <x v="0"/>
    <x v="1"/>
    <x v="1"/>
    <s v="M00000325089"/>
    <d v="2007-12-27T00:00:00"/>
    <n v="0"/>
    <n v="22.34"/>
    <n v="890.05"/>
    <n v="87.25"/>
    <x v="0"/>
    <s v="31"/>
    <s v="349"/>
    <n v="31"/>
    <n v="2.5502865329512892"/>
    <n v="8.2267307514557714E-2"/>
  </r>
  <r>
    <x v="0"/>
    <x v="1"/>
    <x v="1"/>
    <s v="M00000353729"/>
    <d v="2008-05-08T00:00:00"/>
    <n v="0"/>
    <n v="6.4"/>
    <n v="160"/>
    <n v="25"/>
    <x v="5"/>
    <s v="38"/>
    <s v="100"/>
    <n v="19"/>
    <n v="1.6"/>
    <n v="8.4210526315789472E-2"/>
  </r>
  <r>
    <x v="0"/>
    <x v="1"/>
    <x v="1"/>
    <s v="M00000322055"/>
    <d v="2008-01-24T00:00:00"/>
    <n v="0"/>
    <n v="32.770000000000003"/>
    <n v="1213"/>
    <n v="128"/>
    <x v="11"/>
    <s v="38"/>
    <s v="512"/>
    <n v="28"/>
    <n v="2.369140625"/>
    <n v="8.4612165178571425E-2"/>
  </r>
  <r>
    <x v="0"/>
    <x v="1"/>
    <x v="1"/>
    <s v="M00000327295"/>
    <d v="2007-12-31T00:00:00"/>
    <n v="0"/>
    <n v="21.44"/>
    <n v="1088"/>
    <n v="83.75"/>
    <x v="0"/>
    <s v="38"/>
    <s v="335"/>
    <n v="38"/>
    <n v="3.2477611940298505"/>
    <n v="8.5467399842890798E-2"/>
  </r>
  <r>
    <x v="0"/>
    <x v="1"/>
    <x v="1"/>
    <s v="M00000310335"/>
    <d v="2007-11-09T00:00:00"/>
    <n v="0"/>
    <n v="57.34"/>
    <n v="2958"/>
    <n v="224"/>
    <x v="0"/>
    <s v="38"/>
    <s v="896"/>
    <n v="38"/>
    <n v="3.3013392857142856"/>
    <n v="8.6877349624060143E-2"/>
  </r>
  <r>
    <x v="0"/>
    <x v="1"/>
    <x v="1"/>
    <s v="M00000271464"/>
    <d v="2007-05-17T00:00:00"/>
    <n v="0"/>
    <n v="36.479999999999997"/>
    <n v="399"/>
    <n v="142.5"/>
    <x v="4"/>
    <s v="23"/>
    <s v="570"/>
    <n v="8"/>
    <n v="0.7"/>
    <n v="8.7499999999999994E-2"/>
  </r>
  <r>
    <x v="0"/>
    <x v="1"/>
    <x v="1"/>
    <s v="M00000333228"/>
    <d v="2007-12-31T00:00:00"/>
    <n v="0"/>
    <n v="54.72"/>
    <n v="2036"/>
    <n v="213.75"/>
    <x v="2"/>
    <s v="38"/>
    <s v="855"/>
    <n v="27"/>
    <n v="2.3812865497076023"/>
    <n v="8.8195798137318607E-2"/>
  </r>
  <r>
    <x v="0"/>
    <x v="1"/>
    <x v="1"/>
    <s v="M00000294380"/>
    <d v="2007-09-28T00:00:00"/>
    <n v="0"/>
    <n v="145.02000000000001"/>
    <n v="2674.56"/>
    <n v="566.5"/>
    <x v="0"/>
    <s v="13"/>
    <s v="2266"/>
    <n v="13"/>
    <n v="1.1803000882612533"/>
    <n v="9.079231448163487E-2"/>
  </r>
  <r>
    <x v="0"/>
    <x v="1"/>
    <x v="1"/>
    <s v="M00000318788"/>
    <d v="2007-12-06T00:00:00"/>
    <n v="0"/>
    <n v="38.4"/>
    <n v="1109"/>
    <n v="150"/>
    <x v="6"/>
    <s v="38"/>
    <s v="600"/>
    <n v="20"/>
    <n v="1.8483333333333334"/>
    <n v="9.2416666666666675E-2"/>
  </r>
  <r>
    <x v="0"/>
    <x v="1"/>
    <x v="1"/>
    <s v="M00000295573"/>
    <d v="2007-09-06T00:00:00"/>
    <n v="0"/>
    <n v="22.08"/>
    <n v="874.26"/>
    <n v="86.25"/>
    <x v="2"/>
    <s v="38"/>
    <s v="345"/>
    <n v="27"/>
    <n v="2.534086956521739"/>
    <n v="9.3855072463768105E-2"/>
  </r>
  <r>
    <x v="0"/>
    <x v="1"/>
    <x v="1"/>
    <s v="M00000325703"/>
    <d v="2007-12-27T00:00:00"/>
    <n v="0"/>
    <n v="103.42"/>
    <n v="3111"/>
    <n v="404"/>
    <x v="6"/>
    <s v="38"/>
    <s v="1616"/>
    <n v="20"/>
    <n v="1.9251237623762376"/>
    <n v="9.6256188118811883E-2"/>
  </r>
  <r>
    <x v="0"/>
    <x v="1"/>
    <x v="1"/>
    <s v="M00000351369"/>
    <d v="2008-04-03T00:00:00"/>
    <n v="0"/>
    <n v="57.6"/>
    <n v="1992"/>
    <n v="225"/>
    <x v="7"/>
    <s v="38"/>
    <s v="900"/>
    <n v="22"/>
    <n v="2.2133333333333334"/>
    <n v="0.1006060606060606"/>
  </r>
  <r>
    <x v="0"/>
    <x v="1"/>
    <x v="1"/>
    <s v="M00000356110"/>
    <d v="2008-04-30T00:00:00"/>
    <n v="0"/>
    <n v="72.45"/>
    <n v="2659.6"/>
    <n v="283"/>
    <x v="4"/>
    <s v="38"/>
    <s v="1132"/>
    <n v="23"/>
    <n v="2.3494699646643107"/>
    <n v="0.10215086802888307"/>
  </r>
  <r>
    <x v="0"/>
    <x v="1"/>
    <x v="1"/>
    <s v="M00000281317"/>
    <d v="2007-08-02T00:00:00"/>
    <n v="0"/>
    <n v="38.4"/>
    <n v="1537.98"/>
    <n v="150"/>
    <x v="0"/>
    <s v="25"/>
    <s v="600"/>
    <n v="25"/>
    <n v="2.5632999999999999"/>
    <n v="0.102532"/>
  </r>
  <r>
    <x v="0"/>
    <x v="1"/>
    <x v="1"/>
    <s v="M00000291270"/>
    <d v="2007-10-11T00:00:00"/>
    <n v="0"/>
    <n v="13.44"/>
    <n v="573.01"/>
    <n v="52.5"/>
    <x v="14"/>
    <s v="38"/>
    <s v="210"/>
    <n v="26"/>
    <n v="2.7286190476190475"/>
    <n v="0.10494688644688645"/>
  </r>
  <r>
    <x v="0"/>
    <x v="1"/>
    <x v="1"/>
    <s v="M00000362665"/>
    <d v="2008-05-29T00:00:00"/>
    <n v="0"/>
    <n v="25.6"/>
    <n v="1785"/>
    <n v="100"/>
    <x v="0"/>
    <s v="38"/>
    <s v="400"/>
    <n v="38"/>
    <n v="4.4625000000000004"/>
    <n v="0.11743421052631579"/>
  </r>
  <r>
    <x v="0"/>
    <x v="1"/>
    <x v="1"/>
    <s v="M00000304069"/>
    <d v="2007-10-11T00:00:00"/>
    <n v="0"/>
    <n v="115.2"/>
    <n v="3000"/>
    <n v="450"/>
    <x v="16"/>
    <s v="21"/>
    <s v="1800"/>
    <n v="14"/>
    <n v="1.6666666666666667"/>
    <n v="0.11904761904761905"/>
  </r>
  <r>
    <x v="0"/>
    <x v="1"/>
    <x v="1"/>
    <s v="M00000338654"/>
    <d v="2008-02-14T00:00:00"/>
    <n v="0"/>
    <n v="12.8"/>
    <n v="513"/>
    <n v="50"/>
    <x v="6"/>
    <s v="38"/>
    <s v="200"/>
    <n v="20"/>
    <n v="2.5649999999999999"/>
    <n v="0.12825"/>
  </r>
  <r>
    <x v="0"/>
    <x v="1"/>
    <x v="1"/>
    <s v="M00000337140"/>
    <d v="2008-03-13T00:00:00"/>
    <n v="0"/>
    <n v="61.44"/>
    <n v="1298"/>
    <n v="240"/>
    <x v="1"/>
    <s v="38"/>
    <s v="325"/>
    <n v="30"/>
    <n v="3.993846153846154"/>
    <n v="0.13312820512820514"/>
  </r>
  <r>
    <x v="0"/>
    <x v="1"/>
    <x v="1"/>
    <s v="M00000298404"/>
    <d v="2007-09-14T00:00:00"/>
    <n v="0"/>
    <n v="62.4"/>
    <n v="3598"/>
    <n v="243.75"/>
    <x v="14"/>
    <s v="38"/>
    <s v="975"/>
    <n v="26"/>
    <n v="3.6902564102564104"/>
    <n v="0.14193293885601579"/>
  </r>
  <r>
    <x v="0"/>
    <x v="1"/>
    <x v="1"/>
    <s v="M00000324579"/>
    <d v="2007-12-20T00:00:00"/>
    <n v="0"/>
    <n v="6.4"/>
    <n v="542"/>
    <n v="25"/>
    <x v="0"/>
    <s v="38"/>
    <s v="100"/>
    <n v="38"/>
    <n v="5.42"/>
    <n v="0.14263157894736841"/>
  </r>
  <r>
    <x v="0"/>
    <x v="1"/>
    <x v="1"/>
    <s v="M00000369804"/>
    <d v="2008-06-26T00:00:00"/>
    <n v="0"/>
    <n v="49.92"/>
    <n v="2870"/>
    <n v="195"/>
    <x v="6"/>
    <s v="39"/>
    <s v="780"/>
    <n v="21"/>
    <n v="3.6794871794871793"/>
    <n v="0.1752136752136752"/>
  </r>
  <r>
    <x v="0"/>
    <x v="1"/>
    <x v="1"/>
    <s v="M00000346005"/>
    <d v="2008-04-17T00:00:00"/>
    <n v="0"/>
    <n v="6.4"/>
    <n v="550.72"/>
    <n v="25"/>
    <x v="11"/>
    <s v="38"/>
    <s v="100"/>
    <n v="28"/>
    <n v="5.5072000000000001"/>
    <n v="0.1966857142857143"/>
  </r>
  <r>
    <x v="0"/>
    <x v="1"/>
    <x v="1"/>
    <s v="M00000347253"/>
    <d v="2008-03-20T00:00:00"/>
    <n v="0"/>
    <n v="64.77"/>
    <n v="2933"/>
    <n v="253"/>
    <x v="0"/>
    <s v="13"/>
    <s v="1012"/>
    <n v="13"/>
    <n v="2.8982213438735176"/>
    <n v="0.22294010337488596"/>
  </r>
  <r>
    <x v="0"/>
    <x v="1"/>
    <x v="1"/>
    <s v="M00000272999"/>
    <d v="2007-07-06T00:00:00"/>
    <n v="0"/>
    <n v="8.19"/>
    <n v="610"/>
    <n v="32"/>
    <x v="5"/>
    <s v="38"/>
    <s v="128"/>
    <n v="19"/>
    <n v="4.765625"/>
    <n v="0.25082236842105265"/>
  </r>
  <r>
    <x v="0"/>
    <x v="1"/>
    <x v="1"/>
    <s v="M00000306018"/>
    <d v="2007-10-25T00:00:00"/>
    <n v="0"/>
    <n v="17.79"/>
    <n v="319.98"/>
    <n v="69.5"/>
    <x v="4"/>
    <s v="19"/>
    <s v="278"/>
    <n v="4"/>
    <n v="1.1510071942446043"/>
    <n v="0.28775179856115107"/>
  </r>
  <r>
    <x v="0"/>
    <x v="1"/>
    <x v="1"/>
    <s v="M00000359578"/>
    <d v="2008-05-08T00:00:00"/>
    <n v="0"/>
    <n v="128"/>
    <n v="1991"/>
    <n v="500"/>
    <x v="15"/>
    <s v="38"/>
    <s v="200"/>
    <n v="21"/>
    <n v="9.9550000000000001"/>
    <n v="0.47404761904761905"/>
  </r>
  <r>
    <x v="0"/>
    <x v="1"/>
    <x v="1"/>
    <s v="M00000361199"/>
    <d v="2008-05-15T00:00:00"/>
    <n v="0"/>
    <n v="128"/>
    <n v="2880000"/>
    <n v="500"/>
    <x v="15"/>
    <s v="38"/>
    <s v="2000"/>
    <n v="21"/>
    <n v="1440"/>
    <n v="68.571428571428569"/>
  </r>
  <r>
    <x v="0"/>
    <x v="1"/>
    <x v="1"/>
    <s v="M00000352955"/>
    <d v="2008-04-17T00:00:00"/>
    <n v="0"/>
    <n v="151.41999999999999"/>
    <n v="11318944"/>
    <n v="591.5"/>
    <x v="0"/>
    <s v="38"/>
    <s v="2366"/>
    <n v="38"/>
    <n v="4784"/>
    <n v="125.89473684210526"/>
  </r>
  <r>
    <x v="0"/>
    <x v="2"/>
    <x v="2"/>
    <s v="M00000353694"/>
    <d v="2008-04-17T00:00:00"/>
    <n v="2883"/>
    <n v="0"/>
    <n v="800"/>
    <n v="800"/>
    <x v="0"/>
    <s v="30"/>
    <s v="2000"/>
    <n v="30"/>
    <n v="0.4"/>
    <n v="1.3333333333333334E-2"/>
  </r>
  <r>
    <x v="0"/>
    <x v="2"/>
    <x v="2"/>
    <s v="M00000292278"/>
    <d v="2007-08-23T00:00:00"/>
    <n v="2521"/>
    <n v="0"/>
    <n v="750.05"/>
    <n v="787.5"/>
    <x v="0"/>
    <s v="25"/>
    <s v="1750"/>
    <n v="25"/>
    <n v="0.42859999999999998"/>
    <n v="1.7144E-2"/>
  </r>
  <r>
    <x v="0"/>
    <x v="2"/>
    <x v="2"/>
    <s v="M00000347489"/>
    <d v="2008-03-20T00:00:00"/>
    <n v="819"/>
    <n v="0"/>
    <n v="275"/>
    <n v="255.6"/>
    <x v="0"/>
    <s v="25"/>
    <s v="568"/>
    <n v="25"/>
    <n v="0.48415492957746481"/>
    <n v="1.9366197183098594E-2"/>
  </r>
  <r>
    <x v="0"/>
    <x v="2"/>
    <x v="2"/>
    <s v="M00000350566"/>
    <d v="2008-04-03T00:00:00"/>
    <n v="1153"/>
    <n v="0"/>
    <n v="400"/>
    <n v="360"/>
    <x v="0"/>
    <s v="25"/>
    <s v="800"/>
    <n v="25"/>
    <n v="0.5"/>
    <n v="0.02"/>
  </r>
  <r>
    <x v="0"/>
    <x v="2"/>
    <x v="2"/>
    <s v="M00000354369"/>
    <d v="2008-04-17T00:00:00"/>
    <n v="3105"/>
    <n v="0"/>
    <n v="1200"/>
    <n v="969.3"/>
    <x v="0"/>
    <s v="25"/>
    <s v="2154"/>
    <n v="25"/>
    <n v="0.55710306406685239"/>
    <n v="2.2284122562674095E-2"/>
  </r>
  <r>
    <x v="0"/>
    <x v="2"/>
    <x v="2"/>
    <s v="M00000347405"/>
    <d v="2008-06-26T00:00:00"/>
    <n v="1776"/>
    <n v="0"/>
    <n v="831.6"/>
    <n v="554.4"/>
    <x v="0"/>
    <s v="30"/>
    <s v="1232"/>
    <n v="30"/>
    <n v="0.67500000000000004"/>
    <n v="2.2499999999999999E-2"/>
  </r>
  <r>
    <x v="0"/>
    <x v="2"/>
    <x v="2"/>
    <s v="M00000333404"/>
    <d v="2007-12-31T00:00:00"/>
    <n v="2747"/>
    <n v="0"/>
    <n v="1075"/>
    <n v="857.7"/>
    <x v="0"/>
    <s v="25"/>
    <s v="1906"/>
    <n v="25"/>
    <n v="0.56400839454354668"/>
    <n v="2.2560335781741866E-2"/>
  </r>
  <r>
    <x v="0"/>
    <x v="2"/>
    <x v="2"/>
    <s v="M00000318805"/>
    <d v="2007-12-06T00:00:00"/>
    <n v="947"/>
    <n v="0"/>
    <n v="375"/>
    <n v="295.64999999999998"/>
    <x v="0"/>
    <s v="25"/>
    <s v="657"/>
    <n v="25"/>
    <n v="0.57077625570776258"/>
    <n v="2.2831050228310504E-2"/>
  </r>
  <r>
    <x v="0"/>
    <x v="2"/>
    <x v="2"/>
    <s v="M00000323528"/>
    <d v="2007-12-20T00:00:00"/>
    <n v="3458"/>
    <n v="0"/>
    <n v="1440"/>
    <n v="1080"/>
    <x v="0"/>
    <s v="25"/>
    <s v="2400"/>
    <n v="25"/>
    <n v="0.6"/>
    <n v="2.4E-2"/>
  </r>
  <r>
    <x v="0"/>
    <x v="2"/>
    <x v="2"/>
    <s v="M00000365337"/>
    <d v="2008-06-26T00:00:00"/>
    <n v="865"/>
    <n v="0"/>
    <n v="390"/>
    <n v="270"/>
    <x v="0"/>
    <s v="25"/>
    <s v="600"/>
    <n v="25"/>
    <n v="0.65"/>
    <n v="2.6000000000000002E-2"/>
  </r>
  <r>
    <x v="0"/>
    <x v="2"/>
    <x v="2"/>
    <s v="M00000342446"/>
    <d v="2008-03-27T00:00:00"/>
    <n v="2018"/>
    <n v="0"/>
    <n v="944.53"/>
    <n v="630"/>
    <x v="0"/>
    <s v="25"/>
    <s v="1400"/>
    <n v="25"/>
    <n v="0.67466428571428572"/>
    <n v="2.6986571428571429E-2"/>
  </r>
  <r>
    <x v="0"/>
    <x v="2"/>
    <x v="2"/>
    <s v="M00000355213"/>
    <d v="2008-05-08T00:00:00"/>
    <n v="462"/>
    <n v="0"/>
    <n v="164.1"/>
    <n v="144"/>
    <x v="2"/>
    <s v="30"/>
    <s v="320"/>
    <n v="19"/>
    <n v="0.5128125"/>
    <n v="2.699013157894737E-2"/>
  </r>
  <r>
    <x v="0"/>
    <x v="2"/>
    <x v="2"/>
    <s v="M00000368632"/>
    <d v="2008-06-19T00:00:00"/>
    <n v="3604"/>
    <n v="0"/>
    <n v="2045"/>
    <n v="1125"/>
    <x v="0"/>
    <s v="30"/>
    <s v="2500"/>
    <n v="30"/>
    <n v="0.81799999999999995"/>
    <n v="2.7266666666666665E-2"/>
  </r>
  <r>
    <x v="0"/>
    <x v="2"/>
    <x v="2"/>
    <s v="M00000357674"/>
    <d v="2008-04-30T00:00:00"/>
    <n v="5045"/>
    <n v="0"/>
    <n v="2925"/>
    <n v="1575"/>
    <x v="0"/>
    <s v="30"/>
    <s v="3500"/>
    <n v="30"/>
    <n v="0.83571428571428574"/>
    <n v="2.7857142857142858E-2"/>
  </r>
  <r>
    <x v="0"/>
    <x v="2"/>
    <x v="2"/>
    <s v="M00000316162"/>
    <d v="2007-11-29T00:00:00"/>
    <n v="260"/>
    <n v="0"/>
    <n v="126"/>
    <n v="81"/>
    <x v="0"/>
    <s v="25"/>
    <s v="180"/>
    <n v="25"/>
    <n v="0.7"/>
    <n v="2.7999999999999997E-2"/>
  </r>
  <r>
    <x v="0"/>
    <x v="2"/>
    <x v="2"/>
    <s v="M00000272329"/>
    <d v="2007-05-24T00:00:00"/>
    <n v="3262"/>
    <n v="0"/>
    <n v="1599.94"/>
    <n v="1018.35"/>
    <x v="0"/>
    <s v="25"/>
    <s v="2263"/>
    <n v="25"/>
    <n v="0.70699955810870529"/>
    <n v="2.827998232434821E-2"/>
  </r>
  <r>
    <x v="0"/>
    <x v="2"/>
    <x v="2"/>
    <s v="M00000278248"/>
    <d v="2007-06-21T00:00:00"/>
    <n v="3603"/>
    <n v="0"/>
    <n v="1770"/>
    <n v="1125"/>
    <x v="0"/>
    <s v="25"/>
    <s v="2500"/>
    <n v="25"/>
    <n v="0.70799999999999996"/>
    <n v="2.8319999999999998E-2"/>
  </r>
  <r>
    <x v="0"/>
    <x v="2"/>
    <x v="2"/>
    <s v="M00000331928"/>
    <d v="2007-12-31T00:00:00"/>
    <n v="1107"/>
    <n v="0"/>
    <n v="549"/>
    <n v="345.6"/>
    <x v="0"/>
    <s v="25"/>
    <s v="768"/>
    <n v="25"/>
    <n v="0.71484375"/>
    <n v="2.8593750000000001E-2"/>
  </r>
  <r>
    <x v="0"/>
    <x v="2"/>
    <x v="2"/>
    <s v="M00000326855"/>
    <d v="2007-12-31T00:00:00"/>
    <n v="1907"/>
    <n v="0"/>
    <n v="952"/>
    <n v="595.79999999999995"/>
    <x v="0"/>
    <s v="25"/>
    <s v="1324"/>
    <n v="25"/>
    <n v="0.7190332326283988"/>
    <n v="2.8761329305135953E-2"/>
  </r>
  <r>
    <x v="0"/>
    <x v="2"/>
    <x v="2"/>
    <s v="M00000343708"/>
    <d v="2008-03-27T00:00:00"/>
    <n v="4498"/>
    <n v="0"/>
    <n v="2250"/>
    <n v="1404"/>
    <x v="0"/>
    <s v="25"/>
    <s v="3120"/>
    <n v="25"/>
    <n v="0.72115384615384615"/>
    <n v="2.8846153846153844E-2"/>
  </r>
  <r>
    <x v="0"/>
    <x v="2"/>
    <x v="2"/>
    <s v="M00000299745"/>
    <d v="2007-09-20T00:00:00"/>
    <n v="2398"/>
    <n v="0"/>
    <n v="1250"/>
    <n v="748.8"/>
    <x v="14"/>
    <s v="38"/>
    <s v="1664"/>
    <n v="26"/>
    <n v="0.75120192307692313"/>
    <n v="2.8892381656804737E-2"/>
  </r>
  <r>
    <x v="0"/>
    <x v="2"/>
    <x v="2"/>
    <s v="M00000299746"/>
    <d v="2007-09-20T00:00:00"/>
    <n v="2398"/>
    <n v="0"/>
    <n v="1250"/>
    <n v="748.8"/>
    <x v="14"/>
    <s v="38"/>
    <s v="1664"/>
    <n v="26"/>
    <n v="0.75120192307692313"/>
    <n v="2.8892381656804737E-2"/>
  </r>
  <r>
    <x v="0"/>
    <x v="2"/>
    <x v="2"/>
    <s v="M00000353222"/>
    <d v="2008-04-17T00:00:00"/>
    <n v="1730"/>
    <n v="0"/>
    <n v="884"/>
    <n v="540"/>
    <x v="0"/>
    <s v="25"/>
    <s v="1200"/>
    <n v="25"/>
    <n v="0.73666666666666669"/>
    <n v="2.9466666666666669E-2"/>
  </r>
  <r>
    <x v="0"/>
    <x v="2"/>
    <x v="2"/>
    <s v="M00000281449"/>
    <d v="2007-07-06T00:00:00"/>
    <n v="1441"/>
    <n v="0"/>
    <n v="740"/>
    <n v="450"/>
    <x v="0"/>
    <s v="25"/>
    <s v="1000"/>
    <n v="25"/>
    <n v="0.74"/>
    <n v="2.9600000000000001E-2"/>
  </r>
  <r>
    <x v="0"/>
    <x v="2"/>
    <x v="2"/>
    <s v="M00000372938"/>
    <d v="2008-07-03T00:00:00"/>
    <n v="3423"/>
    <n v="0"/>
    <n v="2131"/>
    <n v="1068.75"/>
    <x v="0"/>
    <s v="30"/>
    <s v="2375"/>
    <n v="30"/>
    <n v="0.89726315789473687"/>
    <n v="2.9908771929824562E-2"/>
  </r>
  <r>
    <x v="0"/>
    <x v="2"/>
    <x v="2"/>
    <s v="M00000312859"/>
    <d v="2007-11-15T00:00:00"/>
    <n v="1960"/>
    <n v="0"/>
    <n v="1020"/>
    <n v="612"/>
    <x v="0"/>
    <s v="25"/>
    <s v="1360"/>
    <n v="25"/>
    <n v="0.75"/>
    <n v="0.03"/>
  </r>
  <r>
    <x v="0"/>
    <x v="2"/>
    <x v="2"/>
    <s v="M00000275464"/>
    <d v="2007-06-07T00:00:00"/>
    <n v="1170"/>
    <n v="0"/>
    <n v="611.03"/>
    <n v="365.4"/>
    <x v="0"/>
    <s v="25"/>
    <s v="812"/>
    <n v="25"/>
    <n v="0.75249999999999995"/>
    <n v="3.0099999999999998E-2"/>
  </r>
  <r>
    <x v="0"/>
    <x v="2"/>
    <x v="2"/>
    <s v="M00000358022"/>
    <d v="2008-05-08T00:00:00"/>
    <n v="2306"/>
    <n v="0"/>
    <n v="1210"/>
    <n v="720"/>
    <x v="0"/>
    <s v="25"/>
    <s v="1600"/>
    <n v="25"/>
    <n v="0.75624999999999998"/>
    <n v="3.0249999999999999E-2"/>
  </r>
  <r>
    <x v="0"/>
    <x v="2"/>
    <x v="2"/>
    <s v="M00000318820"/>
    <d v="2007-12-06T00:00:00"/>
    <n v="1873"/>
    <n v="0"/>
    <n v="1000"/>
    <n v="585"/>
    <x v="0"/>
    <s v="25"/>
    <s v="1300"/>
    <n v="25"/>
    <n v="0.76923076923076927"/>
    <n v="3.0769230769230771E-2"/>
  </r>
  <r>
    <x v="0"/>
    <x v="2"/>
    <x v="2"/>
    <s v="M00000319235"/>
    <d v="2007-12-06T00:00:00"/>
    <n v="1528"/>
    <n v="0"/>
    <n v="823"/>
    <n v="477"/>
    <x v="0"/>
    <s v="25"/>
    <s v="1060"/>
    <n v="25"/>
    <n v="0.77641509433962264"/>
    <n v="3.1056603773584907E-2"/>
  </r>
  <r>
    <x v="0"/>
    <x v="2"/>
    <x v="2"/>
    <s v="M00000327194"/>
    <d v="2007-12-31T00:00:00"/>
    <n v="2738"/>
    <n v="0"/>
    <n v="1786"/>
    <n v="855"/>
    <x v="0"/>
    <s v="30"/>
    <s v="1900"/>
    <n v="30"/>
    <n v="0.94"/>
    <n v="3.1333333333333331E-2"/>
  </r>
  <r>
    <x v="0"/>
    <x v="2"/>
    <x v="2"/>
    <s v="M00000283695"/>
    <d v="2007-07-12T00:00:00"/>
    <n v="1931"/>
    <n v="0"/>
    <n v="1059.94"/>
    <n v="603"/>
    <x v="0"/>
    <s v="25"/>
    <s v="1340"/>
    <n v="25"/>
    <n v="0.79100000000000004"/>
    <n v="3.1640000000000001E-2"/>
  </r>
  <r>
    <x v="0"/>
    <x v="2"/>
    <x v="2"/>
    <s v="M00000349240"/>
    <d v="2008-03-27T00:00:00"/>
    <n v="3201"/>
    <n v="0"/>
    <n v="1345"/>
    <n v="999.45"/>
    <x v="0"/>
    <s v="19"/>
    <s v="2221"/>
    <n v="19"/>
    <n v="0.60558307068887884"/>
    <n v="3.1872793194151518E-2"/>
  </r>
  <r>
    <x v="0"/>
    <x v="2"/>
    <x v="2"/>
    <s v="M00000323854"/>
    <d v="2007-12-20T00:00:00"/>
    <n v="1729"/>
    <n v="0"/>
    <n v="960"/>
    <n v="540"/>
    <x v="0"/>
    <s v="25"/>
    <s v="1200"/>
    <n v="25"/>
    <n v="0.8"/>
    <n v="3.2000000000000001E-2"/>
  </r>
  <r>
    <x v="0"/>
    <x v="2"/>
    <x v="2"/>
    <s v="M00000311931"/>
    <d v="2007-11-15T00:00:00"/>
    <n v="2923"/>
    <n v="0"/>
    <n v="1623"/>
    <n v="912.6"/>
    <x v="0"/>
    <s v="25"/>
    <s v="2028"/>
    <n v="25"/>
    <n v="0.80029585798816572"/>
    <n v="3.201183431952663E-2"/>
  </r>
  <r>
    <x v="0"/>
    <x v="2"/>
    <x v="2"/>
    <s v="M00000290828"/>
    <d v="2007-08-16T00:00:00"/>
    <n v="1297"/>
    <n v="0"/>
    <n v="725.04"/>
    <n v="405"/>
    <x v="0"/>
    <s v="25"/>
    <s v="900"/>
    <n v="25"/>
    <n v="0.80559999999999998"/>
    <n v="3.2224000000000003E-2"/>
  </r>
  <r>
    <x v="0"/>
    <x v="2"/>
    <x v="2"/>
    <s v="M00000302138"/>
    <d v="2007-10-04T00:00:00"/>
    <n v="1614"/>
    <n v="0"/>
    <n v="915"/>
    <n v="504"/>
    <x v="0"/>
    <s v="25"/>
    <s v="1120"/>
    <n v="25"/>
    <n v="0.8169642857142857"/>
    <n v="3.2678571428571425E-2"/>
  </r>
  <r>
    <x v="0"/>
    <x v="2"/>
    <x v="2"/>
    <s v="M00000287246"/>
    <d v="2007-08-23T00:00:00"/>
    <n v="1802"/>
    <n v="0"/>
    <n v="1236.6300000000001"/>
    <n v="562.5"/>
    <x v="0"/>
    <s v="30"/>
    <s v="1250"/>
    <n v="30"/>
    <n v="0.98930400000000007"/>
    <n v="3.2976800000000001E-2"/>
  </r>
  <r>
    <x v="0"/>
    <x v="2"/>
    <x v="2"/>
    <s v="M00000300909"/>
    <d v="2007-09-27T00:00:00"/>
    <n v="1315"/>
    <n v="0"/>
    <n v="754"/>
    <n v="410.4"/>
    <x v="0"/>
    <s v="25"/>
    <s v="912"/>
    <n v="25"/>
    <n v="0.82675438596491224"/>
    <n v="3.3070175438596493E-2"/>
  </r>
  <r>
    <x v="0"/>
    <x v="2"/>
    <x v="2"/>
    <s v="M00000320808"/>
    <d v="2007-12-13T00:00:00"/>
    <n v="1210"/>
    <n v="0"/>
    <n v="696"/>
    <n v="378"/>
    <x v="0"/>
    <s v="25"/>
    <s v="840"/>
    <n v="25"/>
    <n v="0.82857142857142863"/>
    <n v="3.3142857142857148E-2"/>
  </r>
  <r>
    <x v="0"/>
    <x v="2"/>
    <x v="2"/>
    <s v="M00000363530"/>
    <d v="2008-05-29T00:00:00"/>
    <n v="837"/>
    <n v="0"/>
    <n v="484"/>
    <n v="261.45"/>
    <x v="0"/>
    <s v="25"/>
    <s v="581"/>
    <n v="25"/>
    <n v="0.83304647160068845"/>
    <n v="3.332185886402754E-2"/>
  </r>
  <r>
    <x v="0"/>
    <x v="2"/>
    <x v="2"/>
    <s v="M00000311151"/>
    <d v="2007-11-09T00:00:00"/>
    <n v="1640"/>
    <n v="0"/>
    <n v="797"/>
    <n v="512.1"/>
    <x v="0"/>
    <s v="21"/>
    <s v="1138"/>
    <n v="21"/>
    <n v="0.70035149384885764"/>
    <n v="3.3350071135659888E-2"/>
  </r>
  <r>
    <x v="0"/>
    <x v="2"/>
    <x v="2"/>
    <s v="M00000340540"/>
    <d v="2008-02-21T00:00:00"/>
    <n v="2585"/>
    <n v="0"/>
    <n v="1510"/>
    <n v="807.3"/>
    <x v="0"/>
    <s v="25"/>
    <s v="1794"/>
    <n v="25"/>
    <n v="0.84169453734671129"/>
    <n v="3.3667781493868454E-2"/>
  </r>
  <r>
    <x v="0"/>
    <x v="2"/>
    <x v="2"/>
    <s v="M00000330931"/>
    <d v="2007-12-31T00:00:00"/>
    <n v="937"/>
    <n v="0"/>
    <n v="550"/>
    <n v="292.5"/>
    <x v="0"/>
    <s v="25"/>
    <s v="650"/>
    <n v="25"/>
    <n v="0.84615384615384615"/>
    <n v="3.3846153846153845E-2"/>
  </r>
  <r>
    <x v="0"/>
    <x v="2"/>
    <x v="2"/>
    <s v="M00000341190"/>
    <d v="2008-02-21T00:00:00"/>
    <n v="2219"/>
    <n v="0"/>
    <n v="1310"/>
    <n v="693"/>
    <x v="0"/>
    <s v="25"/>
    <s v="1540"/>
    <n v="25"/>
    <n v="0.85064935064935066"/>
    <n v="3.4025974025974029E-2"/>
  </r>
  <r>
    <x v="0"/>
    <x v="2"/>
    <x v="2"/>
    <s v="M00000354122"/>
    <d v="2008-04-17T00:00:00"/>
    <n v="2076"/>
    <n v="0"/>
    <n v="1230"/>
    <n v="648"/>
    <x v="0"/>
    <s v="25"/>
    <s v="1440"/>
    <n v="25"/>
    <n v="0.85416666666666663"/>
    <n v="3.4166666666666665E-2"/>
  </r>
  <r>
    <x v="0"/>
    <x v="2"/>
    <x v="2"/>
    <s v="M00000333440"/>
    <d v="2007-12-31T00:00:00"/>
    <n v="2375"/>
    <n v="0"/>
    <n v="1415"/>
    <n v="741.6"/>
    <x v="0"/>
    <s v="25"/>
    <s v="1648"/>
    <n v="25"/>
    <n v="0.85861650485436891"/>
    <n v="3.4344660194174759E-2"/>
  </r>
  <r>
    <x v="0"/>
    <x v="2"/>
    <x v="2"/>
    <s v="M00000333359"/>
    <d v="2007-12-31T00:00:00"/>
    <n v="1198"/>
    <n v="0"/>
    <n v="715"/>
    <n v="373.95"/>
    <x v="0"/>
    <s v="25"/>
    <s v="831"/>
    <n v="25"/>
    <n v="0.86040914560770154"/>
    <n v="3.4416365824308064E-2"/>
  </r>
  <r>
    <x v="0"/>
    <x v="2"/>
    <x v="2"/>
    <s v="M00000277908"/>
    <d v="2007-06-21T00:00:00"/>
    <n v="1415"/>
    <n v="0"/>
    <n v="850.02"/>
    <n v="441.9"/>
    <x v="0"/>
    <s v="25"/>
    <s v="982"/>
    <n v="25"/>
    <n v="0.86560081466395111"/>
    <n v="3.4624032586558044E-2"/>
  </r>
  <r>
    <x v="0"/>
    <x v="2"/>
    <x v="2"/>
    <s v="M00000285137"/>
    <d v="2007-07-19T00:00:00"/>
    <n v="576"/>
    <n v="0"/>
    <n v="350"/>
    <n v="180"/>
    <x v="0"/>
    <s v="25"/>
    <s v="400"/>
    <n v="25"/>
    <n v="0.875"/>
    <n v="3.5000000000000003E-2"/>
  </r>
  <r>
    <x v="0"/>
    <x v="2"/>
    <x v="2"/>
    <s v="M00000324698"/>
    <d v="2007-12-20T00:00:00"/>
    <n v="1873"/>
    <n v="0"/>
    <n v="1145"/>
    <n v="585"/>
    <x v="0"/>
    <s v="25"/>
    <s v="1300"/>
    <n v="25"/>
    <n v="0.88076923076923075"/>
    <n v="3.5230769230769232E-2"/>
  </r>
  <r>
    <x v="0"/>
    <x v="2"/>
    <x v="2"/>
    <s v="M00000346908"/>
    <d v="2008-03-27T00:00:00"/>
    <n v="1440"/>
    <n v="0"/>
    <n v="1056"/>
    <n v="449.55"/>
    <x v="0"/>
    <s v="30"/>
    <s v="999"/>
    <n v="30"/>
    <n v="1.057057057057057"/>
    <n v="3.5235235235235231E-2"/>
  </r>
  <r>
    <x v="0"/>
    <x v="2"/>
    <x v="2"/>
    <s v="M00000305542"/>
    <d v="2007-12-06T00:00:00"/>
    <n v="2190"/>
    <n v="0"/>
    <n v="1343"/>
    <n v="684"/>
    <x v="0"/>
    <s v="25"/>
    <s v="1520"/>
    <n v="25"/>
    <n v="0.88355263157894737"/>
    <n v="3.5342105263157897E-2"/>
  </r>
  <r>
    <x v="0"/>
    <x v="2"/>
    <x v="2"/>
    <s v="M00000360184"/>
    <d v="2008-05-15T00:00:00"/>
    <n v="2583"/>
    <n v="0"/>
    <n v="1600"/>
    <n v="806.4"/>
    <x v="0"/>
    <s v="25"/>
    <s v="1792"/>
    <n v="25"/>
    <n v="0.8928571428571429"/>
    <n v="3.5714285714285719E-2"/>
  </r>
  <r>
    <x v="0"/>
    <x v="2"/>
    <x v="2"/>
    <s v="M00000355521"/>
    <d v="2008-04-24T00:00:00"/>
    <n v="2440"/>
    <n v="0"/>
    <n v="1275"/>
    <n v="761.85"/>
    <x v="0"/>
    <s v="21"/>
    <s v="1693"/>
    <n v="21"/>
    <n v="0.75310100413467218"/>
    <n v="3.5861952577841534E-2"/>
  </r>
  <r>
    <x v="0"/>
    <x v="2"/>
    <x v="2"/>
    <s v="M00000342056"/>
    <d v="2008-03-13T00:00:00"/>
    <n v="1107"/>
    <n v="0"/>
    <n v="691"/>
    <n v="345.6"/>
    <x v="0"/>
    <s v="25"/>
    <s v="768"/>
    <n v="25"/>
    <n v="0.89973958333333337"/>
    <n v="3.5989583333333332E-2"/>
  </r>
  <r>
    <x v="0"/>
    <x v="2"/>
    <x v="2"/>
    <s v="M00000339019"/>
    <d v="2008-02-14T00:00:00"/>
    <n v="2386"/>
    <n v="0"/>
    <n v="1490"/>
    <n v="745.2"/>
    <x v="0"/>
    <s v="25"/>
    <s v="1656"/>
    <n v="25"/>
    <n v="0.89975845410628019"/>
    <n v="3.5990338164251207E-2"/>
  </r>
  <r>
    <x v="0"/>
    <x v="2"/>
    <x v="2"/>
    <s v="M00000315258"/>
    <d v="2007-11-21T00:00:00"/>
    <n v="1585"/>
    <n v="0"/>
    <n v="995"/>
    <n v="495"/>
    <x v="0"/>
    <s v="25"/>
    <s v="1100"/>
    <n v="25"/>
    <n v="0.90454545454545454"/>
    <n v="3.6181818181818183E-2"/>
  </r>
  <r>
    <x v="0"/>
    <x v="2"/>
    <x v="2"/>
    <s v="M00000298899"/>
    <d v="2007-09-14T00:00:00"/>
    <n v="1758"/>
    <n v="0"/>
    <n v="1326"/>
    <n v="549"/>
    <x v="0"/>
    <s v="30"/>
    <s v="1220"/>
    <n v="30"/>
    <n v="1.0868852459016394"/>
    <n v="3.6229508196721313E-2"/>
  </r>
  <r>
    <x v="0"/>
    <x v="2"/>
    <x v="2"/>
    <s v="M00000356126"/>
    <d v="2008-04-30T00:00:00"/>
    <n v="2675"/>
    <n v="0"/>
    <n v="1685"/>
    <n v="835.2"/>
    <x v="0"/>
    <s v="25"/>
    <s v="1856"/>
    <n v="25"/>
    <n v="0.90786637931034486"/>
    <n v="3.6314655172413793E-2"/>
  </r>
  <r>
    <x v="0"/>
    <x v="2"/>
    <x v="2"/>
    <s v="M00000347429"/>
    <d v="2008-03-20T00:00:00"/>
    <n v="3604"/>
    <n v="0"/>
    <n v="2300"/>
    <n v="1125"/>
    <x v="0"/>
    <s v="25"/>
    <s v="2500"/>
    <n v="25"/>
    <n v="0.92"/>
    <n v="3.6799999999999999E-2"/>
  </r>
  <r>
    <x v="0"/>
    <x v="2"/>
    <x v="2"/>
    <s v="M00000347429"/>
    <d v="2008-04-24T00:00:00"/>
    <n v="-3604"/>
    <n v="0"/>
    <n v="2300"/>
    <n v="1125"/>
    <x v="0"/>
    <s v="25"/>
    <s v="2500"/>
    <n v="25"/>
    <n v="0.92"/>
    <n v="3.6799999999999999E-2"/>
  </r>
  <r>
    <x v="0"/>
    <x v="2"/>
    <x v="2"/>
    <s v="M00000351705"/>
    <d v="2008-04-10T00:00:00"/>
    <n v="432"/>
    <n v="0"/>
    <n v="276"/>
    <n v="135"/>
    <x v="0"/>
    <s v="25"/>
    <s v="300"/>
    <n v="25"/>
    <n v="0.92"/>
    <n v="3.6799999999999999E-2"/>
  </r>
  <r>
    <x v="0"/>
    <x v="2"/>
    <x v="2"/>
    <s v="M00000355165"/>
    <d v="2008-04-24T00:00:00"/>
    <n v="3604"/>
    <n v="0"/>
    <n v="2300"/>
    <n v="1125"/>
    <x v="0"/>
    <s v="25"/>
    <s v="2500"/>
    <n v="25"/>
    <n v="0.92"/>
    <n v="3.6799999999999999E-2"/>
  </r>
  <r>
    <x v="0"/>
    <x v="2"/>
    <x v="2"/>
    <s v="M00000358247"/>
    <d v="2008-05-15T00:00:00"/>
    <n v="288"/>
    <n v="0"/>
    <n v="184"/>
    <n v="90"/>
    <x v="0"/>
    <s v="25"/>
    <s v="200"/>
    <n v="25"/>
    <n v="0.92"/>
    <n v="3.6799999999999999E-2"/>
  </r>
  <r>
    <x v="0"/>
    <x v="2"/>
    <x v="2"/>
    <s v="M00000318861"/>
    <d v="2007-12-31T00:00:00"/>
    <n v="1981"/>
    <n v="0"/>
    <n v="1275"/>
    <n v="618.75"/>
    <x v="0"/>
    <s v="25"/>
    <s v="1375"/>
    <n v="25"/>
    <n v="0.92727272727272725"/>
    <n v="3.7090909090909091E-2"/>
  </r>
  <r>
    <x v="0"/>
    <x v="2"/>
    <x v="2"/>
    <s v="M00000341123"/>
    <d v="2008-02-21T00:00:00"/>
    <n v="1715"/>
    <n v="0"/>
    <n v="1105"/>
    <n v="535.5"/>
    <x v="0"/>
    <s v="25"/>
    <s v="1190"/>
    <n v="25"/>
    <n v="0.9285714285714286"/>
    <n v="3.7142857142857144E-2"/>
  </r>
  <r>
    <x v="0"/>
    <x v="2"/>
    <x v="2"/>
    <s v="M00000270419"/>
    <d v="2007-05-10T00:00:00"/>
    <n v="1277"/>
    <n v="0"/>
    <n v="823.98"/>
    <n v="398.7"/>
    <x v="0"/>
    <s v="25"/>
    <s v="886"/>
    <n v="25"/>
    <n v="0.93"/>
    <n v="3.7200000000000004E-2"/>
  </r>
  <r>
    <x v="0"/>
    <x v="2"/>
    <x v="2"/>
    <s v="M00000331479"/>
    <d v="2008-02-21T00:00:00"/>
    <n v="1827"/>
    <n v="0"/>
    <n v="1190"/>
    <n v="570.6"/>
    <x v="0"/>
    <s v="25"/>
    <s v="1268"/>
    <n v="25"/>
    <n v="0.93848580441640383"/>
    <n v="3.7539432176656153E-2"/>
  </r>
  <r>
    <x v="0"/>
    <x v="2"/>
    <x v="2"/>
    <s v="M00000327542"/>
    <d v="2007-12-31T00:00:00"/>
    <n v="1080"/>
    <n v="0"/>
    <n v="705"/>
    <n v="337.5"/>
    <x v="0"/>
    <s v="25"/>
    <s v="750"/>
    <n v="25"/>
    <n v="0.94"/>
    <n v="3.7599999999999995E-2"/>
  </r>
  <r>
    <x v="0"/>
    <x v="2"/>
    <x v="2"/>
    <s v="M00000350928"/>
    <d v="2008-04-03T00:00:00"/>
    <n v="4498"/>
    <n v="0"/>
    <n v="2934"/>
    <n v="1404.45"/>
    <x v="0"/>
    <s v="25"/>
    <s v="3121"/>
    <n v="25"/>
    <n v="0.94008330663248962"/>
    <n v="3.7603332265299584E-2"/>
  </r>
  <r>
    <x v="0"/>
    <x v="2"/>
    <x v="2"/>
    <s v="M00000316710"/>
    <d v="2007-11-29T00:00:00"/>
    <n v="1991"/>
    <n v="0"/>
    <n v="1092"/>
    <n v="621.9"/>
    <x v="0"/>
    <s v="21"/>
    <s v="1382"/>
    <n v="21"/>
    <n v="0.79015918958031839"/>
    <n v="3.7626628075253257E-2"/>
  </r>
  <r>
    <x v="0"/>
    <x v="2"/>
    <x v="2"/>
    <s v="M00000340532"/>
    <d v="2008-03-06T00:00:00"/>
    <n v="3529"/>
    <n v="0"/>
    <n v="2310"/>
    <n v="1101.5999999999999"/>
    <x v="0"/>
    <s v="25"/>
    <s v="2448"/>
    <n v="25"/>
    <n v="0.94362745098039214"/>
    <n v="3.7745098039215684E-2"/>
  </r>
  <r>
    <x v="0"/>
    <x v="2"/>
    <x v="2"/>
    <s v="M00000356805"/>
    <d v="2008-05-15T00:00:00"/>
    <n v="1845"/>
    <n v="0"/>
    <n v="1450"/>
    <n v="576"/>
    <x v="0"/>
    <s v="30"/>
    <s v="1280"/>
    <n v="30"/>
    <n v="1.1328125"/>
    <n v="3.7760416666666664E-2"/>
  </r>
  <r>
    <x v="0"/>
    <x v="2"/>
    <x v="2"/>
    <s v="M00000276952"/>
    <d v="2007-06-28T00:00:00"/>
    <n v="1830"/>
    <n v="0"/>
    <n v="1200.02"/>
    <n v="571.5"/>
    <x v="0"/>
    <s v="25"/>
    <s v="1270"/>
    <n v="25"/>
    <n v="0.94489763779527558"/>
    <n v="3.7795905511811022E-2"/>
  </r>
  <r>
    <x v="0"/>
    <x v="2"/>
    <x v="2"/>
    <s v="M00000300553"/>
    <d v="2007-09-27T00:00:00"/>
    <n v="1856"/>
    <n v="0"/>
    <n v="1223"/>
    <n v="579.6"/>
    <x v="0"/>
    <s v="25"/>
    <s v="1288"/>
    <n v="25"/>
    <n v="0.94953416149068326"/>
    <n v="3.7981366459627332E-2"/>
  </r>
  <r>
    <x v="0"/>
    <x v="2"/>
    <x v="2"/>
    <s v="M00000286700"/>
    <d v="2007-07-26T00:00:00"/>
    <n v="1145"/>
    <n v="0"/>
    <n v="755.01"/>
    <n v="357.75"/>
    <x v="0"/>
    <s v="25"/>
    <s v="795"/>
    <n v="25"/>
    <n v="0.94969811320754716"/>
    <n v="3.7987924528301888E-2"/>
  </r>
  <r>
    <x v="0"/>
    <x v="2"/>
    <x v="2"/>
    <s v="M00000343390"/>
    <d v="2008-03-06T00:00:00"/>
    <n v="2478"/>
    <n v="0"/>
    <n v="1633"/>
    <n v="773.55"/>
    <x v="0"/>
    <s v="25"/>
    <s v="1719"/>
    <n v="25"/>
    <n v="0.9499709133216987"/>
    <n v="3.7998836532867945E-2"/>
  </r>
  <r>
    <x v="0"/>
    <x v="2"/>
    <x v="2"/>
    <s v="M00000347309"/>
    <d v="2008-03-20T00:00:00"/>
    <n v="3040"/>
    <n v="0"/>
    <n v="2003.5"/>
    <n v="949.05"/>
    <x v="0"/>
    <s v="25"/>
    <s v="2109"/>
    <n v="25"/>
    <n v="0.94997629208155521"/>
    <n v="3.799905168326221E-2"/>
  </r>
  <r>
    <x v="0"/>
    <x v="2"/>
    <x v="2"/>
    <s v="M00000347318"/>
    <d v="2008-03-20T00:00:00"/>
    <n v="3040"/>
    <n v="0"/>
    <n v="2003.5"/>
    <n v="949.05"/>
    <x v="0"/>
    <s v="25"/>
    <s v="2109"/>
    <n v="25"/>
    <n v="0.94997629208155521"/>
    <n v="3.799905168326221E-2"/>
  </r>
  <r>
    <x v="0"/>
    <x v="2"/>
    <x v="2"/>
    <s v="M00000275534"/>
    <d v="2007-06-07T00:00:00"/>
    <n v="2162"/>
    <n v="0"/>
    <n v="1425"/>
    <n v="675"/>
    <x v="0"/>
    <s v="25"/>
    <s v="1500"/>
    <n v="25"/>
    <n v="0.95"/>
    <n v="3.7999999999999999E-2"/>
  </r>
  <r>
    <x v="0"/>
    <x v="2"/>
    <x v="2"/>
    <s v="M00000343572"/>
    <d v="2008-03-06T00:00:00"/>
    <n v="1153"/>
    <n v="0"/>
    <n v="760"/>
    <n v="360"/>
    <x v="0"/>
    <s v="25"/>
    <s v="800"/>
    <n v="25"/>
    <n v="0.95"/>
    <n v="3.7999999999999999E-2"/>
  </r>
  <r>
    <x v="0"/>
    <x v="2"/>
    <x v="2"/>
    <s v="M00000274447"/>
    <d v="2007-05-31T00:00:00"/>
    <n v="1542"/>
    <n v="0"/>
    <n v="1017.04"/>
    <n v="481.5"/>
    <x v="0"/>
    <s v="25"/>
    <s v="1070"/>
    <n v="25"/>
    <n v="0.9505046728971962"/>
    <n v="3.8020186915887849E-2"/>
  </r>
  <r>
    <x v="0"/>
    <x v="2"/>
    <x v="2"/>
    <s v="M00000317011"/>
    <d v="2007-11-29T00:00:00"/>
    <n v="1279"/>
    <n v="0"/>
    <n v="845"/>
    <n v="399.6"/>
    <x v="0"/>
    <s v="25"/>
    <s v="888"/>
    <n v="25"/>
    <n v="0.95157657657657657"/>
    <n v="3.8063063063063063E-2"/>
  </r>
  <r>
    <x v="0"/>
    <x v="2"/>
    <x v="2"/>
    <s v="M00000279940"/>
    <d v="2007-06-28T00:00:00"/>
    <n v="1080"/>
    <n v="0"/>
    <n v="714"/>
    <n v="337.5"/>
    <x v="0"/>
    <s v="25"/>
    <s v="750"/>
    <n v="25"/>
    <n v="0.95199999999999996"/>
    <n v="3.8079999999999996E-2"/>
  </r>
  <r>
    <x v="0"/>
    <x v="2"/>
    <x v="2"/>
    <s v="M00000284328"/>
    <d v="2007-07-19T00:00:00"/>
    <n v="1758"/>
    <n v="0"/>
    <n v="976"/>
    <n v="549"/>
    <x v="0"/>
    <s v="21"/>
    <s v="1220"/>
    <n v="21"/>
    <n v="0.8"/>
    <n v="3.8095238095238099E-2"/>
  </r>
  <r>
    <x v="0"/>
    <x v="2"/>
    <x v="2"/>
    <s v="M00000290799"/>
    <d v="2007-08-23T00:00:00"/>
    <n v="3264"/>
    <n v="0"/>
    <n v="2599.9899999999998"/>
    <n v="1019.25"/>
    <x v="0"/>
    <s v="30"/>
    <s v="2265"/>
    <n v="30"/>
    <n v="1.1478984547461368"/>
    <n v="3.826328182487123E-2"/>
  </r>
  <r>
    <x v="0"/>
    <x v="2"/>
    <x v="2"/>
    <s v="M00000321797"/>
    <d v="2007-12-31T00:00:00"/>
    <n v="2888"/>
    <n v="0"/>
    <n v="1923"/>
    <n v="901.8"/>
    <x v="0"/>
    <s v="25"/>
    <s v="2004"/>
    <n v="25"/>
    <n v="0.95958083832335328"/>
    <n v="3.838323353293413E-2"/>
  </r>
  <r>
    <x v="0"/>
    <x v="2"/>
    <x v="2"/>
    <s v="M00000277278"/>
    <d v="2007-07-06T00:00:00"/>
    <n v="3015"/>
    <n v="0"/>
    <n v="2008.95"/>
    <n v="941.4"/>
    <x v="0"/>
    <s v="25"/>
    <s v="2092"/>
    <n v="25"/>
    <n v="0.96030114722753346"/>
    <n v="3.841204588910134E-2"/>
  </r>
  <r>
    <x v="0"/>
    <x v="2"/>
    <x v="2"/>
    <s v="M00000299846"/>
    <d v="2007-09-20T00:00:00"/>
    <n v="1181"/>
    <n v="0"/>
    <n v="789.99"/>
    <n v="369"/>
    <x v="0"/>
    <s v="25"/>
    <s v="820"/>
    <n v="25"/>
    <n v="0.96340243902439027"/>
    <n v="3.8536097560975612E-2"/>
  </r>
  <r>
    <x v="0"/>
    <x v="2"/>
    <x v="2"/>
    <s v="M00000370878"/>
    <d v="2008-06-26T00:00:00"/>
    <n v="1484"/>
    <n v="0"/>
    <n v="995"/>
    <n v="463.5"/>
    <x v="0"/>
    <s v="25"/>
    <s v="1030"/>
    <n v="25"/>
    <n v="0.96601941747572817"/>
    <n v="3.8640776699029128E-2"/>
  </r>
  <r>
    <x v="0"/>
    <x v="2"/>
    <x v="2"/>
    <s v="M00000355163"/>
    <d v="2008-04-24T00:00:00"/>
    <n v="2378"/>
    <n v="0"/>
    <n v="1601"/>
    <n v="742.5"/>
    <x v="0"/>
    <s v="25"/>
    <s v="1650"/>
    <n v="25"/>
    <n v="0.97030303030303033"/>
    <n v="3.8812121212121214E-2"/>
  </r>
  <r>
    <x v="0"/>
    <x v="2"/>
    <x v="2"/>
    <s v="M00000280731"/>
    <d v="2007-06-28T00:00:00"/>
    <n v="1945"/>
    <n v="0"/>
    <n v="1315.04"/>
    <n v="607.5"/>
    <x v="0"/>
    <s v="25"/>
    <s v="1350"/>
    <n v="25"/>
    <n v="0.97410370370370369"/>
    <n v="3.8964148148148151E-2"/>
  </r>
  <r>
    <x v="0"/>
    <x v="2"/>
    <x v="2"/>
    <s v="M00000275366"/>
    <d v="2007-06-07T00:00:00"/>
    <n v="1557"/>
    <n v="0"/>
    <n v="1057.97"/>
    <n v="486"/>
    <x v="0"/>
    <s v="25"/>
    <s v="1080"/>
    <n v="25"/>
    <n v="0.97960185185185189"/>
    <n v="3.9184074074074073E-2"/>
  </r>
  <r>
    <x v="0"/>
    <x v="2"/>
    <x v="2"/>
    <s v="M00000353140"/>
    <d v="2008-04-10T00:00:00"/>
    <n v="1471"/>
    <n v="0"/>
    <n v="1000"/>
    <n v="459"/>
    <x v="0"/>
    <s v="25"/>
    <s v="1020"/>
    <n v="25"/>
    <n v="0.98039215686274506"/>
    <n v="3.9215686274509803E-2"/>
  </r>
  <r>
    <x v="0"/>
    <x v="2"/>
    <x v="2"/>
    <s v="M00000314008"/>
    <d v="2007-11-21T00:00:00"/>
    <n v="1981"/>
    <n v="0"/>
    <n v="1350"/>
    <n v="618.75"/>
    <x v="0"/>
    <s v="25"/>
    <s v="1375"/>
    <n v="25"/>
    <n v="0.98181818181818181"/>
    <n v="3.9272727272727272E-2"/>
  </r>
  <r>
    <x v="0"/>
    <x v="2"/>
    <x v="2"/>
    <s v="M00000324723"/>
    <d v="2007-12-20T00:00:00"/>
    <n v="1729"/>
    <n v="0"/>
    <n v="990"/>
    <n v="540"/>
    <x v="0"/>
    <s v="21"/>
    <s v="1200"/>
    <n v="21"/>
    <n v="0.82499999999999996"/>
    <n v="3.9285714285714285E-2"/>
  </r>
  <r>
    <x v="0"/>
    <x v="2"/>
    <x v="2"/>
    <s v="M00000354088"/>
    <d v="2008-04-17T00:00:00"/>
    <n v="1809"/>
    <n v="0"/>
    <n v="1039"/>
    <n v="564.75"/>
    <x v="0"/>
    <s v="21"/>
    <s v="1255"/>
    <n v="21"/>
    <n v="0.82788844621513946"/>
    <n v="3.9423259343578071E-2"/>
  </r>
  <r>
    <x v="0"/>
    <x v="2"/>
    <x v="2"/>
    <s v="M00000372829"/>
    <d v="2008-07-10T00:00:00"/>
    <n v="1452"/>
    <n v="0"/>
    <n v="995"/>
    <n v="453.15"/>
    <x v="0"/>
    <s v="25"/>
    <s v="1007"/>
    <n v="25"/>
    <n v="0.98808341608738826"/>
    <n v="3.9523336643495527E-2"/>
  </r>
  <r>
    <x v="0"/>
    <x v="2"/>
    <x v="2"/>
    <s v="M00000354016"/>
    <d v="2008-04-17T00:00:00"/>
    <n v="2404"/>
    <n v="0"/>
    <n v="1652"/>
    <n v="750.6"/>
    <x v="0"/>
    <s v="25"/>
    <s v="1668"/>
    <n v="25"/>
    <n v="0.99040767386091122"/>
    <n v="3.961630695443645E-2"/>
  </r>
  <r>
    <x v="0"/>
    <x v="2"/>
    <x v="2"/>
    <s v="M00000337002"/>
    <d v="2008-02-07T00:00:00"/>
    <n v="1452"/>
    <n v="0"/>
    <n v="1000"/>
    <n v="453.6"/>
    <x v="0"/>
    <s v="25"/>
    <s v="1008"/>
    <n v="25"/>
    <n v="0.99206349206349209"/>
    <n v="3.968253968253968E-2"/>
  </r>
  <r>
    <x v="0"/>
    <x v="2"/>
    <x v="2"/>
    <s v="M00000277641"/>
    <d v="2007-06-21T00:00:00"/>
    <n v="2306"/>
    <n v="0"/>
    <n v="1600"/>
    <n v="720"/>
    <x v="0"/>
    <s v="25"/>
    <s v="1600"/>
    <n v="25"/>
    <n v="1"/>
    <n v="0.04"/>
  </r>
  <r>
    <x v="0"/>
    <x v="2"/>
    <x v="2"/>
    <s v="M00000278803"/>
    <d v="2007-06-21T00:00:00"/>
    <n v="3458"/>
    <n v="0"/>
    <n v="2400"/>
    <n v="1080"/>
    <x v="0"/>
    <s v="25"/>
    <s v="2400"/>
    <n v="25"/>
    <n v="1"/>
    <n v="0.04"/>
  </r>
  <r>
    <x v="0"/>
    <x v="2"/>
    <x v="2"/>
    <s v="M00000295516"/>
    <d v="2007-09-06T00:00:00"/>
    <n v="2306"/>
    <n v="0"/>
    <n v="1600"/>
    <n v="720"/>
    <x v="0"/>
    <s v="25"/>
    <s v="1600"/>
    <n v="25"/>
    <n v="1"/>
    <n v="0.04"/>
  </r>
  <r>
    <x v="0"/>
    <x v="2"/>
    <x v="2"/>
    <s v="M00000363389"/>
    <d v="2008-05-22T00:00:00"/>
    <n v="1395"/>
    <n v="0"/>
    <n v="984.29"/>
    <n v="435.6"/>
    <x v="0"/>
    <s v="25"/>
    <s v="968"/>
    <n v="25"/>
    <n v="1.0168285123966943"/>
    <n v="4.0673140495867767E-2"/>
  </r>
  <r>
    <x v="0"/>
    <x v="2"/>
    <x v="2"/>
    <s v="M00000288371"/>
    <d v="2007-08-02T00:00:00"/>
    <n v="2451"/>
    <n v="0"/>
    <n v="1729.92"/>
    <n v="765.45"/>
    <x v="0"/>
    <s v="25"/>
    <s v="1701"/>
    <n v="25"/>
    <n v="1.0170017636684303"/>
    <n v="4.068007054673721E-2"/>
  </r>
  <r>
    <x v="0"/>
    <x v="2"/>
    <x v="2"/>
    <s v="M00000346610"/>
    <d v="2008-03-13T00:00:00"/>
    <n v="1225"/>
    <n v="0"/>
    <n v="865"/>
    <n v="382.5"/>
    <x v="0"/>
    <s v="25"/>
    <s v="850"/>
    <n v="25"/>
    <n v="1.0176470588235293"/>
    <n v="4.0705882352941175E-2"/>
  </r>
  <r>
    <x v="0"/>
    <x v="2"/>
    <x v="2"/>
    <s v="M00000368629"/>
    <d v="2008-06-19T00:00:00"/>
    <n v="484"/>
    <n v="0"/>
    <n v="411"/>
    <n v="151.19999999999999"/>
    <x v="0"/>
    <s v="30"/>
    <s v="336"/>
    <n v="30"/>
    <n v="1.2232142857142858"/>
    <n v="4.0773809523809525E-2"/>
  </r>
  <r>
    <x v="0"/>
    <x v="2"/>
    <x v="2"/>
    <s v="M00000326757"/>
    <d v="2007-12-31T00:00:00"/>
    <n v="994"/>
    <n v="0"/>
    <n v="705"/>
    <n v="310.5"/>
    <x v="0"/>
    <s v="25"/>
    <s v="690"/>
    <n v="25"/>
    <n v="1.0217391304347827"/>
    <n v="4.086956521739131E-2"/>
  </r>
  <r>
    <x v="0"/>
    <x v="2"/>
    <x v="2"/>
    <s v="M00000321092"/>
    <d v="2007-12-13T00:00:00"/>
    <n v="2882"/>
    <n v="0"/>
    <n v="2070"/>
    <n v="900"/>
    <x v="0"/>
    <s v="25"/>
    <s v="2000"/>
    <n v="25"/>
    <n v="1.0349999999999999"/>
    <n v="4.1399999999999999E-2"/>
  </r>
  <r>
    <x v="0"/>
    <x v="2"/>
    <x v="2"/>
    <s v="M00000274545"/>
    <d v="2007-05-31T00:00:00"/>
    <n v="1205"/>
    <n v="0"/>
    <n v="869.02"/>
    <n v="376.2"/>
    <x v="0"/>
    <s v="25"/>
    <s v="836"/>
    <n v="25"/>
    <n v="1.0394976076555025"/>
    <n v="4.1579904306220099E-2"/>
  </r>
  <r>
    <x v="0"/>
    <x v="2"/>
    <x v="2"/>
    <s v="M00000347746"/>
    <d v="2008-05-08T00:00:00"/>
    <n v="2478"/>
    <n v="0"/>
    <n v="1792"/>
    <n v="773.55"/>
    <x v="0"/>
    <s v="25"/>
    <s v="1719"/>
    <n v="25"/>
    <n v="1.0424665503199535"/>
    <n v="4.1698662012798142E-2"/>
  </r>
  <r>
    <x v="0"/>
    <x v="2"/>
    <x v="2"/>
    <s v="M00000315233"/>
    <d v="2007-12-20T00:00:00"/>
    <n v="2393"/>
    <n v="0"/>
    <n v="1732"/>
    <n v="747"/>
    <x v="0"/>
    <s v="25"/>
    <s v="1660"/>
    <n v="25"/>
    <n v="1.0433734939759036"/>
    <n v="4.1734939759036145E-2"/>
  </r>
  <r>
    <x v="0"/>
    <x v="2"/>
    <x v="2"/>
    <s v="M00000327872"/>
    <d v="2007-12-31T00:00:00"/>
    <n v="740"/>
    <n v="0"/>
    <n v="408.24"/>
    <n v="231.3"/>
    <x v="0"/>
    <s v="19"/>
    <s v="514"/>
    <n v="19"/>
    <n v="0.79424124513618677"/>
    <n v="4.1802170796641412E-2"/>
  </r>
  <r>
    <x v="0"/>
    <x v="2"/>
    <x v="2"/>
    <s v="M00000327554"/>
    <d v="2007-12-31T00:00:00"/>
    <n v="4266"/>
    <n v="0"/>
    <n v="3096"/>
    <n v="1332"/>
    <x v="0"/>
    <s v="25"/>
    <s v="2960"/>
    <n v="25"/>
    <n v="1.0459459459459459"/>
    <n v="4.1837837837837837E-2"/>
  </r>
  <r>
    <x v="0"/>
    <x v="2"/>
    <x v="2"/>
    <s v="M00000307596"/>
    <d v="2007-10-25T00:00:00"/>
    <n v="1660"/>
    <n v="0"/>
    <n v="916"/>
    <n v="518.4"/>
    <x v="0"/>
    <s v="19"/>
    <s v="1152"/>
    <n v="19"/>
    <n v="0.79513888888888884"/>
    <n v="4.1849415204678359E-2"/>
  </r>
  <r>
    <x v="0"/>
    <x v="2"/>
    <x v="2"/>
    <s v="M00000329740"/>
    <d v="2007-12-31T00:00:00"/>
    <n v="1101"/>
    <n v="0"/>
    <n v="800"/>
    <n v="343.8"/>
    <x v="0"/>
    <s v="25"/>
    <s v="764"/>
    <n v="25"/>
    <n v="1.0471204188481675"/>
    <n v="4.1884816753926704E-2"/>
  </r>
  <r>
    <x v="0"/>
    <x v="2"/>
    <x v="2"/>
    <s v="M00000341966"/>
    <d v="2008-02-29T00:00:00"/>
    <n v="3251"/>
    <n v="0"/>
    <n v="2368"/>
    <n v="1015.2"/>
    <x v="0"/>
    <s v="25"/>
    <s v="2256"/>
    <n v="25"/>
    <n v="1.0496453900709219"/>
    <n v="4.198581560283688E-2"/>
  </r>
  <r>
    <x v="0"/>
    <x v="2"/>
    <x v="2"/>
    <s v="M00000318625"/>
    <d v="2007-12-06T00:00:00"/>
    <n v="1153"/>
    <n v="0"/>
    <n v="840"/>
    <n v="360"/>
    <x v="0"/>
    <s v="25"/>
    <s v="800"/>
    <n v="25"/>
    <n v="1.05"/>
    <n v="4.2000000000000003E-2"/>
  </r>
  <r>
    <x v="0"/>
    <x v="2"/>
    <x v="2"/>
    <s v="M00000341092"/>
    <d v="2008-02-29T00:00:00"/>
    <n v="1279"/>
    <n v="0"/>
    <n v="937"/>
    <n v="399.6"/>
    <x v="0"/>
    <s v="25"/>
    <s v="888"/>
    <n v="25"/>
    <n v="1.0551801801801801"/>
    <n v="4.2207207207207206E-2"/>
  </r>
  <r>
    <x v="0"/>
    <x v="2"/>
    <x v="2"/>
    <s v="M00000295153"/>
    <d v="2007-09-06T00:00:00"/>
    <n v="1274"/>
    <n v="0"/>
    <n v="935.01"/>
    <n v="397.8"/>
    <x v="0"/>
    <s v="25"/>
    <s v="884"/>
    <n v="25"/>
    <n v="1.0577036199095022"/>
    <n v="4.2308144796380093E-2"/>
  </r>
  <r>
    <x v="0"/>
    <x v="2"/>
    <x v="2"/>
    <s v="M00000312065"/>
    <d v="2007-11-09T00:00:00"/>
    <n v="1333"/>
    <n v="0"/>
    <n v="1175"/>
    <n v="416.25"/>
    <x v="0"/>
    <s v="30"/>
    <s v="925"/>
    <n v="30"/>
    <n v="1.2702702702702702"/>
    <n v="4.234234234234234E-2"/>
  </r>
  <r>
    <x v="0"/>
    <x v="2"/>
    <x v="2"/>
    <s v="M00000340008"/>
    <d v="2008-02-14T00:00:00"/>
    <n v="1953"/>
    <n v="0"/>
    <n v="1445"/>
    <n v="609.75"/>
    <x v="0"/>
    <s v="25"/>
    <s v="1355"/>
    <n v="25"/>
    <n v="1.0664206642066421"/>
    <n v="4.2656826568265679E-2"/>
  </r>
  <r>
    <x v="0"/>
    <x v="2"/>
    <x v="2"/>
    <s v="M00000273591"/>
    <d v="2007-05-24T00:00:00"/>
    <n v="1724"/>
    <n v="0"/>
    <n v="1076.04"/>
    <n v="538.20000000000005"/>
    <x v="0"/>
    <s v="21"/>
    <s v="1196"/>
    <n v="21"/>
    <n v="0.89969899665551833"/>
    <n v="4.2842809364548491E-2"/>
  </r>
  <r>
    <x v="0"/>
    <x v="2"/>
    <x v="2"/>
    <s v="M00000281216"/>
    <d v="2007-07-06T00:00:00"/>
    <n v="3848"/>
    <n v="0"/>
    <n v="2403"/>
    <n v="1201.5"/>
    <x v="0"/>
    <s v="21"/>
    <s v="2670"/>
    <n v="21"/>
    <n v="0.9"/>
    <n v="4.2857142857142858E-2"/>
  </r>
  <r>
    <x v="0"/>
    <x v="2"/>
    <x v="2"/>
    <s v="M00000332582"/>
    <d v="2007-12-31T00:00:00"/>
    <n v="1616"/>
    <n v="0"/>
    <n v="1009"/>
    <n v="504.45"/>
    <x v="0"/>
    <s v="21"/>
    <s v="1121"/>
    <n v="21"/>
    <n v="0.9000892060660125"/>
    <n v="4.2861390765048211E-2"/>
  </r>
  <r>
    <x v="0"/>
    <x v="2"/>
    <x v="2"/>
    <s v="M00000271812"/>
    <d v="2007-08-09T00:00:00"/>
    <n v="1181"/>
    <n v="0"/>
    <n v="881.01"/>
    <n v="369"/>
    <x v="0"/>
    <s v="25"/>
    <s v="820"/>
    <n v="25"/>
    <n v="1.0744024390243903"/>
    <n v="4.2976097560975611E-2"/>
  </r>
  <r>
    <x v="0"/>
    <x v="2"/>
    <x v="2"/>
    <s v="M00000333108"/>
    <d v="2007-12-31T00:00:00"/>
    <n v="2378"/>
    <n v="0"/>
    <n v="1792"/>
    <n v="742.5"/>
    <x v="0"/>
    <s v="25"/>
    <s v="1650"/>
    <n v="25"/>
    <n v="1.0860606060606062"/>
    <n v="4.3442424242424248E-2"/>
  </r>
  <r>
    <x v="0"/>
    <x v="2"/>
    <x v="2"/>
    <s v="M00000302085"/>
    <d v="2007-10-04T00:00:00"/>
    <n v="2594"/>
    <n v="0"/>
    <n v="1955"/>
    <n v="810"/>
    <x v="0"/>
    <s v="25"/>
    <s v="1800"/>
    <n v="25"/>
    <n v="1.086111111111111"/>
    <n v="4.3444444444444438E-2"/>
  </r>
  <r>
    <x v="0"/>
    <x v="2"/>
    <x v="2"/>
    <s v="M00000270537"/>
    <d v="2007-05-31T00:00:00"/>
    <n v="3227"/>
    <n v="0"/>
    <n v="2932.16"/>
    <n v="1008"/>
    <x v="0"/>
    <s v="30"/>
    <s v="2240"/>
    <n v="30"/>
    <n v="1.3089999999999999"/>
    <n v="4.363333333333333E-2"/>
  </r>
  <r>
    <x v="0"/>
    <x v="2"/>
    <x v="2"/>
    <s v="M00000321376"/>
    <d v="2007-12-13T00:00:00"/>
    <n v="1089"/>
    <n v="0"/>
    <n v="825"/>
    <n v="340.2"/>
    <x v="0"/>
    <s v="25"/>
    <s v="756"/>
    <n v="25"/>
    <n v="1.0912698412698412"/>
    <n v="4.3650793650793648E-2"/>
  </r>
  <r>
    <x v="0"/>
    <x v="2"/>
    <x v="2"/>
    <s v="M00000359197"/>
    <d v="2008-05-15T00:00:00"/>
    <n v="2249"/>
    <n v="0"/>
    <n v="1715"/>
    <n v="702"/>
    <x v="0"/>
    <s v="25"/>
    <s v="1560"/>
    <n v="25"/>
    <n v="1.0993589743589745"/>
    <n v="4.3974358974358981E-2"/>
  </r>
  <r>
    <x v="0"/>
    <x v="2"/>
    <x v="2"/>
    <s v="M00000372728"/>
    <d v="2008-07-03T00:00:00"/>
    <n v="1885"/>
    <n v="0"/>
    <n v="1440"/>
    <n v="588.6"/>
    <x v="0"/>
    <s v="25"/>
    <s v="1308"/>
    <n v="25"/>
    <n v="1.1009174311926606"/>
    <n v="4.4036697247706424E-2"/>
  </r>
  <r>
    <x v="0"/>
    <x v="2"/>
    <x v="2"/>
    <s v="M00000332410"/>
    <d v="2007-12-31T00:00:00"/>
    <n v="1427"/>
    <n v="0"/>
    <n v="1309"/>
    <n v="445.5"/>
    <x v="0"/>
    <s v="30"/>
    <s v="990"/>
    <n v="30"/>
    <n v="1.3222222222222222"/>
    <n v="4.4074074074074071E-2"/>
  </r>
  <r>
    <x v="0"/>
    <x v="2"/>
    <x v="2"/>
    <s v="M00000332347"/>
    <d v="2007-12-31T00:00:00"/>
    <n v="2035"/>
    <n v="0"/>
    <n v="1183"/>
    <n v="635.4"/>
    <x v="0"/>
    <s v="19"/>
    <s v="1412"/>
    <n v="19"/>
    <n v="0.83781869688385269"/>
    <n v="4.4095720888623825E-2"/>
  </r>
  <r>
    <x v="0"/>
    <x v="2"/>
    <x v="2"/>
    <s v="M00000302332"/>
    <d v="2007-10-11T00:00:00"/>
    <n v="1368"/>
    <n v="0"/>
    <n v="1050"/>
    <n v="427.5"/>
    <x v="0"/>
    <s v="25"/>
    <s v="950"/>
    <n v="25"/>
    <n v="1.1052631578947369"/>
    <n v="4.4210526315789478E-2"/>
  </r>
  <r>
    <x v="0"/>
    <x v="2"/>
    <x v="2"/>
    <s v="M00000341085"/>
    <d v="2008-02-21T00:00:00"/>
    <n v="1354"/>
    <n v="0"/>
    <n v="1040"/>
    <n v="423"/>
    <x v="0"/>
    <s v="25"/>
    <s v="940"/>
    <n v="25"/>
    <n v="1.1063829787234043"/>
    <n v="4.425531914893617E-2"/>
  </r>
  <r>
    <x v="0"/>
    <x v="2"/>
    <x v="2"/>
    <s v="M00000309181"/>
    <d v="2007-11-01T00:00:00"/>
    <n v="1720"/>
    <n v="0"/>
    <n v="1326"/>
    <n v="537.29999999999995"/>
    <x v="0"/>
    <s v="25"/>
    <s v="1194"/>
    <n v="25"/>
    <n v="1.1105527638190955"/>
    <n v="4.4422110552763822E-2"/>
  </r>
  <r>
    <x v="0"/>
    <x v="2"/>
    <x v="2"/>
    <s v="M00000306481"/>
    <d v="2007-10-25T00:00:00"/>
    <n v="692"/>
    <n v="0"/>
    <n v="537"/>
    <n v="216"/>
    <x v="0"/>
    <s v="25"/>
    <s v="480"/>
    <n v="25"/>
    <n v="1.1187499999999999"/>
    <n v="4.4749999999999998E-2"/>
  </r>
  <r>
    <x v="0"/>
    <x v="2"/>
    <x v="2"/>
    <s v="M00000304147"/>
    <d v="2007-10-11T00:00:00"/>
    <n v="563"/>
    <n v="0"/>
    <n v="438"/>
    <n v="175.95"/>
    <x v="0"/>
    <s v="25"/>
    <s v="391"/>
    <n v="25"/>
    <n v="1.1202046035805626"/>
    <n v="4.4808184143222504E-2"/>
  </r>
  <r>
    <x v="0"/>
    <x v="2"/>
    <x v="2"/>
    <s v="M00000339736"/>
    <d v="2008-04-17T00:00:00"/>
    <n v="1384"/>
    <n v="0"/>
    <n v="1082"/>
    <n v="432"/>
    <x v="0"/>
    <s v="25"/>
    <s v="960"/>
    <n v="25"/>
    <n v="1.1270833333333334"/>
    <n v="4.5083333333333336E-2"/>
  </r>
  <r>
    <x v="0"/>
    <x v="2"/>
    <x v="2"/>
    <s v="M00000337287"/>
    <d v="2008-02-07T00:00:00"/>
    <n v="1297"/>
    <n v="0"/>
    <n v="1015"/>
    <n v="405"/>
    <x v="0"/>
    <s v="25"/>
    <s v="900"/>
    <n v="25"/>
    <n v="1.1277777777777778"/>
    <n v="4.5111111111111109E-2"/>
  </r>
  <r>
    <x v="0"/>
    <x v="2"/>
    <x v="2"/>
    <s v="M00000334532"/>
    <d v="2008-01-24T00:00:00"/>
    <n v="1845"/>
    <n v="0"/>
    <n v="1458"/>
    <n v="576"/>
    <x v="0"/>
    <s v="25"/>
    <s v="1280"/>
    <n v="25"/>
    <n v="1.1390625000000001"/>
    <n v="4.5562500000000006E-2"/>
  </r>
  <r>
    <x v="0"/>
    <x v="2"/>
    <x v="2"/>
    <s v="M00000299235"/>
    <d v="2007-12-13T00:00:00"/>
    <n v="2789"/>
    <n v="0"/>
    <n v="2656.8"/>
    <n v="870.75"/>
    <x v="0"/>
    <s v="30"/>
    <s v="1935"/>
    <n v="30"/>
    <n v="1.3730232558139537"/>
    <n v="4.5767441860465122E-2"/>
  </r>
  <r>
    <x v="0"/>
    <x v="2"/>
    <x v="2"/>
    <s v="M00000356702"/>
    <d v="2008-04-30T00:00:00"/>
    <n v="1808"/>
    <n v="0"/>
    <n v="1101"/>
    <n v="564.29999999999995"/>
    <x v="0"/>
    <s v="19"/>
    <s v="1254"/>
    <n v="19"/>
    <n v="0.87799043062200954"/>
    <n v="4.6210022664316293E-2"/>
  </r>
  <r>
    <x v="0"/>
    <x v="2"/>
    <x v="2"/>
    <s v="M00000342236"/>
    <d v="2008-02-29T00:00:00"/>
    <n v="3170"/>
    <n v="0"/>
    <n v="1936"/>
    <n v="990"/>
    <x v="0"/>
    <s v="19"/>
    <s v="2200"/>
    <n v="19"/>
    <n v="0.88"/>
    <n v="4.6315789473684213E-2"/>
  </r>
  <r>
    <x v="0"/>
    <x v="2"/>
    <x v="2"/>
    <s v="M00000302372"/>
    <d v="2007-10-11T00:00:00"/>
    <n v="3629"/>
    <n v="0"/>
    <n v="2466"/>
    <n v="1133.0999999999999"/>
    <x v="0"/>
    <s v="21"/>
    <s v="2518"/>
    <n v="21"/>
    <n v="0.97934868943606035"/>
    <n v="4.6635651877907636E-2"/>
  </r>
  <r>
    <x v="0"/>
    <x v="2"/>
    <x v="2"/>
    <s v="M00000340669"/>
    <d v="2008-03-13T00:00:00"/>
    <n v="1600"/>
    <n v="0"/>
    <n v="1297"/>
    <n v="499.5"/>
    <x v="0"/>
    <s v="25"/>
    <s v="1110"/>
    <n v="25"/>
    <n v="1.1684684684684685"/>
    <n v="4.6738738738738739E-2"/>
  </r>
  <r>
    <x v="0"/>
    <x v="2"/>
    <x v="2"/>
    <s v="M00000317945"/>
    <d v="2007-11-30T00:00:00"/>
    <n v="1729"/>
    <n v="0"/>
    <n v="1409"/>
    <n v="540"/>
    <x v="0"/>
    <s v="25"/>
    <s v="1200"/>
    <n v="25"/>
    <n v="1.1741666666666666"/>
    <n v="4.6966666666666664E-2"/>
  </r>
  <r>
    <x v="0"/>
    <x v="2"/>
    <x v="2"/>
    <s v="M00000345040"/>
    <d v="2008-03-13T00:00:00"/>
    <n v="1448"/>
    <n v="0"/>
    <n v="1182"/>
    <n v="452.25"/>
    <x v="0"/>
    <s v="25"/>
    <s v="1005"/>
    <n v="25"/>
    <n v="1.1761194029850746"/>
    <n v="4.7044776119402984E-2"/>
  </r>
  <r>
    <x v="0"/>
    <x v="2"/>
    <x v="2"/>
    <s v="M00000315063"/>
    <d v="2007-12-31T00:00:00"/>
    <n v="2681"/>
    <n v="0"/>
    <n v="2190"/>
    <n v="837"/>
    <x v="0"/>
    <s v="25"/>
    <s v="1860"/>
    <n v="25"/>
    <n v="1.1774193548387097"/>
    <n v="4.7096774193548387E-2"/>
  </r>
  <r>
    <x v="0"/>
    <x v="2"/>
    <x v="2"/>
    <s v="M00000319177"/>
    <d v="2007-12-31T00:00:00"/>
    <n v="1786"/>
    <n v="0"/>
    <n v="1463.2"/>
    <n v="558"/>
    <x v="0"/>
    <s v="25"/>
    <s v="1240"/>
    <n v="25"/>
    <n v="1.18"/>
    <n v="4.7199999999999999E-2"/>
  </r>
  <r>
    <x v="0"/>
    <x v="2"/>
    <x v="2"/>
    <s v="M00000362206"/>
    <d v="2008-05-22T00:00:00"/>
    <n v="1825"/>
    <n v="0"/>
    <n v="1260"/>
    <n v="569.70000000000005"/>
    <x v="0"/>
    <s v="21"/>
    <s v="1266"/>
    <n v="21"/>
    <n v="0.99526066350710896"/>
    <n v="4.7393364928909949E-2"/>
  </r>
  <r>
    <x v="0"/>
    <x v="2"/>
    <x v="2"/>
    <s v="M00000353834"/>
    <d v="2008-04-24T00:00:00"/>
    <n v="1404"/>
    <n v="0"/>
    <n v="1385.03"/>
    <n v="438.3"/>
    <x v="0"/>
    <s v="30"/>
    <s v="974"/>
    <n v="30"/>
    <n v="1.4220020533880904"/>
    <n v="4.7400068446269678E-2"/>
  </r>
  <r>
    <x v="0"/>
    <x v="2"/>
    <x v="2"/>
    <s v="M00000302994"/>
    <d v="2007-10-04T00:00:00"/>
    <n v="1500"/>
    <n v="0"/>
    <n v="1037"/>
    <n v="468.45"/>
    <x v="0"/>
    <s v="21"/>
    <s v="1041"/>
    <n v="21"/>
    <n v="0.99615754082612873"/>
    <n v="4.7436073372672798E-2"/>
  </r>
  <r>
    <x v="0"/>
    <x v="2"/>
    <x v="2"/>
    <s v="M00000367504"/>
    <d v="2008-06-12T00:00:00"/>
    <n v="1488"/>
    <n v="0"/>
    <n v="1030"/>
    <n v="464.4"/>
    <x v="0"/>
    <s v="21"/>
    <s v="1032"/>
    <n v="21"/>
    <n v="0.99806201550387597"/>
    <n v="4.752676264304171E-2"/>
  </r>
  <r>
    <x v="0"/>
    <x v="2"/>
    <x v="2"/>
    <s v="M00000333414"/>
    <d v="2007-12-31T00:00:00"/>
    <n v="1133"/>
    <n v="0"/>
    <n v="934.47"/>
    <n v="353.7"/>
    <x v="0"/>
    <s v="25"/>
    <s v="786"/>
    <n v="25"/>
    <n v="1.1888931297709924"/>
    <n v="4.7555725190839698E-2"/>
  </r>
  <r>
    <x v="0"/>
    <x v="2"/>
    <x v="2"/>
    <s v="M00000306212"/>
    <d v="2007-10-18T00:00:00"/>
    <n v="5764"/>
    <n v="0"/>
    <n v="3600"/>
    <n v="1800"/>
    <x v="0"/>
    <s v="21"/>
    <s v="3600"/>
    <n v="21"/>
    <n v="1"/>
    <n v="4.7619047619047616E-2"/>
  </r>
  <r>
    <x v="0"/>
    <x v="2"/>
    <x v="2"/>
    <s v="M00000278326"/>
    <d v="2007-06-21T00:00:00"/>
    <n v="1724"/>
    <n v="0"/>
    <n v="1425.03"/>
    <n v="538.20000000000005"/>
    <x v="0"/>
    <s v="25"/>
    <s v="1196"/>
    <n v="25"/>
    <n v="1.1914966555183946"/>
    <n v="4.7659866220735786E-2"/>
  </r>
  <r>
    <x v="0"/>
    <x v="2"/>
    <x v="2"/>
    <s v="M00000327510"/>
    <d v="2007-12-31T00:00:00"/>
    <n v="2154"/>
    <n v="0"/>
    <n v="1500"/>
    <n v="672.75"/>
    <x v="0"/>
    <s v="21"/>
    <s v="1495"/>
    <n v="21"/>
    <n v="1.0033444816053512"/>
    <n v="4.7778308647873864E-2"/>
  </r>
  <r>
    <x v="0"/>
    <x v="2"/>
    <x v="2"/>
    <s v="M00000345086"/>
    <d v="2008-03-13T00:00:00"/>
    <n v="1495"/>
    <n v="0"/>
    <n v="1255"/>
    <n v="466.65"/>
    <x v="0"/>
    <s v="25"/>
    <s v="1037"/>
    <n v="25"/>
    <n v="1.2102217936354869"/>
    <n v="4.8408871745419475E-2"/>
  </r>
  <r>
    <x v="0"/>
    <x v="2"/>
    <x v="2"/>
    <s v="M00000316359"/>
    <d v="2007-11-29T00:00:00"/>
    <n v="2162"/>
    <n v="0"/>
    <n v="1826"/>
    <n v="675"/>
    <x v="0"/>
    <s v="25"/>
    <s v="1500"/>
    <n v="25"/>
    <n v="1.2173333333333334"/>
    <n v="4.8693333333333338E-2"/>
  </r>
  <r>
    <x v="0"/>
    <x v="2"/>
    <x v="2"/>
    <s v="M00000332608"/>
    <d v="2007-12-31T00:00:00"/>
    <n v="2860"/>
    <n v="0"/>
    <n v="2032"/>
    <n v="893.25"/>
    <x v="0"/>
    <s v="21"/>
    <s v="1985"/>
    <n v="21"/>
    <n v="1.0236775818639798"/>
    <n v="4.874655151733237E-2"/>
  </r>
  <r>
    <x v="0"/>
    <x v="2"/>
    <x v="2"/>
    <s v="M00000337105"/>
    <d v="2008-02-21T00:00:00"/>
    <n v="1517"/>
    <n v="0"/>
    <n v="1086"/>
    <n v="473.85"/>
    <x v="0"/>
    <s v="21"/>
    <s v="1053"/>
    <n v="21"/>
    <n v="1.0313390313390314"/>
    <n v="4.911138244471578E-2"/>
  </r>
  <r>
    <x v="0"/>
    <x v="2"/>
    <x v="2"/>
    <s v="M00000306859"/>
    <d v="2007-10-25T00:00:00"/>
    <n v="1052"/>
    <n v="0"/>
    <n v="900"/>
    <n v="328.5"/>
    <x v="0"/>
    <s v="25"/>
    <s v="730"/>
    <n v="25"/>
    <n v="1.2328767123287672"/>
    <n v="4.9315068493150684E-2"/>
  </r>
  <r>
    <x v="0"/>
    <x v="2"/>
    <x v="2"/>
    <s v="M00000324920"/>
    <d v="2007-12-20T00:00:00"/>
    <n v="1570"/>
    <n v="0"/>
    <n v="1025"/>
    <n v="490.05"/>
    <x v="0"/>
    <s v="19"/>
    <s v="1089"/>
    <n v="19"/>
    <n v="0.94123048668503217"/>
    <n v="4.9538446667633275E-2"/>
  </r>
  <r>
    <x v="0"/>
    <x v="2"/>
    <x v="2"/>
    <s v="M00000351316"/>
    <d v="2008-04-03T00:00:00"/>
    <n v="1499"/>
    <n v="0"/>
    <n v="1086"/>
    <n v="468"/>
    <x v="0"/>
    <s v="21"/>
    <s v="1040"/>
    <n v="21"/>
    <n v="1.0442307692307693"/>
    <n v="4.9725274725274729E-2"/>
  </r>
  <r>
    <x v="0"/>
    <x v="2"/>
    <x v="2"/>
    <s v="M00000316404"/>
    <d v="2007-11-29T00:00:00"/>
    <n v="1697"/>
    <n v="0"/>
    <n v="1470"/>
    <n v="530.1"/>
    <x v="0"/>
    <s v="25"/>
    <s v="1178"/>
    <n v="25"/>
    <n v="1.2478777589134125"/>
    <n v="4.99151103565365E-2"/>
  </r>
  <r>
    <x v="0"/>
    <x v="2"/>
    <x v="2"/>
    <s v="M00000283330"/>
    <d v="2007-07-12T00:00:00"/>
    <n v="865"/>
    <n v="0"/>
    <n v="750"/>
    <n v="270"/>
    <x v="0"/>
    <s v="25"/>
    <s v="600"/>
    <n v="25"/>
    <n v="1.25"/>
    <n v="0.05"/>
  </r>
  <r>
    <x v="0"/>
    <x v="2"/>
    <x v="2"/>
    <s v="M00000285515"/>
    <d v="2007-07-19T00:00:00"/>
    <n v="1596"/>
    <n v="0"/>
    <n v="1386"/>
    <n v="498.6"/>
    <x v="0"/>
    <s v="25"/>
    <s v="1108"/>
    <n v="25"/>
    <n v="1.2509025270758123"/>
    <n v="5.003610108303249E-2"/>
  </r>
  <r>
    <x v="0"/>
    <x v="2"/>
    <x v="2"/>
    <s v="M00000353785"/>
    <d v="2008-04-17T00:00:00"/>
    <n v="1731"/>
    <n v="0"/>
    <n v="1511"/>
    <n v="540.45000000000005"/>
    <x v="0"/>
    <s v="25"/>
    <s v="1201"/>
    <n v="25"/>
    <n v="1.2581182348043298"/>
    <n v="5.0324729392173195E-2"/>
  </r>
  <r>
    <x v="0"/>
    <x v="2"/>
    <x v="2"/>
    <s v="M00000295374"/>
    <d v="2007-09-06T00:00:00"/>
    <n v="2521"/>
    <n v="0"/>
    <n v="2206.0500000000002"/>
    <n v="787.5"/>
    <x v="0"/>
    <s v="25"/>
    <s v="1750"/>
    <n v="25"/>
    <n v="1.2606000000000002"/>
    <n v="5.0424000000000004E-2"/>
  </r>
  <r>
    <x v="0"/>
    <x v="2"/>
    <x v="2"/>
    <s v="M00000358327"/>
    <d v="2008-05-15T00:00:00"/>
    <n v="969"/>
    <n v="0"/>
    <n v="856"/>
    <n v="302.39999999999998"/>
    <x v="0"/>
    <s v="25"/>
    <s v="672"/>
    <n v="25"/>
    <n v="1.2738095238095237"/>
    <n v="5.095238095238095E-2"/>
  </r>
  <r>
    <x v="0"/>
    <x v="2"/>
    <x v="2"/>
    <s v="M00000311399"/>
    <d v="2007-12-20T00:00:00"/>
    <n v="3314"/>
    <n v="0"/>
    <n v="2930"/>
    <n v="1035"/>
    <x v="0"/>
    <s v="25"/>
    <s v="2300"/>
    <n v="25"/>
    <n v="1.2739130434782608"/>
    <n v="5.0956521739130435E-2"/>
  </r>
  <r>
    <x v="0"/>
    <x v="2"/>
    <x v="2"/>
    <s v="M00000340649"/>
    <d v="2008-04-24T00:00:00"/>
    <n v="2018"/>
    <n v="0"/>
    <n v="1800"/>
    <n v="630"/>
    <x v="0"/>
    <s v="25"/>
    <s v="1400"/>
    <n v="25"/>
    <n v="1.2857142857142858"/>
    <n v="5.1428571428571435E-2"/>
  </r>
  <r>
    <x v="0"/>
    <x v="2"/>
    <x v="2"/>
    <s v="M00000330963"/>
    <d v="2007-12-31T00:00:00"/>
    <n v="1568"/>
    <n v="0"/>
    <n v="1403"/>
    <n v="489.6"/>
    <x v="0"/>
    <s v="25"/>
    <s v="1088"/>
    <n v="25"/>
    <n v="1.2895220588235294"/>
    <n v="5.1580882352941178E-2"/>
  </r>
  <r>
    <x v="0"/>
    <x v="2"/>
    <x v="2"/>
    <s v="M00000349771"/>
    <d v="2008-04-03T00:00:00"/>
    <n v="2239"/>
    <n v="0"/>
    <n v="1684"/>
    <n v="698.85"/>
    <x v="0"/>
    <s v="21"/>
    <s v="1553"/>
    <n v="21"/>
    <n v="1.0843528654217642"/>
    <n v="5.1635850734369729E-2"/>
  </r>
  <r>
    <x v="0"/>
    <x v="2"/>
    <x v="2"/>
    <s v="M00000310474"/>
    <d v="2007-12-27T00:00:00"/>
    <n v="4503"/>
    <n v="0"/>
    <n v="4844"/>
    <n v="1406.25"/>
    <x v="0"/>
    <s v="30"/>
    <s v="3125"/>
    <n v="30"/>
    <n v="1.5500799999999999"/>
    <n v="5.1669333333333331E-2"/>
  </r>
  <r>
    <x v="0"/>
    <x v="2"/>
    <x v="2"/>
    <s v="M00000333426"/>
    <d v="2007-12-31T00:00:00"/>
    <n v="1311"/>
    <n v="0"/>
    <n v="1177.3499999999999"/>
    <n v="409.5"/>
    <x v="0"/>
    <s v="25"/>
    <s v="910"/>
    <n v="25"/>
    <n v="1.2937912087912087"/>
    <n v="5.1751648351648347E-2"/>
  </r>
  <r>
    <x v="0"/>
    <x v="2"/>
    <x v="2"/>
    <s v="M00000333168"/>
    <d v="2007-12-31T00:00:00"/>
    <n v="1557"/>
    <n v="0"/>
    <n v="1400"/>
    <n v="486"/>
    <x v="0"/>
    <s v="25"/>
    <s v="1080"/>
    <n v="25"/>
    <n v="1.2962962962962963"/>
    <n v="5.185185185185185E-2"/>
  </r>
  <r>
    <x v="0"/>
    <x v="2"/>
    <x v="2"/>
    <s v="M00000356157"/>
    <d v="2008-04-30T00:00:00"/>
    <n v="1586"/>
    <n v="0"/>
    <n v="1426"/>
    <n v="495"/>
    <x v="0"/>
    <s v="25"/>
    <s v="1100"/>
    <n v="25"/>
    <n v="1.2963636363636364"/>
    <n v="5.1854545454545459E-2"/>
  </r>
  <r>
    <x v="0"/>
    <x v="2"/>
    <x v="2"/>
    <s v="M00000294365"/>
    <d v="2007-09-20T00:00:00"/>
    <n v="1517"/>
    <n v="0"/>
    <n v="1367.95"/>
    <n v="473.85"/>
    <x v="0"/>
    <s v="25"/>
    <s v="1053"/>
    <n v="25"/>
    <n v="1.2990978157644826"/>
    <n v="5.1963912630579305E-2"/>
  </r>
  <r>
    <x v="0"/>
    <x v="2"/>
    <x v="2"/>
    <s v="M00000290521"/>
    <d v="2007-08-09T00:00:00"/>
    <n v="1774"/>
    <n v="0"/>
    <n v="1351.02"/>
    <n v="553.95000000000005"/>
    <x v="0"/>
    <s v="21"/>
    <s v="1231"/>
    <n v="21"/>
    <n v="1.097497969130788"/>
    <n v="5.2261808053847045E-2"/>
  </r>
  <r>
    <x v="0"/>
    <x v="2"/>
    <x v="2"/>
    <s v="M00000338405"/>
    <d v="2008-02-14T00:00:00"/>
    <n v="1268"/>
    <n v="0"/>
    <n v="1152"/>
    <n v="396"/>
    <x v="0"/>
    <s v="25"/>
    <s v="880"/>
    <n v="25"/>
    <n v="1.3090909090909091"/>
    <n v="5.2363636363636362E-2"/>
  </r>
  <r>
    <x v="0"/>
    <x v="2"/>
    <x v="2"/>
    <s v="M00000347154"/>
    <d v="2008-03-20T00:00:00"/>
    <n v="1705"/>
    <n v="0"/>
    <n v="1315"/>
    <n v="532.35"/>
    <x v="0"/>
    <s v="21"/>
    <s v="1183"/>
    <n v="21"/>
    <n v="1.1115807269653424"/>
    <n v="5.2932415569778207E-2"/>
  </r>
  <r>
    <x v="0"/>
    <x v="2"/>
    <x v="2"/>
    <s v="M00000367196"/>
    <d v="2008-06-12T00:00:00"/>
    <n v="1297"/>
    <n v="0"/>
    <n v="1003"/>
    <n v="405"/>
    <x v="0"/>
    <s v="21"/>
    <s v="900"/>
    <n v="21"/>
    <n v="1.1144444444444443"/>
    <n v="5.3068783068783064E-2"/>
  </r>
  <r>
    <x v="0"/>
    <x v="2"/>
    <x v="2"/>
    <s v="M00000354473"/>
    <d v="2008-04-17T00:00:00"/>
    <n v="2469"/>
    <n v="0"/>
    <n v="2278"/>
    <n v="770.85"/>
    <x v="0"/>
    <s v="25"/>
    <s v="1713"/>
    <n v="25"/>
    <n v="1.3298307063631056"/>
    <n v="5.3193228254524223E-2"/>
  </r>
  <r>
    <x v="0"/>
    <x v="2"/>
    <x v="2"/>
    <s v="M00000277341"/>
    <d v="2007-08-02T00:00:00"/>
    <n v="2017"/>
    <n v="0"/>
    <n v="1877.4"/>
    <n v="630"/>
    <x v="0"/>
    <s v="25"/>
    <s v="1400"/>
    <n v="25"/>
    <n v="1.341"/>
    <n v="5.364E-2"/>
  </r>
  <r>
    <x v="0"/>
    <x v="2"/>
    <x v="2"/>
    <s v="M00000284764"/>
    <d v="2007-07-19T00:00:00"/>
    <n v="1813"/>
    <n v="0"/>
    <n v="1687.98"/>
    <n v="566.1"/>
    <x v="0"/>
    <s v="25"/>
    <s v="1258"/>
    <n v="25"/>
    <n v="1.3417965023847378"/>
    <n v="5.3671860095389511E-2"/>
  </r>
  <r>
    <x v="0"/>
    <x v="2"/>
    <x v="2"/>
    <s v="M00000330945"/>
    <d v="2007-12-31T00:00:00"/>
    <n v="2321"/>
    <n v="0"/>
    <n v="2176"/>
    <n v="724.95"/>
    <x v="0"/>
    <s v="25"/>
    <s v="1611"/>
    <n v="25"/>
    <n v="1.350713842333954"/>
    <n v="5.4028553693358156E-2"/>
  </r>
  <r>
    <x v="0"/>
    <x v="2"/>
    <x v="2"/>
    <s v="M00000342368"/>
    <d v="2008-03-06T00:00:00"/>
    <n v="1499"/>
    <n v="0"/>
    <n v="1405"/>
    <n v="468"/>
    <x v="0"/>
    <s v="25"/>
    <s v="1040"/>
    <n v="25"/>
    <n v="1.3509615384615385"/>
    <n v="5.4038461538461542E-2"/>
  </r>
  <r>
    <x v="0"/>
    <x v="2"/>
    <x v="2"/>
    <s v="M00000320856"/>
    <d v="2007-12-13T00:00:00"/>
    <n v="2022"/>
    <n v="0"/>
    <n v="1899"/>
    <n v="631.35"/>
    <x v="0"/>
    <s v="25"/>
    <s v="1403"/>
    <n v="25"/>
    <n v="1.3535281539558091"/>
    <n v="5.4141126158232362E-2"/>
  </r>
  <r>
    <x v="0"/>
    <x v="2"/>
    <x v="2"/>
    <s v="M00000308833"/>
    <d v="2007-12-13T00:00:00"/>
    <n v="2450"/>
    <n v="0"/>
    <n v="2763.1"/>
    <n v="765"/>
    <x v="0"/>
    <s v="30"/>
    <s v="1700"/>
    <n v="30"/>
    <n v="1.6253529411764704"/>
    <n v="5.4178431372549012E-2"/>
  </r>
  <r>
    <x v="0"/>
    <x v="2"/>
    <x v="2"/>
    <s v="M00000303407"/>
    <d v="2007-11-21T00:00:00"/>
    <n v="3314"/>
    <n v="0"/>
    <n v="3148"/>
    <n v="1035"/>
    <x v="0"/>
    <s v="25"/>
    <s v="2300"/>
    <n v="25"/>
    <n v="1.3686956521739131"/>
    <n v="5.4747826086956525E-2"/>
  </r>
  <r>
    <x v="0"/>
    <x v="2"/>
    <x v="2"/>
    <s v="M00000306201"/>
    <d v="2007-10-18T00:00:00"/>
    <n v="1729"/>
    <n v="0"/>
    <n v="1643"/>
    <n v="540"/>
    <x v="0"/>
    <s v="25"/>
    <s v="1200"/>
    <n v="25"/>
    <n v="1.3691666666666666"/>
    <n v="5.4766666666666665E-2"/>
  </r>
  <r>
    <x v="0"/>
    <x v="2"/>
    <x v="2"/>
    <s v="M00000305372"/>
    <d v="2007-10-18T00:00:00"/>
    <n v="144"/>
    <n v="0"/>
    <n v="116"/>
    <n v="45"/>
    <x v="0"/>
    <s v="21"/>
    <s v="100"/>
    <n v="21"/>
    <n v="1.1599999999999999"/>
    <n v="5.5238095238095232E-2"/>
  </r>
  <r>
    <x v="0"/>
    <x v="2"/>
    <x v="2"/>
    <s v="M00000353225"/>
    <d v="2008-04-17T00:00:00"/>
    <n v="2257"/>
    <n v="0"/>
    <n v="1820"/>
    <n v="704.7"/>
    <x v="0"/>
    <s v="21"/>
    <s v="1566"/>
    <n v="21"/>
    <n v="1.1621966794380587"/>
    <n v="5.5342699020859941E-2"/>
  </r>
  <r>
    <x v="0"/>
    <x v="2"/>
    <x v="2"/>
    <s v="M00000372818"/>
    <d v="2008-07-03T00:00:00"/>
    <n v="2237"/>
    <n v="0"/>
    <n v="1632"/>
    <n v="698.4"/>
    <x v="0"/>
    <s v="19"/>
    <s v="1552"/>
    <n v="19"/>
    <n v="1.0515463917525774"/>
    <n v="5.5344546934346178E-2"/>
  </r>
  <r>
    <x v="0"/>
    <x v="2"/>
    <x v="2"/>
    <s v="M00000343307"/>
    <d v="2008-03-06T00:00:00"/>
    <n v="2341"/>
    <n v="0"/>
    <n v="1892"/>
    <n v="730.8"/>
    <x v="0"/>
    <s v="21"/>
    <s v="1624"/>
    <n v="21"/>
    <n v="1.1650246305418719"/>
    <n v="5.5477363359136757E-2"/>
  </r>
  <r>
    <x v="0"/>
    <x v="2"/>
    <x v="2"/>
    <s v="M00000372866"/>
    <d v="2008-07-03T00:00:00"/>
    <n v="1659"/>
    <n v="0"/>
    <n v="1341"/>
    <n v="517.95000000000005"/>
    <x v="0"/>
    <s v="21"/>
    <s v="1151"/>
    <n v="21"/>
    <n v="1.1650738488271069"/>
    <n v="5.5479707087005087E-2"/>
  </r>
  <r>
    <x v="0"/>
    <x v="2"/>
    <x v="2"/>
    <s v="M00000299585"/>
    <d v="2007-09-20T00:00:00"/>
    <n v="2594"/>
    <n v="0"/>
    <n v="2508"/>
    <n v="810"/>
    <x v="0"/>
    <s v="25"/>
    <s v="1800"/>
    <n v="25"/>
    <n v="1.3933333333333333"/>
    <n v="5.5733333333333329E-2"/>
  </r>
  <r>
    <x v="0"/>
    <x v="2"/>
    <x v="2"/>
    <s v="M00000287580"/>
    <d v="2007-07-26T00:00:00"/>
    <n v="1384"/>
    <n v="0"/>
    <n v="1341.98"/>
    <n v="432"/>
    <x v="0"/>
    <s v="25"/>
    <s v="960"/>
    <n v="25"/>
    <n v="1.3978958333333333"/>
    <n v="5.5915833333333331E-2"/>
  </r>
  <r>
    <x v="0"/>
    <x v="2"/>
    <x v="2"/>
    <s v="M00000346904"/>
    <d v="2008-04-17T00:00:00"/>
    <n v="1777"/>
    <n v="0"/>
    <n v="1724.87"/>
    <n v="554.85"/>
    <x v="0"/>
    <s v="25"/>
    <s v="1233"/>
    <n v="25"/>
    <n v="1.3989213300892132"/>
    <n v="5.5956853203568524E-2"/>
  </r>
  <r>
    <x v="0"/>
    <x v="2"/>
    <x v="2"/>
    <s v="M00000359100"/>
    <d v="2008-05-08T00:00:00"/>
    <n v="237"/>
    <n v="0"/>
    <n v="229.54"/>
    <n v="73.8"/>
    <x v="0"/>
    <s v="25"/>
    <s v="164"/>
    <n v="25"/>
    <n v="1.3996341463414634"/>
    <n v="5.5985365853658535E-2"/>
  </r>
  <r>
    <x v="0"/>
    <x v="2"/>
    <x v="2"/>
    <s v="M00000329189"/>
    <d v="2007-12-31T00:00:00"/>
    <n v="2162"/>
    <n v="0"/>
    <n v="2100"/>
    <n v="675"/>
    <x v="0"/>
    <s v="25"/>
    <s v="1500"/>
    <n v="25"/>
    <n v="1.4"/>
    <n v="5.5999999999999994E-2"/>
  </r>
  <r>
    <x v="0"/>
    <x v="2"/>
    <x v="2"/>
    <s v="M00000316032"/>
    <d v="2007-11-29T00:00:00"/>
    <n v="1398"/>
    <n v="0"/>
    <n v="1362"/>
    <n v="436.5"/>
    <x v="0"/>
    <s v="25"/>
    <s v="970"/>
    <n v="25"/>
    <n v="1.4041237113402061"/>
    <n v="5.6164948453608241E-2"/>
  </r>
  <r>
    <x v="0"/>
    <x v="2"/>
    <x v="2"/>
    <s v="M00000334873"/>
    <d v="2008-01-31T00:00:00"/>
    <n v="1517"/>
    <n v="0"/>
    <n v="1256"/>
    <n v="473.85"/>
    <x v="0"/>
    <s v="21"/>
    <s v="1053"/>
    <n v="21"/>
    <n v="1.1927825261158596"/>
    <n v="5.6799167910279023E-2"/>
  </r>
  <r>
    <x v="0"/>
    <x v="2"/>
    <x v="2"/>
    <s v="M00000338792"/>
    <d v="2008-02-21T00:00:00"/>
    <n v="1517"/>
    <n v="0"/>
    <n v="1256"/>
    <n v="473.85"/>
    <x v="0"/>
    <s v="21"/>
    <s v="1053"/>
    <n v="21"/>
    <n v="1.1927825261158596"/>
    <n v="5.6799167910279023E-2"/>
  </r>
  <r>
    <x v="0"/>
    <x v="2"/>
    <x v="2"/>
    <s v="M00000276280"/>
    <d v="2007-06-14T00:00:00"/>
    <n v="1845"/>
    <n v="0"/>
    <n v="1836.03"/>
    <n v="576"/>
    <x v="0"/>
    <s v="25"/>
    <s v="1280"/>
    <n v="25"/>
    <n v="1.4343984375000001"/>
    <n v="5.7375937500000002E-2"/>
  </r>
  <r>
    <x v="0"/>
    <x v="2"/>
    <x v="2"/>
    <s v="M00000318651"/>
    <d v="2007-12-13T00:00:00"/>
    <n v="2537"/>
    <n v="0"/>
    <n v="2539"/>
    <n v="792"/>
    <x v="0"/>
    <s v="25"/>
    <s v="1760"/>
    <n v="25"/>
    <n v="1.4426136363636364"/>
    <n v="5.7704545454545453E-2"/>
  </r>
  <r>
    <x v="0"/>
    <x v="2"/>
    <x v="2"/>
    <s v="M00000306846"/>
    <d v="2007-11-09T00:00:00"/>
    <n v="1657"/>
    <n v="0"/>
    <n v="1661.55"/>
    <n v="517.5"/>
    <x v="0"/>
    <s v="25"/>
    <s v="1150"/>
    <n v="25"/>
    <n v="1.4448260869565217"/>
    <n v="5.7793043478260871E-2"/>
  </r>
  <r>
    <x v="0"/>
    <x v="2"/>
    <x v="2"/>
    <s v="M00000313252"/>
    <d v="2007-11-15T00:00:00"/>
    <n v="1384"/>
    <n v="0"/>
    <n v="1391"/>
    <n v="432"/>
    <x v="0"/>
    <s v="25"/>
    <s v="960"/>
    <n v="25"/>
    <n v="1.4489583333333333"/>
    <n v="5.7958333333333334E-2"/>
  </r>
  <r>
    <x v="0"/>
    <x v="2"/>
    <x v="2"/>
    <s v="M00000299237"/>
    <d v="2007-09-20T00:00:00"/>
    <n v="1724"/>
    <n v="0"/>
    <n v="1742"/>
    <n v="538.20000000000005"/>
    <x v="0"/>
    <s v="25"/>
    <s v="1196"/>
    <n v="25"/>
    <n v="1.4565217391304348"/>
    <n v="5.8260869565217394E-2"/>
  </r>
  <r>
    <x v="0"/>
    <x v="2"/>
    <x v="2"/>
    <s v="M00000359422"/>
    <d v="2008-05-15T00:00:00"/>
    <n v="3070"/>
    <n v="0"/>
    <n v="2622"/>
    <n v="958.5"/>
    <x v="0"/>
    <s v="21"/>
    <s v="2130"/>
    <n v="21"/>
    <n v="1.2309859154929577"/>
    <n v="5.8618376928236078E-2"/>
  </r>
  <r>
    <x v="0"/>
    <x v="2"/>
    <x v="2"/>
    <s v="M00000272788"/>
    <d v="2007-05-24T00:00:00"/>
    <n v="1452"/>
    <n v="0"/>
    <n v="1505.04"/>
    <n v="453.6"/>
    <x v="0"/>
    <s v="25"/>
    <s v="1008"/>
    <n v="25"/>
    <n v="1.493095238095238"/>
    <n v="5.9723809523809519E-2"/>
  </r>
  <r>
    <x v="0"/>
    <x v="2"/>
    <x v="2"/>
    <s v="M00000312008"/>
    <d v="2007-11-09T00:00:00"/>
    <n v="1873"/>
    <n v="0"/>
    <n v="1950"/>
    <n v="585"/>
    <x v="0"/>
    <s v="25"/>
    <s v="1300"/>
    <n v="25"/>
    <n v="1.5"/>
    <n v="0.06"/>
  </r>
  <r>
    <x v="0"/>
    <x v="2"/>
    <x v="2"/>
    <s v="M00000304076"/>
    <d v="2007-10-11T00:00:00"/>
    <n v="2437"/>
    <n v="0"/>
    <n v="2131"/>
    <n v="760.95"/>
    <x v="0"/>
    <s v="21"/>
    <s v="1691"/>
    <n v="21"/>
    <n v="1.2602010644589001"/>
    <n v="6.000957449804286E-2"/>
  </r>
  <r>
    <x v="0"/>
    <x v="2"/>
    <x v="2"/>
    <s v="M00000350069"/>
    <d v="2008-04-30T00:00:00"/>
    <n v="2450"/>
    <n v="0"/>
    <n v="2592.4"/>
    <n v="765"/>
    <x v="0"/>
    <s v="25"/>
    <s v="1700"/>
    <n v="25"/>
    <n v="1.5249411764705882"/>
    <n v="6.0997647058823531E-2"/>
  </r>
  <r>
    <x v="0"/>
    <x v="2"/>
    <x v="2"/>
    <s v="M00000367326"/>
    <d v="2008-06-12T00:00:00"/>
    <n v="2714"/>
    <n v="0"/>
    <n v="2872.2"/>
    <n v="847.35"/>
    <x v="0"/>
    <s v="25"/>
    <s v="1883"/>
    <n v="25"/>
    <n v="1.5253319171534785"/>
    <n v="6.1013276686139137E-2"/>
  </r>
  <r>
    <x v="0"/>
    <x v="2"/>
    <x v="2"/>
    <s v="M00000330654"/>
    <d v="2007-12-31T00:00:00"/>
    <n v="3176"/>
    <n v="0"/>
    <n v="2830"/>
    <n v="991.8"/>
    <x v="0"/>
    <s v="21"/>
    <s v="2204"/>
    <n v="21"/>
    <n v="1.2840290381125228"/>
    <n v="6.1144239910120135E-2"/>
  </r>
  <r>
    <x v="0"/>
    <x v="2"/>
    <x v="2"/>
    <s v="M00000332149"/>
    <d v="2007-12-31T00:00:00"/>
    <n v="1830"/>
    <n v="0"/>
    <n v="1943.2"/>
    <n v="571.5"/>
    <x v="0"/>
    <s v="25"/>
    <s v="1270"/>
    <n v="25"/>
    <n v="1.5300787401574802"/>
    <n v="6.1203149606299211E-2"/>
  </r>
  <r>
    <x v="0"/>
    <x v="2"/>
    <x v="2"/>
    <s v="M00000359495"/>
    <d v="2008-05-15T00:00:00"/>
    <n v="2577"/>
    <n v="0"/>
    <n v="2739.2"/>
    <n v="804.6"/>
    <x v="0"/>
    <s v="25"/>
    <s v="1788"/>
    <n v="25"/>
    <n v="1.5319910514541386"/>
    <n v="6.1279642058165544E-2"/>
  </r>
  <r>
    <x v="0"/>
    <x v="2"/>
    <x v="2"/>
    <s v="M00000290011"/>
    <d v="2007-08-09T00:00:00"/>
    <n v="1733"/>
    <n v="0"/>
    <n v="1843.03"/>
    <n v="540.9"/>
    <x v="0"/>
    <s v="25"/>
    <s v="1202"/>
    <n v="25"/>
    <n v="1.5333028286189683"/>
    <n v="6.1332113144758733E-2"/>
  </r>
  <r>
    <x v="0"/>
    <x v="2"/>
    <x v="2"/>
    <s v="M00000316379"/>
    <d v="2007-12-31T00:00:00"/>
    <n v="1049"/>
    <n v="0"/>
    <n v="1118.32"/>
    <n v="327.60000000000002"/>
    <x v="0"/>
    <s v="25"/>
    <s v="728"/>
    <n v="25"/>
    <n v="1.536153846153846"/>
    <n v="6.1446153846153838E-2"/>
  </r>
  <r>
    <x v="0"/>
    <x v="2"/>
    <x v="2"/>
    <s v="M00000339091"/>
    <d v="2008-04-03T00:00:00"/>
    <n v="2306"/>
    <n v="0"/>
    <n v="2074"/>
    <n v="720"/>
    <x v="0"/>
    <s v="21"/>
    <s v="1600"/>
    <n v="21"/>
    <n v="1.2962499999999999"/>
    <n v="6.1726190476190469E-2"/>
  </r>
  <r>
    <x v="0"/>
    <x v="2"/>
    <x v="2"/>
    <s v="M00000354285"/>
    <d v="2008-04-17T00:00:00"/>
    <n v="1802"/>
    <n v="0"/>
    <n v="1622"/>
    <n v="562.5"/>
    <x v="0"/>
    <s v="21"/>
    <s v="1250"/>
    <n v="21"/>
    <n v="1.2976000000000001"/>
    <n v="6.1790476190476194E-2"/>
  </r>
  <r>
    <x v="0"/>
    <x v="2"/>
    <x v="2"/>
    <s v="M00000350924"/>
    <d v="2008-04-03T00:00:00"/>
    <n v="3754"/>
    <n v="0"/>
    <n v="4900"/>
    <n v="1171.8"/>
    <x v="0"/>
    <s v="30"/>
    <s v="2604"/>
    <n v="30"/>
    <n v="1.881720430107527"/>
    <n v="6.2724014336917572E-2"/>
  </r>
  <r>
    <x v="0"/>
    <x v="2"/>
    <x v="2"/>
    <s v="M00000310697"/>
    <d v="2007-12-13T00:00:00"/>
    <n v="2374"/>
    <n v="0"/>
    <n v="2588"/>
    <n v="741.15"/>
    <x v="0"/>
    <s v="25"/>
    <s v="1647"/>
    <n v="25"/>
    <n v="1.5713418336369156"/>
    <n v="6.2853673345476618E-2"/>
  </r>
  <r>
    <x v="0"/>
    <x v="2"/>
    <x v="2"/>
    <s v="M00000355517"/>
    <d v="2008-04-24T00:00:00"/>
    <n v="1441"/>
    <n v="0"/>
    <n v="1200"/>
    <n v="450"/>
    <x v="0"/>
    <s v="19"/>
    <s v="1000"/>
    <n v="19"/>
    <n v="1.2"/>
    <n v="6.3157894736842107E-2"/>
  </r>
  <r>
    <x v="0"/>
    <x v="2"/>
    <x v="2"/>
    <s v="M00000351015"/>
    <d v="2008-04-03T00:00:00"/>
    <n v="1874"/>
    <n v="0"/>
    <n v="2057"/>
    <n v="585"/>
    <x v="0"/>
    <s v="25"/>
    <s v="1300"/>
    <n v="25"/>
    <n v="1.5823076923076924"/>
    <n v="6.3292307692307703E-2"/>
  </r>
  <r>
    <x v="0"/>
    <x v="2"/>
    <x v="2"/>
    <s v="M00000351079"/>
    <d v="2008-05-08T00:00:00"/>
    <n v="2116"/>
    <n v="0"/>
    <n v="2323.9499999999998"/>
    <n v="660.6"/>
    <x v="0"/>
    <s v="25"/>
    <s v="1468"/>
    <n v="25"/>
    <n v="1.5830722070844685"/>
    <n v="6.3322888283378745E-2"/>
  </r>
  <r>
    <x v="0"/>
    <x v="2"/>
    <x v="2"/>
    <s v="M00000350125"/>
    <d v="2008-04-03T00:00:00"/>
    <n v="865"/>
    <n v="0"/>
    <n v="954.7"/>
    <n v="270"/>
    <x v="0"/>
    <s v="25"/>
    <s v="600"/>
    <n v="25"/>
    <n v="1.5911666666666668"/>
    <n v="6.3646666666666671E-2"/>
  </r>
  <r>
    <x v="0"/>
    <x v="2"/>
    <x v="2"/>
    <s v="M00000346593"/>
    <d v="2008-03-13T00:00:00"/>
    <n v="1349"/>
    <n v="0"/>
    <n v="1132"/>
    <n v="421.2"/>
    <x v="0"/>
    <s v="19"/>
    <s v="936"/>
    <n v="19"/>
    <n v="1.2094017094017093"/>
    <n v="6.365272154745838E-2"/>
  </r>
  <r>
    <x v="0"/>
    <x v="2"/>
    <x v="2"/>
    <s v="M00000369036"/>
    <d v="2008-06-19T00:00:00"/>
    <n v="1672"/>
    <n v="0"/>
    <n v="1551"/>
    <n v="522"/>
    <x v="0"/>
    <s v="21"/>
    <s v="1160"/>
    <n v="21"/>
    <n v="1.3370689655172414"/>
    <n v="6.3669950738916264E-2"/>
  </r>
  <r>
    <x v="0"/>
    <x v="2"/>
    <x v="2"/>
    <s v="M00000351759"/>
    <d v="2008-04-10T00:00:00"/>
    <n v="2376"/>
    <n v="0"/>
    <n v="2652"/>
    <n v="741.6"/>
    <x v="0"/>
    <s v="25"/>
    <s v="1648"/>
    <n v="25"/>
    <n v="1.6092233009708738"/>
    <n v="6.4368932038834953E-2"/>
  </r>
  <r>
    <x v="0"/>
    <x v="2"/>
    <x v="2"/>
    <s v="M00000325938"/>
    <d v="2007-12-31T00:00:00"/>
    <n v="1686"/>
    <n v="0"/>
    <n v="1883"/>
    <n v="526.5"/>
    <x v="0"/>
    <s v="25"/>
    <s v="1170"/>
    <n v="25"/>
    <n v="1.6094017094017095"/>
    <n v="6.4376068376068379E-2"/>
  </r>
  <r>
    <x v="0"/>
    <x v="2"/>
    <x v="2"/>
    <s v="M00000275199"/>
    <d v="2007-07-19T00:00:00"/>
    <n v="1484"/>
    <n v="0"/>
    <n v="1670.35"/>
    <n v="463.5"/>
    <x v="0"/>
    <s v="25"/>
    <s v="1030"/>
    <n v="25"/>
    <n v="1.6216990291262134"/>
    <n v="6.4867961165048532E-2"/>
  </r>
  <r>
    <x v="0"/>
    <x v="2"/>
    <x v="2"/>
    <s v="M00000295973"/>
    <d v="2007-09-06T00:00:00"/>
    <n v="2017"/>
    <n v="0"/>
    <n v="2730"/>
    <n v="630"/>
    <x v="0"/>
    <s v="30"/>
    <s v="1400"/>
    <n v="30"/>
    <n v="1.95"/>
    <n v="6.5000000000000002E-2"/>
  </r>
  <r>
    <x v="0"/>
    <x v="2"/>
    <x v="2"/>
    <s v="M00000366280"/>
    <d v="2008-06-19T00:00:00"/>
    <n v="2021"/>
    <n v="0"/>
    <n v="2284"/>
    <n v="630.9"/>
    <x v="0"/>
    <s v="25"/>
    <s v="1402"/>
    <n v="25"/>
    <n v="1.6291012838801713"/>
    <n v="6.5164051355206851E-2"/>
  </r>
  <r>
    <x v="0"/>
    <x v="2"/>
    <x v="2"/>
    <s v="M00000325028"/>
    <d v="2008-02-07T00:00:00"/>
    <n v="1049"/>
    <n v="0"/>
    <n v="1186.6400000000001"/>
    <n v="327.60000000000002"/>
    <x v="0"/>
    <s v="25"/>
    <s v="728"/>
    <n v="25"/>
    <n v="1.63"/>
    <n v="6.5200000000000008E-2"/>
  </r>
  <r>
    <x v="0"/>
    <x v="2"/>
    <x v="2"/>
    <s v="M00000341224"/>
    <d v="2008-02-21T00:00:00"/>
    <n v="2386"/>
    <n v="0"/>
    <n v="2070"/>
    <n v="745.2"/>
    <x v="0"/>
    <s v="19"/>
    <s v="1656"/>
    <n v="19"/>
    <n v="1.25"/>
    <n v="6.5789473684210523E-2"/>
  </r>
  <r>
    <x v="0"/>
    <x v="2"/>
    <x v="2"/>
    <s v="M00000301397"/>
    <d v="2007-10-04T00:00:00"/>
    <n v="1210"/>
    <n v="0"/>
    <n v="1052"/>
    <n v="378"/>
    <x v="0"/>
    <s v="19"/>
    <s v="840"/>
    <n v="19"/>
    <n v="1.2523809523809524"/>
    <n v="6.5914786967418551E-2"/>
  </r>
  <r>
    <x v="0"/>
    <x v="2"/>
    <x v="2"/>
    <s v="M00000307198"/>
    <d v="2007-10-25T00:00:00"/>
    <n v="1521"/>
    <n v="0"/>
    <n v="1740.92"/>
    <n v="475.2"/>
    <x v="0"/>
    <s v="25"/>
    <s v="1056"/>
    <n v="25"/>
    <n v="1.6485984848484849"/>
    <n v="6.5943939393939402E-2"/>
  </r>
  <r>
    <x v="0"/>
    <x v="2"/>
    <x v="2"/>
    <s v="M00000292627"/>
    <d v="2007-10-18T00:00:00"/>
    <n v="2487"/>
    <n v="0"/>
    <n v="2867.92"/>
    <n v="776.7"/>
    <x v="0"/>
    <s v="25"/>
    <s v="1726"/>
    <n v="25"/>
    <n v="1.6615990730011587"/>
    <n v="6.6463962920046346E-2"/>
  </r>
  <r>
    <x v="0"/>
    <x v="2"/>
    <x v="2"/>
    <s v="M00000342549"/>
    <d v="2008-02-29T00:00:00"/>
    <n v="1729"/>
    <n v="0"/>
    <n v="2000"/>
    <n v="540"/>
    <x v="0"/>
    <s v="25"/>
    <s v="1200"/>
    <n v="25"/>
    <n v="1.6666666666666667"/>
    <n v="6.6666666666666666E-2"/>
  </r>
  <r>
    <x v="0"/>
    <x v="2"/>
    <x v="2"/>
    <s v="M00000299197"/>
    <d v="2007-11-21T00:00:00"/>
    <n v="1577"/>
    <n v="0"/>
    <n v="1830.07"/>
    <n v="492.75"/>
    <x v="0"/>
    <s v="25"/>
    <s v="1095"/>
    <n v="25"/>
    <n v="1.6712968036529681"/>
    <n v="6.6851872146118721E-2"/>
  </r>
  <r>
    <x v="0"/>
    <x v="2"/>
    <x v="2"/>
    <s v="M00000305033"/>
    <d v="2007-10-18T00:00:00"/>
    <n v="1585"/>
    <n v="0"/>
    <n v="1544.4"/>
    <n v="495"/>
    <x v="0"/>
    <s v="21"/>
    <s v="1100"/>
    <n v="21"/>
    <n v="1.4040000000000001"/>
    <n v="6.6857142857142865E-2"/>
  </r>
  <r>
    <x v="0"/>
    <x v="2"/>
    <x v="2"/>
    <s v="M00000292322"/>
    <d v="2007-08-23T00:00:00"/>
    <n v="3747"/>
    <n v="0"/>
    <n v="3655.6"/>
    <n v="1170"/>
    <x v="0"/>
    <s v="21"/>
    <s v="2600"/>
    <n v="21"/>
    <n v="1.4059999999999999"/>
    <n v="6.6952380952380944E-2"/>
  </r>
  <r>
    <x v="0"/>
    <x v="2"/>
    <x v="2"/>
    <s v="M00000349350"/>
    <d v="2008-05-08T00:00:00"/>
    <n v="490"/>
    <n v="0"/>
    <n v="432.75"/>
    <n v="153"/>
    <x v="0"/>
    <s v="19"/>
    <s v="340"/>
    <n v="19"/>
    <n v="1.2727941176470587"/>
    <n v="6.69891640866873E-2"/>
  </r>
  <r>
    <x v="0"/>
    <x v="2"/>
    <x v="2"/>
    <s v="M00000341617"/>
    <d v="2008-03-13T00:00:00"/>
    <n v="1009"/>
    <n v="0"/>
    <n v="1175"/>
    <n v="315"/>
    <x v="0"/>
    <s v="25"/>
    <s v="700"/>
    <n v="25"/>
    <n v="1.6785714285714286"/>
    <n v="6.7142857142857143E-2"/>
  </r>
  <r>
    <x v="0"/>
    <x v="2"/>
    <x v="2"/>
    <s v="M00000272755"/>
    <d v="2007-05-24T00:00:00"/>
    <n v="2334"/>
    <n v="0"/>
    <n v="2726.95"/>
    <n v="729"/>
    <x v="0"/>
    <s v="25"/>
    <s v="1620"/>
    <n v="25"/>
    <n v="1.6833024691358023"/>
    <n v="6.7332098765432086E-2"/>
  </r>
  <r>
    <x v="0"/>
    <x v="2"/>
    <x v="2"/>
    <s v="M00000283649"/>
    <d v="2007-07-26T00:00:00"/>
    <n v="1441"/>
    <n v="0"/>
    <n v="1419"/>
    <n v="450"/>
    <x v="0"/>
    <s v="21"/>
    <s v="1000"/>
    <n v="21"/>
    <n v="1.419"/>
    <n v="6.7571428571428574E-2"/>
  </r>
  <r>
    <x v="0"/>
    <x v="2"/>
    <x v="2"/>
    <s v="M00000350172"/>
    <d v="2008-04-10T00:00:00"/>
    <n v="1937"/>
    <n v="0"/>
    <n v="2285"/>
    <n v="604.79999999999995"/>
    <x v="0"/>
    <s v="25"/>
    <s v="1344"/>
    <n v="25"/>
    <n v="1.7001488095238095"/>
    <n v="6.8005952380952375E-2"/>
  </r>
  <r>
    <x v="0"/>
    <x v="2"/>
    <x v="2"/>
    <s v="M00000280591"/>
    <d v="2007-08-02T00:00:00"/>
    <n v="1902"/>
    <n v="0"/>
    <n v="2077.02"/>
    <n v="594"/>
    <x v="17"/>
    <s v="25"/>
    <s v="1320"/>
    <n v="23"/>
    <n v="1.5734999999999999"/>
    <n v="6.8413043478260868E-2"/>
  </r>
  <r>
    <x v="0"/>
    <x v="2"/>
    <x v="2"/>
    <s v="M00000271372"/>
    <d v="2007-05-17T00:00:00"/>
    <n v="2147"/>
    <n v="0"/>
    <n v="1937"/>
    <n v="670.5"/>
    <x v="0"/>
    <s v="19"/>
    <s v="1490"/>
    <n v="19"/>
    <n v="1.3"/>
    <n v="6.8421052631578952E-2"/>
  </r>
  <r>
    <x v="0"/>
    <x v="2"/>
    <x v="2"/>
    <s v="M00000277377"/>
    <d v="2007-06-14T00:00:00"/>
    <n v="831"/>
    <n v="0"/>
    <n v="990.03"/>
    <n v="259.2"/>
    <x v="0"/>
    <s v="25"/>
    <s v="576"/>
    <n v="25"/>
    <n v="1.7188020833333333"/>
    <n v="6.8752083333333325E-2"/>
  </r>
  <r>
    <x v="0"/>
    <x v="2"/>
    <x v="2"/>
    <s v="M00000335133"/>
    <d v="2008-01-24T00:00:00"/>
    <n v="1254"/>
    <n v="0"/>
    <n v="1500"/>
    <n v="391.5"/>
    <x v="0"/>
    <s v="25"/>
    <s v="870"/>
    <n v="25"/>
    <n v="1.7241379310344827"/>
    <n v="6.8965517241379309E-2"/>
  </r>
  <r>
    <x v="0"/>
    <x v="2"/>
    <x v="2"/>
    <s v="M00000319088"/>
    <d v="2007-12-06T00:00:00"/>
    <n v="3386"/>
    <n v="0"/>
    <n v="3081"/>
    <n v="1057.5"/>
    <x v="0"/>
    <s v="19"/>
    <s v="2350"/>
    <n v="19"/>
    <n v="1.3110638297872341"/>
    <n v="6.9003359462486008E-2"/>
  </r>
  <r>
    <x v="0"/>
    <x v="2"/>
    <x v="2"/>
    <s v="M00000361630"/>
    <d v="2008-05-22T00:00:00"/>
    <n v="1441"/>
    <n v="0"/>
    <n v="1452"/>
    <n v="450"/>
    <x v="0"/>
    <s v="21"/>
    <s v="1000"/>
    <n v="21"/>
    <n v="1.452"/>
    <n v="6.9142857142857145E-2"/>
  </r>
  <r>
    <x v="0"/>
    <x v="2"/>
    <x v="2"/>
    <s v="M00000341263"/>
    <d v="2008-02-21T00:00:00"/>
    <n v="2162"/>
    <n v="0"/>
    <n v="2606"/>
    <n v="675"/>
    <x v="0"/>
    <s v="25"/>
    <s v="1500"/>
    <n v="25"/>
    <n v="1.7373333333333334"/>
    <n v="6.9493333333333338E-2"/>
  </r>
  <r>
    <x v="0"/>
    <x v="2"/>
    <x v="2"/>
    <s v="M00000359598"/>
    <d v="2008-05-08T00:00:00"/>
    <n v="2450"/>
    <n v="0"/>
    <n v="2011"/>
    <n v="765"/>
    <x v="9"/>
    <s v="21"/>
    <s v="1700"/>
    <n v="17"/>
    <n v="1.1829411764705882"/>
    <n v="6.958477508650518E-2"/>
  </r>
  <r>
    <x v="0"/>
    <x v="2"/>
    <x v="2"/>
    <s v="M00000296407"/>
    <d v="2007-09-14T00:00:00"/>
    <n v="1747"/>
    <n v="0"/>
    <n v="2145"/>
    <n v="545.4"/>
    <x v="0"/>
    <s v="25"/>
    <s v="1212"/>
    <n v="25"/>
    <n v="1.7698019801980198"/>
    <n v="7.0792079207920799E-2"/>
  </r>
  <r>
    <x v="0"/>
    <x v="2"/>
    <x v="2"/>
    <s v="M00000325398"/>
    <d v="2007-12-27T00:00:00"/>
    <n v="1931"/>
    <n v="0"/>
    <n v="2373"/>
    <n v="603"/>
    <x v="0"/>
    <s v="25"/>
    <s v="1340"/>
    <n v="25"/>
    <n v="1.7708955223880598"/>
    <n v="7.0835820895522386E-2"/>
  </r>
  <r>
    <x v="0"/>
    <x v="2"/>
    <x v="2"/>
    <s v="M00000333438"/>
    <d v="2007-12-31T00:00:00"/>
    <n v="2213"/>
    <n v="0"/>
    <n v="2073"/>
    <n v="691.2"/>
    <x v="0"/>
    <s v="19"/>
    <s v="1536"/>
    <n v="19"/>
    <n v="1.349609375"/>
    <n v="7.1032072368421059E-2"/>
  </r>
  <r>
    <x v="0"/>
    <x v="2"/>
    <x v="2"/>
    <s v="M00000274246"/>
    <d v="2007-05-31T00:00:00"/>
    <n v="2090"/>
    <n v="0"/>
    <n v="1957.07"/>
    <n v="652.5"/>
    <x v="0"/>
    <s v="19"/>
    <s v="1450"/>
    <n v="19"/>
    <n v="1.3497034482758621"/>
    <n v="7.103702359346642E-2"/>
  </r>
  <r>
    <x v="0"/>
    <x v="2"/>
    <x v="2"/>
    <s v="M00000325453"/>
    <d v="2007-12-27T00:00:00"/>
    <n v="1718"/>
    <n v="0"/>
    <n v="2148.2399999999998"/>
    <n v="536.4"/>
    <x v="0"/>
    <s v="25"/>
    <s v="1192"/>
    <n v="25"/>
    <n v="1.802214765100671"/>
    <n v="7.2088590604026836E-2"/>
  </r>
  <r>
    <x v="0"/>
    <x v="2"/>
    <x v="2"/>
    <s v="M00000297979"/>
    <d v="2007-09-14T00:00:00"/>
    <n v="1464"/>
    <n v="0"/>
    <n v="1840.38"/>
    <n v="457.2"/>
    <x v="0"/>
    <s v="25"/>
    <s v="1016"/>
    <n v="25"/>
    <n v="1.8113976377952756"/>
    <n v="7.2455905511811025E-2"/>
  </r>
  <r>
    <x v="0"/>
    <x v="2"/>
    <x v="2"/>
    <s v="M00000285548"/>
    <d v="2007-07-26T00:00:00"/>
    <n v="937"/>
    <n v="0"/>
    <n v="1187.1600000000001"/>
    <n v="292.5"/>
    <x v="0"/>
    <s v="25"/>
    <s v="650"/>
    <n v="25"/>
    <n v="1.8264"/>
    <n v="7.3055999999999996E-2"/>
  </r>
  <r>
    <x v="0"/>
    <x v="2"/>
    <x v="2"/>
    <s v="M00000302789"/>
    <d v="2008-04-03T00:00:00"/>
    <n v="1479"/>
    <n v="0"/>
    <n v="1588"/>
    <n v="387.9"/>
    <x v="0"/>
    <s v="25"/>
    <s v="862"/>
    <n v="25"/>
    <n v="1.8422273781902552"/>
    <n v="7.368909512761021E-2"/>
  </r>
  <r>
    <x v="0"/>
    <x v="2"/>
    <x v="2"/>
    <s v="M00000292326"/>
    <d v="2007-08-23T00:00:00"/>
    <n v="1657"/>
    <n v="0"/>
    <n v="935.99"/>
    <n v="517.5"/>
    <x v="2"/>
    <s v="22"/>
    <s v="1150"/>
    <n v="11"/>
    <n v="0.813904347826087"/>
    <n v="7.3991304347826095E-2"/>
  </r>
  <r>
    <x v="0"/>
    <x v="2"/>
    <x v="2"/>
    <s v="M00000354975"/>
    <d v="2008-04-24T00:00:00"/>
    <n v="2306"/>
    <n v="0"/>
    <n v="2995"/>
    <n v="720"/>
    <x v="0"/>
    <s v="25"/>
    <s v="1600"/>
    <n v="25"/>
    <n v="1.871875"/>
    <n v="7.4874999999999997E-2"/>
  </r>
  <r>
    <x v="0"/>
    <x v="2"/>
    <x v="2"/>
    <s v="M00000329263"/>
    <d v="2007-12-31T00:00:00"/>
    <n v="1368"/>
    <n v="0"/>
    <n v="1795.5"/>
    <n v="427.5"/>
    <x v="0"/>
    <s v="25"/>
    <s v="950"/>
    <n v="25"/>
    <n v="1.89"/>
    <n v="7.5600000000000001E-2"/>
  </r>
  <r>
    <x v="0"/>
    <x v="2"/>
    <x v="2"/>
    <s v="M00000329263"/>
    <d v="2008-06-19T00:00:00"/>
    <n v="1630"/>
    <n v="0"/>
    <n v="1795.5"/>
    <n v="427.5"/>
    <x v="0"/>
    <s v="25"/>
    <s v="950"/>
    <n v="25"/>
    <n v="1.89"/>
    <n v="7.5600000000000001E-2"/>
  </r>
  <r>
    <x v="0"/>
    <x v="2"/>
    <x v="2"/>
    <s v="M00000329263"/>
    <d v="2008-06-19T00:00:00"/>
    <n v="-1630"/>
    <n v="0"/>
    <n v="1795.5"/>
    <n v="427.5"/>
    <x v="0"/>
    <s v="25"/>
    <s v="950"/>
    <n v="25"/>
    <n v="1.89"/>
    <n v="7.5600000000000001E-2"/>
  </r>
  <r>
    <x v="0"/>
    <x v="2"/>
    <x v="2"/>
    <s v="M00000358077"/>
    <d v="2008-05-08T00:00:00"/>
    <n v="721"/>
    <n v="0"/>
    <n v="958"/>
    <n v="225"/>
    <x v="0"/>
    <s v="25"/>
    <s v="500"/>
    <n v="25"/>
    <n v="1.9159999999999999"/>
    <n v="7.664E-2"/>
  </r>
  <r>
    <x v="0"/>
    <x v="2"/>
    <x v="2"/>
    <s v="M00000340504"/>
    <d v="2008-02-21T00:00:00"/>
    <n v="2437"/>
    <n v="0"/>
    <n v="2493"/>
    <n v="760.95"/>
    <x v="0"/>
    <s v="19"/>
    <s v="1691"/>
    <n v="19"/>
    <n v="1.4742755765819042"/>
    <n v="7.7593451399047594E-2"/>
  </r>
  <r>
    <x v="0"/>
    <x v="2"/>
    <x v="2"/>
    <s v="M00000290855"/>
    <d v="2007-08-16T00:00:00"/>
    <n v="1614"/>
    <n v="0"/>
    <n v="1826.05"/>
    <n v="504"/>
    <x v="0"/>
    <s v="21"/>
    <s v="1120"/>
    <n v="21"/>
    <n v="1.6304017857142856"/>
    <n v="7.7638180272108837E-2"/>
  </r>
  <r>
    <x v="0"/>
    <x v="2"/>
    <x v="2"/>
    <s v="M00000351652"/>
    <d v="2008-04-10T00:00:00"/>
    <n v="1384"/>
    <n v="0"/>
    <n v="1875"/>
    <n v="432"/>
    <x v="0"/>
    <s v="25"/>
    <s v="960"/>
    <n v="25"/>
    <n v="1.953125"/>
    <n v="7.8125E-2"/>
  </r>
  <r>
    <x v="0"/>
    <x v="2"/>
    <x v="2"/>
    <s v="M00000349691"/>
    <d v="2008-03-27T00:00:00"/>
    <n v="1675"/>
    <n v="0"/>
    <n v="1912"/>
    <n v="522.9"/>
    <x v="0"/>
    <s v="21"/>
    <s v="1162"/>
    <n v="21"/>
    <n v="1.6454388984509467"/>
    <n v="7.835423325956889E-2"/>
  </r>
  <r>
    <x v="0"/>
    <x v="2"/>
    <x v="2"/>
    <s v="M00000327924"/>
    <d v="2007-12-31T00:00:00"/>
    <n v="2140"/>
    <n v="0"/>
    <n v="2449"/>
    <n v="668.25"/>
    <x v="0"/>
    <s v="21"/>
    <s v="1485"/>
    <n v="21"/>
    <n v="1.6491582491582493"/>
    <n v="7.8531345198011873E-2"/>
  </r>
  <r>
    <x v="0"/>
    <x v="2"/>
    <x v="2"/>
    <s v="M00000304935"/>
    <d v="2007-10-18T00:00:00"/>
    <n v="2426"/>
    <n v="0"/>
    <n v="2545"/>
    <n v="757.35"/>
    <x v="0"/>
    <s v="19"/>
    <s v="1683"/>
    <n v="19"/>
    <n v="1.5121806298276887"/>
    <n v="7.9588454201457298E-2"/>
  </r>
  <r>
    <x v="0"/>
    <x v="2"/>
    <x v="2"/>
    <s v="M00000365317"/>
    <d v="2008-06-05T00:00:00"/>
    <n v="2177"/>
    <n v="0"/>
    <n v="2567"/>
    <n v="679.5"/>
    <x v="0"/>
    <s v="21"/>
    <s v="1510"/>
    <n v="21"/>
    <n v="1.7"/>
    <n v="8.0952380952380956E-2"/>
  </r>
  <r>
    <x v="0"/>
    <x v="2"/>
    <x v="2"/>
    <s v="M00000345081"/>
    <d v="2008-03-13T00:00:00"/>
    <n v="1153"/>
    <n v="0"/>
    <n v="1986"/>
    <n v="360"/>
    <x v="0"/>
    <s v="30"/>
    <s v="800"/>
    <n v="30"/>
    <n v="2.4824999999999999"/>
    <n v="8.2750000000000004E-2"/>
  </r>
  <r>
    <x v="0"/>
    <x v="2"/>
    <x v="2"/>
    <s v="M00000341920"/>
    <d v="2008-02-29T00:00:00"/>
    <n v="2767"/>
    <n v="0"/>
    <n v="4057"/>
    <n v="864"/>
    <x v="0"/>
    <s v="25"/>
    <s v="1920"/>
    <n v="25"/>
    <n v="2.1130208333333331"/>
    <n v="8.4520833333333323E-2"/>
  </r>
  <r>
    <x v="0"/>
    <x v="2"/>
    <x v="2"/>
    <s v="M00000309516"/>
    <d v="2007-11-01T00:00:00"/>
    <n v="432"/>
    <n v="0"/>
    <n v="670"/>
    <n v="135"/>
    <x v="0"/>
    <s v="25"/>
    <s v="300"/>
    <n v="25"/>
    <n v="2.2333333333333334"/>
    <n v="8.9333333333333334E-2"/>
  </r>
  <r>
    <x v="0"/>
    <x v="2"/>
    <x v="2"/>
    <s v="M00000303278"/>
    <d v="2007-10-11T00:00:00"/>
    <n v="2098"/>
    <n v="0"/>
    <n v="3276"/>
    <n v="655.20000000000005"/>
    <x v="0"/>
    <s v="25"/>
    <s v="1456"/>
    <n v="25"/>
    <n v="2.25"/>
    <n v="0.09"/>
  </r>
  <r>
    <x v="0"/>
    <x v="2"/>
    <x v="2"/>
    <s v="M00000343276"/>
    <d v="2008-03-06T00:00:00"/>
    <n v="1274"/>
    <n v="0"/>
    <n v="2013"/>
    <n v="397.8"/>
    <x v="0"/>
    <s v="25"/>
    <s v="884"/>
    <n v="25"/>
    <n v="2.2771493212669682"/>
    <n v="9.1085972850678723E-2"/>
  </r>
  <r>
    <x v="0"/>
    <x v="2"/>
    <x v="2"/>
    <s v="M00000326831"/>
    <d v="2007-12-31T00:00:00"/>
    <n v="1498"/>
    <n v="0"/>
    <n v="1821"/>
    <n v="468"/>
    <x v="0"/>
    <s v="19"/>
    <s v="1040"/>
    <n v="19"/>
    <n v="1.7509615384615385"/>
    <n v="9.2155870445344124E-2"/>
  </r>
  <r>
    <x v="0"/>
    <x v="2"/>
    <x v="2"/>
    <s v="M00000347134"/>
    <d v="2008-03-20T00:00:00"/>
    <n v="937"/>
    <n v="0"/>
    <n v="1543"/>
    <n v="292.5"/>
    <x v="0"/>
    <s v="25"/>
    <s v="650"/>
    <n v="25"/>
    <n v="2.3738461538461539"/>
    <n v="9.4953846153846153E-2"/>
  </r>
  <r>
    <x v="0"/>
    <x v="2"/>
    <x v="2"/>
    <s v="M00000338530"/>
    <d v="2008-02-14T00:00:00"/>
    <n v="2738"/>
    <n v="0"/>
    <n v="3677"/>
    <n v="855"/>
    <x v="10"/>
    <s v="25"/>
    <s v="1900"/>
    <n v="20"/>
    <n v="1.9352631578947368"/>
    <n v="9.6763157894736843E-2"/>
  </r>
  <r>
    <x v="0"/>
    <x v="2"/>
    <x v="2"/>
    <s v="M00000368161"/>
    <d v="2008-07-03T00:00:00"/>
    <n v="2946"/>
    <n v="0"/>
    <n v="3831"/>
    <n v="919.8"/>
    <x v="2"/>
    <s v="30"/>
    <s v="2044"/>
    <n v="19"/>
    <n v="1.87426614481409"/>
    <n v="9.8645586569162627E-2"/>
  </r>
  <r>
    <x v="0"/>
    <x v="2"/>
    <x v="2"/>
    <s v="M00000299786"/>
    <d v="2007-11-15T00:00:00"/>
    <n v="1673"/>
    <n v="0"/>
    <n v="2984.47"/>
    <n v="522.45000000000005"/>
    <x v="0"/>
    <s v="25"/>
    <s v="1161"/>
    <n v="25"/>
    <n v="2.570602928509905"/>
    <n v="0.1028241171403962"/>
  </r>
  <r>
    <x v="0"/>
    <x v="2"/>
    <x v="2"/>
    <s v="M00000295767"/>
    <d v="2007-12-13T00:00:00"/>
    <n v="1199"/>
    <n v="0"/>
    <n v="1639.04"/>
    <n v="374.4"/>
    <x v="2"/>
    <s v="30"/>
    <s v="832"/>
    <n v="19"/>
    <n v="1.97"/>
    <n v="0.10368421052631578"/>
  </r>
  <r>
    <x v="0"/>
    <x v="2"/>
    <x v="2"/>
    <s v="M00000359893"/>
    <d v="2008-05-15T00:00:00"/>
    <n v="1522"/>
    <n v="0"/>
    <n v="2375.31"/>
    <n v="475.2"/>
    <x v="0"/>
    <s v="19"/>
    <s v="1056"/>
    <n v="19"/>
    <n v="2.2493465909090911"/>
    <n v="0.11838666267942584"/>
  </r>
  <r>
    <x v="0"/>
    <x v="2"/>
    <x v="2"/>
    <s v="M00000316410"/>
    <d v="2007-12-31T00:00:00"/>
    <n v="1859"/>
    <n v="0"/>
    <n v="1696.84"/>
    <n v="580.5"/>
    <x v="0"/>
    <s v="11"/>
    <s v="1290"/>
    <n v="11"/>
    <n v="1.3153798449612402"/>
    <n v="0.11957998590556729"/>
  </r>
  <r>
    <x v="0"/>
    <x v="2"/>
    <x v="2"/>
    <s v="M00000369020"/>
    <d v="2008-06-19T00:00:00"/>
    <n v="721"/>
    <n v="0"/>
    <n v="1855"/>
    <n v="225"/>
    <x v="0"/>
    <s v="30"/>
    <s v="500"/>
    <n v="30"/>
    <n v="3.71"/>
    <n v="0.12366666666666666"/>
  </r>
  <r>
    <x v="0"/>
    <x v="2"/>
    <x v="2"/>
    <s v="M00000315011"/>
    <d v="2007-12-31T00:00:00"/>
    <n v="778"/>
    <n v="0"/>
    <n v="951"/>
    <n v="243"/>
    <x v="2"/>
    <s v="25"/>
    <s v="540"/>
    <n v="14"/>
    <n v="1.7611111111111111"/>
    <n v="0.12579365079365079"/>
  </r>
  <r>
    <x v="0"/>
    <x v="2"/>
    <x v="2"/>
    <s v="M00000348431"/>
    <d v="2008-04-03T00:00:00"/>
    <n v="1927"/>
    <n v="0"/>
    <n v="1987"/>
    <n v="601.65"/>
    <x v="2"/>
    <s v="22"/>
    <s v="1337"/>
    <n v="11"/>
    <n v="1.4861630516080777"/>
    <n v="0.1351057319643707"/>
  </r>
  <r>
    <x v="0"/>
    <x v="2"/>
    <x v="2"/>
    <s v="M00000340762"/>
    <d v="2008-02-21T00:00:00"/>
    <n v="807"/>
    <n v="0"/>
    <n v="1801"/>
    <n v="252"/>
    <x v="0"/>
    <s v="15"/>
    <s v="560"/>
    <n v="15"/>
    <n v="3.2160714285714285"/>
    <n v="0.2144047619047619"/>
  </r>
  <r>
    <x v="0"/>
    <x v="2"/>
    <x v="2"/>
    <s v="M00000311442"/>
    <d v="2007-11-09T00:00:00"/>
    <n v="61"/>
    <n v="0"/>
    <n v="438"/>
    <n v="18.899999999999999"/>
    <x v="0"/>
    <s v="25"/>
    <s v="42"/>
    <n v="25"/>
    <n v="10.428571428571429"/>
    <n v="0.41714285714285715"/>
  </r>
  <r>
    <x v="0"/>
    <x v="3"/>
    <x v="3"/>
    <s v="M00000291707"/>
    <d v="2007-08-23T00:00:00"/>
    <n v="0"/>
    <n v="0.06"/>
    <n v="204"/>
    <n v="204"/>
    <x v="0"/>
    <s v="25"/>
    <s v="1324"/>
    <n v="25"/>
    <n v="0.15407854984894259"/>
    <n v="6.1631419939577039E-3"/>
  </r>
  <r>
    <x v="0"/>
    <x v="3"/>
    <x v="3"/>
    <s v="M00000316053"/>
    <d v="2007-12-31T00:00:00"/>
    <n v="0"/>
    <n v="0.06"/>
    <n v="143.71"/>
    <n v="143.71"/>
    <x v="0"/>
    <s v="25"/>
    <s v="900"/>
    <n v="25"/>
    <n v="0.15967777777777778"/>
    <n v="6.3871111111111108E-3"/>
  </r>
  <r>
    <x v="0"/>
    <x v="3"/>
    <x v="3"/>
    <s v="M00000337282"/>
    <d v="2008-02-14T00:00:00"/>
    <n v="0"/>
    <n v="106.62"/>
    <n v="300"/>
    <n v="749.7"/>
    <x v="0"/>
    <s v="25"/>
    <s v="1666"/>
    <n v="25"/>
    <n v="0.18007202881152462"/>
    <n v="7.2028811524609852E-3"/>
  </r>
  <r>
    <x v="0"/>
    <x v="3"/>
    <x v="3"/>
    <s v="M00000343957"/>
    <d v="2008-06-12T00:00:00"/>
    <n v="0"/>
    <n v="0.06"/>
    <n v="394.87"/>
    <n v="394.87"/>
    <x v="0"/>
    <s v="25"/>
    <s v="1248"/>
    <n v="25"/>
    <n v="0.31640224358974361"/>
    <n v="1.2656089743589744E-2"/>
  </r>
  <r>
    <x v="0"/>
    <x v="3"/>
    <x v="3"/>
    <s v="M00000347705"/>
    <d v="2008-03-20T00:00:00"/>
    <n v="0"/>
    <n v="60.8"/>
    <n v="438.67"/>
    <n v="427.5"/>
    <x v="0"/>
    <s v="30"/>
    <s v="950"/>
    <n v="30"/>
    <n v="0.46175789473684214"/>
    <n v="1.5391929824561406E-2"/>
  </r>
  <r>
    <x v="0"/>
    <x v="3"/>
    <x v="3"/>
    <s v="M00000317982"/>
    <d v="2007-11-30T00:00:00"/>
    <n v="0"/>
    <n v="0.06"/>
    <n v="230"/>
    <n v="230"/>
    <x v="0"/>
    <s v="21"/>
    <s v="684"/>
    <n v="21"/>
    <n v="0.33625730994152048"/>
    <n v="1.6012252854358117E-2"/>
  </r>
  <r>
    <x v="0"/>
    <x v="3"/>
    <x v="3"/>
    <s v="M00000310185"/>
    <d v="2007-11-09T00:00:00"/>
    <n v="0"/>
    <n v="20.48"/>
    <n v="135"/>
    <n v="144"/>
    <x v="0"/>
    <s v="25"/>
    <s v="320"/>
    <n v="25"/>
    <n v="0.421875"/>
    <n v="1.6875000000000001E-2"/>
  </r>
  <r>
    <x v="0"/>
    <x v="3"/>
    <x v="3"/>
    <s v="M00000293671"/>
    <d v="2007-09-14T00:00:00"/>
    <n v="0"/>
    <n v="0.06"/>
    <n v="432.25"/>
    <n v="432.25"/>
    <x v="0"/>
    <s v="25"/>
    <s v="1000"/>
    <n v="25"/>
    <n v="0.43225000000000002"/>
    <n v="1.729E-2"/>
  </r>
  <r>
    <x v="0"/>
    <x v="3"/>
    <x v="3"/>
    <s v="M00000354095"/>
    <d v="2008-04-17T00:00:00"/>
    <n v="0"/>
    <n v="76.86"/>
    <n v="530"/>
    <n v="540.45000000000005"/>
    <x v="0"/>
    <s v="25"/>
    <s v="1201"/>
    <n v="25"/>
    <n v="0.44129891756869277"/>
    <n v="1.7651956702747711E-2"/>
  </r>
  <r>
    <x v="0"/>
    <x v="3"/>
    <x v="3"/>
    <s v="M00000280522"/>
    <d v="2007-06-28T00:00:00"/>
    <n v="0"/>
    <n v="75.010000000000005"/>
    <n v="640.03"/>
    <n v="527.4"/>
    <x v="2"/>
    <s v="41"/>
    <s v="1172"/>
    <n v="30"/>
    <n v="0.54610068259385658"/>
    <n v="1.8203356086461887E-2"/>
  </r>
  <r>
    <x v="0"/>
    <x v="3"/>
    <x v="3"/>
    <s v="M00000309812"/>
    <d v="2007-11-01T00:00:00"/>
    <n v="0"/>
    <n v="45.06"/>
    <n v="352"/>
    <n v="316.8"/>
    <x v="0"/>
    <s v="25"/>
    <s v="704"/>
    <n v="25"/>
    <n v="0.5"/>
    <n v="0.02"/>
  </r>
  <r>
    <x v="0"/>
    <x v="3"/>
    <x v="3"/>
    <s v="M00000350583"/>
    <d v="2008-04-03T00:00:00"/>
    <n v="0"/>
    <n v="76.8"/>
    <n v="600"/>
    <n v="540"/>
    <x v="0"/>
    <s v="25"/>
    <s v="1200"/>
    <n v="25"/>
    <n v="0.5"/>
    <n v="0.02"/>
  </r>
  <r>
    <x v="0"/>
    <x v="3"/>
    <x v="3"/>
    <s v="M00000350388"/>
    <d v="2008-04-03T00:00:00"/>
    <n v="0"/>
    <n v="35.200000000000003"/>
    <n v="420"/>
    <n v="247.5"/>
    <x v="0"/>
    <s v="38"/>
    <s v="550"/>
    <n v="38"/>
    <n v="0.76363636363636367"/>
    <n v="2.0095693779904306E-2"/>
  </r>
  <r>
    <x v="0"/>
    <x v="3"/>
    <x v="3"/>
    <s v="M00000359629"/>
    <d v="2008-05-08T00:00:00"/>
    <n v="0"/>
    <n v="85.12"/>
    <n v="816"/>
    <n v="598.5"/>
    <x v="0"/>
    <s v="30"/>
    <s v="1330"/>
    <n v="30"/>
    <n v="0.61353383458646615"/>
    <n v="2.0451127819548873E-2"/>
  </r>
  <r>
    <x v="0"/>
    <x v="3"/>
    <x v="3"/>
    <s v="M00000346406"/>
    <d v="2008-03-13T00:00:00"/>
    <n v="0"/>
    <n v="89.6"/>
    <n v="726"/>
    <n v="630"/>
    <x v="0"/>
    <s v="25"/>
    <s v="1400"/>
    <n v="25"/>
    <n v="0.51857142857142857"/>
    <n v="2.0742857142857143E-2"/>
  </r>
  <r>
    <x v="0"/>
    <x v="3"/>
    <x v="3"/>
    <s v="M00000304078"/>
    <d v="2007-10-11T00:00:00"/>
    <n v="0"/>
    <n v="102.4"/>
    <n v="850"/>
    <n v="720"/>
    <x v="0"/>
    <s v="25"/>
    <s v="1600"/>
    <n v="25"/>
    <n v="0.53125"/>
    <n v="2.1250000000000002E-2"/>
  </r>
  <r>
    <x v="0"/>
    <x v="3"/>
    <x v="3"/>
    <s v="M00000353216"/>
    <d v="2008-04-17T00:00:00"/>
    <n v="0"/>
    <n v="6.14"/>
    <n v="43.4"/>
    <n v="43.2"/>
    <x v="0"/>
    <s v="21"/>
    <s v="96"/>
    <n v="21"/>
    <n v="0.45208333333333334"/>
    <n v="2.1527777777777778E-2"/>
  </r>
  <r>
    <x v="0"/>
    <x v="3"/>
    <x v="3"/>
    <s v="M00000348005"/>
    <d v="2008-05-15T00:00:00"/>
    <n v="0"/>
    <n v="62.72"/>
    <n v="638.44000000000005"/>
    <n v="441"/>
    <x v="0"/>
    <s v="30"/>
    <s v="980"/>
    <n v="30"/>
    <n v="0.6514693877551021"/>
    <n v="2.1715646258503404E-2"/>
  </r>
  <r>
    <x v="0"/>
    <x v="3"/>
    <x v="3"/>
    <s v="M00000301449"/>
    <d v="2007-12-20T00:00:00"/>
    <n v="0"/>
    <n v="43.01"/>
    <n v="308.10000000000002"/>
    <n v="302.39999999999998"/>
    <x v="0"/>
    <s v="21"/>
    <s v="672"/>
    <n v="21"/>
    <n v="0.45848214285714289"/>
    <n v="2.1832482993197282E-2"/>
  </r>
  <r>
    <x v="0"/>
    <x v="3"/>
    <x v="3"/>
    <s v="M00000279234"/>
    <d v="2007-07-26T00:00:00"/>
    <n v="0"/>
    <n v="52.16"/>
    <n v="462.51"/>
    <n v="366.75"/>
    <x v="0"/>
    <s v="25"/>
    <s v="815"/>
    <n v="25"/>
    <n v="0.56749693251533739"/>
    <n v="2.2699877300613496E-2"/>
  </r>
  <r>
    <x v="0"/>
    <x v="3"/>
    <x v="3"/>
    <s v="M00000334225"/>
    <d v="2008-05-30T00:00:00"/>
    <n v="0"/>
    <n v="4.3499999999999996"/>
    <n v="46.86"/>
    <n v="30.6"/>
    <x v="0"/>
    <s v="30"/>
    <s v="68"/>
    <n v="30"/>
    <n v="0.6891176470588235"/>
    <n v="2.2970588235294118E-2"/>
  </r>
  <r>
    <x v="0"/>
    <x v="3"/>
    <x v="3"/>
    <s v="M00000311777"/>
    <d v="2007-12-31T00:00:00"/>
    <n v="0"/>
    <n v="70.400000000000006"/>
    <n v="637"/>
    <n v="495"/>
    <x v="0"/>
    <s v="25"/>
    <s v="1100"/>
    <n v="25"/>
    <n v="0.5790909090909091"/>
    <n v="2.3163636363636365E-2"/>
  </r>
  <r>
    <x v="0"/>
    <x v="3"/>
    <x v="3"/>
    <s v="M00000283670"/>
    <d v="2007-07-12T00:00:00"/>
    <n v="0"/>
    <n v="96"/>
    <n v="868.95"/>
    <n v="675"/>
    <x v="0"/>
    <s v="25"/>
    <s v="1500"/>
    <n v="25"/>
    <n v="0.57930000000000004"/>
    <n v="2.3172000000000002E-2"/>
  </r>
  <r>
    <x v="0"/>
    <x v="3"/>
    <x v="3"/>
    <s v="M00000352467"/>
    <d v="2008-05-15T00:00:00"/>
    <n v="0"/>
    <n v="39.36"/>
    <n v="357.31"/>
    <n v="276.75"/>
    <x v="0"/>
    <s v="25"/>
    <s v="615"/>
    <n v="25"/>
    <n v="0.58099186991869922"/>
    <n v="2.3239674796747968E-2"/>
  </r>
  <r>
    <x v="0"/>
    <x v="3"/>
    <x v="3"/>
    <s v="M00000319087"/>
    <d v="2008-01-17T00:00:00"/>
    <n v="0"/>
    <n v="60.48"/>
    <n v="660"/>
    <n v="425.25"/>
    <x v="0"/>
    <s v="30"/>
    <s v="945"/>
    <n v="30"/>
    <n v="0.69841269841269837"/>
    <n v="2.328042328042328E-2"/>
  </r>
  <r>
    <x v="0"/>
    <x v="3"/>
    <x v="3"/>
    <s v="M00000354158"/>
    <d v="2008-04-17T00:00:00"/>
    <n v="0"/>
    <n v="111.68"/>
    <n v="1020"/>
    <n v="785.25"/>
    <x v="0"/>
    <s v="25"/>
    <s v="1745"/>
    <n v="25"/>
    <n v="0.58452722063037255"/>
    <n v="2.3381088825214901E-2"/>
  </r>
  <r>
    <x v="0"/>
    <x v="3"/>
    <x v="3"/>
    <s v="M00000321763"/>
    <d v="2007-12-13T00:00:00"/>
    <n v="0"/>
    <n v="4.8"/>
    <n v="44"/>
    <n v="33.75"/>
    <x v="0"/>
    <s v="25"/>
    <s v="75"/>
    <n v="25"/>
    <n v="0.58666666666666667"/>
    <n v="2.3466666666666667E-2"/>
  </r>
  <r>
    <x v="0"/>
    <x v="3"/>
    <x v="3"/>
    <s v="M00000345946"/>
    <d v="2008-03-27T00:00:00"/>
    <n v="0"/>
    <n v="96.96"/>
    <n v="890"/>
    <n v="681.75"/>
    <x v="0"/>
    <s v="25"/>
    <s v="1515"/>
    <n v="25"/>
    <n v="0.58745874587458746"/>
    <n v="2.3498349834983497E-2"/>
  </r>
  <r>
    <x v="0"/>
    <x v="3"/>
    <x v="3"/>
    <s v="M00000353689"/>
    <d v="2008-04-17T00:00:00"/>
    <n v="0"/>
    <n v="128.96"/>
    <n v="1425"/>
    <n v="906.75"/>
    <x v="0"/>
    <s v="30"/>
    <s v="2015"/>
    <n v="30"/>
    <n v="0.70719602977667495"/>
    <n v="2.3573200992555832E-2"/>
  </r>
  <r>
    <x v="0"/>
    <x v="3"/>
    <x v="3"/>
    <s v="M00000348460"/>
    <d v="2008-03-20T00:00:00"/>
    <n v="0"/>
    <n v="57.6"/>
    <n v="532.1"/>
    <n v="405"/>
    <x v="0"/>
    <s v="25"/>
    <s v="900"/>
    <n v="25"/>
    <n v="0.5912222222222222"/>
    <n v="2.3648888888888889E-2"/>
  </r>
  <r>
    <x v="0"/>
    <x v="3"/>
    <x v="3"/>
    <s v="M00000341294"/>
    <d v="2008-02-29T00:00:00"/>
    <n v="0"/>
    <n v="102.14"/>
    <n v="945"/>
    <n v="718.2"/>
    <x v="0"/>
    <s v="25"/>
    <s v="1596"/>
    <n v="25"/>
    <n v="0.59210526315789469"/>
    <n v="2.3684210526315787E-2"/>
  </r>
  <r>
    <x v="0"/>
    <x v="3"/>
    <x v="3"/>
    <s v="M00000336569"/>
    <d v="2008-01-31T00:00:00"/>
    <n v="0"/>
    <n v="125.82"/>
    <n v="1180"/>
    <n v="884.7"/>
    <x v="0"/>
    <s v="25"/>
    <s v="1966"/>
    <n v="25"/>
    <n v="0.60020345879959314"/>
    <n v="2.4008138351983725E-2"/>
  </r>
  <r>
    <x v="0"/>
    <x v="3"/>
    <x v="3"/>
    <s v="M00000308763"/>
    <d v="2007-12-31T00:00:00"/>
    <n v="0"/>
    <n v="45.06"/>
    <n v="513.6"/>
    <n v="316.8"/>
    <x v="0"/>
    <s v="30"/>
    <s v="704"/>
    <n v="30"/>
    <n v="0.72954545454545461"/>
    <n v="2.4318181818181819E-2"/>
  </r>
  <r>
    <x v="0"/>
    <x v="3"/>
    <x v="3"/>
    <s v="M00000277171"/>
    <d v="2007-08-09T00:00:00"/>
    <n v="0"/>
    <n v="76.03"/>
    <n v="548.97"/>
    <n v="534.6"/>
    <x v="0"/>
    <s v="19"/>
    <s v="1188"/>
    <n v="19"/>
    <n v="0.46209595959595962"/>
    <n v="2.4320839978734715E-2"/>
  </r>
  <r>
    <x v="0"/>
    <x v="3"/>
    <x v="3"/>
    <s v="M00000355252"/>
    <d v="2008-04-24T00:00:00"/>
    <n v="0"/>
    <n v="115.2"/>
    <n v="1100"/>
    <n v="810"/>
    <x v="0"/>
    <s v="25"/>
    <s v="1800"/>
    <n v="25"/>
    <n v="0.61111111111111116"/>
    <n v="2.4444444444444446E-2"/>
  </r>
  <r>
    <x v="0"/>
    <x v="3"/>
    <x v="3"/>
    <s v="M00000322569"/>
    <d v="2007-12-20T00:00:00"/>
    <n v="0"/>
    <n v="104.51"/>
    <n v="1000"/>
    <n v="734.85"/>
    <x v="0"/>
    <s v="25"/>
    <s v="1633"/>
    <n v="25"/>
    <n v="0.61236987140232702"/>
    <n v="2.4494794856093082E-2"/>
  </r>
  <r>
    <x v="0"/>
    <x v="3"/>
    <x v="3"/>
    <s v="M00000313070"/>
    <d v="2007-11-15T00:00:00"/>
    <n v="0"/>
    <n v="40.96"/>
    <n v="396"/>
    <n v="288"/>
    <x v="0"/>
    <s v="25"/>
    <s v="640"/>
    <n v="25"/>
    <n v="0.61875000000000002"/>
    <n v="2.4750000000000001E-2"/>
  </r>
  <r>
    <x v="0"/>
    <x v="3"/>
    <x v="3"/>
    <s v="M00000312532"/>
    <d v="2007-11-15T00:00:00"/>
    <n v="0"/>
    <n v="60.03"/>
    <n v="703.52"/>
    <n v="422.1"/>
    <x v="0"/>
    <s v="30"/>
    <s v="938"/>
    <n v="30"/>
    <n v="0.75002132196162041"/>
    <n v="2.5000710732054014E-2"/>
  </r>
  <r>
    <x v="0"/>
    <x v="3"/>
    <x v="3"/>
    <s v="M00000323186"/>
    <d v="2007-12-20T00:00:00"/>
    <n v="0"/>
    <n v="65.540000000000006"/>
    <n v="643"/>
    <n v="460.8"/>
    <x v="0"/>
    <s v="25"/>
    <s v="1024"/>
    <n v="25"/>
    <n v="0.6279296875"/>
    <n v="2.5117187499999999E-2"/>
  </r>
  <r>
    <x v="0"/>
    <x v="3"/>
    <x v="3"/>
    <s v="M00000304229"/>
    <d v="2007-11-09T00:00:00"/>
    <n v="0"/>
    <n v="37.630000000000003"/>
    <n v="281.36"/>
    <n v="264.60000000000002"/>
    <x v="0"/>
    <s v="19"/>
    <s v="588"/>
    <n v="19"/>
    <n v="0.47850340136054426"/>
    <n v="2.5184389545291803E-2"/>
  </r>
  <r>
    <x v="0"/>
    <x v="3"/>
    <x v="3"/>
    <s v="M00000335650"/>
    <d v="2008-02-21T00:00:00"/>
    <n v="0"/>
    <n v="122.11"/>
    <n v="1215"/>
    <n v="858.6"/>
    <x v="0"/>
    <s v="25"/>
    <s v="1908"/>
    <n v="25"/>
    <n v="0.6367924528301887"/>
    <n v="2.5471698113207548E-2"/>
  </r>
  <r>
    <x v="0"/>
    <x v="3"/>
    <x v="3"/>
    <s v="M00000327414"/>
    <d v="2008-01-24T00:00:00"/>
    <n v="0"/>
    <n v="66.56"/>
    <n v="671.28"/>
    <n v="468"/>
    <x v="0"/>
    <s v="25"/>
    <s v="1040"/>
    <n v="25"/>
    <n v="0.64546153846153842"/>
    <n v="2.5818461538461537E-2"/>
  </r>
  <r>
    <x v="0"/>
    <x v="3"/>
    <x v="3"/>
    <s v="M00000278303"/>
    <d v="2007-06-21T00:00:00"/>
    <n v="0"/>
    <n v="86.34"/>
    <n v="879.95"/>
    <n v="607.04999999999995"/>
    <x v="0"/>
    <s v="25"/>
    <s v="1349"/>
    <n v="25"/>
    <n v="0.65229799851742032"/>
    <n v="2.6091919940696814E-2"/>
  </r>
  <r>
    <x v="0"/>
    <x v="3"/>
    <x v="3"/>
    <s v="M00000341472"/>
    <d v="2008-03-13T00:00:00"/>
    <n v="0"/>
    <n v="48"/>
    <n v="495.75"/>
    <n v="337.5"/>
    <x v="0"/>
    <s v="25"/>
    <s v="750"/>
    <n v="25"/>
    <n v="0.66100000000000003"/>
    <n v="2.6440000000000002E-2"/>
  </r>
  <r>
    <x v="0"/>
    <x v="3"/>
    <x v="3"/>
    <s v="M00000351676"/>
    <d v="2008-04-10T00:00:00"/>
    <n v="0"/>
    <n v="45.76"/>
    <n v="475"/>
    <n v="321.75"/>
    <x v="0"/>
    <s v="25"/>
    <s v="715"/>
    <n v="25"/>
    <n v="0.66433566433566438"/>
    <n v="2.6573426573426574E-2"/>
  </r>
  <r>
    <x v="0"/>
    <x v="3"/>
    <x v="3"/>
    <s v="M00000322563"/>
    <d v="2007-12-20T00:00:00"/>
    <n v="0"/>
    <n v="85.76"/>
    <n v="1074.6500000000001"/>
    <n v="603"/>
    <x v="0"/>
    <s v="30"/>
    <s v="1340"/>
    <n v="30"/>
    <n v="0.8019776119402986"/>
    <n v="2.673258706467662E-2"/>
  </r>
  <r>
    <x v="0"/>
    <x v="3"/>
    <x v="3"/>
    <s v="M00000278212"/>
    <d v="2007-07-26T00:00:00"/>
    <n v="0"/>
    <n v="113.66"/>
    <n v="1193.47"/>
    <n v="799.2"/>
    <x v="0"/>
    <s v="25"/>
    <s v="1776"/>
    <n v="25"/>
    <n v="0.67199887387387391"/>
    <n v="2.6879954954954956E-2"/>
  </r>
  <r>
    <x v="0"/>
    <x v="3"/>
    <x v="3"/>
    <s v="M00000363473"/>
    <d v="2008-05-29T00:00:00"/>
    <n v="0"/>
    <n v="134.4"/>
    <n v="1695"/>
    <n v="945"/>
    <x v="0"/>
    <s v="30"/>
    <s v="2100"/>
    <n v="30"/>
    <n v="0.80714285714285716"/>
    <n v="2.6904761904761907E-2"/>
  </r>
  <r>
    <x v="0"/>
    <x v="3"/>
    <x v="3"/>
    <s v="M00000336839"/>
    <d v="2008-02-07T00:00:00"/>
    <n v="0"/>
    <n v="140.80000000000001"/>
    <n v="1500"/>
    <n v="990"/>
    <x v="0"/>
    <s v="25"/>
    <s v="2200"/>
    <n v="25"/>
    <n v="0.68181818181818177"/>
    <n v="2.7272727272727271E-2"/>
  </r>
  <r>
    <x v="0"/>
    <x v="3"/>
    <x v="3"/>
    <s v="M00000359673"/>
    <d v="2008-05-08T00:00:00"/>
    <n v="0"/>
    <n v="153.02000000000001"/>
    <n v="1985"/>
    <n v="1075.95"/>
    <x v="0"/>
    <s v="30"/>
    <s v="2391"/>
    <n v="30"/>
    <n v="0.83019657047260564"/>
    <n v="2.7673219015753522E-2"/>
  </r>
  <r>
    <x v="0"/>
    <x v="3"/>
    <x v="3"/>
    <s v="M00000348452"/>
    <d v="2008-04-03T00:00:00"/>
    <n v="0"/>
    <n v="94.08"/>
    <n v="1017"/>
    <n v="661.5"/>
    <x v="0"/>
    <s v="25"/>
    <s v="1470"/>
    <n v="25"/>
    <n v="0.69183673469387752"/>
    <n v="2.7673469387755101E-2"/>
  </r>
  <r>
    <x v="0"/>
    <x v="3"/>
    <x v="3"/>
    <s v="M00000342490"/>
    <d v="2008-02-29T00:00:00"/>
    <n v="0"/>
    <n v="96.83"/>
    <n v="1050"/>
    <n v="680.85"/>
    <x v="0"/>
    <s v="25"/>
    <s v="1513"/>
    <n v="25"/>
    <n v="0.69398545935228029"/>
    <n v="2.775941837409121E-2"/>
  </r>
  <r>
    <x v="0"/>
    <x v="3"/>
    <x v="3"/>
    <s v="M00000327915"/>
    <d v="2007-12-31T00:00:00"/>
    <n v="0"/>
    <n v="108.29"/>
    <n v="1412"/>
    <n v="761.4"/>
    <x v="0"/>
    <s v="30"/>
    <s v="1692"/>
    <n v="30"/>
    <n v="0.83451536643026003"/>
    <n v="2.7817178881008667E-2"/>
  </r>
  <r>
    <x v="0"/>
    <x v="3"/>
    <x v="3"/>
    <s v="M00000318602"/>
    <d v="2007-12-06T00:00:00"/>
    <n v="0"/>
    <n v="64"/>
    <n v="700"/>
    <n v="450"/>
    <x v="0"/>
    <s v="25"/>
    <s v="1000"/>
    <n v="25"/>
    <n v="0.7"/>
    <n v="2.7999999999999997E-2"/>
  </r>
  <r>
    <x v="0"/>
    <x v="3"/>
    <x v="3"/>
    <s v="M00000275446"/>
    <d v="2007-07-26T00:00:00"/>
    <n v="0"/>
    <n v="81.92"/>
    <n v="861.7"/>
    <n v="576"/>
    <x v="18"/>
    <s v="38"/>
    <s v="1280"/>
    <n v="24"/>
    <n v="0.67320312500000001"/>
    <n v="2.8050130208333333E-2"/>
  </r>
  <r>
    <x v="0"/>
    <x v="3"/>
    <x v="3"/>
    <s v="M00000326909"/>
    <d v="2008-01-31T00:00:00"/>
    <n v="0"/>
    <n v="89.6"/>
    <n v="985"/>
    <n v="630"/>
    <x v="0"/>
    <s v="25"/>
    <s v="1400"/>
    <n v="25"/>
    <n v="0.70357142857142863"/>
    <n v="2.8142857142857147E-2"/>
  </r>
  <r>
    <x v="0"/>
    <x v="3"/>
    <x v="3"/>
    <s v="M00000276301"/>
    <d v="2007-06-14T00:00:00"/>
    <n v="0"/>
    <n v="89.92"/>
    <n v="989.96"/>
    <n v="632.25"/>
    <x v="0"/>
    <s v="25"/>
    <s v="1405"/>
    <n v="25"/>
    <n v="0.70459786476868325"/>
    <n v="2.818391459074733E-2"/>
  </r>
  <r>
    <x v="0"/>
    <x v="3"/>
    <x v="3"/>
    <s v="M00000351292"/>
    <d v="2008-04-03T00:00:00"/>
    <n v="0"/>
    <n v="108.8"/>
    <n v="1700"/>
    <n v="765"/>
    <x v="0"/>
    <s v="30"/>
    <s v="2000"/>
    <n v="30"/>
    <n v="0.85"/>
    <n v="2.8333333333333332E-2"/>
  </r>
  <r>
    <x v="0"/>
    <x v="3"/>
    <x v="3"/>
    <s v="M00000270396"/>
    <d v="2007-05-10T00:00:00"/>
    <n v="0"/>
    <n v="89.6"/>
    <n v="994"/>
    <n v="630"/>
    <x v="0"/>
    <s v="25"/>
    <s v="1400"/>
    <n v="25"/>
    <n v="0.71"/>
    <n v="2.8399999999999998E-2"/>
  </r>
  <r>
    <x v="0"/>
    <x v="3"/>
    <x v="3"/>
    <s v="M00000271399"/>
    <d v="2007-05-17T00:00:00"/>
    <n v="0"/>
    <n v="63.36"/>
    <n v="702.9"/>
    <n v="445.5"/>
    <x v="0"/>
    <s v="25"/>
    <s v="990"/>
    <n v="25"/>
    <n v="0.71"/>
    <n v="2.8399999999999998E-2"/>
  </r>
  <r>
    <x v="0"/>
    <x v="3"/>
    <x v="3"/>
    <s v="M00000277399"/>
    <d v="2007-06-14T00:00:00"/>
    <n v="0"/>
    <n v="134.4"/>
    <n v="1500.03"/>
    <n v="945"/>
    <x v="0"/>
    <s v="25"/>
    <s v="2100"/>
    <n v="25"/>
    <n v="0.71429999999999993"/>
    <n v="2.8571999999999997E-2"/>
  </r>
  <r>
    <x v="0"/>
    <x v="3"/>
    <x v="3"/>
    <s v="M00000334431"/>
    <d v="2008-01-24T00:00:00"/>
    <n v="0"/>
    <n v="96"/>
    <n v="1075"/>
    <n v="675"/>
    <x v="0"/>
    <s v="25"/>
    <s v="1500"/>
    <n v="25"/>
    <n v="0.71666666666666667"/>
    <n v="2.8666666666666667E-2"/>
  </r>
  <r>
    <x v="0"/>
    <x v="3"/>
    <x v="3"/>
    <s v="M00000340040"/>
    <d v="2008-02-21T00:00:00"/>
    <n v="0"/>
    <n v="76.8"/>
    <n v="861"/>
    <n v="540"/>
    <x v="0"/>
    <s v="25"/>
    <s v="1200"/>
    <n v="25"/>
    <n v="0.71750000000000003"/>
    <n v="2.87E-2"/>
  </r>
  <r>
    <x v="0"/>
    <x v="3"/>
    <x v="3"/>
    <s v="M00000334528"/>
    <d v="2008-01-24T00:00:00"/>
    <n v="0"/>
    <n v="57.6"/>
    <n v="777.17"/>
    <n v="405"/>
    <x v="0"/>
    <s v="30"/>
    <s v="900"/>
    <n v="30"/>
    <n v="0.86352222222222219"/>
    <n v="2.8784074074074073E-2"/>
  </r>
  <r>
    <x v="0"/>
    <x v="3"/>
    <x v="3"/>
    <s v="M00000308025"/>
    <d v="2007-10-25T00:00:00"/>
    <n v="0"/>
    <n v="57.6"/>
    <n v="650"/>
    <n v="405"/>
    <x v="0"/>
    <s v="25"/>
    <s v="900"/>
    <n v="25"/>
    <n v="0.72222222222222221"/>
    <n v="2.8888888888888888E-2"/>
  </r>
  <r>
    <x v="0"/>
    <x v="3"/>
    <x v="3"/>
    <s v="M00000331958"/>
    <d v="2008-02-07T00:00:00"/>
    <n v="0"/>
    <n v="70.400000000000006"/>
    <n v="795"/>
    <n v="495"/>
    <x v="0"/>
    <s v="25"/>
    <s v="1100"/>
    <n v="25"/>
    <n v="0.72272727272727277"/>
    <n v="2.8909090909090912E-2"/>
  </r>
  <r>
    <x v="0"/>
    <x v="3"/>
    <x v="3"/>
    <s v="M00000340675"/>
    <d v="2008-02-21T00:00:00"/>
    <n v="0"/>
    <n v="92.93"/>
    <n v="1050"/>
    <n v="653.4"/>
    <x v="0"/>
    <s v="25"/>
    <s v="1452"/>
    <n v="25"/>
    <n v="0.72314049586776863"/>
    <n v="2.8925619834710745E-2"/>
  </r>
  <r>
    <x v="0"/>
    <x v="3"/>
    <x v="3"/>
    <s v="M00000311538"/>
    <d v="2007-11-09T00:00:00"/>
    <n v="0"/>
    <n v="79.62"/>
    <n v="900"/>
    <n v="559.79999999999995"/>
    <x v="0"/>
    <s v="25"/>
    <s v="1244"/>
    <n v="25"/>
    <n v="0.72347266881028938"/>
    <n v="2.8938906752411574E-2"/>
  </r>
  <r>
    <x v="0"/>
    <x v="3"/>
    <x v="3"/>
    <s v="M00000341119"/>
    <d v="2008-02-21T00:00:00"/>
    <n v="0"/>
    <n v="73.599999999999994"/>
    <n v="835"/>
    <n v="517.5"/>
    <x v="0"/>
    <s v="25"/>
    <s v="1150"/>
    <n v="25"/>
    <n v="0.72608695652173916"/>
    <n v="2.9043478260869567E-2"/>
  </r>
  <r>
    <x v="0"/>
    <x v="3"/>
    <x v="3"/>
    <s v="M00000313962"/>
    <d v="2007-12-31T00:00:00"/>
    <n v="0"/>
    <n v="86.91"/>
    <n v="998"/>
    <n v="611.1"/>
    <x v="0"/>
    <s v="25"/>
    <s v="1358"/>
    <n v="25"/>
    <n v="0.73490427098674527"/>
    <n v="2.9396170839469812E-2"/>
  </r>
  <r>
    <x v="0"/>
    <x v="3"/>
    <x v="3"/>
    <s v="M00000350981"/>
    <d v="2008-04-03T00:00:00"/>
    <n v="0"/>
    <n v="97.28"/>
    <n v="1120"/>
    <n v="684"/>
    <x v="0"/>
    <s v="25"/>
    <s v="1520"/>
    <n v="25"/>
    <n v="0.73684210526315785"/>
    <n v="2.9473684210526315E-2"/>
  </r>
  <r>
    <x v="0"/>
    <x v="3"/>
    <x v="3"/>
    <s v="M00000361525"/>
    <d v="2008-05-22T00:00:00"/>
    <n v="0"/>
    <n v="61.44"/>
    <n v="855"/>
    <n v="432"/>
    <x v="0"/>
    <s v="30"/>
    <s v="960"/>
    <n v="30"/>
    <n v="0.890625"/>
    <n v="2.9687499999999999E-2"/>
  </r>
  <r>
    <x v="0"/>
    <x v="3"/>
    <x v="3"/>
    <s v="M00000342127"/>
    <d v="2008-04-24T00:00:00"/>
    <n v="0"/>
    <n v="105.6"/>
    <n v="1225"/>
    <n v="742.5"/>
    <x v="0"/>
    <s v="25"/>
    <s v="1650"/>
    <n v="25"/>
    <n v="0.74242424242424243"/>
    <n v="2.9696969696969697E-2"/>
  </r>
  <r>
    <x v="0"/>
    <x v="3"/>
    <x v="3"/>
    <s v="M00000334754"/>
    <d v="2008-01-24T00:00:00"/>
    <n v="0"/>
    <n v="72.319999999999993"/>
    <n v="840"/>
    <n v="508.5"/>
    <x v="0"/>
    <s v="25"/>
    <s v="1130"/>
    <n v="25"/>
    <n v="0.74336283185840712"/>
    <n v="2.9734513274336283E-2"/>
  </r>
  <r>
    <x v="0"/>
    <x v="3"/>
    <x v="3"/>
    <s v="M00000341938"/>
    <d v="2008-02-29T00:00:00"/>
    <n v="0"/>
    <n v="67.84"/>
    <n v="946"/>
    <n v="477"/>
    <x v="0"/>
    <s v="30"/>
    <s v="1060"/>
    <n v="30"/>
    <n v="0.89245283018867927"/>
    <n v="2.9748427672955977E-2"/>
  </r>
  <r>
    <x v="0"/>
    <x v="3"/>
    <x v="3"/>
    <s v="M00000312368"/>
    <d v="2007-11-15T00:00:00"/>
    <n v="0"/>
    <n v="71.680000000000007"/>
    <n v="835"/>
    <n v="504"/>
    <x v="0"/>
    <s v="25"/>
    <s v="1120"/>
    <n v="25"/>
    <n v="0.7455357142857143"/>
    <n v="2.9821428571428572E-2"/>
  </r>
  <r>
    <x v="0"/>
    <x v="3"/>
    <x v="3"/>
    <s v="M00000288060"/>
    <d v="2007-08-02T00:00:00"/>
    <n v="0"/>
    <n v="112"/>
    <n v="1304.98"/>
    <n v="787.5"/>
    <x v="0"/>
    <s v="25"/>
    <s v="1750"/>
    <n v="25"/>
    <n v="0.74570285714285711"/>
    <n v="2.9828114285714285E-2"/>
  </r>
  <r>
    <x v="0"/>
    <x v="3"/>
    <x v="3"/>
    <s v="M00000292557"/>
    <d v="2007-09-14T00:00:00"/>
    <n v="0"/>
    <n v="130.82"/>
    <n v="1525.03"/>
    <n v="919.8"/>
    <x v="0"/>
    <s v="25"/>
    <s v="2044"/>
    <n v="25"/>
    <n v="0.74610078277886493"/>
    <n v="2.9844031311154599E-2"/>
  </r>
  <r>
    <x v="0"/>
    <x v="3"/>
    <x v="3"/>
    <s v="M00000373674"/>
    <d v="2008-07-10T00:00:00"/>
    <n v="0"/>
    <n v="116.86"/>
    <n v="1369"/>
    <n v="821.7"/>
    <x v="0"/>
    <s v="25"/>
    <s v="1826"/>
    <n v="25"/>
    <n v="0.74972617743702086"/>
    <n v="2.9989047097480834E-2"/>
  </r>
  <r>
    <x v="0"/>
    <x v="3"/>
    <x v="3"/>
    <s v="M00000284223"/>
    <d v="2007-07-12T00:00:00"/>
    <n v="0"/>
    <n v="64"/>
    <n v="750"/>
    <n v="450"/>
    <x v="0"/>
    <s v="25"/>
    <s v="1000"/>
    <n v="25"/>
    <n v="0.75"/>
    <n v="0.03"/>
  </r>
  <r>
    <x v="0"/>
    <x v="3"/>
    <x v="3"/>
    <s v="M00000329743"/>
    <d v="2007-12-31T00:00:00"/>
    <n v="0"/>
    <n v="100.86"/>
    <n v="1182"/>
    <n v="709.2"/>
    <x v="0"/>
    <s v="25"/>
    <s v="1576"/>
    <n v="25"/>
    <n v="0.75"/>
    <n v="0.03"/>
  </r>
  <r>
    <x v="0"/>
    <x v="3"/>
    <x v="3"/>
    <s v="M00000335637"/>
    <d v="2008-01-31T00:00:00"/>
    <n v="0"/>
    <n v="0.06"/>
    <n v="1425"/>
    <n v="855"/>
    <x v="0"/>
    <s v="25"/>
    <s v="1900"/>
    <n v="25"/>
    <n v="0.75"/>
    <n v="0.03"/>
  </r>
  <r>
    <x v="0"/>
    <x v="3"/>
    <x v="3"/>
    <s v="M00000284401"/>
    <d v="2007-07-19T00:00:00"/>
    <n v="0"/>
    <n v="22.14"/>
    <n v="259.98"/>
    <n v="155.69999999999999"/>
    <x v="0"/>
    <s v="25"/>
    <s v="346"/>
    <n v="25"/>
    <n v="0.75138728323699422"/>
    <n v="3.005549132947977E-2"/>
  </r>
  <r>
    <x v="0"/>
    <x v="3"/>
    <x v="3"/>
    <s v="M00000281477"/>
    <d v="2007-07-06T00:00:00"/>
    <n v="0"/>
    <n v="25.6"/>
    <n v="361"/>
    <n v="180"/>
    <x v="0"/>
    <s v="30"/>
    <s v="400"/>
    <n v="30"/>
    <n v="0.90249999999999997"/>
    <n v="3.0083333333333333E-2"/>
  </r>
  <r>
    <x v="0"/>
    <x v="3"/>
    <x v="3"/>
    <s v="M00000342214"/>
    <d v="2008-02-29T00:00:00"/>
    <n v="0"/>
    <n v="80.7"/>
    <n v="950"/>
    <n v="567.45000000000005"/>
    <x v="0"/>
    <s v="25"/>
    <s v="1261"/>
    <n v="25"/>
    <n v="0.75337034099920697"/>
    <n v="3.013481363996828E-2"/>
  </r>
  <r>
    <x v="0"/>
    <x v="3"/>
    <x v="3"/>
    <s v="M00000301373"/>
    <d v="2007-09-28T00:00:00"/>
    <n v="0"/>
    <n v="89.6"/>
    <n v="1056.5999999999999"/>
    <n v="630"/>
    <x v="0"/>
    <s v="25"/>
    <s v="1400"/>
    <n v="25"/>
    <n v="0.75471428571428567"/>
    <n v="3.0188571428571426E-2"/>
  </r>
  <r>
    <x v="0"/>
    <x v="3"/>
    <x v="3"/>
    <s v="M00000327072"/>
    <d v="2007-12-31T00:00:00"/>
    <n v="0"/>
    <n v="85.76"/>
    <n v="1095"/>
    <n v="603"/>
    <x v="2"/>
    <s v="38"/>
    <s v="1340"/>
    <n v="27"/>
    <n v="0.81716417910447758"/>
    <n v="3.0265339966832502E-2"/>
  </r>
  <r>
    <x v="0"/>
    <x v="3"/>
    <x v="3"/>
    <s v="M00000323991"/>
    <d v="2008-01-24T00:00:00"/>
    <n v="0"/>
    <n v="35.97"/>
    <n v="429.44"/>
    <n v="252.9"/>
    <x v="0"/>
    <s v="25"/>
    <s v="562"/>
    <n v="25"/>
    <n v="0.76412811387900359"/>
    <n v="3.0565124555160143E-2"/>
  </r>
  <r>
    <x v="0"/>
    <x v="3"/>
    <x v="3"/>
    <s v="M00000353003"/>
    <d v="2008-04-10T00:00:00"/>
    <n v="0"/>
    <n v="66.11"/>
    <n v="950"/>
    <n v="464.85"/>
    <x v="0"/>
    <s v="30"/>
    <s v="1033"/>
    <n v="30"/>
    <n v="0.91965150048402711"/>
    <n v="3.0655050016134236E-2"/>
  </r>
  <r>
    <x v="0"/>
    <x v="3"/>
    <x v="3"/>
    <s v="M00000322218"/>
    <d v="2007-12-13T00:00:00"/>
    <n v="0"/>
    <n v="96"/>
    <n v="1150"/>
    <n v="675"/>
    <x v="0"/>
    <s v="25"/>
    <s v="1500"/>
    <n v="25"/>
    <n v="0.76666666666666672"/>
    <n v="3.0666666666666668E-2"/>
  </r>
  <r>
    <x v="0"/>
    <x v="3"/>
    <x v="3"/>
    <s v="M00000315616"/>
    <d v="2007-11-21T00:00:00"/>
    <n v="0"/>
    <n v="60.16"/>
    <n v="721"/>
    <n v="423"/>
    <x v="0"/>
    <s v="25"/>
    <s v="940"/>
    <n v="25"/>
    <n v="0.76702127659574471"/>
    <n v="3.0680851063829787E-2"/>
  </r>
  <r>
    <x v="0"/>
    <x v="3"/>
    <x v="3"/>
    <s v="M00000305783"/>
    <d v="2007-10-18T00:00:00"/>
    <n v="0"/>
    <n v="83.2"/>
    <n v="1000"/>
    <n v="585"/>
    <x v="0"/>
    <s v="25"/>
    <s v="1300"/>
    <n v="25"/>
    <n v="0.76923076923076927"/>
    <n v="3.0769230769230771E-2"/>
  </r>
  <r>
    <x v="0"/>
    <x v="3"/>
    <x v="3"/>
    <s v="M00000327905"/>
    <d v="2007-12-31T00:00:00"/>
    <n v="0"/>
    <n v="76.8"/>
    <n v="925"/>
    <n v="540"/>
    <x v="0"/>
    <s v="25"/>
    <s v="1200"/>
    <n v="25"/>
    <n v="0.77083333333333337"/>
    <n v="3.0833333333333334E-2"/>
  </r>
  <r>
    <x v="0"/>
    <x v="3"/>
    <x v="3"/>
    <s v="M00000306476"/>
    <d v="2007-10-25T00:00:00"/>
    <n v="0"/>
    <n v="114.11"/>
    <n v="1375"/>
    <n v="802.35"/>
    <x v="0"/>
    <s v="25"/>
    <s v="1783"/>
    <n v="25"/>
    <n v="0.7711721817162086"/>
    <n v="3.0846887268648343E-2"/>
  </r>
  <r>
    <x v="0"/>
    <x v="3"/>
    <x v="3"/>
    <s v="M00000342789"/>
    <d v="2008-04-10T00:00:00"/>
    <n v="0"/>
    <n v="145.91999999999999"/>
    <n v="1765"/>
    <n v="1026"/>
    <x v="0"/>
    <s v="25"/>
    <s v="2280"/>
    <n v="25"/>
    <n v="0.77412280701754388"/>
    <n v="3.0964912280701754E-2"/>
  </r>
  <r>
    <x v="0"/>
    <x v="3"/>
    <x v="3"/>
    <s v="M00000347518"/>
    <d v="2008-03-20T00:00:00"/>
    <n v="0"/>
    <n v="138.88"/>
    <n v="1680"/>
    <n v="976.5"/>
    <x v="0"/>
    <s v="25"/>
    <s v="2170"/>
    <n v="25"/>
    <n v="0.77419354838709675"/>
    <n v="3.0967741935483871E-2"/>
  </r>
  <r>
    <x v="0"/>
    <x v="3"/>
    <x v="3"/>
    <s v="M00000307971"/>
    <d v="2007-10-25T00:00:00"/>
    <n v="0"/>
    <n v="64"/>
    <n v="775"/>
    <n v="450"/>
    <x v="0"/>
    <s v="25"/>
    <s v="1000"/>
    <n v="25"/>
    <n v="0.77500000000000002"/>
    <n v="3.1E-2"/>
  </r>
  <r>
    <x v="0"/>
    <x v="3"/>
    <x v="3"/>
    <s v="M00000278734"/>
    <d v="2007-06-21T00:00:00"/>
    <n v="0"/>
    <n v="57.6"/>
    <n v="700.02"/>
    <n v="405"/>
    <x v="0"/>
    <s v="25"/>
    <s v="900"/>
    <n v="25"/>
    <n v="0.77779999999999994"/>
    <n v="3.1111999999999997E-2"/>
  </r>
  <r>
    <x v="0"/>
    <x v="3"/>
    <x v="3"/>
    <s v="M00000271051"/>
    <d v="2007-05-10T00:00:00"/>
    <n v="0"/>
    <n v="69.12"/>
    <n v="842.4"/>
    <n v="486"/>
    <x v="0"/>
    <s v="25"/>
    <s v="1080"/>
    <n v="25"/>
    <n v="0.78"/>
    <n v="3.1200000000000002E-2"/>
  </r>
  <r>
    <x v="0"/>
    <x v="3"/>
    <x v="3"/>
    <s v="M00000275828"/>
    <d v="2007-06-07T00:00:00"/>
    <n v="0"/>
    <n v="65.599999999999994"/>
    <n v="800.01"/>
    <n v="461.25"/>
    <x v="0"/>
    <s v="25"/>
    <s v="1025"/>
    <n v="25"/>
    <n v="0.78049756097560974"/>
    <n v="3.1219902439024391E-2"/>
  </r>
  <r>
    <x v="0"/>
    <x v="3"/>
    <x v="3"/>
    <s v="M00000373605"/>
    <d v="2008-07-10T00:00:00"/>
    <n v="0"/>
    <n v="119.55"/>
    <n v="1760"/>
    <n v="840.6"/>
    <x v="0"/>
    <s v="30"/>
    <s v="1868"/>
    <n v="30"/>
    <n v="0.94218415417558887"/>
    <n v="3.1406138472519628E-2"/>
  </r>
  <r>
    <x v="0"/>
    <x v="3"/>
    <x v="3"/>
    <s v="M00000337200"/>
    <d v="2008-02-07T00:00:00"/>
    <n v="0"/>
    <n v="89.6"/>
    <n v="1100"/>
    <n v="630"/>
    <x v="0"/>
    <s v="25"/>
    <s v="1400"/>
    <n v="25"/>
    <n v="0.7857142857142857"/>
    <n v="3.1428571428571431E-2"/>
  </r>
  <r>
    <x v="0"/>
    <x v="3"/>
    <x v="3"/>
    <s v="M00000310576"/>
    <d v="2007-11-09T00:00:00"/>
    <n v="0"/>
    <n v="94.72"/>
    <n v="1164"/>
    <n v="666"/>
    <x v="0"/>
    <s v="25"/>
    <s v="1480"/>
    <n v="25"/>
    <n v="0.78648648648648645"/>
    <n v="3.1459459459459459E-2"/>
  </r>
  <r>
    <x v="0"/>
    <x v="3"/>
    <x v="3"/>
    <s v="M00000350579"/>
    <d v="2008-04-03T00:00:00"/>
    <n v="0"/>
    <n v="150.4"/>
    <n v="1850"/>
    <n v="1057.5"/>
    <x v="0"/>
    <s v="25"/>
    <s v="2350"/>
    <n v="25"/>
    <n v="0.78723404255319152"/>
    <n v="3.1489361702127662E-2"/>
  </r>
  <r>
    <x v="0"/>
    <x v="3"/>
    <x v="3"/>
    <s v="M00000327500"/>
    <d v="2007-12-31T00:00:00"/>
    <n v="0"/>
    <n v="56.9"/>
    <n v="700"/>
    <n v="400.05"/>
    <x v="0"/>
    <s v="25"/>
    <s v="889"/>
    <n v="25"/>
    <n v="0.78740157480314965"/>
    <n v="3.1496062992125984E-2"/>
  </r>
  <r>
    <x v="0"/>
    <x v="3"/>
    <x v="3"/>
    <s v="M00000321100"/>
    <d v="2007-12-20T00:00:00"/>
    <n v="0"/>
    <n v="106.69"/>
    <n v="1103"/>
    <n v="750.15"/>
    <x v="0"/>
    <s v="21"/>
    <s v="1667"/>
    <n v="21"/>
    <n v="0.66166766646670661"/>
    <n v="3.1507984117462216E-2"/>
  </r>
  <r>
    <x v="0"/>
    <x v="3"/>
    <x v="3"/>
    <s v="M00000339945"/>
    <d v="2008-02-14T00:00:00"/>
    <n v="0"/>
    <n v="83.2"/>
    <n v="1025"/>
    <n v="585"/>
    <x v="0"/>
    <s v="25"/>
    <s v="1300"/>
    <n v="25"/>
    <n v="0.78846153846153844"/>
    <n v="3.1538461538461536E-2"/>
  </r>
  <r>
    <x v="0"/>
    <x v="3"/>
    <x v="3"/>
    <s v="M00000275839"/>
    <d v="2007-06-07T00:00:00"/>
    <n v="0"/>
    <n v="64"/>
    <n v="600"/>
    <n v="450"/>
    <x v="0"/>
    <s v="19"/>
    <s v="1000"/>
    <n v="19"/>
    <n v="0.6"/>
    <n v="3.1578947368421054E-2"/>
  </r>
  <r>
    <x v="0"/>
    <x v="3"/>
    <x v="3"/>
    <s v="M00000330914"/>
    <d v="2007-12-31T00:00:00"/>
    <n v="0"/>
    <n v="76.8"/>
    <n v="950"/>
    <n v="540"/>
    <x v="0"/>
    <s v="25"/>
    <s v="1200"/>
    <n v="25"/>
    <n v="0.79166666666666663"/>
    <n v="3.1666666666666662E-2"/>
  </r>
  <r>
    <x v="0"/>
    <x v="3"/>
    <x v="3"/>
    <s v="M00000341932"/>
    <d v="2008-02-29T00:00:00"/>
    <n v="0"/>
    <n v="92.16"/>
    <n v="1140"/>
    <n v="648"/>
    <x v="0"/>
    <s v="25"/>
    <s v="1440"/>
    <n v="25"/>
    <n v="0.79166666666666663"/>
    <n v="3.1666666666666662E-2"/>
  </r>
  <r>
    <x v="0"/>
    <x v="3"/>
    <x v="3"/>
    <s v="M00000295684"/>
    <d v="2007-09-06T00:00:00"/>
    <n v="0"/>
    <n v="76.8"/>
    <n v="950.04"/>
    <n v="540"/>
    <x v="0"/>
    <s v="25"/>
    <s v="1200"/>
    <n v="25"/>
    <n v="0.79169999999999996"/>
    <n v="3.1668000000000002E-2"/>
  </r>
  <r>
    <x v="0"/>
    <x v="3"/>
    <x v="3"/>
    <s v="M00000353220"/>
    <d v="2008-04-17T00:00:00"/>
    <n v="0"/>
    <n v="104.19"/>
    <n v="1290"/>
    <n v="732.6"/>
    <x v="0"/>
    <s v="25"/>
    <s v="1628"/>
    <n v="25"/>
    <n v="0.79238329238329241"/>
    <n v="3.1695331695331695E-2"/>
  </r>
  <r>
    <x v="0"/>
    <x v="3"/>
    <x v="3"/>
    <s v="M00000371779"/>
    <d v="2008-07-03T00:00:00"/>
    <n v="0"/>
    <n v="86.4"/>
    <n v="1071"/>
    <n v="607.5"/>
    <x v="0"/>
    <s v="25"/>
    <s v="1350"/>
    <n v="25"/>
    <n v="0.79333333333333333"/>
    <n v="3.1733333333333336E-2"/>
  </r>
  <r>
    <x v="0"/>
    <x v="3"/>
    <x v="3"/>
    <s v="M00000274168"/>
    <d v="2007-07-26T00:00:00"/>
    <n v="0"/>
    <n v="96"/>
    <n v="1000.05"/>
    <n v="675"/>
    <x v="0"/>
    <s v="21"/>
    <s v="1500"/>
    <n v="21"/>
    <n v="0.66669999999999996"/>
    <n v="3.1747619047619045E-2"/>
  </r>
  <r>
    <x v="0"/>
    <x v="3"/>
    <x v="3"/>
    <s v="M00000353074"/>
    <d v="2008-04-10T00:00:00"/>
    <n v="0"/>
    <n v="76.8"/>
    <n v="955"/>
    <n v="540"/>
    <x v="0"/>
    <s v="25"/>
    <s v="1200"/>
    <n v="25"/>
    <n v="0.79583333333333328"/>
    <n v="3.1833333333333332E-2"/>
  </r>
  <r>
    <x v="0"/>
    <x v="3"/>
    <x v="3"/>
    <s v="M00000315315"/>
    <d v="2007-12-06T00:00:00"/>
    <n v="0"/>
    <n v="100.48"/>
    <n v="1250"/>
    <n v="706.5"/>
    <x v="0"/>
    <s v="25"/>
    <s v="1570"/>
    <n v="25"/>
    <n v="0.79617834394904463"/>
    <n v="3.1847133757961783E-2"/>
  </r>
  <r>
    <x v="0"/>
    <x v="3"/>
    <x v="3"/>
    <s v="M00000334231"/>
    <d v="2008-01-24T00:00:00"/>
    <n v="0"/>
    <n v="46.08"/>
    <n v="575"/>
    <n v="324"/>
    <x v="0"/>
    <s v="25"/>
    <s v="720"/>
    <n v="25"/>
    <n v="0.79861111111111116"/>
    <n v="3.1944444444444449E-2"/>
  </r>
  <r>
    <x v="0"/>
    <x v="3"/>
    <x v="3"/>
    <s v="M00000323232"/>
    <d v="2007-12-20T00:00:00"/>
    <n v="0"/>
    <n v="96"/>
    <n v="1200"/>
    <n v="675"/>
    <x v="0"/>
    <s v="25"/>
    <s v="1500"/>
    <n v="25"/>
    <n v="0.8"/>
    <n v="3.2000000000000001E-2"/>
  </r>
  <r>
    <x v="0"/>
    <x v="3"/>
    <x v="3"/>
    <s v="M00000367030"/>
    <d v="2008-06-12T00:00:00"/>
    <n v="0"/>
    <n v="23.94"/>
    <n v="361"/>
    <n v="168.3"/>
    <x v="0"/>
    <s v="30"/>
    <s v="374"/>
    <n v="30"/>
    <n v="0.96524064171122992"/>
    <n v="3.2174688057040997E-2"/>
  </r>
  <r>
    <x v="0"/>
    <x v="3"/>
    <x v="3"/>
    <s v="M00000354112"/>
    <d v="2008-04-17T00:00:00"/>
    <n v="0"/>
    <n v="57.34"/>
    <n v="722"/>
    <n v="403.2"/>
    <x v="0"/>
    <s v="25"/>
    <s v="896"/>
    <n v="25"/>
    <n v="0.8058035714285714"/>
    <n v="3.2232142857142855E-2"/>
  </r>
  <r>
    <x v="0"/>
    <x v="3"/>
    <x v="3"/>
    <s v="M00000276211"/>
    <d v="2007-06-07T00:00:00"/>
    <n v="0"/>
    <n v="83.2"/>
    <n v="1050.01"/>
    <n v="585"/>
    <x v="0"/>
    <s v="25"/>
    <s v="1300"/>
    <n v="25"/>
    <n v="0.80769999999999997"/>
    <n v="3.2307999999999996E-2"/>
  </r>
  <r>
    <x v="0"/>
    <x v="3"/>
    <x v="3"/>
    <s v="M00000358993"/>
    <d v="2008-05-08T00:00:00"/>
    <n v="0"/>
    <n v="70.849999999999994"/>
    <n v="895"/>
    <n v="498.15"/>
    <x v="0"/>
    <s v="25"/>
    <s v="1107"/>
    <n v="25"/>
    <n v="0.8084914182475158"/>
    <n v="3.2339656729900634E-2"/>
  </r>
  <r>
    <x v="0"/>
    <x v="3"/>
    <x v="3"/>
    <s v="M00000327659"/>
    <d v="2007-12-31T00:00:00"/>
    <n v="0"/>
    <n v="63.1"/>
    <n v="800"/>
    <n v="443.7"/>
    <x v="0"/>
    <s v="25"/>
    <s v="986"/>
    <n v="25"/>
    <n v="0.81135902636916835"/>
    <n v="3.2454361054766734E-2"/>
  </r>
  <r>
    <x v="0"/>
    <x v="3"/>
    <x v="3"/>
    <s v="M00000353321"/>
    <d v="2008-04-17T00:00:00"/>
    <n v="0"/>
    <n v="196.16"/>
    <n v="2495"/>
    <n v="1379.25"/>
    <x v="0"/>
    <s v="25"/>
    <s v="3065"/>
    <n v="25"/>
    <n v="0.81402936378466562"/>
    <n v="3.2561174551386622E-2"/>
  </r>
  <r>
    <x v="0"/>
    <x v="3"/>
    <x v="3"/>
    <s v="M00000304989"/>
    <d v="2007-10-18T00:00:00"/>
    <n v="0"/>
    <n v="54.14"/>
    <n v="690"/>
    <n v="380.7"/>
    <x v="0"/>
    <s v="25"/>
    <s v="846"/>
    <n v="25"/>
    <n v="0.81560283687943258"/>
    <n v="3.2624113475177303E-2"/>
  </r>
  <r>
    <x v="0"/>
    <x v="3"/>
    <x v="3"/>
    <s v="M00000370305"/>
    <d v="2008-06-26T00:00:00"/>
    <n v="0"/>
    <n v="96"/>
    <n v="1230"/>
    <n v="675"/>
    <x v="0"/>
    <s v="25"/>
    <s v="1500"/>
    <n v="25"/>
    <n v="0.82"/>
    <n v="3.2799999999999996E-2"/>
  </r>
  <r>
    <x v="0"/>
    <x v="3"/>
    <x v="3"/>
    <s v="M00000333783"/>
    <d v="2008-01-24T00:00:00"/>
    <n v="0"/>
    <n v="118.78"/>
    <n v="1525"/>
    <n v="835.2"/>
    <x v="0"/>
    <s v="25"/>
    <s v="1856"/>
    <n v="25"/>
    <n v="0.82165948275862066"/>
    <n v="3.2866379310344827E-2"/>
  </r>
  <r>
    <x v="0"/>
    <x v="3"/>
    <x v="3"/>
    <s v="M00000298402"/>
    <d v="2007-09-27T00:00:00"/>
    <n v="0"/>
    <n v="76.8"/>
    <n v="986"/>
    <n v="540"/>
    <x v="0"/>
    <s v="25"/>
    <s v="1200"/>
    <n v="25"/>
    <n v="0.82166666666666666"/>
    <n v="3.2866666666666669E-2"/>
  </r>
  <r>
    <x v="0"/>
    <x v="3"/>
    <x v="3"/>
    <s v="M00000347675"/>
    <d v="2008-03-20T00:00:00"/>
    <n v="0"/>
    <n v="35.840000000000003"/>
    <n v="553"/>
    <n v="252"/>
    <x v="0"/>
    <s v="30"/>
    <s v="560"/>
    <n v="30"/>
    <n v="0.98750000000000004"/>
    <n v="3.291666666666667E-2"/>
  </r>
  <r>
    <x v="0"/>
    <x v="3"/>
    <x v="3"/>
    <s v="M00000318386"/>
    <d v="2007-12-06T00:00:00"/>
    <n v="0"/>
    <n v="71.680000000000007"/>
    <n v="1110"/>
    <n v="504"/>
    <x v="0"/>
    <s v="30"/>
    <s v="1120"/>
    <n v="30"/>
    <n v="0.9910714285714286"/>
    <n v="3.3035714285714286E-2"/>
  </r>
  <r>
    <x v="0"/>
    <x v="3"/>
    <x v="3"/>
    <s v="M00000319777"/>
    <d v="2008-01-24T00:00:00"/>
    <n v="0"/>
    <n v="15.36"/>
    <n v="198.31"/>
    <n v="108"/>
    <x v="0"/>
    <s v="25"/>
    <s v="240"/>
    <n v="25"/>
    <n v="0.82629166666666665"/>
    <n v="3.3051666666666667E-2"/>
  </r>
  <r>
    <x v="0"/>
    <x v="3"/>
    <x v="3"/>
    <s v="M00000368331"/>
    <d v="2008-06-19T00:00:00"/>
    <n v="0"/>
    <n v="30.98"/>
    <n v="400"/>
    <n v="217.8"/>
    <x v="0"/>
    <s v="25"/>
    <s v="484"/>
    <n v="25"/>
    <n v="0.82644628099173556"/>
    <n v="3.3057851239669422E-2"/>
  </r>
  <r>
    <x v="0"/>
    <x v="3"/>
    <x v="3"/>
    <s v="M00000306088"/>
    <d v="2007-10-18T00:00:00"/>
    <n v="0"/>
    <n v="119.94"/>
    <n v="1550"/>
    <n v="843.3"/>
    <x v="0"/>
    <s v="25"/>
    <s v="1874"/>
    <n v="25"/>
    <n v="0.82710779082177166"/>
    <n v="3.3084311632870865E-2"/>
  </r>
  <r>
    <x v="0"/>
    <x v="3"/>
    <x v="3"/>
    <s v="M00000283478"/>
    <d v="2007-07-12T00:00:00"/>
    <n v="0"/>
    <n v="64"/>
    <n v="830"/>
    <n v="450"/>
    <x v="0"/>
    <s v="25"/>
    <s v="1000"/>
    <n v="25"/>
    <n v="0.83"/>
    <n v="3.32E-2"/>
  </r>
  <r>
    <x v="0"/>
    <x v="3"/>
    <x v="3"/>
    <s v="M00000294593"/>
    <d v="2007-08-30T00:00:00"/>
    <n v="0"/>
    <n v="78.400000000000006"/>
    <n v="1020.06"/>
    <n v="551.25"/>
    <x v="0"/>
    <s v="25"/>
    <s v="1225"/>
    <n v="25"/>
    <n v="0.83270204081632648"/>
    <n v="3.3308081632653058E-2"/>
  </r>
  <r>
    <x v="0"/>
    <x v="3"/>
    <x v="3"/>
    <s v="M00000278824"/>
    <d v="2007-06-21T00:00:00"/>
    <n v="0"/>
    <n v="44.16"/>
    <n v="574.98"/>
    <n v="310.5"/>
    <x v="0"/>
    <s v="25"/>
    <s v="690"/>
    <n v="25"/>
    <n v="0.83330434782608698"/>
    <n v="3.3332173913043481E-2"/>
  </r>
  <r>
    <x v="0"/>
    <x v="3"/>
    <x v="3"/>
    <s v="M00000359188"/>
    <d v="2008-05-15T00:00:00"/>
    <n v="0"/>
    <n v="51.2"/>
    <n v="800"/>
    <n v="360"/>
    <x v="0"/>
    <s v="30"/>
    <s v="800"/>
    <n v="30"/>
    <n v="1"/>
    <n v="3.3333333333333333E-2"/>
  </r>
  <r>
    <x v="0"/>
    <x v="3"/>
    <x v="3"/>
    <s v="M00000367053"/>
    <d v="2008-07-03T00:00:00"/>
    <n v="0"/>
    <n v="9.6"/>
    <n v="150"/>
    <n v="67.5"/>
    <x v="0"/>
    <s v="30"/>
    <s v="150"/>
    <n v="30"/>
    <n v="1"/>
    <n v="3.3333333333333333E-2"/>
  </r>
  <r>
    <x v="0"/>
    <x v="3"/>
    <x v="3"/>
    <s v="M00000305994"/>
    <d v="2007-10-18T00:00:00"/>
    <n v="0"/>
    <n v="118.08"/>
    <n v="1550"/>
    <n v="830.25"/>
    <x v="0"/>
    <s v="25"/>
    <s v="1845"/>
    <n v="25"/>
    <n v="0.84010840108401086"/>
    <n v="3.3604336043360432E-2"/>
  </r>
  <r>
    <x v="0"/>
    <x v="3"/>
    <x v="3"/>
    <s v="M00000315047"/>
    <d v="2007-11-29T00:00:00"/>
    <n v="0"/>
    <n v="70.400000000000006"/>
    <n v="925"/>
    <n v="495"/>
    <x v="0"/>
    <s v="25"/>
    <s v="1100"/>
    <n v="25"/>
    <n v="0.84090909090909094"/>
    <n v="3.3636363636363638E-2"/>
  </r>
  <r>
    <x v="0"/>
    <x v="3"/>
    <x v="3"/>
    <s v="M00000330683"/>
    <d v="2007-12-31T00:00:00"/>
    <n v="0"/>
    <n v="11.26"/>
    <n v="148"/>
    <n v="79.2"/>
    <x v="0"/>
    <s v="25"/>
    <s v="176"/>
    <n v="25"/>
    <n v="0.84090909090909094"/>
    <n v="3.3636363636363638E-2"/>
  </r>
  <r>
    <x v="0"/>
    <x v="3"/>
    <x v="3"/>
    <s v="M00000323542"/>
    <d v="2008-04-24T00:00:00"/>
    <n v="0"/>
    <n v="81.73"/>
    <n v="1290"/>
    <n v="574.65"/>
    <x v="0"/>
    <s v="30"/>
    <s v="1277"/>
    <n v="30"/>
    <n v="1.0101801096319498"/>
    <n v="3.3672670321064996E-2"/>
  </r>
  <r>
    <x v="0"/>
    <x v="3"/>
    <x v="3"/>
    <s v="M00000335661"/>
    <d v="2008-01-31T00:00:00"/>
    <n v="0"/>
    <n v="81.92"/>
    <n v="1080"/>
    <n v="576"/>
    <x v="0"/>
    <s v="25"/>
    <s v="1280"/>
    <n v="25"/>
    <n v="0.84375"/>
    <n v="3.3750000000000002E-2"/>
  </r>
  <r>
    <x v="0"/>
    <x v="3"/>
    <x v="3"/>
    <s v="M00000318122"/>
    <d v="2008-01-24T00:00:00"/>
    <n v="0"/>
    <n v="57.6"/>
    <n v="760"/>
    <n v="405"/>
    <x v="0"/>
    <s v="25"/>
    <s v="900"/>
    <n v="25"/>
    <n v="0.84444444444444444"/>
    <n v="3.3777777777777775E-2"/>
  </r>
  <r>
    <x v="0"/>
    <x v="3"/>
    <x v="3"/>
    <s v="M00000287299"/>
    <d v="2007-07-26T00:00:00"/>
    <n v="0"/>
    <n v="96"/>
    <n v="1275"/>
    <n v="675"/>
    <x v="0"/>
    <s v="25"/>
    <s v="1500"/>
    <n v="25"/>
    <n v="0.85"/>
    <n v="3.4000000000000002E-2"/>
  </r>
  <r>
    <x v="0"/>
    <x v="3"/>
    <x v="3"/>
    <s v="M00000324598"/>
    <d v="2007-12-20T00:00:00"/>
    <n v="0"/>
    <n v="97.6"/>
    <n v="1300"/>
    <n v="686.25"/>
    <x v="0"/>
    <s v="25"/>
    <s v="1525"/>
    <n v="25"/>
    <n v="0.85245901639344257"/>
    <n v="3.4098360655737701E-2"/>
  </r>
  <r>
    <x v="0"/>
    <x v="3"/>
    <x v="3"/>
    <s v="M00000291479"/>
    <d v="2007-08-23T00:00:00"/>
    <n v="0"/>
    <n v="89.98"/>
    <n v="1200.02"/>
    <n v="632.70000000000005"/>
    <x v="0"/>
    <s v="25"/>
    <s v="1406"/>
    <n v="25"/>
    <n v="0.85349928876244663"/>
    <n v="3.4139971550497868E-2"/>
  </r>
  <r>
    <x v="0"/>
    <x v="3"/>
    <x v="3"/>
    <s v="M00000316641"/>
    <d v="2007-11-29T00:00:00"/>
    <n v="0"/>
    <n v="92.16"/>
    <n v="1230"/>
    <n v="648"/>
    <x v="0"/>
    <s v="25"/>
    <s v="1440"/>
    <n v="25"/>
    <n v="0.85416666666666663"/>
    <n v="3.4166666666666665E-2"/>
  </r>
  <r>
    <x v="0"/>
    <x v="3"/>
    <x v="3"/>
    <s v="M00000322582"/>
    <d v="2008-01-24T00:00:00"/>
    <n v="0"/>
    <n v="35.200000000000003"/>
    <n v="715"/>
    <n v="247.5"/>
    <x v="0"/>
    <s v="38"/>
    <s v="550"/>
    <n v="38"/>
    <n v="1.3"/>
    <n v="3.4210526315789476E-2"/>
  </r>
  <r>
    <x v="0"/>
    <x v="3"/>
    <x v="3"/>
    <s v="M00000370276"/>
    <d v="2008-06-26T00:00:00"/>
    <n v="0"/>
    <n v="98.37"/>
    <n v="1315"/>
    <n v="691.65"/>
    <x v="0"/>
    <s v="25"/>
    <s v="1537"/>
    <n v="25"/>
    <n v="0.85556278464541313"/>
    <n v="3.4222511385816529E-2"/>
  </r>
  <r>
    <x v="0"/>
    <x v="3"/>
    <x v="3"/>
    <s v="M00000341215"/>
    <d v="2008-02-21T00:00:00"/>
    <n v="0"/>
    <n v="89.6"/>
    <n v="1200"/>
    <n v="630"/>
    <x v="0"/>
    <s v="25"/>
    <s v="1400"/>
    <n v="25"/>
    <n v="0.8571428571428571"/>
    <n v="3.428571428571428E-2"/>
  </r>
  <r>
    <x v="0"/>
    <x v="3"/>
    <x v="3"/>
    <s v="M00000282494"/>
    <d v="2007-07-12T00:00:00"/>
    <n v="0"/>
    <n v="147.19999999999999"/>
    <n v="1975.01"/>
    <n v="1035"/>
    <x v="0"/>
    <s v="25"/>
    <s v="2300"/>
    <n v="25"/>
    <n v="0.85870000000000002"/>
    <n v="3.4348000000000004E-2"/>
  </r>
  <r>
    <x v="0"/>
    <x v="3"/>
    <x v="3"/>
    <s v="M00000271215"/>
    <d v="2007-05-10T00:00:00"/>
    <n v="0"/>
    <n v="95.68"/>
    <n v="1285.7"/>
    <n v="672.75"/>
    <x v="0"/>
    <s v="25"/>
    <s v="1495"/>
    <n v="25"/>
    <n v="0.86"/>
    <n v="3.44E-2"/>
  </r>
  <r>
    <x v="0"/>
    <x v="3"/>
    <x v="3"/>
    <s v="M00000293491"/>
    <d v="2007-08-30T00:00:00"/>
    <n v="0"/>
    <n v="56.32"/>
    <n v="756.98"/>
    <n v="396"/>
    <x v="0"/>
    <s v="25"/>
    <s v="880"/>
    <n v="25"/>
    <n v="0.8602045454545455"/>
    <n v="3.4408181818181817E-2"/>
  </r>
  <r>
    <x v="0"/>
    <x v="3"/>
    <x v="3"/>
    <s v="M00000282905"/>
    <d v="2007-08-09T00:00:00"/>
    <n v="0"/>
    <n v="92.16"/>
    <n v="1238.98"/>
    <n v="648"/>
    <x v="0"/>
    <s v="25"/>
    <s v="1440"/>
    <n v="25"/>
    <n v="0.86040277777777774"/>
    <n v="3.4416111111111113E-2"/>
  </r>
  <r>
    <x v="0"/>
    <x v="3"/>
    <x v="3"/>
    <s v="M00000317910"/>
    <d v="2008-04-24T00:00:00"/>
    <n v="0"/>
    <n v="84.29"/>
    <n v="634.79"/>
    <n v="592.65"/>
    <x v="2"/>
    <s v="25"/>
    <s v="1317"/>
    <n v="14"/>
    <n v="0.48199696279422927"/>
    <n v="3.4428354485302091E-2"/>
  </r>
  <r>
    <x v="0"/>
    <x v="3"/>
    <x v="3"/>
    <s v="M00000345972"/>
    <d v="2008-03-13T00:00:00"/>
    <n v="0"/>
    <n v="72.58"/>
    <n v="980"/>
    <n v="510.3"/>
    <x v="0"/>
    <s v="25"/>
    <s v="1134"/>
    <n v="25"/>
    <n v="0.86419753086419748"/>
    <n v="3.4567901234567898E-2"/>
  </r>
  <r>
    <x v="0"/>
    <x v="3"/>
    <x v="3"/>
    <s v="M00000338678"/>
    <d v="2008-02-14T00:00:00"/>
    <n v="0"/>
    <n v="66.56"/>
    <n v="900"/>
    <n v="468"/>
    <x v="0"/>
    <s v="25"/>
    <s v="1040"/>
    <n v="25"/>
    <n v="0.86538461538461542"/>
    <n v="3.4615384615384617E-2"/>
  </r>
  <r>
    <x v="0"/>
    <x v="3"/>
    <x v="3"/>
    <s v="M00000301208"/>
    <d v="2007-09-27T00:00:00"/>
    <n v="0"/>
    <n v="96"/>
    <n v="1300"/>
    <n v="675"/>
    <x v="0"/>
    <s v="25"/>
    <s v="1500"/>
    <n v="25"/>
    <n v="0.8666666666666667"/>
    <n v="3.4666666666666665E-2"/>
  </r>
  <r>
    <x v="0"/>
    <x v="3"/>
    <x v="3"/>
    <s v="M00000353504"/>
    <d v="2008-04-17T00:00:00"/>
    <n v="0"/>
    <n v="92.8"/>
    <n v="1260"/>
    <n v="652.5"/>
    <x v="0"/>
    <s v="25"/>
    <s v="1450"/>
    <n v="25"/>
    <n v="0.86896551724137927"/>
    <n v="3.475862068965517E-2"/>
  </r>
  <r>
    <x v="0"/>
    <x v="3"/>
    <x v="3"/>
    <s v="M00000347035"/>
    <d v="2008-03-20T00:00:00"/>
    <n v="0"/>
    <n v="36.29"/>
    <n v="295.76"/>
    <n v="255.15"/>
    <x v="0"/>
    <s v="15"/>
    <s v="567"/>
    <n v="15"/>
    <n v="0.52162257495590825"/>
    <n v="3.4774838330393881E-2"/>
  </r>
  <r>
    <x v="0"/>
    <x v="3"/>
    <x v="3"/>
    <s v="M00000343834"/>
    <d v="2008-04-10T00:00:00"/>
    <n v="0"/>
    <n v="72.959999999999994"/>
    <n v="995"/>
    <n v="513"/>
    <x v="0"/>
    <s v="25"/>
    <s v="1140"/>
    <n v="25"/>
    <n v="0.8728070175438597"/>
    <n v="3.4912280701754388E-2"/>
  </r>
  <r>
    <x v="0"/>
    <x v="3"/>
    <x v="3"/>
    <s v="M00000296288"/>
    <d v="2007-09-06T00:00:00"/>
    <n v="0"/>
    <n v="102.4"/>
    <n v="1400"/>
    <n v="720"/>
    <x v="0"/>
    <s v="25"/>
    <s v="1600"/>
    <n v="25"/>
    <n v="0.875"/>
    <n v="3.5000000000000003E-2"/>
  </r>
  <r>
    <x v="0"/>
    <x v="3"/>
    <x v="3"/>
    <s v="M00000367994"/>
    <d v="2008-06-12T00:00:00"/>
    <n v="0"/>
    <n v="79.489999999999995"/>
    <n v="1090"/>
    <n v="558.9"/>
    <x v="0"/>
    <s v="25"/>
    <s v="1242"/>
    <n v="25"/>
    <n v="0.87761674718196458"/>
    <n v="3.5104669887278582E-2"/>
  </r>
  <r>
    <x v="0"/>
    <x v="3"/>
    <x v="3"/>
    <s v="M00000346740"/>
    <d v="2008-03-27T00:00:00"/>
    <n v="0"/>
    <n v="114.94"/>
    <n v="1580"/>
    <n v="808.2"/>
    <x v="0"/>
    <s v="25"/>
    <s v="1796"/>
    <n v="25"/>
    <n v="0.87973273942093544"/>
    <n v="3.518930957683742E-2"/>
  </r>
  <r>
    <x v="0"/>
    <x v="3"/>
    <x v="3"/>
    <s v="M00000330793"/>
    <d v="2007-12-31T00:00:00"/>
    <n v="0"/>
    <n v="30.46"/>
    <n v="420"/>
    <n v="214.2"/>
    <x v="0"/>
    <s v="25"/>
    <s v="476"/>
    <n v="25"/>
    <n v="0.88235294117647056"/>
    <n v="3.5294117647058823E-2"/>
  </r>
  <r>
    <x v="0"/>
    <x v="3"/>
    <x v="3"/>
    <s v="M00000323033"/>
    <d v="2007-12-20T00:00:00"/>
    <n v="0"/>
    <n v="115.2"/>
    <n v="1590"/>
    <n v="810"/>
    <x v="0"/>
    <s v="25"/>
    <s v="1800"/>
    <n v="25"/>
    <n v="0.8833333333333333"/>
    <n v="3.5333333333333335E-2"/>
  </r>
  <r>
    <x v="0"/>
    <x v="3"/>
    <x v="3"/>
    <s v="M00000292336"/>
    <d v="2007-08-30T00:00:00"/>
    <n v="0"/>
    <n v="83.2"/>
    <n v="1149.98"/>
    <n v="585"/>
    <x v="0"/>
    <s v="25"/>
    <s v="1300"/>
    <n v="25"/>
    <n v="0.88460000000000005"/>
    <n v="3.5383999999999999E-2"/>
  </r>
  <r>
    <x v="0"/>
    <x v="3"/>
    <x v="3"/>
    <s v="M00000286687"/>
    <d v="2007-07-26T00:00:00"/>
    <n v="0"/>
    <n v="77.63"/>
    <n v="1073.99"/>
    <n v="545.85"/>
    <x v="0"/>
    <s v="25"/>
    <s v="1213"/>
    <n v="25"/>
    <n v="0.88539983511953835"/>
    <n v="3.5415993404781534E-2"/>
  </r>
  <r>
    <x v="0"/>
    <x v="3"/>
    <x v="3"/>
    <s v="M00000373440"/>
    <d v="2008-07-10T00:00:00"/>
    <n v="0"/>
    <n v="2.0499999999999998"/>
    <n v="34"/>
    <n v="14.4"/>
    <x v="0"/>
    <s v="30"/>
    <s v="32"/>
    <n v="30"/>
    <n v="1.0625"/>
    <n v="3.5416666666666666E-2"/>
  </r>
  <r>
    <x v="0"/>
    <x v="3"/>
    <x v="3"/>
    <s v="M00000334330"/>
    <d v="2008-01-24T00:00:00"/>
    <n v="0"/>
    <n v="96"/>
    <n v="1330"/>
    <n v="675"/>
    <x v="0"/>
    <s v="25"/>
    <s v="1500"/>
    <n v="25"/>
    <n v="0.88666666666666671"/>
    <n v="3.5466666666666667E-2"/>
  </r>
  <r>
    <x v="0"/>
    <x v="3"/>
    <x v="3"/>
    <s v="M00000361348"/>
    <d v="2008-05-22T00:00:00"/>
    <n v="0"/>
    <n v="87.04"/>
    <n v="1450"/>
    <n v="612"/>
    <x v="0"/>
    <s v="30"/>
    <s v="1360"/>
    <n v="30"/>
    <n v="1.0661764705882353"/>
    <n v="3.5539215686274508E-2"/>
  </r>
  <r>
    <x v="0"/>
    <x v="3"/>
    <x v="3"/>
    <s v="M00000371794"/>
    <d v="2008-07-03T00:00:00"/>
    <n v="0"/>
    <n v="76.8"/>
    <n v="1067"/>
    <n v="540"/>
    <x v="0"/>
    <s v="25"/>
    <s v="1200"/>
    <n v="25"/>
    <n v="0.88916666666666666"/>
    <n v="3.5566666666666663E-2"/>
  </r>
  <r>
    <x v="0"/>
    <x v="3"/>
    <x v="3"/>
    <s v="M00000292817"/>
    <d v="2007-08-23T00:00:00"/>
    <n v="0"/>
    <n v="70.400000000000006"/>
    <n v="979.99"/>
    <n v="495"/>
    <x v="0"/>
    <s v="25"/>
    <s v="1100"/>
    <n v="25"/>
    <n v="0.89090000000000003"/>
    <n v="3.5636000000000001E-2"/>
  </r>
  <r>
    <x v="0"/>
    <x v="3"/>
    <x v="3"/>
    <s v="M00000285739"/>
    <d v="2007-07-26T00:00:00"/>
    <n v="0"/>
    <n v="31.36"/>
    <n v="664.98"/>
    <n v="220.5"/>
    <x v="0"/>
    <s v="38"/>
    <s v="490"/>
    <n v="38"/>
    <n v="1.3571020408163266"/>
    <n v="3.5713211600429645E-2"/>
  </r>
  <r>
    <x v="0"/>
    <x v="3"/>
    <x v="3"/>
    <s v="M00000318846"/>
    <d v="2007-12-06T00:00:00"/>
    <n v="0"/>
    <n v="75.2"/>
    <n v="1050"/>
    <n v="528.75"/>
    <x v="0"/>
    <s v="25"/>
    <s v="1175"/>
    <n v="25"/>
    <n v="0.8936170212765957"/>
    <n v="3.5744680851063831E-2"/>
  </r>
  <r>
    <x v="0"/>
    <x v="3"/>
    <x v="3"/>
    <s v="M00000341594"/>
    <d v="2008-04-10T00:00:00"/>
    <n v="0"/>
    <n v="93.44"/>
    <n v="1305"/>
    <n v="657"/>
    <x v="0"/>
    <s v="25"/>
    <s v="1460"/>
    <n v="25"/>
    <n v="0.89383561643835618"/>
    <n v="3.5753424657534248E-2"/>
  </r>
  <r>
    <x v="0"/>
    <x v="3"/>
    <x v="3"/>
    <s v="M00000337980"/>
    <d v="2008-02-07T00:00:00"/>
    <n v="0"/>
    <n v="121.6"/>
    <n v="1700"/>
    <n v="855"/>
    <x v="0"/>
    <s v="25"/>
    <s v="1900"/>
    <n v="25"/>
    <n v="0.89473684210526316"/>
    <n v="3.5789473684210524E-2"/>
  </r>
  <r>
    <x v="0"/>
    <x v="3"/>
    <x v="3"/>
    <s v="M00000358490"/>
    <d v="2008-05-08T00:00:00"/>
    <n v="0"/>
    <n v="113.15"/>
    <n v="1900"/>
    <n v="795.6"/>
    <x v="0"/>
    <s v="30"/>
    <s v="1768"/>
    <n v="30"/>
    <n v="1.0746606334841629"/>
    <n v="3.5822021116138761E-2"/>
  </r>
  <r>
    <x v="0"/>
    <x v="3"/>
    <x v="3"/>
    <s v="M00000280102"/>
    <d v="2007-08-09T00:00:00"/>
    <n v="0"/>
    <n v="91.33"/>
    <n v="1284.01"/>
    <n v="642.15"/>
    <x v="0"/>
    <s v="25"/>
    <s v="1427"/>
    <n v="25"/>
    <n v="0.8997967764540995"/>
    <n v="3.5991871058163982E-2"/>
  </r>
  <r>
    <x v="0"/>
    <x v="3"/>
    <x v="3"/>
    <s v="M00000339062"/>
    <d v="2008-02-14T00:00:00"/>
    <n v="0"/>
    <n v="83.07"/>
    <n v="1168"/>
    <n v="584.1"/>
    <x v="0"/>
    <s v="25"/>
    <s v="1298"/>
    <n v="25"/>
    <n v="0.89984591679506931"/>
    <n v="3.5993836671802774E-2"/>
  </r>
  <r>
    <x v="0"/>
    <x v="3"/>
    <x v="3"/>
    <s v="M00000311858"/>
    <d v="2007-11-09T00:00:00"/>
    <n v="0"/>
    <n v="105.6"/>
    <n v="1485"/>
    <n v="742.5"/>
    <x v="0"/>
    <s v="25"/>
    <s v="1650"/>
    <n v="25"/>
    <n v="0.9"/>
    <n v="3.6000000000000004E-2"/>
  </r>
  <r>
    <x v="0"/>
    <x v="3"/>
    <x v="3"/>
    <s v="M00000318905"/>
    <d v="2008-06-12T00:00:00"/>
    <n v="0"/>
    <n v="96"/>
    <n v="1350"/>
    <n v="675"/>
    <x v="0"/>
    <s v="25"/>
    <s v="1500"/>
    <n v="25"/>
    <n v="0.9"/>
    <n v="3.6000000000000004E-2"/>
  </r>
  <r>
    <x v="0"/>
    <x v="3"/>
    <x v="3"/>
    <s v="M00000320248"/>
    <d v="2007-12-20T00:00:00"/>
    <n v="0"/>
    <n v="76.8"/>
    <n v="1080"/>
    <n v="540"/>
    <x v="0"/>
    <s v="25"/>
    <s v="1200"/>
    <n v="25"/>
    <n v="0.9"/>
    <n v="3.6000000000000004E-2"/>
  </r>
  <r>
    <x v="0"/>
    <x v="3"/>
    <x v="3"/>
    <s v="M00000334549"/>
    <d v="2008-01-24T00:00:00"/>
    <n v="0"/>
    <n v="96"/>
    <n v="1350"/>
    <n v="675"/>
    <x v="0"/>
    <s v="25"/>
    <s v="1500"/>
    <n v="25"/>
    <n v="0.9"/>
    <n v="3.6000000000000004E-2"/>
  </r>
  <r>
    <x v="0"/>
    <x v="3"/>
    <x v="3"/>
    <s v="M00000346511"/>
    <d v="2008-03-13T00:00:00"/>
    <n v="0"/>
    <n v="83.2"/>
    <n v="1170"/>
    <n v="585"/>
    <x v="0"/>
    <s v="25"/>
    <s v="1300"/>
    <n v="25"/>
    <n v="0.9"/>
    <n v="3.6000000000000004E-2"/>
  </r>
  <r>
    <x v="0"/>
    <x v="3"/>
    <x v="3"/>
    <s v="M00000346511"/>
    <d v="2008-04-10T00:00:00"/>
    <n v="0"/>
    <n v="-83.2"/>
    <n v="1170"/>
    <n v="585"/>
    <x v="0"/>
    <s v="25"/>
    <s v="1300"/>
    <n v="25"/>
    <n v="0.9"/>
    <n v="3.6000000000000004E-2"/>
  </r>
  <r>
    <x v="0"/>
    <x v="3"/>
    <x v="3"/>
    <s v="M00000352817"/>
    <d v="2008-04-10T00:00:00"/>
    <n v="0"/>
    <n v="83.2"/>
    <n v="1170"/>
    <n v="585"/>
    <x v="0"/>
    <s v="25"/>
    <s v="1300"/>
    <n v="25"/>
    <n v="0.9"/>
    <n v="3.6000000000000004E-2"/>
  </r>
  <r>
    <x v="0"/>
    <x v="3"/>
    <x v="3"/>
    <s v="M00000276416"/>
    <d v="2007-08-02T00:00:00"/>
    <n v="0"/>
    <n v="81.41"/>
    <n v="1145.05"/>
    <n v="572.4"/>
    <x v="0"/>
    <s v="25"/>
    <s v="1272"/>
    <n v="25"/>
    <n v="0.90019654088050316"/>
    <n v="3.6007861635220129E-2"/>
  </r>
  <r>
    <x v="0"/>
    <x v="3"/>
    <x v="3"/>
    <s v="M00000296334"/>
    <d v="2007-09-06T00:00:00"/>
    <n v="0"/>
    <n v="84.03"/>
    <n v="1181.96"/>
    <n v="590.85"/>
    <x v="0"/>
    <s v="25"/>
    <s v="1313"/>
    <n v="25"/>
    <n v="0.90019801980198022"/>
    <n v="3.6007920792079207E-2"/>
  </r>
  <r>
    <x v="0"/>
    <x v="3"/>
    <x v="3"/>
    <s v="M00000340355"/>
    <d v="2008-02-21T00:00:00"/>
    <n v="0"/>
    <n v="75.069999999999993"/>
    <n v="1056"/>
    <n v="527.85"/>
    <x v="0"/>
    <s v="25"/>
    <s v="1173"/>
    <n v="25"/>
    <n v="0.90025575447570327"/>
    <n v="3.601023017902813E-2"/>
  </r>
  <r>
    <x v="0"/>
    <x v="3"/>
    <x v="3"/>
    <s v="M00000341048"/>
    <d v="2008-02-21T00:00:00"/>
    <n v="0"/>
    <n v="80.319999999999993"/>
    <n v="1130"/>
    <n v="564.75"/>
    <x v="0"/>
    <s v="25"/>
    <s v="1255"/>
    <n v="25"/>
    <n v="0.90039840637450197"/>
    <n v="3.6015936254980077E-2"/>
  </r>
  <r>
    <x v="0"/>
    <x v="3"/>
    <x v="3"/>
    <s v="M00000276933"/>
    <d v="2007-08-30T00:00:00"/>
    <n v="0"/>
    <n v="70.66"/>
    <n v="994.04"/>
    <n v="496.8"/>
    <x v="0"/>
    <s v="25"/>
    <s v="1104"/>
    <n v="25"/>
    <n v="0.9003985507246377"/>
    <n v="3.6015942028985511E-2"/>
  </r>
  <r>
    <x v="0"/>
    <x v="3"/>
    <x v="3"/>
    <s v="M00000315793"/>
    <d v="2007-12-31T00:00:00"/>
    <n v="0"/>
    <n v="39.42"/>
    <n v="666.3"/>
    <n v="277.2"/>
    <x v="0"/>
    <s v="30"/>
    <s v="616"/>
    <n v="30"/>
    <n v="1.0816558441558441"/>
    <n v="3.6055194805194805E-2"/>
  </r>
  <r>
    <x v="0"/>
    <x v="3"/>
    <x v="3"/>
    <s v="M00000346155"/>
    <d v="2008-03-13T00:00:00"/>
    <n v="0"/>
    <n v="105.02"/>
    <n v="1480"/>
    <n v="738.45"/>
    <x v="0"/>
    <s v="25"/>
    <s v="1641"/>
    <n v="25"/>
    <n v="0.9018890920170628"/>
    <n v="3.6075563680682515E-2"/>
  </r>
  <r>
    <x v="0"/>
    <x v="3"/>
    <x v="3"/>
    <s v="M00000355739"/>
    <d v="2008-04-24T00:00:00"/>
    <n v="0"/>
    <n v="69.12"/>
    <n v="975"/>
    <n v="486"/>
    <x v="0"/>
    <s v="25"/>
    <s v="1080"/>
    <n v="25"/>
    <n v="0.90277777777777779"/>
    <n v="3.6111111111111115E-2"/>
  </r>
  <r>
    <x v="0"/>
    <x v="3"/>
    <x v="3"/>
    <s v="M00000277943"/>
    <d v="2007-06-21T00:00:00"/>
    <n v="0"/>
    <n v="76.8"/>
    <n v="1085.04"/>
    <n v="540"/>
    <x v="0"/>
    <s v="25"/>
    <s v="1200"/>
    <n v="25"/>
    <n v="0.9042"/>
    <n v="3.6167999999999999E-2"/>
  </r>
  <r>
    <x v="0"/>
    <x v="3"/>
    <x v="3"/>
    <s v="M00000313299"/>
    <d v="2007-11-15T00:00:00"/>
    <n v="0"/>
    <n v="20.48"/>
    <n v="290"/>
    <n v="144"/>
    <x v="0"/>
    <s v="25"/>
    <s v="320"/>
    <n v="25"/>
    <n v="0.90625"/>
    <n v="3.6249999999999998E-2"/>
  </r>
  <r>
    <x v="0"/>
    <x v="3"/>
    <x v="3"/>
    <s v="M00000346948"/>
    <d v="2008-03-13T00:00:00"/>
    <n v="0"/>
    <n v="102.4"/>
    <n v="1450"/>
    <n v="720"/>
    <x v="0"/>
    <s v="25"/>
    <s v="1600"/>
    <n v="25"/>
    <n v="0.90625"/>
    <n v="3.6249999999999998E-2"/>
  </r>
  <r>
    <x v="0"/>
    <x v="3"/>
    <x v="3"/>
    <s v="M00000312711"/>
    <d v="2007-11-15T00:00:00"/>
    <n v="0"/>
    <n v="84.48"/>
    <n v="1200"/>
    <n v="594"/>
    <x v="0"/>
    <s v="25"/>
    <s v="1320"/>
    <n v="25"/>
    <n v="0.90909090909090906"/>
    <n v="3.6363636363636362E-2"/>
  </r>
  <r>
    <x v="0"/>
    <x v="3"/>
    <x v="3"/>
    <s v="M00000353317"/>
    <d v="2008-04-17T00:00:00"/>
    <n v="0"/>
    <n v="89.6"/>
    <n v="1530"/>
    <n v="630"/>
    <x v="0"/>
    <s v="30"/>
    <s v="1400"/>
    <n v="30"/>
    <n v="1.0928571428571427"/>
    <n v="3.6428571428571428E-2"/>
  </r>
  <r>
    <x v="0"/>
    <x v="3"/>
    <x v="3"/>
    <s v="M00000354892"/>
    <d v="2008-04-24T00:00:00"/>
    <n v="0"/>
    <n v="89.6"/>
    <n v="1530"/>
    <n v="630"/>
    <x v="0"/>
    <s v="30"/>
    <s v="1400"/>
    <n v="30"/>
    <n v="1.0928571428571427"/>
    <n v="3.6428571428571428E-2"/>
  </r>
  <r>
    <x v="0"/>
    <x v="3"/>
    <x v="3"/>
    <s v="M00000322439"/>
    <d v="2007-12-20T00:00:00"/>
    <n v="0"/>
    <n v="83.97"/>
    <n v="1195"/>
    <n v="590.4"/>
    <x v="0"/>
    <s v="25"/>
    <s v="1312"/>
    <n v="25"/>
    <n v="0.91082317073170727"/>
    <n v="3.643292682926829E-2"/>
  </r>
  <r>
    <x v="0"/>
    <x v="3"/>
    <x v="3"/>
    <s v="M00000297339"/>
    <d v="2007-09-14T00:00:00"/>
    <n v="0"/>
    <n v="102.4"/>
    <n v="1460"/>
    <n v="720"/>
    <x v="0"/>
    <s v="25"/>
    <s v="1600"/>
    <n v="25"/>
    <n v="0.91249999999999998"/>
    <n v="3.6499999999999998E-2"/>
  </r>
  <r>
    <x v="0"/>
    <x v="3"/>
    <x v="3"/>
    <s v="M00000338246"/>
    <d v="2008-02-07T00:00:00"/>
    <n v="0"/>
    <n v="25.6"/>
    <n v="365"/>
    <n v="180"/>
    <x v="0"/>
    <s v="25"/>
    <s v="400"/>
    <n v="25"/>
    <n v="0.91249999999999998"/>
    <n v="3.6499999999999998E-2"/>
  </r>
  <r>
    <x v="0"/>
    <x v="3"/>
    <x v="3"/>
    <s v="M00000354911"/>
    <d v="2008-04-24T00:00:00"/>
    <n v="0"/>
    <n v="60.8"/>
    <n v="870"/>
    <n v="427.5"/>
    <x v="0"/>
    <s v="25"/>
    <s v="950"/>
    <n v="25"/>
    <n v="0.91578947368421049"/>
    <n v="3.6631578947368418E-2"/>
  </r>
  <r>
    <x v="0"/>
    <x v="3"/>
    <x v="3"/>
    <s v="M00000291317"/>
    <d v="2007-08-16T00:00:00"/>
    <n v="0"/>
    <n v="76.8"/>
    <n v="1320"/>
    <n v="540"/>
    <x v="0"/>
    <s v="30"/>
    <s v="1200"/>
    <n v="30"/>
    <n v="1.1000000000000001"/>
    <n v="3.6666666666666667E-2"/>
  </r>
  <r>
    <x v="0"/>
    <x v="3"/>
    <x v="3"/>
    <s v="M00000319948"/>
    <d v="2007-12-13T00:00:00"/>
    <n v="0"/>
    <n v="19.2"/>
    <n v="275"/>
    <n v="135"/>
    <x v="0"/>
    <s v="25"/>
    <s v="300"/>
    <n v="25"/>
    <n v="0.91666666666666663"/>
    <n v="3.6666666666666667E-2"/>
  </r>
  <r>
    <x v="0"/>
    <x v="3"/>
    <x v="3"/>
    <s v="M00000279332"/>
    <d v="2007-06-21T00:00:00"/>
    <n v="0"/>
    <n v="72.19"/>
    <n v="1034.04"/>
    <n v="507.6"/>
    <x v="0"/>
    <s v="25"/>
    <s v="1128"/>
    <n v="25"/>
    <n v="0.91670212765957448"/>
    <n v="3.6668085106382982E-2"/>
  </r>
  <r>
    <x v="0"/>
    <x v="3"/>
    <x v="3"/>
    <s v="M00000346630"/>
    <d v="2008-03-13T00:00:00"/>
    <n v="0"/>
    <n v="47.68"/>
    <n v="685"/>
    <n v="335.25"/>
    <x v="0"/>
    <s v="25"/>
    <s v="745"/>
    <n v="25"/>
    <n v="0.91946308724832215"/>
    <n v="3.6778523489932886E-2"/>
  </r>
  <r>
    <x v="0"/>
    <x v="3"/>
    <x v="3"/>
    <s v="M00000306849"/>
    <d v="2007-10-25T00:00:00"/>
    <n v="0"/>
    <n v="62.34"/>
    <n v="896"/>
    <n v="438.3"/>
    <x v="0"/>
    <s v="25"/>
    <s v="974"/>
    <n v="25"/>
    <n v="0.91991786447638602"/>
    <n v="3.6796714579055444E-2"/>
  </r>
  <r>
    <x v="0"/>
    <x v="3"/>
    <x v="3"/>
    <s v="M00000269933"/>
    <d v="2007-05-10T00:00:00"/>
    <n v="0"/>
    <n v="73.73"/>
    <n v="1059.8399999999999"/>
    <n v="518.4"/>
    <x v="0"/>
    <s v="25"/>
    <s v="1152"/>
    <n v="25"/>
    <n v="0.92"/>
    <n v="3.6799999999999999E-2"/>
  </r>
  <r>
    <x v="0"/>
    <x v="3"/>
    <x v="3"/>
    <s v="M00000364260"/>
    <d v="2008-05-29T00:00:00"/>
    <n v="0"/>
    <n v="103.68"/>
    <n v="2266.1799999999998"/>
    <n v="729"/>
    <x v="0"/>
    <s v="38"/>
    <s v="1620"/>
    <n v="38"/>
    <n v="1.3988765432098764"/>
    <n v="3.6812540610786225E-2"/>
  </r>
  <r>
    <x v="0"/>
    <x v="3"/>
    <x v="3"/>
    <s v="M00000318677"/>
    <d v="2007-12-06T00:00:00"/>
    <n v="0"/>
    <n v="89.6"/>
    <n v="1300"/>
    <n v="630"/>
    <x v="0"/>
    <s v="25"/>
    <s v="1400"/>
    <n v="25"/>
    <n v="0.9285714285714286"/>
    <n v="3.7142857142857144E-2"/>
  </r>
  <r>
    <x v="0"/>
    <x v="3"/>
    <x v="3"/>
    <s v="M00000328766"/>
    <d v="2007-12-31T00:00:00"/>
    <n v="0"/>
    <n v="63.74"/>
    <n v="925"/>
    <n v="448.2"/>
    <x v="0"/>
    <s v="25"/>
    <s v="996"/>
    <n v="25"/>
    <n v="0.92871485943775101"/>
    <n v="3.7148594377510037E-2"/>
  </r>
  <r>
    <x v="0"/>
    <x v="3"/>
    <x v="3"/>
    <s v="M00000320419"/>
    <d v="2007-12-13T00:00:00"/>
    <n v="0"/>
    <n v="73.73"/>
    <n v="1070"/>
    <n v="518.4"/>
    <x v="0"/>
    <s v="25"/>
    <s v="1152"/>
    <n v="25"/>
    <n v="0.92881944444444442"/>
    <n v="3.7152777777777778E-2"/>
  </r>
  <r>
    <x v="0"/>
    <x v="3"/>
    <x v="3"/>
    <s v="M00000336900"/>
    <d v="2008-02-21T00:00:00"/>
    <n v="0"/>
    <n v="89.22"/>
    <n v="1399"/>
    <n v="627.29999999999995"/>
    <x v="0"/>
    <s v="27"/>
    <s v="1394"/>
    <n v="27"/>
    <n v="1.0035868005738882"/>
    <n v="3.7169881502736597E-2"/>
  </r>
  <r>
    <x v="0"/>
    <x v="3"/>
    <x v="3"/>
    <s v="M00000315519"/>
    <d v="2007-11-21T00:00:00"/>
    <n v="0"/>
    <n v="60.22"/>
    <n v="875"/>
    <n v="423.45"/>
    <x v="0"/>
    <s v="25"/>
    <s v="941"/>
    <n v="25"/>
    <n v="0.92986184909670566"/>
    <n v="3.7194473963868227E-2"/>
  </r>
  <r>
    <x v="0"/>
    <x v="3"/>
    <x v="3"/>
    <s v="M00000331121"/>
    <d v="2007-12-31T00:00:00"/>
    <n v="0"/>
    <n v="101.12"/>
    <n v="1470"/>
    <n v="711"/>
    <x v="0"/>
    <s v="25"/>
    <s v="1580"/>
    <n v="25"/>
    <n v="0.930379746835443"/>
    <n v="3.7215189873417723E-2"/>
  </r>
  <r>
    <x v="0"/>
    <x v="3"/>
    <x v="3"/>
    <s v="M00000346608"/>
    <d v="2008-03-13T00:00:00"/>
    <n v="0"/>
    <n v="21.25"/>
    <n v="309"/>
    <n v="149.4"/>
    <x v="0"/>
    <s v="25"/>
    <s v="332"/>
    <n v="25"/>
    <n v="0.93072289156626509"/>
    <n v="3.7228915662650602E-2"/>
  </r>
  <r>
    <x v="0"/>
    <x v="3"/>
    <x v="3"/>
    <s v="M00000272961"/>
    <d v="2007-05-24T00:00:00"/>
    <n v="0"/>
    <n v="70.400000000000006"/>
    <n v="1024.98"/>
    <n v="495"/>
    <x v="0"/>
    <s v="25"/>
    <s v="1100"/>
    <n v="25"/>
    <n v="0.93179999999999996"/>
    <n v="3.7272E-2"/>
  </r>
  <r>
    <x v="0"/>
    <x v="3"/>
    <x v="3"/>
    <s v="M00000322711"/>
    <d v="2007-12-31T00:00:00"/>
    <n v="0"/>
    <n v="72.83"/>
    <n v="1061"/>
    <n v="512.1"/>
    <x v="0"/>
    <s v="25"/>
    <s v="1138"/>
    <n v="25"/>
    <n v="0.93233743409490333"/>
    <n v="3.7293497363796134E-2"/>
  </r>
  <r>
    <x v="0"/>
    <x v="3"/>
    <x v="3"/>
    <s v="M00000342753"/>
    <d v="2008-03-06T00:00:00"/>
    <n v="0"/>
    <n v="114.56"/>
    <n v="1670"/>
    <n v="805.5"/>
    <x v="0"/>
    <s v="25"/>
    <s v="1790"/>
    <n v="25"/>
    <n v="0.93296089385474856"/>
    <n v="3.7318435754189944E-2"/>
  </r>
  <r>
    <x v="0"/>
    <x v="3"/>
    <x v="3"/>
    <s v="M00000301165"/>
    <d v="2007-10-11T00:00:00"/>
    <n v="0"/>
    <n v="50.24"/>
    <n v="879"/>
    <n v="353.25"/>
    <x v="0"/>
    <s v="30"/>
    <s v="785"/>
    <n v="30"/>
    <n v="1.1197452229299363"/>
    <n v="3.7324840764331207E-2"/>
  </r>
  <r>
    <x v="0"/>
    <x v="3"/>
    <x v="3"/>
    <s v="M00000284778"/>
    <d v="2007-07-19T00:00:00"/>
    <n v="0"/>
    <n v="91.07"/>
    <n v="1327.94"/>
    <n v="640.35"/>
    <x v="0"/>
    <s v="25"/>
    <s v="1423"/>
    <n v="25"/>
    <n v="0.93319747013352072"/>
    <n v="3.7327898805340827E-2"/>
  </r>
  <r>
    <x v="0"/>
    <x v="3"/>
    <x v="3"/>
    <s v="M00000370940"/>
    <d v="2008-06-26T00:00:00"/>
    <n v="0"/>
    <n v="109.57"/>
    <n v="1920"/>
    <n v="770.4"/>
    <x v="0"/>
    <s v="30"/>
    <s v="1712"/>
    <n v="30"/>
    <n v="1.1214953271028036"/>
    <n v="3.7383177570093455E-2"/>
  </r>
  <r>
    <x v="0"/>
    <x v="3"/>
    <x v="3"/>
    <s v="M00000275159"/>
    <d v="2007-06-07T00:00:00"/>
    <n v="0"/>
    <n v="102.72"/>
    <n v="1500.03"/>
    <n v="722.25"/>
    <x v="0"/>
    <s v="25"/>
    <s v="1605"/>
    <n v="25"/>
    <n v="0.93459813084112153"/>
    <n v="3.7383925233644859E-2"/>
  </r>
  <r>
    <x v="0"/>
    <x v="3"/>
    <x v="3"/>
    <s v="M00000293024"/>
    <d v="2007-08-23T00:00:00"/>
    <n v="0"/>
    <n v="90.88"/>
    <n v="1329.97"/>
    <n v="639"/>
    <x v="0"/>
    <s v="25"/>
    <s v="1420"/>
    <n v="25"/>
    <n v="0.93659859154929581"/>
    <n v="3.7463943661971831E-2"/>
  </r>
  <r>
    <x v="0"/>
    <x v="3"/>
    <x v="3"/>
    <s v="M00000327434"/>
    <d v="2007-12-31T00:00:00"/>
    <n v="0"/>
    <n v="90.24"/>
    <n v="1322"/>
    <n v="634.5"/>
    <x v="0"/>
    <s v="25"/>
    <s v="1410"/>
    <n v="25"/>
    <n v="0.93758865248226952"/>
    <n v="3.7503546099290783E-2"/>
  </r>
  <r>
    <x v="0"/>
    <x v="3"/>
    <x v="3"/>
    <s v="M00000320034"/>
    <d v="2007-12-13T00:00:00"/>
    <n v="0"/>
    <n v="90.82"/>
    <n v="1333"/>
    <n v="638.54999999999995"/>
    <x v="0"/>
    <s v="25"/>
    <s v="1419"/>
    <n v="25"/>
    <n v="0.93939393939393945"/>
    <n v="3.7575757575757575E-2"/>
  </r>
  <r>
    <x v="0"/>
    <x v="3"/>
    <x v="3"/>
    <s v="M00000336609"/>
    <d v="2008-02-29T00:00:00"/>
    <n v="0"/>
    <n v="128"/>
    <n v="1880"/>
    <n v="900"/>
    <x v="0"/>
    <s v="25"/>
    <s v="2000"/>
    <n v="25"/>
    <n v="0.94"/>
    <n v="3.7599999999999995E-2"/>
  </r>
  <r>
    <x v="0"/>
    <x v="3"/>
    <x v="3"/>
    <s v="M00000370375"/>
    <d v="2008-06-26T00:00:00"/>
    <n v="0"/>
    <n v="101.5"/>
    <n v="1497"/>
    <n v="713.7"/>
    <x v="0"/>
    <s v="25"/>
    <s v="1586"/>
    <n v="25"/>
    <n v="0.9438839848675914"/>
    <n v="3.7755359394703654E-2"/>
  </r>
  <r>
    <x v="0"/>
    <x v="3"/>
    <x v="3"/>
    <s v="M00000347630"/>
    <d v="2008-03-20T00:00:00"/>
    <n v="0"/>
    <n v="61.44"/>
    <n v="908"/>
    <n v="432"/>
    <x v="0"/>
    <s v="25"/>
    <s v="960"/>
    <n v="25"/>
    <n v="0.9458333333333333"/>
    <n v="3.783333333333333E-2"/>
  </r>
  <r>
    <x v="0"/>
    <x v="3"/>
    <x v="3"/>
    <s v="M00000354985"/>
    <d v="2008-04-24T00:00:00"/>
    <n v="0"/>
    <n v="67.2"/>
    <n v="995"/>
    <n v="472.5"/>
    <x v="0"/>
    <s v="25"/>
    <s v="1050"/>
    <n v="25"/>
    <n v="0.94761904761904758"/>
    <n v="3.7904761904761906E-2"/>
  </r>
  <r>
    <x v="0"/>
    <x v="3"/>
    <x v="3"/>
    <s v="M00000369758"/>
    <d v="2008-06-26T00:00:00"/>
    <n v="0"/>
    <n v="67.2"/>
    <n v="1195"/>
    <n v="472.5"/>
    <x v="0"/>
    <s v="30"/>
    <s v="1050"/>
    <n v="30"/>
    <n v="1.138095238095238"/>
    <n v="3.7936507936507935E-2"/>
  </r>
  <r>
    <x v="0"/>
    <x v="3"/>
    <x v="3"/>
    <s v="M00000320591"/>
    <d v="2008-01-31T00:00:00"/>
    <n v="0"/>
    <n v="118.98"/>
    <n v="1482"/>
    <n v="836.55"/>
    <x v="0"/>
    <s v="21"/>
    <s v="1859"/>
    <n v="21"/>
    <n v="0.79720279720279719"/>
    <n v="3.796203796203796E-2"/>
  </r>
  <r>
    <x v="0"/>
    <x v="3"/>
    <x v="3"/>
    <s v="M00000323183"/>
    <d v="2007-12-20T00:00:00"/>
    <n v="0"/>
    <n v="62.08"/>
    <n v="700"/>
    <n v="436.5"/>
    <x v="2"/>
    <s v="30"/>
    <s v="970"/>
    <n v="19"/>
    <n v="0.72164948453608246"/>
    <n v="3.7981551817688551E-2"/>
  </r>
  <r>
    <x v="0"/>
    <x v="3"/>
    <x v="3"/>
    <s v="M00000294497"/>
    <d v="2007-09-20T00:00:00"/>
    <n v="0"/>
    <n v="104.45"/>
    <n v="1550.07"/>
    <n v="734.4"/>
    <x v="0"/>
    <s v="25"/>
    <s v="1632"/>
    <n v="25"/>
    <n v="0.94979779411764698"/>
    <n v="3.7991911764705878E-2"/>
  </r>
  <r>
    <x v="0"/>
    <x v="3"/>
    <x v="3"/>
    <s v="M00000279723"/>
    <d v="2007-06-28T00:00:00"/>
    <n v="0"/>
    <n v="115.2"/>
    <n v="1710"/>
    <n v="810"/>
    <x v="0"/>
    <s v="25"/>
    <s v="1800"/>
    <n v="25"/>
    <n v="0.95"/>
    <n v="3.7999999999999999E-2"/>
  </r>
  <r>
    <x v="0"/>
    <x v="3"/>
    <x v="3"/>
    <s v="M00000281920"/>
    <d v="2007-07-06T00:00:00"/>
    <n v="0"/>
    <n v="107.39"/>
    <n v="1594.94"/>
    <n v="755.1"/>
    <x v="0"/>
    <s v="25"/>
    <s v="1678"/>
    <n v="25"/>
    <n v="0.95050059594755665"/>
    <n v="3.8020023837902268E-2"/>
  </r>
  <r>
    <x v="0"/>
    <x v="3"/>
    <x v="3"/>
    <s v="M00000276213"/>
    <d v="2007-06-07T00:00:00"/>
    <n v="0"/>
    <n v="84.1"/>
    <n v="1249.6099999999999"/>
    <n v="591.29999999999995"/>
    <x v="0"/>
    <s v="25"/>
    <s v="1314"/>
    <n v="25"/>
    <n v="0.95099695585996946"/>
    <n v="3.8039878234398777E-2"/>
  </r>
  <r>
    <x v="0"/>
    <x v="3"/>
    <x v="3"/>
    <s v="M00000347283"/>
    <d v="2008-03-20T00:00:00"/>
    <n v="0"/>
    <n v="80"/>
    <n v="1190"/>
    <n v="562.5"/>
    <x v="0"/>
    <s v="25"/>
    <s v="1250"/>
    <n v="25"/>
    <n v="0.95199999999999996"/>
    <n v="3.8079999999999996E-2"/>
  </r>
  <r>
    <x v="0"/>
    <x v="3"/>
    <x v="3"/>
    <s v="M00000283098"/>
    <d v="2007-07-26T00:00:00"/>
    <n v="0"/>
    <n v="96.38"/>
    <n v="1434.01"/>
    <n v="677.7"/>
    <x v="0"/>
    <s v="25"/>
    <s v="1506"/>
    <n v="25"/>
    <n v="0.95219787516600263"/>
    <n v="3.8087915006640105E-2"/>
  </r>
  <r>
    <x v="0"/>
    <x v="3"/>
    <x v="3"/>
    <s v="M00000350776"/>
    <d v="2008-04-03T00:00:00"/>
    <n v="0"/>
    <n v="26.88"/>
    <n v="400"/>
    <n v="189"/>
    <x v="0"/>
    <s v="25"/>
    <s v="420"/>
    <n v="25"/>
    <n v="0.95238095238095233"/>
    <n v="3.8095238095238092E-2"/>
  </r>
  <r>
    <x v="0"/>
    <x v="3"/>
    <x v="3"/>
    <s v="M00000301335"/>
    <d v="2007-10-04T00:00:00"/>
    <n v="0"/>
    <n v="83.07"/>
    <n v="1238"/>
    <n v="584.1"/>
    <x v="0"/>
    <s v="25"/>
    <s v="1298"/>
    <n v="25"/>
    <n v="0.95377503852080125"/>
    <n v="3.815100154083205E-2"/>
  </r>
  <r>
    <x v="0"/>
    <x v="3"/>
    <x v="3"/>
    <s v="M00000338012"/>
    <d v="2008-02-07T00:00:00"/>
    <n v="0"/>
    <n v="73.540000000000006"/>
    <n v="1098"/>
    <n v="517.04999999999995"/>
    <x v="0"/>
    <s v="25"/>
    <s v="1149"/>
    <n v="25"/>
    <n v="0.95561357702349869"/>
    <n v="3.8224543080939949E-2"/>
  </r>
  <r>
    <x v="0"/>
    <x v="3"/>
    <x v="3"/>
    <s v="M00000370926"/>
    <d v="2008-06-26T00:00:00"/>
    <n v="0"/>
    <n v="111.1"/>
    <n v="2000"/>
    <n v="781.2"/>
    <x v="0"/>
    <s v="30"/>
    <s v="1736"/>
    <n v="30"/>
    <n v="1.1520737327188939"/>
    <n v="3.8402457757296463E-2"/>
  </r>
  <r>
    <x v="0"/>
    <x v="3"/>
    <x v="3"/>
    <s v="M00000283086"/>
    <d v="2007-07-12T00:00:00"/>
    <n v="0"/>
    <n v="118.21"/>
    <n v="1774.97"/>
    <n v="831.15"/>
    <x v="0"/>
    <s v="25"/>
    <s v="1847"/>
    <n v="25"/>
    <n v="0.96100162425554958"/>
    <n v="3.8440064970221982E-2"/>
  </r>
  <r>
    <x v="0"/>
    <x v="3"/>
    <x v="3"/>
    <s v="M00000339829"/>
    <d v="2008-04-10T00:00:00"/>
    <n v="0"/>
    <n v="120.9"/>
    <n v="1825"/>
    <n v="850.05"/>
    <x v="0"/>
    <s v="25"/>
    <s v="1889"/>
    <n v="25"/>
    <n v="0.96611964002117523"/>
    <n v="3.8644785600847012E-2"/>
  </r>
  <r>
    <x v="0"/>
    <x v="3"/>
    <x v="3"/>
    <s v="M00000328098"/>
    <d v="2007-12-31T00:00:00"/>
    <n v="0"/>
    <n v="32.26"/>
    <n v="585"/>
    <n v="226.8"/>
    <x v="0"/>
    <s v="30"/>
    <s v="504"/>
    <n v="30"/>
    <n v="1.1607142857142858"/>
    <n v="3.8690476190476192E-2"/>
  </r>
  <r>
    <x v="0"/>
    <x v="3"/>
    <x v="3"/>
    <s v="M00000354524"/>
    <d v="2008-05-08T00:00:00"/>
    <n v="0"/>
    <n v="99.84"/>
    <n v="1509.07"/>
    <n v="702"/>
    <x v="0"/>
    <s v="25"/>
    <s v="1560"/>
    <n v="25"/>
    <n v="0.96735256410256409"/>
    <n v="3.8694102564102564E-2"/>
  </r>
  <r>
    <x v="0"/>
    <x v="3"/>
    <x v="3"/>
    <s v="M00000345131"/>
    <d v="2008-03-13T00:00:00"/>
    <n v="0"/>
    <n v="99.2"/>
    <n v="1500"/>
    <n v="697.5"/>
    <x v="0"/>
    <s v="25"/>
    <s v="1550"/>
    <n v="25"/>
    <n v="0.967741935483871"/>
    <n v="3.870967741935484E-2"/>
  </r>
  <r>
    <x v="0"/>
    <x v="3"/>
    <x v="3"/>
    <s v="M00000355639"/>
    <d v="2008-04-30T00:00:00"/>
    <n v="0"/>
    <n v="19.97"/>
    <n v="363"/>
    <n v="140.4"/>
    <x v="0"/>
    <s v="30"/>
    <s v="312"/>
    <n v="30"/>
    <n v="1.1634615384615385"/>
    <n v="3.8782051282051283E-2"/>
  </r>
  <r>
    <x v="0"/>
    <x v="3"/>
    <x v="3"/>
    <s v="M00000271687"/>
    <d v="2007-05-17T00:00:00"/>
    <n v="0"/>
    <n v="49.92"/>
    <n v="756.6"/>
    <n v="351"/>
    <x v="0"/>
    <s v="25"/>
    <s v="780"/>
    <n v="25"/>
    <n v="0.97"/>
    <n v="3.8800000000000001E-2"/>
  </r>
  <r>
    <x v="0"/>
    <x v="3"/>
    <x v="3"/>
    <s v="M00000292981"/>
    <d v="2007-08-23T00:00:00"/>
    <n v="0"/>
    <n v="49.6"/>
    <n v="751.98"/>
    <n v="348.75"/>
    <x v="0"/>
    <s v="25"/>
    <s v="775"/>
    <n v="25"/>
    <n v="0.97029677419354843"/>
    <n v="3.881187096774194E-2"/>
  </r>
  <r>
    <x v="0"/>
    <x v="3"/>
    <x v="3"/>
    <s v="M00000325407"/>
    <d v="2007-12-31T00:00:00"/>
    <n v="0"/>
    <n v="92.8"/>
    <n v="1407"/>
    <n v="652.5"/>
    <x v="0"/>
    <s v="25"/>
    <s v="1450"/>
    <n v="25"/>
    <n v="0.97034482758620688"/>
    <n v="3.8813793103448277E-2"/>
  </r>
  <r>
    <x v="0"/>
    <x v="3"/>
    <x v="3"/>
    <s v="M00000335359"/>
    <d v="2008-01-31T00:00:00"/>
    <n v="0"/>
    <n v="6.59"/>
    <n v="100"/>
    <n v="46.35"/>
    <x v="0"/>
    <s v="25"/>
    <s v="103"/>
    <n v="25"/>
    <n v="0.970873786407767"/>
    <n v="3.8834951456310683E-2"/>
  </r>
  <r>
    <x v="0"/>
    <x v="3"/>
    <x v="3"/>
    <s v="M00000301145"/>
    <d v="2007-10-11T00:00:00"/>
    <n v="0"/>
    <n v="18.43"/>
    <n v="280"/>
    <n v="129.6"/>
    <x v="0"/>
    <s v="25"/>
    <s v="288"/>
    <n v="25"/>
    <n v="0.97222222222222221"/>
    <n v="3.888888888888889E-2"/>
  </r>
  <r>
    <x v="0"/>
    <x v="3"/>
    <x v="3"/>
    <s v="M00000313463"/>
    <d v="2007-11-21T00:00:00"/>
    <n v="0"/>
    <n v="80.64"/>
    <n v="1225"/>
    <n v="567"/>
    <x v="0"/>
    <s v="25"/>
    <s v="1260"/>
    <n v="25"/>
    <n v="0.97222222222222221"/>
    <n v="3.888888888888889E-2"/>
  </r>
  <r>
    <x v="0"/>
    <x v="3"/>
    <x v="3"/>
    <s v="M00000320853"/>
    <d v="2007-12-13T00:00:00"/>
    <n v="0"/>
    <n v="51.84"/>
    <n v="790"/>
    <n v="364.5"/>
    <x v="0"/>
    <s v="25"/>
    <s v="810"/>
    <n v="25"/>
    <n v="0.97530864197530864"/>
    <n v="3.9012345679012343E-2"/>
  </r>
  <r>
    <x v="0"/>
    <x v="3"/>
    <x v="3"/>
    <s v="M00000334234"/>
    <d v="2008-01-24T00:00:00"/>
    <n v="0"/>
    <n v="71.680000000000007"/>
    <n v="1095"/>
    <n v="504"/>
    <x v="0"/>
    <s v="25"/>
    <s v="1120"/>
    <n v="25"/>
    <n v="0.9776785714285714"/>
    <n v="3.9107142857142854E-2"/>
  </r>
  <r>
    <x v="0"/>
    <x v="3"/>
    <x v="3"/>
    <s v="M00000302625"/>
    <d v="2007-10-04T00:00:00"/>
    <n v="0"/>
    <n v="64.510000000000005"/>
    <n v="987"/>
    <n v="453.6"/>
    <x v="0"/>
    <s v="25"/>
    <s v="1008"/>
    <n v="25"/>
    <n v="0.97916666666666663"/>
    <n v="3.9166666666666662E-2"/>
  </r>
  <r>
    <x v="0"/>
    <x v="3"/>
    <x v="3"/>
    <s v="M00000347132"/>
    <d v="2008-03-20T00:00:00"/>
    <n v="0"/>
    <n v="143.49"/>
    <n v="2196"/>
    <n v="1008.9"/>
    <x v="0"/>
    <s v="25"/>
    <s v="2242"/>
    <n v="25"/>
    <n v="0.97948260481712757"/>
    <n v="3.9179304192685102E-2"/>
  </r>
  <r>
    <x v="0"/>
    <x v="3"/>
    <x v="3"/>
    <s v="M00000283068"/>
    <d v="2007-07-12T00:00:00"/>
    <n v="0"/>
    <n v="90.62"/>
    <n v="1386.97"/>
    <n v="637.20000000000005"/>
    <x v="0"/>
    <s v="25"/>
    <s v="1416"/>
    <n v="25"/>
    <n v="0.97949858757062147"/>
    <n v="3.917994350282486E-2"/>
  </r>
  <r>
    <x v="0"/>
    <x v="3"/>
    <x v="3"/>
    <s v="M00000279852"/>
    <d v="2007-07-06T00:00:00"/>
    <n v="0"/>
    <n v="84.48"/>
    <n v="1292.94"/>
    <n v="594"/>
    <x v="0"/>
    <s v="25"/>
    <s v="1320"/>
    <n v="25"/>
    <n v="0.97950000000000004"/>
    <n v="3.918E-2"/>
  </r>
  <r>
    <x v="0"/>
    <x v="3"/>
    <x v="3"/>
    <s v="M00000283793"/>
    <d v="2007-07-12T00:00:00"/>
    <n v="0"/>
    <n v="84.74"/>
    <n v="1296.99"/>
    <n v="595.79999999999995"/>
    <x v="0"/>
    <s v="25"/>
    <s v="1324"/>
    <n v="25"/>
    <n v="0.97959969788519641"/>
    <n v="3.9183987915407857E-2"/>
  </r>
  <r>
    <x v="0"/>
    <x v="3"/>
    <x v="3"/>
    <s v="M00000346114"/>
    <d v="2008-03-13T00:00:00"/>
    <n v="0"/>
    <n v="117.18"/>
    <n v="1794"/>
    <n v="823.95"/>
    <x v="0"/>
    <s v="25"/>
    <s v="1831"/>
    <n v="25"/>
    <n v="0.97979246313489898"/>
    <n v="3.919169852539596E-2"/>
  </r>
  <r>
    <x v="0"/>
    <x v="3"/>
    <x v="3"/>
    <s v="M00000327620"/>
    <d v="2007-12-31T00:00:00"/>
    <n v="0"/>
    <n v="58.24"/>
    <n v="892"/>
    <n v="409.5"/>
    <x v="0"/>
    <s v="25"/>
    <s v="910"/>
    <n v="25"/>
    <n v="0.98021978021978018"/>
    <n v="3.9208791208791206E-2"/>
  </r>
  <r>
    <x v="0"/>
    <x v="3"/>
    <x v="3"/>
    <s v="M00000332190"/>
    <d v="2007-12-31T00:00:00"/>
    <n v="0"/>
    <n v="46.08"/>
    <n v="708"/>
    <n v="324"/>
    <x v="0"/>
    <s v="25"/>
    <s v="720"/>
    <n v="25"/>
    <n v="0.98333333333333328"/>
    <n v="3.9333333333333331E-2"/>
  </r>
  <r>
    <x v="0"/>
    <x v="3"/>
    <x v="3"/>
    <s v="M00000284714"/>
    <d v="2007-07-19T00:00:00"/>
    <n v="0"/>
    <n v="33.28"/>
    <n v="511.99"/>
    <n v="234"/>
    <x v="0"/>
    <s v="25"/>
    <s v="520"/>
    <n v="25"/>
    <n v="0.98459615384615384"/>
    <n v="3.9383846153846151E-2"/>
  </r>
  <r>
    <x v="0"/>
    <x v="3"/>
    <x v="3"/>
    <s v="M00000279003"/>
    <d v="2007-06-21T00:00:00"/>
    <n v="0"/>
    <n v="130.30000000000001"/>
    <n v="2004.85"/>
    <n v="916.2"/>
    <x v="0"/>
    <s v="25"/>
    <s v="2036"/>
    <n v="25"/>
    <n v="0.98470039292730838"/>
    <n v="3.9388015717092335E-2"/>
  </r>
  <r>
    <x v="0"/>
    <x v="3"/>
    <x v="3"/>
    <s v="M00000276675"/>
    <d v="2007-06-14T00:00:00"/>
    <n v="0"/>
    <n v="39.74"/>
    <n v="465"/>
    <n v="279.45"/>
    <x v="0"/>
    <s v="19"/>
    <s v="621"/>
    <n v="19"/>
    <n v="0.74879227053140096"/>
    <n v="3.9410119501652685E-2"/>
  </r>
  <r>
    <x v="0"/>
    <x v="3"/>
    <x v="3"/>
    <s v="M00000303389"/>
    <d v="2007-11-09T00:00:00"/>
    <n v="0"/>
    <n v="95.55"/>
    <n v="1471.2"/>
    <n v="671.85"/>
    <x v="0"/>
    <s v="25"/>
    <s v="1493"/>
    <n v="25"/>
    <n v="0.98539852645679837"/>
    <n v="3.9415941058271932E-2"/>
  </r>
  <r>
    <x v="0"/>
    <x v="3"/>
    <x v="3"/>
    <s v="M00000306580"/>
    <d v="2007-10-25T00:00:00"/>
    <n v="0"/>
    <n v="61.44"/>
    <n v="946"/>
    <n v="432"/>
    <x v="0"/>
    <s v="25"/>
    <s v="960"/>
    <n v="25"/>
    <n v="0.98541666666666672"/>
    <n v="3.9416666666666669E-2"/>
  </r>
  <r>
    <x v="0"/>
    <x v="3"/>
    <x v="3"/>
    <s v="M00000372148"/>
    <d v="2008-07-03T00:00:00"/>
    <n v="0"/>
    <n v="77.819999999999993"/>
    <n v="1200"/>
    <n v="547.20000000000005"/>
    <x v="0"/>
    <s v="25"/>
    <s v="1216"/>
    <n v="25"/>
    <n v="0.98684210526315785"/>
    <n v="3.9473684210526314E-2"/>
  </r>
  <r>
    <x v="0"/>
    <x v="3"/>
    <x v="3"/>
    <s v="M00000278398"/>
    <d v="2007-06-21T00:00:00"/>
    <n v="0"/>
    <n v="128.26"/>
    <n v="1979.95"/>
    <n v="901.8"/>
    <x v="0"/>
    <s v="25"/>
    <s v="2004"/>
    <n v="25"/>
    <n v="0.98799900199600799"/>
    <n v="3.9519960079840322E-2"/>
  </r>
  <r>
    <x v="0"/>
    <x v="3"/>
    <x v="3"/>
    <s v="M00000362310"/>
    <d v="2008-05-22T00:00:00"/>
    <n v="0"/>
    <n v="80.959999999999994"/>
    <n v="1250"/>
    <n v="569.25"/>
    <x v="0"/>
    <s v="25"/>
    <s v="1265"/>
    <n v="25"/>
    <n v="0.98814229249011853"/>
    <n v="3.9525691699604744E-2"/>
  </r>
  <r>
    <x v="0"/>
    <x v="3"/>
    <x v="3"/>
    <s v="M00000355529"/>
    <d v="2008-04-24T00:00:00"/>
    <n v="0"/>
    <n v="42.11"/>
    <n v="651"/>
    <n v="296.10000000000002"/>
    <x v="0"/>
    <s v="25"/>
    <s v="658"/>
    <n v="25"/>
    <n v="0.98936170212765961"/>
    <n v="3.9574468085106382E-2"/>
  </r>
  <r>
    <x v="0"/>
    <x v="3"/>
    <x v="3"/>
    <s v="M00000341494"/>
    <d v="2008-02-29T00:00:00"/>
    <n v="0"/>
    <n v="42.75"/>
    <n v="661"/>
    <n v="300.60000000000002"/>
    <x v="0"/>
    <s v="25"/>
    <s v="668"/>
    <n v="25"/>
    <n v="0.98952095808383234"/>
    <n v="3.9580838323353296E-2"/>
  </r>
  <r>
    <x v="0"/>
    <x v="3"/>
    <x v="3"/>
    <s v="M00000271403"/>
    <d v="2007-05-17T00:00:00"/>
    <n v="0"/>
    <n v="67.2"/>
    <n v="1039.5"/>
    <n v="472.5"/>
    <x v="0"/>
    <s v="25"/>
    <s v="1050"/>
    <n v="25"/>
    <n v="0.99"/>
    <n v="3.9599999999999996E-2"/>
  </r>
  <r>
    <x v="0"/>
    <x v="3"/>
    <x v="3"/>
    <s v="M00000269765"/>
    <d v="2007-05-10T00:00:00"/>
    <n v="0"/>
    <n v="67.58"/>
    <n v="1045.44"/>
    <n v="475.2"/>
    <x v="0"/>
    <s v="25"/>
    <s v="1056"/>
    <n v="25"/>
    <n v="0.99"/>
    <n v="3.9600000000000003E-2"/>
  </r>
  <r>
    <x v="0"/>
    <x v="3"/>
    <x v="3"/>
    <s v="M00000338197"/>
    <d v="2008-03-06T00:00:00"/>
    <n v="0"/>
    <n v="104.7"/>
    <n v="1620"/>
    <n v="736.2"/>
    <x v="0"/>
    <s v="25"/>
    <s v="1636"/>
    <n v="25"/>
    <n v="0.99022004889975546"/>
    <n v="3.9608801955990217E-2"/>
  </r>
  <r>
    <x v="0"/>
    <x v="3"/>
    <x v="3"/>
    <s v="M00000292470"/>
    <d v="2007-08-23T00:00:00"/>
    <n v="0"/>
    <n v="102.02"/>
    <n v="1579.02"/>
    <n v="717.3"/>
    <x v="0"/>
    <s v="25"/>
    <s v="1594"/>
    <n v="25"/>
    <n v="0.99060225846925976"/>
    <n v="3.9624090338770387E-2"/>
  </r>
  <r>
    <x v="0"/>
    <x v="3"/>
    <x v="3"/>
    <s v="M00000346839"/>
    <d v="2008-03-13T00:00:00"/>
    <n v="0"/>
    <n v="117.31"/>
    <n v="1825"/>
    <n v="824.85"/>
    <x v="0"/>
    <s v="25"/>
    <s v="1833"/>
    <n v="25"/>
    <n v="0.99563557010365522"/>
    <n v="3.9825422804146207E-2"/>
  </r>
  <r>
    <x v="0"/>
    <x v="3"/>
    <x v="3"/>
    <s v="M00000334472"/>
    <d v="2008-01-24T00:00:00"/>
    <n v="0"/>
    <n v="86.66"/>
    <n v="1350"/>
    <n v="609.29999999999995"/>
    <x v="0"/>
    <s v="25"/>
    <s v="1354"/>
    <n v="25"/>
    <n v="0.99704579025110784"/>
    <n v="3.9881831610044313E-2"/>
  </r>
  <r>
    <x v="0"/>
    <x v="3"/>
    <x v="3"/>
    <s v="M00000276554"/>
    <d v="2007-06-28T00:00:00"/>
    <n v="0"/>
    <n v="87.55"/>
    <n v="1364.03"/>
    <n v="615.6"/>
    <x v="0"/>
    <s v="25"/>
    <s v="1368"/>
    <n v="25"/>
    <n v="0.99709795321637429"/>
    <n v="3.9883918128654973E-2"/>
  </r>
  <r>
    <x v="0"/>
    <x v="3"/>
    <x v="3"/>
    <s v="M00000345071"/>
    <d v="2008-03-13T00:00:00"/>
    <n v="0"/>
    <n v="104.19"/>
    <n v="1625"/>
    <n v="732.6"/>
    <x v="0"/>
    <s v="25"/>
    <s v="1628"/>
    <n v="25"/>
    <n v="0.99815724815724816"/>
    <n v="3.9926289926289923E-2"/>
  </r>
  <r>
    <x v="0"/>
    <x v="3"/>
    <x v="3"/>
    <s v="M00000338992"/>
    <d v="2008-02-21T00:00:00"/>
    <n v="0"/>
    <n v="85.12"/>
    <n v="1595"/>
    <n v="598.5"/>
    <x v="0"/>
    <s v="30"/>
    <s v="1330"/>
    <n v="30"/>
    <n v="1.1992481203007519"/>
    <n v="3.9974937343358399E-2"/>
  </r>
  <r>
    <x v="0"/>
    <x v="3"/>
    <x v="3"/>
    <s v="M00000283788"/>
    <d v="2007-07-12T00:00:00"/>
    <n v="0"/>
    <n v="57.22"/>
    <n v="899.99"/>
    <n v="402.3"/>
    <x v="0"/>
    <s v="25"/>
    <s v="900"/>
    <n v="25"/>
    <n v="0.99998888888888893"/>
    <n v="3.9999555555555559E-2"/>
  </r>
  <r>
    <x v="0"/>
    <x v="3"/>
    <x v="3"/>
    <s v="M00000269822"/>
    <d v="2007-06-14T00:00:00"/>
    <n v="0"/>
    <n v="64"/>
    <n v="1000"/>
    <n v="450"/>
    <x v="0"/>
    <s v="25"/>
    <s v="1000"/>
    <n v="25"/>
    <n v="1"/>
    <n v="0.04"/>
  </r>
  <r>
    <x v="0"/>
    <x v="3"/>
    <x v="3"/>
    <s v="M00000273530"/>
    <d v="2007-05-24T00:00:00"/>
    <n v="0"/>
    <n v="51.2"/>
    <n v="800"/>
    <n v="360"/>
    <x v="0"/>
    <s v="25"/>
    <s v="800"/>
    <n v="25"/>
    <n v="1"/>
    <n v="0.04"/>
  </r>
  <r>
    <x v="0"/>
    <x v="3"/>
    <x v="3"/>
    <s v="M00000302656"/>
    <d v="2007-10-04T00:00:00"/>
    <n v="0"/>
    <n v="65.92"/>
    <n v="1030"/>
    <n v="463.5"/>
    <x v="0"/>
    <s v="25"/>
    <s v="1030"/>
    <n v="25"/>
    <n v="1"/>
    <n v="0.04"/>
  </r>
  <r>
    <x v="0"/>
    <x v="3"/>
    <x v="3"/>
    <s v="M00000304075"/>
    <d v="2007-10-11T00:00:00"/>
    <n v="0"/>
    <n v="79.87"/>
    <n v="1248"/>
    <n v="561.6"/>
    <x v="0"/>
    <s v="25"/>
    <s v="1248"/>
    <n v="25"/>
    <n v="1"/>
    <n v="0.04"/>
  </r>
  <r>
    <x v="0"/>
    <x v="3"/>
    <x v="3"/>
    <s v="M00000310660"/>
    <d v="2007-11-09T00:00:00"/>
    <n v="0"/>
    <n v="89.6"/>
    <n v="1400"/>
    <n v="630"/>
    <x v="0"/>
    <s v="25"/>
    <s v="1400"/>
    <n v="25"/>
    <n v="1"/>
    <n v="0.04"/>
  </r>
  <r>
    <x v="0"/>
    <x v="3"/>
    <x v="3"/>
    <s v="M00000311160"/>
    <d v="2007-11-09T00:00:00"/>
    <n v="0"/>
    <n v="70.400000000000006"/>
    <n v="1045"/>
    <n v="495"/>
    <x v="0"/>
    <s v="25"/>
    <s v="1045"/>
    <n v="25"/>
    <n v="1"/>
    <n v="0.04"/>
  </r>
  <r>
    <x v="0"/>
    <x v="3"/>
    <x v="3"/>
    <s v="M00000312540"/>
    <d v="2007-12-13T00:00:00"/>
    <n v="0"/>
    <n v="96"/>
    <n v="1500"/>
    <n v="675"/>
    <x v="0"/>
    <s v="25"/>
    <s v="1500"/>
    <n v="25"/>
    <n v="1"/>
    <n v="0.04"/>
  </r>
  <r>
    <x v="0"/>
    <x v="3"/>
    <x v="3"/>
    <s v="M00000313144"/>
    <d v="2007-12-13T00:00:00"/>
    <n v="0"/>
    <n v="73.599999999999994"/>
    <n v="1150"/>
    <n v="517.5"/>
    <x v="0"/>
    <s v="25"/>
    <s v="1150"/>
    <n v="25"/>
    <n v="1"/>
    <n v="0.04"/>
  </r>
  <r>
    <x v="0"/>
    <x v="3"/>
    <x v="3"/>
    <s v="M00000313468"/>
    <d v="2007-11-15T00:00:00"/>
    <n v="0"/>
    <n v="57.6"/>
    <n v="1030"/>
    <n v="405"/>
    <x v="0"/>
    <s v="25"/>
    <s v="1030"/>
    <n v="25"/>
    <n v="1"/>
    <n v="0.04"/>
  </r>
  <r>
    <x v="0"/>
    <x v="3"/>
    <x v="3"/>
    <s v="M00000317031"/>
    <d v="2007-11-29T00:00:00"/>
    <n v="0"/>
    <n v="70.400000000000006"/>
    <n v="1100"/>
    <n v="495"/>
    <x v="0"/>
    <s v="25"/>
    <s v="1100"/>
    <n v="25"/>
    <n v="1"/>
    <n v="0.04"/>
  </r>
  <r>
    <x v="0"/>
    <x v="3"/>
    <x v="3"/>
    <s v="M00000319842"/>
    <d v="2007-12-13T00:00:00"/>
    <n v="0"/>
    <n v="72.959999999999994"/>
    <n v="1140"/>
    <n v="513"/>
    <x v="0"/>
    <s v="25"/>
    <s v="1140"/>
    <n v="25"/>
    <n v="1"/>
    <n v="0.04"/>
  </r>
  <r>
    <x v="0"/>
    <x v="3"/>
    <x v="3"/>
    <s v="M00000321040"/>
    <d v="2007-12-13T00:00:00"/>
    <n v="0"/>
    <n v="8.19"/>
    <n v="128"/>
    <n v="57.6"/>
    <x v="0"/>
    <s v="25"/>
    <s v="128"/>
    <n v="25"/>
    <n v="1"/>
    <n v="0.04"/>
  </r>
  <r>
    <x v="0"/>
    <x v="3"/>
    <x v="3"/>
    <s v="M00000323773"/>
    <d v="2007-12-20T00:00:00"/>
    <n v="0"/>
    <n v="134.4"/>
    <n v="2100"/>
    <n v="945"/>
    <x v="0"/>
    <s v="25"/>
    <s v="2100"/>
    <n v="25"/>
    <n v="1"/>
    <n v="0.04"/>
  </r>
  <r>
    <x v="0"/>
    <x v="3"/>
    <x v="3"/>
    <s v="M00000325732"/>
    <d v="2007-12-31T00:00:00"/>
    <n v="0"/>
    <n v="69.12"/>
    <n v="1080"/>
    <n v="486"/>
    <x v="0"/>
    <s v="25"/>
    <s v="1080"/>
    <n v="25"/>
    <n v="1"/>
    <n v="0.04"/>
  </r>
  <r>
    <x v="0"/>
    <x v="3"/>
    <x v="3"/>
    <s v="M00000330992"/>
    <d v="2007-12-31T00:00:00"/>
    <n v="0"/>
    <n v="150.4"/>
    <n v="2350"/>
    <n v="1057.5"/>
    <x v="0"/>
    <s v="25"/>
    <s v="2350"/>
    <n v="25"/>
    <n v="1"/>
    <n v="0.04"/>
  </r>
  <r>
    <x v="0"/>
    <x v="3"/>
    <x v="3"/>
    <s v="M00000335326"/>
    <d v="2008-02-21T00:00:00"/>
    <n v="0"/>
    <n v="6.4"/>
    <n v="100"/>
    <n v="45"/>
    <x v="0"/>
    <s v="25"/>
    <s v="100"/>
    <n v="25"/>
    <n v="1"/>
    <n v="0.04"/>
  </r>
  <r>
    <x v="0"/>
    <x v="3"/>
    <x v="3"/>
    <s v="M00000337101"/>
    <d v="2008-02-14T00:00:00"/>
    <n v="0"/>
    <n v="102.4"/>
    <n v="1600"/>
    <n v="720"/>
    <x v="0"/>
    <s v="25"/>
    <s v="1600"/>
    <n v="25"/>
    <n v="1"/>
    <n v="0.04"/>
  </r>
  <r>
    <x v="0"/>
    <x v="3"/>
    <x v="3"/>
    <s v="M00000338218"/>
    <d v="2008-02-07T00:00:00"/>
    <n v="0"/>
    <n v="60.8"/>
    <n v="950"/>
    <n v="427.5"/>
    <x v="0"/>
    <s v="25"/>
    <s v="950"/>
    <n v="25"/>
    <n v="1"/>
    <n v="0.04"/>
  </r>
  <r>
    <x v="0"/>
    <x v="3"/>
    <x v="3"/>
    <s v="M00000339072"/>
    <d v="2008-02-14T00:00:00"/>
    <n v="0"/>
    <n v="88.26"/>
    <n v="1379"/>
    <n v="620.54999999999995"/>
    <x v="0"/>
    <s v="25"/>
    <s v="1379"/>
    <n v="25"/>
    <n v="1"/>
    <n v="0.04"/>
  </r>
  <r>
    <x v="0"/>
    <x v="3"/>
    <x v="3"/>
    <s v="M00000340671"/>
    <d v="2008-03-06T00:00:00"/>
    <n v="0"/>
    <n v="90.88"/>
    <n v="1970"/>
    <n v="639"/>
    <x v="0"/>
    <s v="25"/>
    <s v="1970"/>
    <n v="25"/>
    <n v="1"/>
    <n v="0.04"/>
  </r>
  <r>
    <x v="0"/>
    <x v="3"/>
    <x v="3"/>
    <s v="M00000340756"/>
    <d v="2008-02-21T00:00:00"/>
    <n v="0"/>
    <n v="57.6"/>
    <n v="810"/>
    <n v="405"/>
    <x v="0"/>
    <s v="25"/>
    <s v="810"/>
    <n v="25"/>
    <n v="1"/>
    <n v="0.04"/>
  </r>
  <r>
    <x v="0"/>
    <x v="3"/>
    <x v="3"/>
    <s v="M00000341745"/>
    <d v="2008-03-27T00:00:00"/>
    <n v="0"/>
    <n v="15.36"/>
    <n v="240"/>
    <n v="108"/>
    <x v="0"/>
    <s v="25"/>
    <s v="240"/>
    <n v="25"/>
    <n v="1"/>
    <n v="0.04"/>
  </r>
  <r>
    <x v="0"/>
    <x v="3"/>
    <x v="3"/>
    <s v="M00000342559"/>
    <d v="2008-02-29T00:00:00"/>
    <n v="0"/>
    <n v="46.46"/>
    <n v="1033"/>
    <n v="326.7"/>
    <x v="0"/>
    <s v="25"/>
    <s v="1033"/>
    <n v="25"/>
    <n v="1"/>
    <n v="0.04"/>
  </r>
  <r>
    <x v="0"/>
    <x v="3"/>
    <x v="3"/>
    <s v="M00000343528"/>
    <d v="2008-03-06T00:00:00"/>
    <n v="0"/>
    <n v="31.1"/>
    <n v="486"/>
    <n v="218.7"/>
    <x v="0"/>
    <s v="25"/>
    <s v="486"/>
    <n v="25"/>
    <n v="1"/>
    <n v="0.04"/>
  </r>
  <r>
    <x v="0"/>
    <x v="3"/>
    <x v="3"/>
    <s v="M00000344993"/>
    <d v="2008-03-13T00:00:00"/>
    <n v="0"/>
    <n v="88.51"/>
    <n v="1370"/>
    <n v="622.35"/>
    <x v="0"/>
    <s v="25"/>
    <s v="1370"/>
    <n v="25"/>
    <n v="1"/>
    <n v="0.04"/>
  </r>
  <r>
    <x v="0"/>
    <x v="3"/>
    <x v="3"/>
    <s v="M00000346539"/>
    <d v="2008-03-27T00:00:00"/>
    <n v="0"/>
    <n v="102.4"/>
    <n v="1600"/>
    <n v="720"/>
    <x v="0"/>
    <s v="25"/>
    <s v="1600"/>
    <n v="25"/>
    <n v="1"/>
    <n v="0.04"/>
  </r>
  <r>
    <x v="0"/>
    <x v="3"/>
    <x v="3"/>
    <s v="M00000349536"/>
    <d v="2008-04-24T00:00:00"/>
    <n v="0"/>
    <n v="32"/>
    <n v="500"/>
    <n v="225"/>
    <x v="0"/>
    <s v="25"/>
    <s v="500"/>
    <n v="25"/>
    <n v="1"/>
    <n v="0.04"/>
  </r>
  <r>
    <x v="0"/>
    <x v="3"/>
    <x v="3"/>
    <s v="M00000349624"/>
    <d v="2008-05-08T00:00:00"/>
    <n v="0"/>
    <n v="92.8"/>
    <n v="1450"/>
    <n v="652.5"/>
    <x v="0"/>
    <s v="25"/>
    <s v="1450"/>
    <n v="25"/>
    <n v="1"/>
    <n v="0.04"/>
  </r>
  <r>
    <x v="0"/>
    <x v="3"/>
    <x v="3"/>
    <s v="M00000351074"/>
    <d v="2008-04-03T00:00:00"/>
    <n v="0"/>
    <n v="131.07"/>
    <n v="2048"/>
    <n v="921.6"/>
    <x v="0"/>
    <s v="25"/>
    <s v="2048"/>
    <n v="25"/>
    <n v="1"/>
    <n v="0.04"/>
  </r>
  <r>
    <x v="0"/>
    <x v="3"/>
    <x v="3"/>
    <s v="M00000355542"/>
    <d v="2008-04-24T00:00:00"/>
    <n v="0"/>
    <n v="32"/>
    <n v="500"/>
    <n v="225"/>
    <x v="0"/>
    <s v="25"/>
    <s v="500"/>
    <n v="25"/>
    <n v="1"/>
    <n v="0.04"/>
  </r>
  <r>
    <x v="0"/>
    <x v="3"/>
    <x v="3"/>
    <s v="M00000355729"/>
    <d v="2008-04-24T00:00:00"/>
    <n v="0"/>
    <n v="51.2"/>
    <n v="800"/>
    <n v="360"/>
    <x v="0"/>
    <s v="25"/>
    <s v="800"/>
    <n v="25"/>
    <n v="1"/>
    <n v="0.04"/>
  </r>
  <r>
    <x v="0"/>
    <x v="3"/>
    <x v="3"/>
    <s v="M00000359860"/>
    <d v="2008-05-15T00:00:00"/>
    <n v="0"/>
    <n v="134.4"/>
    <n v="2100"/>
    <n v="945"/>
    <x v="0"/>
    <s v="25"/>
    <s v="2100"/>
    <n v="25"/>
    <n v="1"/>
    <n v="0.04"/>
  </r>
  <r>
    <x v="0"/>
    <x v="3"/>
    <x v="3"/>
    <s v="M00000374590"/>
    <d v="2008-07-10T00:00:00"/>
    <n v="0"/>
    <n v="4.0999999999999996"/>
    <n v="64"/>
    <n v="28.8"/>
    <x v="0"/>
    <s v="25"/>
    <s v="64"/>
    <n v="25"/>
    <n v="1"/>
    <n v="0.04"/>
  </r>
  <r>
    <x v="0"/>
    <x v="3"/>
    <x v="3"/>
    <s v="M00000367271"/>
    <d v="2008-06-19T00:00:00"/>
    <n v="0"/>
    <n v="106.24"/>
    <n v="1995"/>
    <n v="747"/>
    <x v="0"/>
    <s v="30"/>
    <s v="1660"/>
    <n v="30"/>
    <n v="1.2018072289156627"/>
    <n v="4.0060240963855423E-2"/>
  </r>
  <r>
    <x v="0"/>
    <x v="3"/>
    <x v="3"/>
    <s v="M00000361695"/>
    <d v="2008-05-22T00:00:00"/>
    <n v="0"/>
    <n v="112.19"/>
    <n v="1757"/>
    <n v="788.85"/>
    <x v="0"/>
    <s v="25"/>
    <s v="1753"/>
    <n v="25"/>
    <n v="1.002281802624073"/>
    <n v="4.0091272104962918E-2"/>
  </r>
  <r>
    <x v="0"/>
    <x v="3"/>
    <x v="3"/>
    <s v="M00000334584"/>
    <d v="2008-01-24T00:00:00"/>
    <n v="0"/>
    <n v="75.900000000000006"/>
    <n v="1427"/>
    <n v="533.70000000000005"/>
    <x v="0"/>
    <s v="30"/>
    <s v="1186"/>
    <n v="30"/>
    <n v="1.203204047217538"/>
    <n v="4.0106801573917931E-2"/>
  </r>
  <r>
    <x v="0"/>
    <x v="3"/>
    <x v="3"/>
    <s v="M00000320162"/>
    <d v="2007-12-13T00:00:00"/>
    <n v="0"/>
    <n v="73.22"/>
    <n v="1150"/>
    <n v="514.79999999999995"/>
    <x v="0"/>
    <s v="25"/>
    <s v="1144"/>
    <n v="25"/>
    <n v="1.0052447552447552"/>
    <n v="4.0209790209790208E-2"/>
  </r>
  <r>
    <x v="0"/>
    <x v="3"/>
    <x v="3"/>
    <s v="M00000327693"/>
    <d v="2007-12-31T00:00:00"/>
    <n v="0"/>
    <n v="58.88"/>
    <n v="925"/>
    <n v="414"/>
    <x v="0"/>
    <s v="25"/>
    <s v="920"/>
    <n v="25"/>
    <n v="1.0054347826086956"/>
    <n v="4.0217391304347823E-2"/>
  </r>
  <r>
    <x v="0"/>
    <x v="3"/>
    <x v="3"/>
    <s v="M00000367202"/>
    <d v="2008-06-12T00:00:00"/>
    <n v="0"/>
    <n v="59.65"/>
    <n v="939"/>
    <n v="419.4"/>
    <x v="0"/>
    <s v="25"/>
    <s v="932"/>
    <n v="25"/>
    <n v="1.007510729613734"/>
    <n v="4.0300429184549361E-2"/>
  </r>
  <r>
    <x v="0"/>
    <x v="3"/>
    <x v="3"/>
    <s v="M00000334152"/>
    <d v="2008-01-24T00:00:00"/>
    <n v="0"/>
    <n v="118.4"/>
    <n v="2242"/>
    <n v="832.5"/>
    <x v="0"/>
    <s v="30"/>
    <s v="1850"/>
    <n v="30"/>
    <n v="1.2118918918918919"/>
    <n v="4.0396396396396396E-2"/>
  </r>
  <r>
    <x v="0"/>
    <x v="3"/>
    <x v="3"/>
    <s v="M00000351628"/>
    <d v="2008-04-03T00:00:00"/>
    <n v="0"/>
    <n v="119.68"/>
    <n v="1890"/>
    <n v="841.5"/>
    <x v="0"/>
    <s v="25"/>
    <s v="1870"/>
    <n v="25"/>
    <n v="1.0106951871657754"/>
    <n v="4.0427807486631016E-2"/>
  </r>
  <r>
    <x v="0"/>
    <x v="3"/>
    <x v="3"/>
    <s v="M00000347528"/>
    <d v="2008-03-20T00:00:00"/>
    <n v="0"/>
    <n v="67.78"/>
    <n v="1073"/>
    <n v="476.55"/>
    <x v="0"/>
    <s v="25"/>
    <s v="1059"/>
    <n v="25"/>
    <n v="1.0132200188857412"/>
    <n v="4.0528800755429646E-2"/>
  </r>
  <r>
    <x v="0"/>
    <x v="3"/>
    <x v="3"/>
    <s v="M00000334385"/>
    <d v="2008-02-14T00:00:00"/>
    <n v="0"/>
    <n v="94.72"/>
    <n v="1502"/>
    <n v="666"/>
    <x v="0"/>
    <s v="25"/>
    <s v="1480"/>
    <n v="25"/>
    <n v="1.0148648648648648"/>
    <n v="4.0594594594594594E-2"/>
  </r>
  <r>
    <x v="0"/>
    <x v="3"/>
    <x v="3"/>
    <s v="M00000318405"/>
    <d v="2007-12-06T00:00:00"/>
    <n v="0"/>
    <n v="66.56"/>
    <n v="1056"/>
    <n v="468"/>
    <x v="0"/>
    <s v="25"/>
    <s v="1040"/>
    <n v="25"/>
    <n v="1.0153846153846153"/>
    <n v="4.0615384615384616E-2"/>
  </r>
  <r>
    <x v="0"/>
    <x v="3"/>
    <x v="3"/>
    <s v="M00000318817"/>
    <d v="2008-01-31T00:00:00"/>
    <n v="0"/>
    <n v="49.6"/>
    <n v="790"/>
    <n v="348.75"/>
    <x v="0"/>
    <s v="25"/>
    <s v="775"/>
    <n v="25"/>
    <n v="1.0193548387096774"/>
    <n v="4.0774193548387093E-2"/>
  </r>
  <r>
    <x v="0"/>
    <x v="3"/>
    <x v="3"/>
    <s v="M00000303253"/>
    <d v="2007-10-11T00:00:00"/>
    <n v="0"/>
    <n v="32"/>
    <n v="510"/>
    <n v="225"/>
    <x v="0"/>
    <s v="25"/>
    <s v="500"/>
    <n v="25"/>
    <n v="1.02"/>
    <n v="4.0800000000000003E-2"/>
  </r>
  <r>
    <x v="0"/>
    <x v="3"/>
    <x v="3"/>
    <s v="M00000358292"/>
    <d v="2008-05-08T00:00:00"/>
    <n v="0"/>
    <n v="83.2"/>
    <n v="1326"/>
    <n v="585"/>
    <x v="0"/>
    <s v="25"/>
    <s v="1300"/>
    <n v="25"/>
    <n v="1.02"/>
    <n v="4.0800000000000003E-2"/>
  </r>
  <r>
    <x v="0"/>
    <x v="3"/>
    <x v="3"/>
    <s v="M00000341516"/>
    <d v="2008-02-29T00:00:00"/>
    <n v="0"/>
    <n v="81.34"/>
    <n v="1300"/>
    <n v="571.95000000000005"/>
    <x v="0"/>
    <s v="25"/>
    <s v="1271"/>
    <n v="25"/>
    <n v="1.0228166797797009"/>
    <n v="4.0912667191188037E-2"/>
  </r>
  <r>
    <x v="0"/>
    <x v="3"/>
    <x v="3"/>
    <s v="M00000311865"/>
    <d v="2007-11-15T00:00:00"/>
    <n v="0"/>
    <n v="109.44"/>
    <n v="1750.01"/>
    <n v="769.5"/>
    <x v="0"/>
    <s v="25"/>
    <s v="1710"/>
    <n v="25"/>
    <n v="1.0233976608187134"/>
    <n v="4.0935906432748539E-2"/>
  </r>
  <r>
    <x v="0"/>
    <x v="3"/>
    <x v="3"/>
    <s v="M00000296111"/>
    <d v="2007-09-06T00:00:00"/>
    <n v="0"/>
    <n v="102.4"/>
    <n v="1640"/>
    <n v="720"/>
    <x v="0"/>
    <s v="25"/>
    <s v="1600"/>
    <n v="25"/>
    <n v="1.0249999999999999"/>
    <n v="4.0999999999999995E-2"/>
  </r>
  <r>
    <x v="0"/>
    <x v="3"/>
    <x v="3"/>
    <s v="M00000292691"/>
    <d v="2007-08-23T00:00:00"/>
    <n v="0"/>
    <n v="38.4"/>
    <n v="616.98"/>
    <n v="270"/>
    <x v="0"/>
    <s v="25"/>
    <s v="600"/>
    <n v="25"/>
    <n v="1.0283"/>
    <n v="4.1132000000000002E-2"/>
  </r>
  <r>
    <x v="0"/>
    <x v="3"/>
    <x v="3"/>
    <s v="M00000278384"/>
    <d v="2007-06-21T00:00:00"/>
    <n v="0"/>
    <n v="82.88"/>
    <n v="1605.02"/>
    <n v="582.75"/>
    <x v="0"/>
    <s v="30"/>
    <s v="1295"/>
    <n v="30"/>
    <n v="1.2393976833976834"/>
    <n v="4.1313256113256112E-2"/>
  </r>
  <r>
    <x v="0"/>
    <x v="3"/>
    <x v="3"/>
    <s v="M00000337042"/>
    <d v="2008-02-07T00:00:00"/>
    <n v="0"/>
    <n v="94.98"/>
    <n v="1537"/>
    <n v="667.8"/>
    <x v="0"/>
    <s v="25"/>
    <s v="1484"/>
    <n v="25"/>
    <n v="1.0357142857142858"/>
    <n v="4.1428571428571433E-2"/>
  </r>
  <r>
    <x v="0"/>
    <x v="3"/>
    <x v="3"/>
    <s v="M00000310550"/>
    <d v="2007-11-09T00:00:00"/>
    <n v="0"/>
    <n v="73.73"/>
    <n v="2090"/>
    <n v="518.4"/>
    <x v="0"/>
    <s v="25"/>
    <s v="2016"/>
    <n v="25"/>
    <n v="1.0367063492063493"/>
    <n v="4.1468253968253974E-2"/>
  </r>
  <r>
    <x v="0"/>
    <x v="3"/>
    <x v="3"/>
    <s v="M00000344091"/>
    <d v="2008-03-13T00:00:00"/>
    <n v="0"/>
    <n v="81.92"/>
    <n v="1330"/>
    <n v="576"/>
    <x v="0"/>
    <s v="25"/>
    <s v="1280"/>
    <n v="25"/>
    <n v="1.0390625"/>
    <n v="4.1562500000000002E-2"/>
  </r>
  <r>
    <x v="0"/>
    <x v="3"/>
    <x v="3"/>
    <s v="M00000341954"/>
    <d v="2008-02-29T00:00:00"/>
    <n v="0"/>
    <n v="14.98"/>
    <n v="185"/>
    <n v="105.3"/>
    <x v="0"/>
    <s v="19"/>
    <s v="234"/>
    <n v="19"/>
    <n v="0.79059829059829057"/>
    <n v="4.161043634727845E-2"/>
  </r>
  <r>
    <x v="0"/>
    <x v="3"/>
    <x v="3"/>
    <s v="M00000353536"/>
    <d v="2008-04-17T00:00:00"/>
    <n v="0"/>
    <n v="35.840000000000003"/>
    <n v="700"/>
    <n v="252"/>
    <x v="0"/>
    <s v="30"/>
    <s v="560"/>
    <n v="30"/>
    <n v="1.25"/>
    <n v="4.1666666666666664E-2"/>
  </r>
  <r>
    <x v="0"/>
    <x v="3"/>
    <x v="3"/>
    <s v="M00000366860"/>
    <d v="2008-06-12T00:00:00"/>
    <n v="0"/>
    <n v="43.01"/>
    <n v="700"/>
    <n v="302.39999999999998"/>
    <x v="0"/>
    <s v="25"/>
    <s v="672"/>
    <n v="25"/>
    <n v="1.0416666666666667"/>
    <n v="4.1666666666666671E-2"/>
  </r>
  <r>
    <x v="0"/>
    <x v="3"/>
    <x v="3"/>
    <s v="M00000334529"/>
    <d v="2008-01-24T00:00:00"/>
    <n v="0"/>
    <n v="204.8"/>
    <n v="3340"/>
    <n v="1440"/>
    <x v="0"/>
    <s v="25"/>
    <s v="3200"/>
    <n v="25"/>
    <n v="1.04375"/>
    <n v="4.1749999999999995E-2"/>
  </r>
  <r>
    <x v="0"/>
    <x v="3"/>
    <x v="3"/>
    <s v="M00000315467"/>
    <d v="2007-11-29T00:00:00"/>
    <n v="0"/>
    <n v="110.91"/>
    <n v="1810"/>
    <n v="779.85"/>
    <x v="0"/>
    <s v="25"/>
    <s v="1733"/>
    <n v="25"/>
    <n v="1.0444316214656664"/>
    <n v="4.1777264858626657E-2"/>
  </r>
  <r>
    <x v="0"/>
    <x v="3"/>
    <x v="3"/>
    <s v="M00000323912"/>
    <d v="2007-12-20T00:00:00"/>
    <n v="0"/>
    <n v="112"/>
    <n v="1830"/>
    <n v="787.5"/>
    <x v="0"/>
    <s v="25"/>
    <s v="1750"/>
    <n v="25"/>
    <n v="1.0457142857142858"/>
    <n v="4.182857142857143E-2"/>
  </r>
  <r>
    <x v="0"/>
    <x v="3"/>
    <x v="3"/>
    <s v="M00000323876"/>
    <d v="2007-12-20T00:00:00"/>
    <n v="0"/>
    <n v="87.04"/>
    <n v="1425"/>
    <n v="612"/>
    <x v="0"/>
    <s v="25"/>
    <s v="1360"/>
    <n v="25"/>
    <n v="1.0477941176470589"/>
    <n v="4.1911764705882357E-2"/>
  </r>
  <r>
    <x v="0"/>
    <x v="3"/>
    <x v="3"/>
    <s v="M00000277098"/>
    <d v="2007-06-14T00:00:00"/>
    <n v="0"/>
    <n v="31.81"/>
    <n v="521.01"/>
    <n v="223.65"/>
    <x v="0"/>
    <s v="25"/>
    <s v="497"/>
    <n v="25"/>
    <n v="1.0483098591549296"/>
    <n v="4.1932394366197182E-2"/>
  </r>
  <r>
    <x v="0"/>
    <x v="3"/>
    <x v="3"/>
    <s v="M00000360321"/>
    <d v="2008-05-15T00:00:00"/>
    <n v="0"/>
    <n v="105.6"/>
    <n v="1732"/>
    <n v="742.5"/>
    <x v="0"/>
    <s v="25"/>
    <s v="1650"/>
    <n v="25"/>
    <n v="1.0496969696969698"/>
    <n v="4.1987878787878789E-2"/>
  </r>
  <r>
    <x v="0"/>
    <x v="3"/>
    <x v="3"/>
    <s v="M00000309058"/>
    <d v="2007-12-27T00:00:00"/>
    <n v="0"/>
    <n v="102.4"/>
    <n v="1680"/>
    <n v="720"/>
    <x v="0"/>
    <s v="25"/>
    <s v="1600"/>
    <n v="25"/>
    <n v="1.05"/>
    <n v="4.2000000000000003E-2"/>
  </r>
  <r>
    <x v="0"/>
    <x v="3"/>
    <x v="3"/>
    <s v="M00000324033"/>
    <d v="2007-12-20T00:00:00"/>
    <n v="0"/>
    <n v="70.400000000000006"/>
    <n v="1160"/>
    <n v="495"/>
    <x v="0"/>
    <s v="25"/>
    <s v="1100"/>
    <n v="25"/>
    <n v="1.0545454545454545"/>
    <n v="4.2181818181818181E-2"/>
  </r>
  <r>
    <x v="0"/>
    <x v="3"/>
    <x v="3"/>
    <s v="M00000313453"/>
    <d v="2007-11-15T00:00:00"/>
    <n v="0"/>
    <n v="63.23"/>
    <n v="1043"/>
    <n v="444.6"/>
    <x v="0"/>
    <s v="25"/>
    <s v="988"/>
    <n v="25"/>
    <n v="1.0556680161943319"/>
    <n v="4.2226720647773275E-2"/>
  </r>
  <r>
    <x v="0"/>
    <x v="3"/>
    <x v="3"/>
    <s v="M00000335705"/>
    <d v="2008-02-14T00:00:00"/>
    <n v="0"/>
    <n v="91.39"/>
    <n v="1512"/>
    <n v="642.6"/>
    <x v="0"/>
    <s v="25"/>
    <s v="1428"/>
    <n v="25"/>
    <n v="1.0588235294117647"/>
    <n v="4.2352941176470586E-2"/>
  </r>
  <r>
    <x v="0"/>
    <x v="3"/>
    <x v="3"/>
    <s v="M00000337038"/>
    <d v="2008-02-07T00:00:00"/>
    <n v="0"/>
    <n v="79.87"/>
    <n v="1323"/>
    <n v="561.6"/>
    <x v="0"/>
    <s v="25"/>
    <s v="1248"/>
    <n v="25"/>
    <n v="1.0600961538461537"/>
    <n v="4.2403846153846153E-2"/>
  </r>
  <r>
    <x v="0"/>
    <x v="3"/>
    <x v="3"/>
    <s v="M00000354846"/>
    <d v="2008-04-24T00:00:00"/>
    <n v="0"/>
    <n v="102.14"/>
    <n v="2033"/>
    <n v="718.2"/>
    <x v="0"/>
    <s v="30"/>
    <s v="1596"/>
    <n v="30"/>
    <n v="1.2738095238095237"/>
    <n v="4.2460317460317455E-2"/>
  </r>
  <r>
    <x v="0"/>
    <x v="3"/>
    <x v="3"/>
    <s v="M00000343536"/>
    <d v="2008-03-06T00:00:00"/>
    <n v="0"/>
    <n v="76.8"/>
    <n v="1275"/>
    <n v="540"/>
    <x v="0"/>
    <s v="25"/>
    <s v="1200"/>
    <n v="25"/>
    <n v="1.0625"/>
    <n v="4.2500000000000003E-2"/>
  </r>
  <r>
    <x v="0"/>
    <x v="3"/>
    <x v="3"/>
    <s v="M00000325088"/>
    <d v="2007-12-27T00:00:00"/>
    <n v="0"/>
    <n v="95.36"/>
    <n v="1585"/>
    <n v="670.5"/>
    <x v="0"/>
    <s v="25"/>
    <s v="1490"/>
    <n v="25"/>
    <n v="1.063758389261745"/>
    <n v="4.2550335570469805E-2"/>
  </r>
  <r>
    <x v="0"/>
    <x v="3"/>
    <x v="3"/>
    <s v="M00000334388"/>
    <d v="2008-01-24T00:00:00"/>
    <n v="0"/>
    <n v="78.08"/>
    <n v="1281"/>
    <n v="549"/>
    <x v="0"/>
    <s v="25"/>
    <s v="1200"/>
    <n v="25"/>
    <n v="1.0674999999999999"/>
    <n v="4.2699999999999995E-2"/>
  </r>
  <r>
    <x v="0"/>
    <x v="3"/>
    <x v="3"/>
    <s v="M00000333182"/>
    <d v="2008-01-17T00:00:00"/>
    <n v="0"/>
    <n v="92.16"/>
    <n v="1540"/>
    <n v="648"/>
    <x v="0"/>
    <s v="25"/>
    <s v="1440"/>
    <n v="25"/>
    <n v="1.0694444444444444"/>
    <n v="4.2777777777777776E-2"/>
  </r>
  <r>
    <x v="0"/>
    <x v="3"/>
    <x v="3"/>
    <s v="M00000335670"/>
    <d v="2008-01-31T00:00:00"/>
    <n v="0"/>
    <n v="119.04"/>
    <n v="1992"/>
    <n v="837"/>
    <x v="0"/>
    <s v="25"/>
    <s v="1860"/>
    <n v="25"/>
    <n v="1.0709677419354839"/>
    <n v="4.2838709677419359E-2"/>
  </r>
  <r>
    <x v="0"/>
    <x v="3"/>
    <x v="3"/>
    <s v="M00000341091"/>
    <d v="2008-02-29T00:00:00"/>
    <n v="0"/>
    <n v="84.93"/>
    <n v="1194"/>
    <n v="597.15"/>
    <x v="0"/>
    <s v="21"/>
    <s v="1327"/>
    <n v="21"/>
    <n v="0.8997739261492087"/>
    <n v="4.2846377435676604E-2"/>
  </r>
  <r>
    <x v="0"/>
    <x v="3"/>
    <x v="3"/>
    <s v="M00000356776"/>
    <d v="2008-04-30T00:00:00"/>
    <n v="0"/>
    <n v="74.75"/>
    <n v="1052"/>
    <n v="525.6"/>
    <x v="0"/>
    <s v="21"/>
    <s v="1168"/>
    <n v="21"/>
    <n v="0.90068493150684936"/>
    <n v="4.2889758643183305E-2"/>
  </r>
  <r>
    <x v="0"/>
    <x v="3"/>
    <x v="3"/>
    <s v="M00000276327"/>
    <d v="2007-06-14T00:00:00"/>
    <n v="0"/>
    <n v="83.2"/>
    <n v="1395.03"/>
    <n v="585"/>
    <x v="0"/>
    <s v="25"/>
    <s v="1300"/>
    <n v="25"/>
    <n v="1.0730999999999999"/>
    <n v="4.2923999999999997E-2"/>
  </r>
  <r>
    <x v="0"/>
    <x v="3"/>
    <x v="3"/>
    <s v="M00000347463"/>
    <d v="2008-03-20T00:00:00"/>
    <n v="0"/>
    <n v="65.599999999999994"/>
    <n v="1100"/>
    <n v="461.25"/>
    <x v="0"/>
    <s v="25"/>
    <s v="1025"/>
    <n v="25"/>
    <n v="1.0731707317073171"/>
    <n v="4.2926829268292686E-2"/>
  </r>
  <r>
    <x v="0"/>
    <x v="3"/>
    <x v="3"/>
    <s v="M00000370396"/>
    <d v="2008-06-26T00:00:00"/>
    <n v="0"/>
    <n v="89.09"/>
    <n v="1495"/>
    <n v="626.4"/>
    <x v="0"/>
    <s v="25"/>
    <s v="1392"/>
    <n v="25"/>
    <n v="1.0739942528735633"/>
    <n v="4.2959770114942536E-2"/>
  </r>
  <r>
    <x v="0"/>
    <x v="3"/>
    <x v="3"/>
    <s v="M00000281198"/>
    <d v="2007-08-23T00:00:00"/>
    <n v="0"/>
    <n v="62.08"/>
    <n v="1044.98"/>
    <n v="436.5"/>
    <x v="0"/>
    <s v="25"/>
    <s v="970"/>
    <n v="25"/>
    <n v="1.077298969072165"/>
    <n v="4.3091958762886601E-2"/>
  </r>
  <r>
    <x v="0"/>
    <x v="3"/>
    <x v="3"/>
    <s v="M00000340210"/>
    <d v="2008-02-14T00:00:00"/>
    <n v="0"/>
    <n v="98.56"/>
    <n v="1660"/>
    <n v="693"/>
    <x v="0"/>
    <s v="25"/>
    <s v="1540"/>
    <n v="25"/>
    <n v="1.0779220779220779"/>
    <n v="4.3116883116883116E-2"/>
  </r>
  <r>
    <x v="0"/>
    <x v="3"/>
    <x v="3"/>
    <s v="M00000343535"/>
    <d v="2008-03-27T00:00:00"/>
    <n v="0"/>
    <n v="78.59"/>
    <n v="1116"/>
    <n v="552.6"/>
    <x v="0"/>
    <s v="21"/>
    <s v="1228"/>
    <n v="21"/>
    <n v="0.90879478827361559"/>
    <n v="4.3275942298743597E-2"/>
  </r>
  <r>
    <x v="0"/>
    <x v="3"/>
    <x v="3"/>
    <s v="M00000276572"/>
    <d v="2007-06-14T00:00:00"/>
    <n v="0"/>
    <n v="46.66"/>
    <n v="790.97"/>
    <n v="328.05"/>
    <x v="0"/>
    <s v="25"/>
    <s v="729"/>
    <n v="25"/>
    <n v="1.0850068587105623"/>
    <n v="4.3400274348422495E-2"/>
  </r>
  <r>
    <x v="0"/>
    <x v="3"/>
    <x v="3"/>
    <s v="M00000346006"/>
    <d v="2008-04-17T00:00:00"/>
    <n v="0"/>
    <n v="77.12"/>
    <n v="1569.05"/>
    <n v="542.25"/>
    <x v="0"/>
    <s v="30"/>
    <s v="1205"/>
    <n v="30"/>
    <n v="1.302116182572614"/>
    <n v="4.3403872752420462E-2"/>
  </r>
  <r>
    <x v="0"/>
    <x v="3"/>
    <x v="3"/>
    <s v="M00000301797"/>
    <d v="2007-09-28T00:00:00"/>
    <n v="0"/>
    <n v="42.62"/>
    <n v="1100"/>
    <n v="299.7"/>
    <x v="0"/>
    <s v="38"/>
    <s v="666"/>
    <n v="38"/>
    <n v="1.6516516516516517"/>
    <n v="4.3464517148727677E-2"/>
  </r>
  <r>
    <x v="0"/>
    <x v="3"/>
    <x v="3"/>
    <s v="M00000353447"/>
    <d v="2008-04-17T00:00:00"/>
    <n v="0"/>
    <n v="116.8"/>
    <n v="1985"/>
    <n v="821.25"/>
    <x v="0"/>
    <s v="25"/>
    <s v="1825"/>
    <n v="25"/>
    <n v="1.0876712328767124"/>
    <n v="4.3506849315068499E-2"/>
  </r>
  <r>
    <x v="0"/>
    <x v="3"/>
    <x v="3"/>
    <s v="M00000332600"/>
    <d v="2007-12-31T00:00:00"/>
    <n v="0"/>
    <n v="23.3"/>
    <n v="396"/>
    <n v="163.80000000000001"/>
    <x v="0"/>
    <s v="25"/>
    <s v="364"/>
    <n v="25"/>
    <n v="1.0879120879120878"/>
    <n v="4.351648351648351E-2"/>
  </r>
  <r>
    <x v="0"/>
    <x v="3"/>
    <x v="3"/>
    <s v="M00000278197"/>
    <d v="2007-08-16T00:00:00"/>
    <n v="0"/>
    <n v="121.73"/>
    <n v="2069.9499999999998"/>
    <n v="855.9"/>
    <x v="0"/>
    <s v="25"/>
    <s v="1902"/>
    <n v="25"/>
    <n v="1.0883017875920082"/>
    <n v="4.3532071503680332E-2"/>
  </r>
  <r>
    <x v="0"/>
    <x v="3"/>
    <x v="3"/>
    <s v="M00000293500"/>
    <d v="2007-09-14T00:00:00"/>
    <n v="0"/>
    <n v="73.599999999999994"/>
    <n v="1253.04"/>
    <n v="517.5"/>
    <x v="0"/>
    <s v="25"/>
    <s v="1150"/>
    <n v="25"/>
    <n v="1.0895999999999999"/>
    <n v="4.3583999999999998E-2"/>
  </r>
  <r>
    <x v="0"/>
    <x v="3"/>
    <x v="3"/>
    <s v="M00000372702"/>
    <d v="2008-07-03T00:00:00"/>
    <n v="0"/>
    <n v="6.34"/>
    <n v="108"/>
    <n v="44.55"/>
    <x v="0"/>
    <s v="25"/>
    <s v="99"/>
    <n v="25"/>
    <n v="1.0909090909090908"/>
    <n v="4.3636363636363633E-2"/>
  </r>
  <r>
    <x v="0"/>
    <x v="3"/>
    <x v="3"/>
    <s v="M00000300926"/>
    <d v="2007-09-27T00:00:00"/>
    <n v="0"/>
    <n v="76.8"/>
    <n v="1310"/>
    <n v="540"/>
    <x v="0"/>
    <s v="25"/>
    <s v="1200"/>
    <n v="25"/>
    <n v="1.0916666666666666"/>
    <n v="4.3666666666666659E-2"/>
  </r>
  <r>
    <x v="0"/>
    <x v="3"/>
    <x v="3"/>
    <s v="M00000313263"/>
    <d v="2007-11-15T00:00:00"/>
    <n v="0"/>
    <n v="65.92"/>
    <n v="1125"/>
    <n v="463.5"/>
    <x v="0"/>
    <s v="25"/>
    <s v="1030"/>
    <n v="25"/>
    <n v="1.0922330097087378"/>
    <n v="4.3689320388349516E-2"/>
  </r>
  <r>
    <x v="0"/>
    <x v="3"/>
    <x v="3"/>
    <s v="M00000313093"/>
    <d v="2007-12-20T00:00:00"/>
    <n v="0"/>
    <n v="81.41"/>
    <n v="1390"/>
    <n v="572.4"/>
    <x v="0"/>
    <s v="25"/>
    <s v="1272"/>
    <n v="25"/>
    <n v="1.0927672955974843"/>
    <n v="4.3710691823899375E-2"/>
  </r>
  <r>
    <x v="0"/>
    <x v="3"/>
    <x v="3"/>
    <s v="M00000283363"/>
    <d v="2007-07-12T00:00:00"/>
    <n v="0"/>
    <n v="29.95"/>
    <n v="511.99"/>
    <n v="210.6"/>
    <x v="0"/>
    <s v="25"/>
    <s v="468"/>
    <n v="25"/>
    <n v="1.0939957264957265"/>
    <n v="4.3759829059829058E-2"/>
  </r>
  <r>
    <x v="0"/>
    <x v="3"/>
    <x v="3"/>
    <s v="M00000342068"/>
    <d v="2008-04-03T00:00:00"/>
    <n v="0"/>
    <n v="101.95"/>
    <n v="1745"/>
    <n v="716.85"/>
    <x v="0"/>
    <s v="25"/>
    <s v="1593"/>
    <n v="25"/>
    <n v="1.0954174513496548"/>
    <n v="4.3816698053986192E-2"/>
  </r>
  <r>
    <x v="0"/>
    <x v="3"/>
    <x v="3"/>
    <s v="M00000273066"/>
    <d v="2007-05-24T00:00:00"/>
    <n v="0"/>
    <n v="103.3"/>
    <n v="1770.07"/>
    <n v="726.3"/>
    <x v="0"/>
    <s v="25"/>
    <s v="1614"/>
    <n v="25"/>
    <n v="1.0966976456009914"/>
    <n v="4.3867905824039655E-2"/>
  </r>
  <r>
    <x v="0"/>
    <x v="3"/>
    <x v="3"/>
    <s v="M00000301902"/>
    <d v="2007-10-04T00:00:00"/>
    <n v="0"/>
    <n v="58.37"/>
    <n v="1521"/>
    <n v="410.4"/>
    <x v="0"/>
    <s v="38"/>
    <s v="912"/>
    <n v="38"/>
    <n v="1.6677631578947369"/>
    <n v="4.3888504155124658E-2"/>
  </r>
  <r>
    <x v="0"/>
    <x v="3"/>
    <x v="3"/>
    <s v="M00000329578"/>
    <d v="2008-02-07T00:00:00"/>
    <n v="0"/>
    <n v="100.99"/>
    <n v="1735"/>
    <n v="710.1"/>
    <x v="0"/>
    <s v="25"/>
    <s v="1578"/>
    <n v="25"/>
    <n v="1.0994930291508238"/>
    <n v="4.3979721166032951E-2"/>
  </r>
  <r>
    <x v="0"/>
    <x v="3"/>
    <x v="3"/>
    <s v="M00000308689"/>
    <d v="2007-11-01T00:00:00"/>
    <n v="0"/>
    <n v="19.2"/>
    <n v="330"/>
    <n v="135"/>
    <x v="0"/>
    <s v="25"/>
    <s v="300"/>
    <n v="25"/>
    <n v="1.1000000000000001"/>
    <n v="4.4000000000000004E-2"/>
  </r>
  <r>
    <x v="0"/>
    <x v="3"/>
    <x v="3"/>
    <s v="M00000352647"/>
    <d v="2008-04-10T00:00:00"/>
    <n v="0"/>
    <n v="71.680000000000007"/>
    <n v="1232"/>
    <n v="504"/>
    <x v="0"/>
    <s v="25"/>
    <s v="1120"/>
    <n v="25"/>
    <n v="1.1000000000000001"/>
    <n v="4.4000000000000004E-2"/>
  </r>
  <r>
    <x v="0"/>
    <x v="3"/>
    <x v="3"/>
    <s v="M00000361412"/>
    <d v="2008-06-12T00:00:00"/>
    <n v="0"/>
    <n v="165.57"/>
    <n v="2846"/>
    <n v="1164.1500000000001"/>
    <x v="0"/>
    <s v="25"/>
    <s v="2587"/>
    <n v="25"/>
    <n v="1.1001159644375724"/>
    <n v="4.4004638577502898E-2"/>
  </r>
  <r>
    <x v="0"/>
    <x v="3"/>
    <x v="3"/>
    <s v="M00000303239"/>
    <d v="2007-10-25T00:00:00"/>
    <n v="0"/>
    <n v="69.63"/>
    <n v="1199"/>
    <n v="489.6"/>
    <x v="0"/>
    <s v="25"/>
    <s v="1088"/>
    <n v="25"/>
    <n v="1.1020220588235294"/>
    <n v="4.4080882352941178E-2"/>
  </r>
  <r>
    <x v="0"/>
    <x v="3"/>
    <x v="3"/>
    <s v="M00000291468"/>
    <d v="2007-08-16T00:00:00"/>
    <n v="0"/>
    <n v="68.22"/>
    <n v="1179.96"/>
    <n v="479.7"/>
    <x v="0"/>
    <s v="25"/>
    <s v="1066"/>
    <n v="25"/>
    <n v="1.1069043151969982"/>
    <n v="4.4276172607879929E-2"/>
  </r>
  <r>
    <x v="0"/>
    <x v="3"/>
    <x v="3"/>
    <s v="M00000300310"/>
    <d v="2007-09-20T00:00:00"/>
    <n v="0"/>
    <n v="59.52"/>
    <n v="1031"/>
    <n v="418.5"/>
    <x v="0"/>
    <s v="25"/>
    <s v="930"/>
    <n v="25"/>
    <n v="1.1086021505376344"/>
    <n v="4.4344086021505379E-2"/>
  </r>
  <r>
    <x v="0"/>
    <x v="3"/>
    <x v="3"/>
    <s v="M00000347959"/>
    <d v="2008-03-27T00:00:00"/>
    <n v="0"/>
    <n v="58.37"/>
    <n v="1012"/>
    <n v="410.4"/>
    <x v="0"/>
    <s v="25"/>
    <s v="912"/>
    <n v="25"/>
    <n v="1.1096491228070176"/>
    <n v="4.4385964912280702E-2"/>
  </r>
  <r>
    <x v="0"/>
    <x v="3"/>
    <x v="3"/>
    <s v="M00000271350"/>
    <d v="2007-05-17T00:00:00"/>
    <n v="0"/>
    <n v="66.430000000000007"/>
    <n v="1152.18"/>
    <n v="467.1"/>
    <x v="0"/>
    <s v="25"/>
    <s v="1038"/>
    <n v="25"/>
    <n v="1.1100000000000001"/>
    <n v="4.4400000000000002E-2"/>
  </r>
  <r>
    <x v="0"/>
    <x v="3"/>
    <x v="3"/>
    <s v="M00000332221"/>
    <d v="2007-12-31T00:00:00"/>
    <n v="0"/>
    <n v="57.6"/>
    <n v="1000"/>
    <n v="405"/>
    <x v="0"/>
    <s v="25"/>
    <s v="900"/>
    <n v="25"/>
    <n v="1.1111111111111112"/>
    <n v="4.4444444444444446E-2"/>
  </r>
  <r>
    <x v="0"/>
    <x v="3"/>
    <x v="3"/>
    <s v="M00000327853"/>
    <d v="2007-12-31T00:00:00"/>
    <n v="0"/>
    <n v="140.80000000000001"/>
    <n v="2450"/>
    <n v="990"/>
    <x v="0"/>
    <s v="25"/>
    <s v="2200"/>
    <n v="25"/>
    <n v="1.1136363636363635"/>
    <n v="4.4545454545454541E-2"/>
  </r>
  <r>
    <x v="0"/>
    <x v="3"/>
    <x v="3"/>
    <s v="M00000313449"/>
    <d v="2007-11-15T00:00:00"/>
    <n v="0"/>
    <n v="121.6"/>
    <n v="2120"/>
    <n v="855"/>
    <x v="0"/>
    <s v="25"/>
    <s v="1900"/>
    <n v="25"/>
    <n v="1.1157894736842104"/>
    <n v="4.4631578947368418E-2"/>
  </r>
  <r>
    <x v="0"/>
    <x v="3"/>
    <x v="3"/>
    <s v="M00000306914"/>
    <d v="2007-11-15T00:00:00"/>
    <n v="0"/>
    <n v="107.14"/>
    <n v="1870"/>
    <n v="753.3"/>
    <x v="0"/>
    <s v="25"/>
    <s v="1674"/>
    <n v="25"/>
    <n v="1.1170848267622462"/>
    <n v="4.4683393070489845E-2"/>
  </r>
  <r>
    <x v="0"/>
    <x v="3"/>
    <x v="3"/>
    <s v="M00000332304"/>
    <d v="2007-12-31T00:00:00"/>
    <n v="0"/>
    <n v="16.32"/>
    <n v="342"/>
    <n v="114.75"/>
    <x v="0"/>
    <s v="30"/>
    <s v="255"/>
    <n v="30"/>
    <n v="1.3411764705882352"/>
    <n v="4.4705882352941172E-2"/>
  </r>
  <r>
    <x v="0"/>
    <x v="3"/>
    <x v="3"/>
    <s v="M00000333642"/>
    <d v="2008-01-24T00:00:00"/>
    <n v="0"/>
    <n v="212.93"/>
    <n v="3725"/>
    <n v="1497.15"/>
    <x v="0"/>
    <s v="25"/>
    <s v="3327"/>
    <n v="25"/>
    <n v="1.1196272918545236"/>
    <n v="4.4785091674180946E-2"/>
  </r>
  <r>
    <x v="0"/>
    <x v="3"/>
    <x v="3"/>
    <s v="M00000292461"/>
    <d v="2007-08-23T00:00:00"/>
    <n v="0"/>
    <n v="96"/>
    <n v="1680"/>
    <n v="675"/>
    <x v="0"/>
    <s v="25"/>
    <s v="1500"/>
    <n v="25"/>
    <n v="1.1200000000000001"/>
    <n v="4.4800000000000006E-2"/>
  </r>
  <r>
    <x v="0"/>
    <x v="3"/>
    <x v="3"/>
    <s v="M00000301152"/>
    <d v="2007-09-27T00:00:00"/>
    <n v="0"/>
    <n v="7.04"/>
    <n v="148.01"/>
    <n v="49.5"/>
    <x v="0"/>
    <s v="30"/>
    <s v="110"/>
    <n v="30"/>
    <n v="1.3455454545454544"/>
    <n v="4.4851515151515149E-2"/>
  </r>
  <r>
    <x v="0"/>
    <x v="3"/>
    <x v="3"/>
    <s v="M00000309505"/>
    <d v="2007-11-01T00:00:00"/>
    <n v="0"/>
    <n v="89.6"/>
    <n v="1570"/>
    <n v="630"/>
    <x v="0"/>
    <s v="25"/>
    <s v="1400"/>
    <n v="25"/>
    <n v="1.1214285714285714"/>
    <n v="4.4857142857142859E-2"/>
  </r>
  <r>
    <x v="0"/>
    <x v="3"/>
    <x v="3"/>
    <s v="M00000310636"/>
    <d v="2007-11-09T00:00:00"/>
    <n v="0"/>
    <n v="102.4"/>
    <n v="1798"/>
    <n v="720"/>
    <x v="0"/>
    <s v="25"/>
    <s v="1600"/>
    <n v="25"/>
    <n v="1.12375"/>
    <n v="4.4950000000000004E-2"/>
  </r>
  <r>
    <x v="0"/>
    <x v="3"/>
    <x v="3"/>
    <s v="M00000317286"/>
    <d v="2007-11-30T00:00:00"/>
    <n v="0"/>
    <n v="97.28"/>
    <n v="1709"/>
    <n v="684"/>
    <x v="0"/>
    <s v="25"/>
    <s v="1520"/>
    <n v="25"/>
    <n v="1.1243421052631579"/>
    <n v="4.4973684210526318E-2"/>
  </r>
  <r>
    <x v="0"/>
    <x v="3"/>
    <x v="3"/>
    <s v="M00000346604"/>
    <d v="2008-03-13T00:00:00"/>
    <n v="0"/>
    <n v="78.02"/>
    <n v="825"/>
    <n v="548.54999999999995"/>
    <x v="0"/>
    <s v="15"/>
    <s v="1219"/>
    <n v="15"/>
    <n v="0.67678424938474158"/>
    <n v="4.5118949958982774E-2"/>
  </r>
  <r>
    <x v="0"/>
    <x v="3"/>
    <x v="3"/>
    <s v="M00000281987"/>
    <d v="2007-07-06T00:00:00"/>
    <n v="0"/>
    <n v="86.4"/>
    <n v="1524.96"/>
    <n v="607.5"/>
    <x v="0"/>
    <s v="25"/>
    <s v="1350"/>
    <n v="25"/>
    <n v="1.1295999999999999"/>
    <n v="4.5183999999999995E-2"/>
  </r>
  <r>
    <x v="0"/>
    <x v="3"/>
    <x v="3"/>
    <s v="M00000311494"/>
    <d v="2007-11-09T00:00:00"/>
    <n v="0"/>
    <n v="75.39"/>
    <n v="1331"/>
    <n v="530.1"/>
    <x v="0"/>
    <s v="25"/>
    <s v="1178"/>
    <n v="25"/>
    <n v="1.1298811544991512"/>
    <n v="4.5195246179966043E-2"/>
  </r>
  <r>
    <x v="0"/>
    <x v="3"/>
    <x v="3"/>
    <s v="M00000354926"/>
    <d v="2008-04-24T00:00:00"/>
    <n v="0"/>
    <n v="64"/>
    <n v="1130"/>
    <n v="450"/>
    <x v="0"/>
    <s v="25"/>
    <s v="1000"/>
    <n v="25"/>
    <n v="1.1299999999999999"/>
    <n v="4.5199999999999997E-2"/>
  </r>
  <r>
    <x v="0"/>
    <x v="3"/>
    <x v="3"/>
    <s v="M00000268891"/>
    <d v="2007-05-10T00:00:00"/>
    <n v="0"/>
    <n v="8.6999999999999993"/>
    <n v="129.19999999999999"/>
    <n v="61.2"/>
    <x v="0"/>
    <s v="21"/>
    <s v="136"/>
    <n v="21"/>
    <n v="0.95"/>
    <n v="4.5238095238095237E-2"/>
  </r>
  <r>
    <x v="0"/>
    <x v="3"/>
    <x v="3"/>
    <s v="M00000271521"/>
    <d v="2007-05-17T00:00:00"/>
    <n v="0"/>
    <n v="100.22"/>
    <n v="1346.76"/>
    <n v="704.7"/>
    <x v="0"/>
    <s v="19"/>
    <s v="1566"/>
    <n v="19"/>
    <n v="0.86"/>
    <n v="4.5263157894736838E-2"/>
  </r>
  <r>
    <x v="0"/>
    <x v="3"/>
    <x v="3"/>
    <s v="M00000333478"/>
    <d v="2008-01-17T00:00:00"/>
    <n v="0"/>
    <n v="51.2"/>
    <n v="908"/>
    <n v="360"/>
    <x v="0"/>
    <s v="25"/>
    <s v="800"/>
    <n v="25"/>
    <n v="1.135"/>
    <n v="4.5400000000000003E-2"/>
  </r>
  <r>
    <x v="0"/>
    <x v="3"/>
    <x v="3"/>
    <s v="M00000337031"/>
    <d v="2008-02-21T00:00:00"/>
    <n v="0"/>
    <n v="55.81"/>
    <n v="990"/>
    <n v="392.4"/>
    <x v="0"/>
    <s v="25"/>
    <s v="872"/>
    <n v="25"/>
    <n v="1.1353211009174311"/>
    <n v="4.5412844036697243E-2"/>
  </r>
  <r>
    <x v="0"/>
    <x v="3"/>
    <x v="3"/>
    <s v="M00000350963"/>
    <d v="2008-04-03T00:00:00"/>
    <n v="0"/>
    <n v="35.840000000000003"/>
    <n v="636"/>
    <n v="252"/>
    <x v="0"/>
    <s v="25"/>
    <s v="560"/>
    <n v="25"/>
    <n v="1.1357142857142857"/>
    <n v="4.5428571428571429E-2"/>
  </r>
  <r>
    <x v="0"/>
    <x v="3"/>
    <x v="3"/>
    <s v="M00000315507"/>
    <d v="2007-11-21T00:00:00"/>
    <n v="0"/>
    <n v="84.48"/>
    <n v="1500"/>
    <n v="594"/>
    <x v="0"/>
    <s v="25"/>
    <s v="1320"/>
    <n v="25"/>
    <n v="1.1363636363636365"/>
    <n v="4.5454545454545456E-2"/>
  </r>
  <r>
    <x v="0"/>
    <x v="3"/>
    <x v="3"/>
    <s v="M00000295484"/>
    <d v="2007-09-06T00:00:00"/>
    <n v="0"/>
    <n v="196.54"/>
    <n v="3489.88"/>
    <n v="1381.95"/>
    <x v="0"/>
    <s v="25"/>
    <s v="3071"/>
    <n v="25"/>
    <n v="1.1363985672419408"/>
    <n v="4.5455942689677634E-2"/>
  </r>
  <r>
    <x v="0"/>
    <x v="3"/>
    <x v="3"/>
    <s v="M00000335597"/>
    <d v="2008-01-31T00:00:00"/>
    <n v="0"/>
    <n v="108.8"/>
    <n v="1625"/>
    <n v="765"/>
    <x v="0"/>
    <s v="21"/>
    <s v="1700"/>
    <n v="21"/>
    <n v="0.95588235294117652"/>
    <n v="4.551820728291317E-2"/>
  </r>
  <r>
    <x v="0"/>
    <x v="3"/>
    <x v="3"/>
    <s v="M00000324379"/>
    <d v="2007-12-20T00:00:00"/>
    <n v="0"/>
    <n v="11.52"/>
    <n v="205"/>
    <n v="81"/>
    <x v="0"/>
    <s v="25"/>
    <s v="180"/>
    <n v="25"/>
    <n v="1.1388888888888888"/>
    <n v="4.5555555555555551E-2"/>
  </r>
  <r>
    <x v="0"/>
    <x v="3"/>
    <x v="3"/>
    <s v="M00000308282"/>
    <d v="2007-10-25T00:00:00"/>
    <n v="0"/>
    <n v="72.58"/>
    <n v="1292"/>
    <n v="510.3"/>
    <x v="0"/>
    <s v="25"/>
    <s v="1134"/>
    <n v="25"/>
    <n v="1.1393298059964727"/>
    <n v="4.5573192239858909E-2"/>
  </r>
  <r>
    <x v="0"/>
    <x v="3"/>
    <x v="3"/>
    <s v="M00000312456"/>
    <d v="2007-11-15T00:00:00"/>
    <n v="0"/>
    <n v="154.56"/>
    <n v="2753"/>
    <n v="1086.75"/>
    <x v="0"/>
    <s v="25"/>
    <s v="2415"/>
    <n v="25"/>
    <n v="1.1399585921325053"/>
    <n v="4.5598343685300212E-2"/>
  </r>
  <r>
    <x v="0"/>
    <x v="3"/>
    <x v="3"/>
    <s v="M00000342339"/>
    <d v="2008-02-29T00:00:00"/>
    <n v="0"/>
    <n v="86.4"/>
    <n v="1540"/>
    <n v="607.5"/>
    <x v="0"/>
    <s v="25"/>
    <s v="1350"/>
    <n v="25"/>
    <n v="1.1407407407407408"/>
    <n v="4.5629629629629631E-2"/>
  </r>
  <r>
    <x v="0"/>
    <x v="3"/>
    <x v="3"/>
    <s v="M00000316028"/>
    <d v="2007-12-31T00:00:00"/>
    <n v="0"/>
    <n v="89.54"/>
    <n v="1602"/>
    <n v="629.54999999999995"/>
    <x v="0"/>
    <s v="25"/>
    <s v="1399"/>
    <n v="25"/>
    <n v="1.1451036454610437"/>
    <n v="4.5804145818441749E-2"/>
  </r>
  <r>
    <x v="0"/>
    <x v="3"/>
    <x v="3"/>
    <s v="M00000327880"/>
    <d v="2007-12-31T00:00:00"/>
    <n v="0"/>
    <n v="85.82"/>
    <n v="1290"/>
    <n v="603.45000000000005"/>
    <x v="0"/>
    <s v="21"/>
    <s v="1341"/>
    <n v="21"/>
    <n v="0.96196868008948544"/>
    <n v="4.5808032385213596E-2"/>
  </r>
  <r>
    <x v="0"/>
    <x v="3"/>
    <x v="3"/>
    <s v="M00000368036"/>
    <d v="2008-06-19T00:00:00"/>
    <n v="0"/>
    <n v="65.02"/>
    <n v="1398"/>
    <n v="457.2"/>
    <x v="0"/>
    <s v="30"/>
    <s v="1016"/>
    <n v="30"/>
    <n v="1.3759842519685039"/>
    <n v="4.5866141732283462E-2"/>
  </r>
  <r>
    <x v="0"/>
    <x v="3"/>
    <x v="3"/>
    <s v="M00000275232"/>
    <d v="2007-06-07T00:00:00"/>
    <n v="0"/>
    <n v="74.88"/>
    <n v="1345.03"/>
    <n v="526.5"/>
    <x v="0"/>
    <s v="25"/>
    <s v="1170"/>
    <n v="25"/>
    <n v="1.1495982905982907"/>
    <n v="4.5983931623931627E-2"/>
  </r>
  <r>
    <x v="0"/>
    <x v="3"/>
    <x v="3"/>
    <s v="M00000320822"/>
    <d v="2007-12-13T00:00:00"/>
    <n v="0"/>
    <n v="51.2"/>
    <n v="920"/>
    <n v="360"/>
    <x v="0"/>
    <s v="25"/>
    <s v="800"/>
    <n v="25"/>
    <n v="1.1499999999999999"/>
    <n v="4.5999999999999999E-2"/>
  </r>
  <r>
    <x v="0"/>
    <x v="3"/>
    <x v="3"/>
    <s v="M00000299484"/>
    <d v="2007-09-20T00:00:00"/>
    <n v="0"/>
    <n v="12.8"/>
    <n v="175"/>
    <n v="90"/>
    <x v="0"/>
    <s v="19"/>
    <s v="200"/>
    <n v="19"/>
    <n v="0.875"/>
    <n v="4.6052631578947366E-2"/>
  </r>
  <r>
    <x v="0"/>
    <x v="3"/>
    <x v="3"/>
    <s v="M00000322722"/>
    <d v="2007-12-20T00:00:00"/>
    <n v="0"/>
    <n v="92.8"/>
    <n v="1407"/>
    <n v="652.5"/>
    <x v="0"/>
    <s v="21"/>
    <s v="1450"/>
    <n v="21"/>
    <n v="0.97034482758620688"/>
    <n v="4.6206896551724136E-2"/>
  </r>
  <r>
    <x v="0"/>
    <x v="3"/>
    <x v="3"/>
    <s v="M00000285666"/>
    <d v="2007-07-19T00:00:00"/>
    <n v="0"/>
    <n v="44.99"/>
    <n v="683.03"/>
    <n v="316.35000000000002"/>
    <x v="0"/>
    <s v="21"/>
    <s v="703"/>
    <n v="21"/>
    <n v="0.97159317211948792"/>
    <n v="4.6266341529499426E-2"/>
  </r>
  <r>
    <x v="0"/>
    <x v="3"/>
    <x v="3"/>
    <s v="M00000348339"/>
    <d v="2008-03-27T00:00:00"/>
    <n v="0"/>
    <n v="60.93"/>
    <n v="1102"/>
    <n v="428.4"/>
    <x v="0"/>
    <s v="25"/>
    <s v="952"/>
    <n v="25"/>
    <n v="1.1575630252100841"/>
    <n v="4.6302521008403368E-2"/>
  </r>
  <r>
    <x v="0"/>
    <x v="3"/>
    <x v="3"/>
    <s v="M00000306764"/>
    <d v="2007-10-25T00:00:00"/>
    <n v="0"/>
    <n v="80.64"/>
    <n v="1460"/>
    <n v="567"/>
    <x v="0"/>
    <s v="25"/>
    <s v="1260"/>
    <n v="25"/>
    <n v="1.1587301587301588"/>
    <n v="4.6349206349206355E-2"/>
  </r>
  <r>
    <x v="0"/>
    <x v="3"/>
    <x v="3"/>
    <s v="M00000313415"/>
    <d v="2007-11-15T00:00:00"/>
    <n v="0"/>
    <n v="32"/>
    <n v="580"/>
    <n v="225"/>
    <x v="0"/>
    <s v="25"/>
    <s v="500"/>
    <n v="25"/>
    <n v="1.1599999999999999"/>
    <n v="4.6399999999999997E-2"/>
  </r>
  <r>
    <x v="0"/>
    <x v="3"/>
    <x v="3"/>
    <s v="M00000301161"/>
    <d v="2007-10-04T00:00:00"/>
    <n v="0"/>
    <n v="159.1"/>
    <n v="2885"/>
    <n v="1118.7"/>
    <x v="0"/>
    <s v="25"/>
    <s v="2486"/>
    <n v="25"/>
    <n v="1.160498793242156"/>
    <n v="4.6419951729686243E-2"/>
  </r>
  <r>
    <x v="0"/>
    <x v="3"/>
    <x v="3"/>
    <s v="M00000352659"/>
    <d v="2008-04-10T00:00:00"/>
    <n v="0"/>
    <n v="105.6"/>
    <n v="1915"/>
    <n v="742.5"/>
    <x v="0"/>
    <s v="25"/>
    <s v="1650"/>
    <n v="25"/>
    <n v="1.1606060606060606"/>
    <n v="4.6424242424242423E-2"/>
  </r>
  <r>
    <x v="0"/>
    <x v="3"/>
    <x v="3"/>
    <s v="M00000269595"/>
    <d v="2007-06-28T00:00:00"/>
    <n v="0"/>
    <n v="46.59"/>
    <n v="848.19"/>
    <n v="327.60000000000002"/>
    <x v="0"/>
    <s v="25"/>
    <s v="728"/>
    <n v="25"/>
    <n v="1.1650961538461539"/>
    <n v="4.6603846153846155E-2"/>
  </r>
  <r>
    <x v="0"/>
    <x v="3"/>
    <x v="3"/>
    <s v="M00000343859"/>
    <d v="2008-03-06T00:00:00"/>
    <n v="0"/>
    <n v="49.15"/>
    <n v="895"/>
    <n v="345.6"/>
    <x v="0"/>
    <s v="25"/>
    <s v="768"/>
    <n v="25"/>
    <n v="1.1653645833333333"/>
    <n v="4.6614583333333327E-2"/>
  </r>
  <r>
    <x v="0"/>
    <x v="3"/>
    <x v="3"/>
    <s v="M00000346302"/>
    <d v="2008-03-13T00:00:00"/>
    <n v="0"/>
    <n v="82.24"/>
    <n v="1799"/>
    <n v="578.25"/>
    <x v="0"/>
    <s v="30"/>
    <s v="1285"/>
    <n v="30"/>
    <n v="1.4"/>
    <n v="4.6666666666666662E-2"/>
  </r>
  <r>
    <x v="0"/>
    <x v="3"/>
    <x v="3"/>
    <s v="M00000339747"/>
    <d v="2008-02-14T00:00:00"/>
    <n v="0"/>
    <n v="38.4"/>
    <n v="700"/>
    <n v="270"/>
    <x v="0"/>
    <s v="25"/>
    <s v="600"/>
    <n v="25"/>
    <n v="1.1666666666666667"/>
    <n v="4.6666666666666669E-2"/>
  </r>
  <r>
    <x v="0"/>
    <x v="3"/>
    <x v="3"/>
    <s v="M00000347905"/>
    <d v="2008-04-24T00:00:00"/>
    <n v="0"/>
    <n v="56.9"/>
    <n v="1247.03"/>
    <n v="400.05"/>
    <x v="0"/>
    <s v="30"/>
    <s v="889"/>
    <n v="30"/>
    <n v="1.4027334083239595"/>
    <n v="4.675778027746532E-2"/>
  </r>
  <r>
    <x v="0"/>
    <x v="3"/>
    <x v="3"/>
    <s v="M00000272398"/>
    <d v="2007-05-17T00:00:00"/>
    <n v="0"/>
    <n v="38.4"/>
    <n v="702"/>
    <n v="270"/>
    <x v="0"/>
    <s v="25"/>
    <s v="600"/>
    <n v="25"/>
    <n v="1.17"/>
    <n v="4.6799999999999994E-2"/>
  </r>
  <r>
    <x v="0"/>
    <x v="3"/>
    <x v="3"/>
    <s v="M00000368052"/>
    <d v="2008-06-12T00:00:00"/>
    <n v="0"/>
    <n v="68.099999999999994"/>
    <n v="1245.4100000000001"/>
    <n v="478.8"/>
    <x v="0"/>
    <s v="25"/>
    <s v="1064"/>
    <n v="25"/>
    <n v="1.1704981203007521"/>
    <n v="4.6819924812030081E-2"/>
  </r>
  <r>
    <x v="0"/>
    <x v="3"/>
    <x v="3"/>
    <s v="M00000303308"/>
    <d v="2007-10-11T00:00:00"/>
    <n v="0"/>
    <n v="48.38"/>
    <n v="885"/>
    <n v="340.2"/>
    <x v="0"/>
    <s v="25"/>
    <s v="756"/>
    <n v="25"/>
    <n v="1.1706349206349207"/>
    <n v="4.6825396825396826E-2"/>
  </r>
  <r>
    <x v="0"/>
    <x v="3"/>
    <x v="3"/>
    <s v="M00000349590"/>
    <d v="2008-05-08T00:00:00"/>
    <n v="0"/>
    <n v="75.459999999999994"/>
    <n v="1656.63"/>
    <n v="530.54999999999995"/>
    <x v="0"/>
    <s v="30"/>
    <s v="1179"/>
    <n v="30"/>
    <n v="1.405114503816794"/>
    <n v="4.6837150127226466E-2"/>
  </r>
  <r>
    <x v="0"/>
    <x v="3"/>
    <x v="3"/>
    <s v="M00000280123"/>
    <d v="2007-08-16T00:00:00"/>
    <n v="0"/>
    <n v="83.2"/>
    <n v="1278.94"/>
    <n v="585"/>
    <x v="0"/>
    <s v="21"/>
    <s v="1300"/>
    <n v="21"/>
    <n v="0.98380000000000001"/>
    <n v="4.6847619047619048E-2"/>
  </r>
  <r>
    <x v="0"/>
    <x v="3"/>
    <x v="3"/>
    <s v="M00000355763"/>
    <d v="2008-04-24T00:00:00"/>
    <n v="0"/>
    <n v="109.06"/>
    <n v="1999"/>
    <n v="766.8"/>
    <x v="0"/>
    <s v="25"/>
    <s v="1704"/>
    <n v="25"/>
    <n v="1.1731220657276995"/>
    <n v="4.6924882629107982E-2"/>
  </r>
  <r>
    <x v="0"/>
    <x v="3"/>
    <x v="3"/>
    <s v="M00000321790"/>
    <d v="2007-12-13T00:00:00"/>
    <n v="0"/>
    <n v="87.04"/>
    <n v="1600"/>
    <n v="612"/>
    <x v="0"/>
    <s v="25"/>
    <s v="1360"/>
    <n v="25"/>
    <n v="1.1764705882352942"/>
    <n v="4.7058823529411764E-2"/>
  </r>
  <r>
    <x v="0"/>
    <x v="3"/>
    <x v="3"/>
    <s v="M00000286274"/>
    <d v="2007-07-26T00:00:00"/>
    <n v="0"/>
    <n v="72.19"/>
    <n v="1114.92"/>
    <n v="507.6"/>
    <x v="0"/>
    <s v="21"/>
    <s v="1128"/>
    <n v="21"/>
    <n v="0.98840425531914899"/>
    <n v="4.7066869300911855E-2"/>
  </r>
  <r>
    <x v="0"/>
    <x v="3"/>
    <x v="3"/>
    <s v="M00000275842"/>
    <d v="2007-06-07T00:00:00"/>
    <n v="0"/>
    <n v="78.59"/>
    <n v="1214.98"/>
    <n v="552.6"/>
    <x v="0"/>
    <s v="21"/>
    <s v="1228"/>
    <n v="21"/>
    <n v="0.98939739413680783"/>
    <n v="4.7114161625562277E-2"/>
  </r>
  <r>
    <x v="0"/>
    <x v="3"/>
    <x v="3"/>
    <s v="M00000275392"/>
    <d v="2007-07-06T00:00:00"/>
    <n v="0"/>
    <n v="58.37"/>
    <n v="1074.97"/>
    <n v="410.4"/>
    <x v="0"/>
    <s v="25"/>
    <s v="912"/>
    <n v="25"/>
    <n v="1.1786951754385966"/>
    <n v="4.7147807017543862E-2"/>
  </r>
  <r>
    <x v="0"/>
    <x v="3"/>
    <x v="3"/>
    <s v="M00000281480"/>
    <d v="2007-07-06T00:00:00"/>
    <n v="0"/>
    <n v="67.260000000000005"/>
    <n v="1239.97"/>
    <n v="472.95"/>
    <x v="0"/>
    <s v="25"/>
    <s v="1051"/>
    <n v="25"/>
    <n v="1.1798001902949573"/>
    <n v="4.7192007611798294E-2"/>
  </r>
  <r>
    <x v="0"/>
    <x v="3"/>
    <x v="3"/>
    <s v="M00000368785"/>
    <d v="2008-06-19T00:00:00"/>
    <n v="0"/>
    <n v="58.37"/>
    <n v="1076"/>
    <n v="410.4"/>
    <x v="0"/>
    <s v="25"/>
    <s v="912"/>
    <n v="25"/>
    <n v="1.1798245614035088"/>
    <n v="4.7192982456140349E-2"/>
  </r>
  <r>
    <x v="0"/>
    <x v="3"/>
    <x v="3"/>
    <s v="M00000366986"/>
    <d v="2008-06-12T00:00:00"/>
    <n v="0"/>
    <n v="20.61"/>
    <n v="379.96"/>
    <n v="144.9"/>
    <x v="0"/>
    <s v="25"/>
    <s v="322"/>
    <n v="25"/>
    <n v="1.18"/>
    <n v="4.7199999999999999E-2"/>
  </r>
  <r>
    <x v="0"/>
    <x v="3"/>
    <x v="3"/>
    <s v="M00000342600"/>
    <d v="2008-03-06T00:00:00"/>
    <n v="0"/>
    <n v="80.06"/>
    <n v="1477"/>
    <n v="562.95000000000005"/>
    <x v="0"/>
    <s v="25"/>
    <s v="1251"/>
    <n v="25"/>
    <n v="1.1806554756195045"/>
    <n v="4.7226219024780178E-2"/>
  </r>
  <r>
    <x v="0"/>
    <x v="3"/>
    <x v="3"/>
    <s v="M00000301779"/>
    <d v="2007-09-28T00:00:00"/>
    <n v="0"/>
    <n v="72.58"/>
    <n v="1340"/>
    <n v="510.3"/>
    <x v="0"/>
    <s v="25"/>
    <s v="1134"/>
    <n v="25"/>
    <n v="1.181657848324515"/>
    <n v="4.72663139329806E-2"/>
  </r>
  <r>
    <x v="0"/>
    <x v="3"/>
    <x v="3"/>
    <s v="M00000343364"/>
    <d v="2008-03-06T00:00:00"/>
    <n v="0"/>
    <n v="70.400000000000006"/>
    <n v="1300"/>
    <n v="495"/>
    <x v="0"/>
    <s v="25"/>
    <s v="1100"/>
    <n v="25"/>
    <n v="1.1818181818181819"/>
    <n v="4.7272727272727272E-2"/>
  </r>
  <r>
    <x v="0"/>
    <x v="3"/>
    <x v="3"/>
    <s v="M00000334079"/>
    <d v="2008-02-29T00:00:00"/>
    <n v="0"/>
    <n v="87.3"/>
    <n v="1614"/>
    <n v="613.79999999999995"/>
    <x v="0"/>
    <s v="25"/>
    <s v="1364"/>
    <n v="25"/>
    <n v="1.1832844574780059"/>
    <n v="4.7331378299120236E-2"/>
  </r>
  <r>
    <x v="0"/>
    <x v="3"/>
    <x v="3"/>
    <s v="M00000370680"/>
    <d v="2008-06-26T00:00:00"/>
    <n v="0"/>
    <n v="44.8"/>
    <n v="995"/>
    <n v="315"/>
    <x v="0"/>
    <s v="30"/>
    <s v="700"/>
    <n v="30"/>
    <n v="1.4214285714285715"/>
    <n v="4.7380952380952385E-2"/>
  </r>
  <r>
    <x v="0"/>
    <x v="3"/>
    <x v="3"/>
    <s v="M00000342225"/>
    <d v="2008-02-29T00:00:00"/>
    <n v="0"/>
    <n v="121.6"/>
    <n v="2254"/>
    <n v="855"/>
    <x v="0"/>
    <s v="25"/>
    <s v="1900"/>
    <n v="25"/>
    <n v="1.1863157894736842"/>
    <n v="4.7452631578947371E-2"/>
  </r>
  <r>
    <x v="0"/>
    <x v="3"/>
    <x v="3"/>
    <s v="M00000366798"/>
    <d v="2008-06-12T00:00:00"/>
    <n v="0"/>
    <n v="89.6"/>
    <n v="1995"/>
    <n v="630"/>
    <x v="0"/>
    <s v="30"/>
    <s v="1400"/>
    <n v="30"/>
    <n v="1.425"/>
    <n v="4.7500000000000001E-2"/>
  </r>
  <r>
    <x v="0"/>
    <x v="3"/>
    <x v="3"/>
    <s v="M00000290638"/>
    <d v="2007-08-30T00:00:00"/>
    <n v="0"/>
    <n v="65.66"/>
    <n v="1220.02"/>
    <n v="461.7"/>
    <x v="0"/>
    <s v="25"/>
    <s v="1026"/>
    <n v="25"/>
    <n v="1.1891033138401559"/>
    <n v="4.7564132553606232E-2"/>
  </r>
  <r>
    <x v="0"/>
    <x v="3"/>
    <x v="3"/>
    <s v="M00000274454"/>
    <d v="2007-06-07T00:00:00"/>
    <n v="0"/>
    <n v="64.510000000000005"/>
    <n v="1006.99"/>
    <n v="453.6"/>
    <x v="0"/>
    <s v="21"/>
    <s v="1008"/>
    <n v="21"/>
    <n v="0.99899801587301584"/>
    <n v="4.7571334089191231E-2"/>
  </r>
  <r>
    <x v="0"/>
    <x v="3"/>
    <x v="3"/>
    <s v="M00000291780"/>
    <d v="2007-08-16T00:00:00"/>
    <n v="0"/>
    <n v="85.12"/>
    <n v="1330"/>
    <n v="598.5"/>
    <x v="0"/>
    <s v="21"/>
    <s v="1330"/>
    <n v="21"/>
    <n v="1"/>
    <n v="4.7619047619047616E-2"/>
  </r>
  <r>
    <x v="0"/>
    <x v="3"/>
    <x v="3"/>
    <s v="M00000299482"/>
    <d v="2007-09-20T00:00:00"/>
    <n v="0"/>
    <n v="55.68"/>
    <n v="933"/>
    <n v="391.5"/>
    <x v="0"/>
    <s v="21"/>
    <s v="933"/>
    <n v="21"/>
    <n v="1"/>
    <n v="4.7619047619047616E-2"/>
  </r>
  <r>
    <x v="0"/>
    <x v="3"/>
    <x v="3"/>
    <s v="M00000301342"/>
    <d v="2007-09-28T00:00:00"/>
    <n v="0"/>
    <n v="83.2"/>
    <n v="1300"/>
    <n v="585"/>
    <x v="0"/>
    <s v="21"/>
    <s v="1300"/>
    <n v="21"/>
    <n v="1"/>
    <n v="4.7619047619047616E-2"/>
  </r>
  <r>
    <x v="0"/>
    <x v="3"/>
    <x v="3"/>
    <s v="M00000338845"/>
    <d v="2008-02-14T00:00:00"/>
    <n v="0"/>
    <n v="64"/>
    <n v="1000"/>
    <n v="450"/>
    <x v="0"/>
    <s v="21"/>
    <s v="1000"/>
    <n v="21"/>
    <n v="1"/>
    <n v="4.7619047619047616E-2"/>
  </r>
  <r>
    <x v="0"/>
    <x v="3"/>
    <x v="3"/>
    <s v="M00000350096"/>
    <d v="2008-06-12T00:00:00"/>
    <n v="0"/>
    <n v="156.80000000000001"/>
    <n v="2926.4"/>
    <n v="1102.5"/>
    <x v="0"/>
    <s v="25"/>
    <s v="2450"/>
    <n v="25"/>
    <n v="1.1944489795918367"/>
    <n v="4.7777959183673467E-2"/>
  </r>
  <r>
    <x v="0"/>
    <x v="3"/>
    <x v="3"/>
    <s v="M00000350662"/>
    <d v="2008-04-03T00:00:00"/>
    <n v="0"/>
    <n v="84.48"/>
    <n v="1579"/>
    <n v="594"/>
    <x v="0"/>
    <s v="25"/>
    <s v="1320"/>
    <n v="25"/>
    <n v="1.1962121212121213"/>
    <n v="4.7848484848484849E-2"/>
  </r>
  <r>
    <x v="0"/>
    <x v="3"/>
    <x v="3"/>
    <s v="M00000318102"/>
    <d v="2008-01-24T00:00:00"/>
    <n v="0"/>
    <n v="65.540000000000006"/>
    <n v="1228"/>
    <n v="460.8"/>
    <x v="0"/>
    <s v="25"/>
    <s v="1024"/>
    <n v="25"/>
    <n v="1.19921875"/>
    <n v="4.7968749999999998E-2"/>
  </r>
  <r>
    <x v="0"/>
    <x v="3"/>
    <x v="3"/>
    <s v="M00000269861"/>
    <d v="2007-05-17T00:00:00"/>
    <n v="0"/>
    <n v="53.76"/>
    <n v="1008"/>
    <n v="378"/>
    <x v="0"/>
    <s v="25"/>
    <s v="840"/>
    <n v="25"/>
    <n v="1.2"/>
    <n v="4.8000000000000001E-2"/>
  </r>
  <r>
    <x v="0"/>
    <x v="3"/>
    <x v="3"/>
    <s v="M00000301942"/>
    <d v="2007-09-28T00:00:00"/>
    <n v="0"/>
    <n v="99.2"/>
    <n v="1860"/>
    <n v="697.5"/>
    <x v="0"/>
    <s v="25"/>
    <s v="1550"/>
    <n v="25"/>
    <n v="1.2"/>
    <n v="4.8000000000000001E-2"/>
  </r>
  <r>
    <x v="0"/>
    <x v="3"/>
    <x v="3"/>
    <s v="M00000336444"/>
    <d v="2008-02-29T00:00:00"/>
    <n v="0"/>
    <n v="82.43"/>
    <n v="1545.6"/>
    <n v="579.6"/>
    <x v="0"/>
    <s v="25"/>
    <s v="1288"/>
    <n v="25"/>
    <n v="1.2"/>
    <n v="4.8000000000000001E-2"/>
  </r>
  <r>
    <x v="0"/>
    <x v="3"/>
    <x v="3"/>
    <s v="M00000275015"/>
    <d v="2007-06-14T00:00:00"/>
    <n v="0"/>
    <n v="63.04"/>
    <n v="1182.99"/>
    <n v="443.25"/>
    <x v="0"/>
    <s v="25"/>
    <s v="985"/>
    <n v="25"/>
    <n v="1.201005076142132"/>
    <n v="4.8040203045685279E-2"/>
  </r>
  <r>
    <x v="0"/>
    <x v="3"/>
    <x v="3"/>
    <s v="M00000340754"/>
    <d v="2008-04-10T00:00:00"/>
    <n v="0"/>
    <n v="89.6"/>
    <n v="1278"/>
    <n v="630"/>
    <x v="0"/>
    <s v="19"/>
    <s v="1400"/>
    <n v="19"/>
    <n v="0.91285714285714281"/>
    <n v="4.8045112781954884E-2"/>
  </r>
  <r>
    <x v="0"/>
    <x v="3"/>
    <x v="3"/>
    <s v="M00000279579"/>
    <d v="2007-06-28T00:00:00"/>
    <n v="0"/>
    <n v="76.8"/>
    <n v="1442.04"/>
    <n v="540"/>
    <x v="0"/>
    <s v="25"/>
    <s v="1200"/>
    <n v="25"/>
    <n v="1.2017"/>
    <n v="4.8068E-2"/>
  </r>
  <r>
    <x v="0"/>
    <x v="3"/>
    <x v="3"/>
    <s v="M00000343361"/>
    <d v="2008-04-17T00:00:00"/>
    <n v="0"/>
    <n v="113.6"/>
    <n v="2134.4"/>
    <n v="798.75"/>
    <x v="0"/>
    <s v="25"/>
    <s v="1775"/>
    <n v="25"/>
    <n v="1.2024788732394367"/>
    <n v="4.8099154929577469E-2"/>
  </r>
  <r>
    <x v="0"/>
    <x v="3"/>
    <x v="3"/>
    <s v="M00000348425"/>
    <d v="2008-03-20T00:00:00"/>
    <n v="0"/>
    <n v="98.69"/>
    <n v="1855"/>
    <n v="693.9"/>
    <x v="0"/>
    <s v="25"/>
    <s v="1542"/>
    <n v="25"/>
    <n v="1.2029831387808041"/>
    <n v="4.8119325551232162E-2"/>
  </r>
  <r>
    <x v="0"/>
    <x v="3"/>
    <x v="3"/>
    <s v="M00000342463"/>
    <d v="2008-02-29T00:00:00"/>
    <n v="0"/>
    <n v="100.48"/>
    <n v="1890"/>
    <n v="706.5"/>
    <x v="0"/>
    <s v="25"/>
    <s v="1570"/>
    <n v="25"/>
    <n v="1.2038216560509554"/>
    <n v="4.8152866242038211E-2"/>
  </r>
  <r>
    <x v="0"/>
    <x v="3"/>
    <x v="3"/>
    <s v="M00000334530"/>
    <d v="2008-01-24T00:00:00"/>
    <n v="0"/>
    <n v="31.62"/>
    <n v="595"/>
    <n v="222.3"/>
    <x v="0"/>
    <s v="25"/>
    <s v="494"/>
    <n v="25"/>
    <n v="1.2044534412955465"/>
    <n v="4.8178137651821863E-2"/>
  </r>
  <r>
    <x v="0"/>
    <x v="3"/>
    <x v="3"/>
    <s v="M00000287541"/>
    <d v="2007-07-26T00:00:00"/>
    <n v="0"/>
    <n v="84.8"/>
    <n v="1595.96"/>
    <n v="596.25"/>
    <x v="0"/>
    <s v="25"/>
    <s v="1325"/>
    <n v="25"/>
    <n v="1.2044981132075472"/>
    <n v="4.8179924528301887E-2"/>
  </r>
  <r>
    <x v="0"/>
    <x v="3"/>
    <x v="3"/>
    <s v="M00000291027"/>
    <d v="2007-09-06T00:00:00"/>
    <n v="0"/>
    <n v="106.24"/>
    <n v="1999.97"/>
    <n v="747"/>
    <x v="0"/>
    <s v="25"/>
    <s v="1660"/>
    <n v="25"/>
    <n v="1.2048012048192771"/>
    <n v="4.8192048192771085E-2"/>
  </r>
  <r>
    <x v="0"/>
    <x v="3"/>
    <x v="3"/>
    <s v="M00000334022"/>
    <d v="2008-01-24T00:00:00"/>
    <n v="0"/>
    <n v="79.36"/>
    <n v="1495"/>
    <n v="558"/>
    <x v="0"/>
    <s v="25"/>
    <s v="1240"/>
    <n v="25"/>
    <n v="1.2056451612903225"/>
    <n v="4.8225806451612903E-2"/>
  </r>
  <r>
    <x v="0"/>
    <x v="3"/>
    <x v="3"/>
    <s v="M00000351683"/>
    <d v="2008-04-10T00:00:00"/>
    <n v="0"/>
    <n v="83.52"/>
    <n v="1574"/>
    <n v="587.25"/>
    <x v="0"/>
    <s v="25"/>
    <s v="1305"/>
    <n v="25"/>
    <n v="1.2061302681992336"/>
    <n v="4.8245210727969348E-2"/>
  </r>
  <r>
    <x v="0"/>
    <x v="3"/>
    <x v="3"/>
    <s v="M00000313424"/>
    <d v="2007-11-15T00:00:00"/>
    <n v="0"/>
    <n v="74.239999999999995"/>
    <n v="1400"/>
    <n v="522"/>
    <x v="0"/>
    <s v="25"/>
    <s v="1160"/>
    <n v="25"/>
    <n v="1.2068965517241379"/>
    <n v="4.8275862068965517E-2"/>
  </r>
  <r>
    <x v="0"/>
    <x v="3"/>
    <x v="3"/>
    <s v="M00000277530"/>
    <d v="2007-06-14T00:00:00"/>
    <n v="0"/>
    <n v="67.709999999999994"/>
    <n v="1277.01"/>
    <n v="476.1"/>
    <x v="0"/>
    <s v="25"/>
    <s v="1058"/>
    <n v="25"/>
    <n v="1.2070037807183365"/>
    <n v="4.8280151228733456E-2"/>
  </r>
  <r>
    <x v="0"/>
    <x v="3"/>
    <x v="3"/>
    <s v="M00000318242"/>
    <d v="2007-12-06T00:00:00"/>
    <n v="0"/>
    <n v="49.66"/>
    <n v="712"/>
    <n v="349.2"/>
    <x v="0"/>
    <s v="19"/>
    <s v="776"/>
    <n v="19"/>
    <n v="0.91752577319587625"/>
    <n v="4.8290830168204013E-2"/>
  </r>
  <r>
    <x v="0"/>
    <x v="3"/>
    <x v="3"/>
    <s v="M00000335310"/>
    <d v="2008-01-31T00:00:00"/>
    <n v="0"/>
    <n v="94.34"/>
    <n v="1782"/>
    <n v="663.3"/>
    <x v="0"/>
    <s v="25"/>
    <s v="1474"/>
    <n v="25"/>
    <n v="1.208955223880597"/>
    <n v="4.8358208955223879E-2"/>
  </r>
  <r>
    <x v="0"/>
    <x v="3"/>
    <x v="3"/>
    <s v="M00000294298"/>
    <d v="2007-08-30T00:00:00"/>
    <n v="0"/>
    <n v="113.92"/>
    <n v="2157"/>
    <n v="801"/>
    <x v="0"/>
    <s v="25"/>
    <s v="1780"/>
    <n v="25"/>
    <n v="1.2117977528089887"/>
    <n v="4.8471910112359545E-2"/>
  </r>
  <r>
    <x v="0"/>
    <x v="3"/>
    <x v="3"/>
    <s v="M00000327152"/>
    <d v="2007-12-31T00:00:00"/>
    <n v="0"/>
    <n v="69.25"/>
    <n v="1313"/>
    <n v="486.9"/>
    <x v="0"/>
    <s v="25"/>
    <s v="1082"/>
    <n v="25"/>
    <n v="1.2134935304990757"/>
    <n v="4.8539741219963031E-2"/>
  </r>
  <r>
    <x v="0"/>
    <x v="3"/>
    <x v="3"/>
    <s v="M00000290524"/>
    <d v="2007-08-09T00:00:00"/>
    <n v="0"/>
    <n v="91.52"/>
    <n v="1744.6"/>
    <n v="643.5"/>
    <x v="0"/>
    <s v="25"/>
    <s v="1430"/>
    <n v="25"/>
    <n v="1.22"/>
    <n v="4.8799999999999996E-2"/>
  </r>
  <r>
    <x v="0"/>
    <x v="3"/>
    <x v="3"/>
    <s v="M00000346212"/>
    <d v="2008-03-13T00:00:00"/>
    <n v="0"/>
    <n v="83.78"/>
    <n v="1214"/>
    <n v="589.04999999999995"/>
    <x v="0"/>
    <s v="19"/>
    <s v="1309"/>
    <n v="19"/>
    <n v="0.92742551566080977"/>
    <n v="4.8811869245305776E-2"/>
  </r>
  <r>
    <x v="0"/>
    <x v="3"/>
    <x v="3"/>
    <s v="M00000342734"/>
    <d v="2008-03-06T00:00:00"/>
    <n v="0"/>
    <n v="59.39"/>
    <n v="1134"/>
    <n v="417.6"/>
    <x v="0"/>
    <s v="25"/>
    <s v="928"/>
    <n v="25"/>
    <n v="1.2219827586206897"/>
    <n v="4.8879310344827592E-2"/>
  </r>
  <r>
    <x v="0"/>
    <x v="3"/>
    <x v="3"/>
    <s v="M00000359913"/>
    <d v="2008-05-15T00:00:00"/>
    <n v="0"/>
    <n v="57.6"/>
    <n v="1100"/>
    <n v="405"/>
    <x v="0"/>
    <s v="25"/>
    <s v="900"/>
    <n v="25"/>
    <n v="1.2222222222222223"/>
    <n v="4.8888888888888891E-2"/>
  </r>
  <r>
    <x v="0"/>
    <x v="3"/>
    <x v="3"/>
    <s v="M00000270800"/>
    <d v="2007-06-28T00:00:00"/>
    <n v="0"/>
    <n v="140.80000000000001"/>
    <n v="2690.6"/>
    <n v="990"/>
    <x v="0"/>
    <s v="25"/>
    <s v="2200"/>
    <n v="25"/>
    <n v="1.2229999999999999"/>
    <n v="4.8919999999999991E-2"/>
  </r>
  <r>
    <x v="0"/>
    <x v="3"/>
    <x v="3"/>
    <s v="M00000316988"/>
    <d v="2007-11-29T00:00:00"/>
    <n v="0"/>
    <n v="71.81"/>
    <n v="1375"/>
    <n v="504.9"/>
    <x v="0"/>
    <s v="25"/>
    <s v="1122"/>
    <n v="25"/>
    <n v="1.2254901960784315"/>
    <n v="4.9019607843137261E-2"/>
  </r>
  <r>
    <x v="0"/>
    <x v="3"/>
    <x v="3"/>
    <s v="M00000326880"/>
    <d v="2007-12-31T00:00:00"/>
    <n v="0"/>
    <n v="72.58"/>
    <n v="1391"/>
    <n v="510.3"/>
    <x v="0"/>
    <s v="25"/>
    <s v="1134"/>
    <n v="25"/>
    <n v="1.2266313932980599"/>
    <n v="4.90652557319224E-2"/>
  </r>
  <r>
    <x v="0"/>
    <x v="3"/>
    <x v="3"/>
    <s v="M00000319224"/>
    <d v="2007-12-06T00:00:00"/>
    <n v="0"/>
    <n v="114.24"/>
    <n v="2190"/>
    <n v="803.25"/>
    <x v="0"/>
    <s v="25"/>
    <s v="1785"/>
    <n v="25"/>
    <n v="1.2268907563025211"/>
    <n v="4.9075630252100842E-2"/>
  </r>
  <r>
    <x v="0"/>
    <x v="3"/>
    <x v="3"/>
    <s v="M00000346633"/>
    <d v="2008-03-20T00:00:00"/>
    <n v="0"/>
    <n v="126.46"/>
    <n v="2425"/>
    <n v="889.2"/>
    <x v="0"/>
    <s v="25"/>
    <s v="1976"/>
    <n v="25"/>
    <n v="1.2272267206477734"/>
    <n v="4.9089068825910936E-2"/>
  </r>
  <r>
    <x v="0"/>
    <x v="3"/>
    <x v="3"/>
    <s v="M00000361741"/>
    <d v="2008-05-22T00:00:00"/>
    <n v="0"/>
    <n v="89.6"/>
    <n v="1720"/>
    <n v="630"/>
    <x v="0"/>
    <s v="25"/>
    <s v="1400"/>
    <n v="25"/>
    <n v="1.2285714285714286"/>
    <n v="4.9142857142857148E-2"/>
  </r>
  <r>
    <x v="0"/>
    <x v="3"/>
    <x v="3"/>
    <s v="M00000343716"/>
    <d v="2008-03-06T00:00:00"/>
    <n v="0"/>
    <n v="27.84"/>
    <n v="450"/>
    <n v="195.75"/>
    <x v="0"/>
    <s v="21"/>
    <s v="435"/>
    <n v="21"/>
    <n v="1.0344827586206897"/>
    <n v="4.9261083743842367E-2"/>
  </r>
  <r>
    <x v="0"/>
    <x v="3"/>
    <x v="3"/>
    <s v="M00000313418"/>
    <d v="2007-11-15T00:00:00"/>
    <n v="0"/>
    <n v="74.88"/>
    <n v="1441"/>
    <n v="526.5"/>
    <x v="0"/>
    <s v="25"/>
    <s v="1170"/>
    <n v="25"/>
    <n v="1.2316239316239317"/>
    <n v="4.926495726495727E-2"/>
  </r>
  <r>
    <x v="0"/>
    <x v="3"/>
    <x v="3"/>
    <s v="M00000291426"/>
    <d v="2007-08-16T00:00:00"/>
    <n v="0"/>
    <n v="118.91"/>
    <n v="2297.0500000000002"/>
    <n v="836.1"/>
    <x v="0"/>
    <s v="25"/>
    <s v="1858"/>
    <n v="25"/>
    <n v="1.2363024757804091"/>
    <n v="4.9452099031216362E-2"/>
  </r>
  <r>
    <x v="0"/>
    <x v="3"/>
    <x v="3"/>
    <s v="M00000306838"/>
    <d v="2007-11-01T00:00:00"/>
    <n v="0"/>
    <n v="13.44"/>
    <n v="158.28"/>
    <n v="94.5"/>
    <x v="2"/>
    <s v="30"/>
    <s v="168"/>
    <n v="19"/>
    <n v="0.94214285714285717"/>
    <n v="4.9586466165413533E-2"/>
  </r>
  <r>
    <x v="0"/>
    <x v="3"/>
    <x v="3"/>
    <s v="M00000309852"/>
    <d v="2007-11-01T00:00:00"/>
    <n v="0"/>
    <n v="76.8"/>
    <n v="1489"/>
    <n v="540"/>
    <x v="0"/>
    <s v="25"/>
    <s v="1200"/>
    <n v="25"/>
    <n v="1.2408333333333332"/>
    <n v="4.9633333333333328E-2"/>
  </r>
  <r>
    <x v="0"/>
    <x v="3"/>
    <x v="3"/>
    <s v="M00000269844"/>
    <d v="2007-05-17T00:00:00"/>
    <n v="0"/>
    <n v="78.849999999999994"/>
    <n v="1540"/>
    <n v="554.4"/>
    <x v="0"/>
    <s v="25"/>
    <s v="1232"/>
    <n v="25"/>
    <n v="1.25"/>
    <n v="0.05"/>
  </r>
  <r>
    <x v="0"/>
    <x v="3"/>
    <x v="3"/>
    <s v="M00000274517"/>
    <d v="2007-05-31T00:00:00"/>
    <n v="0"/>
    <n v="89.6"/>
    <n v="1750"/>
    <n v="630"/>
    <x v="0"/>
    <s v="25"/>
    <s v="1400"/>
    <n v="25"/>
    <n v="1.25"/>
    <n v="0.05"/>
  </r>
  <r>
    <x v="0"/>
    <x v="3"/>
    <x v="3"/>
    <s v="M00000308290"/>
    <d v="2007-12-20T00:00:00"/>
    <n v="0"/>
    <n v="7.68"/>
    <n v="150"/>
    <n v="54"/>
    <x v="0"/>
    <s v="25"/>
    <s v="120"/>
    <n v="25"/>
    <n v="1.25"/>
    <n v="0.05"/>
  </r>
  <r>
    <x v="0"/>
    <x v="3"/>
    <x v="3"/>
    <s v="M00000319406"/>
    <d v="2007-12-06T00:00:00"/>
    <n v="0"/>
    <n v="44.8"/>
    <n v="875"/>
    <n v="315"/>
    <x v="0"/>
    <s v="25"/>
    <s v="700"/>
    <n v="25"/>
    <n v="1.25"/>
    <n v="0.05"/>
  </r>
  <r>
    <x v="0"/>
    <x v="3"/>
    <x v="3"/>
    <s v="M00000344923"/>
    <d v="2008-03-13T00:00:00"/>
    <n v="0"/>
    <n v="40.96"/>
    <n v="805"/>
    <n v="288"/>
    <x v="0"/>
    <s v="25"/>
    <s v="640"/>
    <n v="25"/>
    <n v="1.2578125"/>
    <n v="5.0312500000000003E-2"/>
  </r>
  <r>
    <x v="0"/>
    <x v="3"/>
    <x v="3"/>
    <s v="M00000276056"/>
    <d v="2007-06-07T00:00:00"/>
    <n v="0"/>
    <n v="91.26"/>
    <n v="1794.05"/>
    <n v="641.70000000000005"/>
    <x v="0"/>
    <s v="25"/>
    <s v="1426"/>
    <n v="25"/>
    <n v="1.2580995792426368"/>
    <n v="5.0323983169705475E-2"/>
  </r>
  <r>
    <x v="0"/>
    <x v="3"/>
    <x v="3"/>
    <s v="M00000323862"/>
    <d v="2007-12-20T00:00:00"/>
    <n v="0"/>
    <n v="103.68"/>
    <n v="2039"/>
    <n v="729"/>
    <x v="0"/>
    <s v="25"/>
    <s v="1620"/>
    <n v="25"/>
    <n v="1.258641975308642"/>
    <n v="5.0345679012345677E-2"/>
  </r>
  <r>
    <x v="0"/>
    <x v="3"/>
    <x v="3"/>
    <s v="M00000300052"/>
    <d v="2007-09-20T00:00:00"/>
    <n v="0"/>
    <n v="44.54"/>
    <n v="877"/>
    <n v="313.2"/>
    <x v="0"/>
    <s v="25"/>
    <s v="696"/>
    <n v="25"/>
    <n v="1.2600574712643677"/>
    <n v="5.0402298850574706E-2"/>
  </r>
  <r>
    <x v="0"/>
    <x v="3"/>
    <x v="3"/>
    <s v="M00000311862"/>
    <d v="2007-11-09T00:00:00"/>
    <n v="0"/>
    <n v="56"/>
    <n v="1103"/>
    <n v="393.75"/>
    <x v="0"/>
    <s v="25"/>
    <s v="875"/>
    <n v="25"/>
    <n v="1.2605714285714287"/>
    <n v="5.0422857142857144E-2"/>
  </r>
  <r>
    <x v="0"/>
    <x v="3"/>
    <x v="3"/>
    <s v="M00000367537"/>
    <d v="2008-06-12T00:00:00"/>
    <n v="0"/>
    <n v="34.18"/>
    <n v="808"/>
    <n v="240.3"/>
    <x v="0"/>
    <s v="30"/>
    <s v="534"/>
    <n v="30"/>
    <n v="1.5131086142322097"/>
    <n v="5.0436953807740319E-2"/>
  </r>
  <r>
    <x v="0"/>
    <x v="3"/>
    <x v="3"/>
    <s v="M00000363288"/>
    <d v="2008-05-22T00:00:00"/>
    <n v="0"/>
    <n v="36.74"/>
    <n v="724"/>
    <n v="258.3"/>
    <x v="0"/>
    <s v="25"/>
    <s v="574"/>
    <n v="25"/>
    <n v="1.2613240418118468"/>
    <n v="5.0452961672473873E-2"/>
  </r>
  <r>
    <x v="0"/>
    <x v="3"/>
    <x v="3"/>
    <s v="M00000298181"/>
    <d v="2007-09-14T00:00:00"/>
    <n v="0"/>
    <n v="89.92"/>
    <n v="1775.92"/>
    <n v="632.25"/>
    <x v="0"/>
    <s v="25"/>
    <s v="1405"/>
    <n v="25"/>
    <n v="1.264"/>
    <n v="5.0560000000000001E-2"/>
  </r>
  <r>
    <x v="0"/>
    <x v="3"/>
    <x v="3"/>
    <s v="M00000331680"/>
    <d v="2007-12-31T00:00:00"/>
    <n v="0"/>
    <n v="62.21"/>
    <n v="1234"/>
    <n v="437.4"/>
    <x v="0"/>
    <s v="25"/>
    <s v="972"/>
    <n v="25"/>
    <n v="1.2695473251028806"/>
    <n v="5.0781893004115224E-2"/>
  </r>
  <r>
    <x v="0"/>
    <x v="3"/>
    <x v="3"/>
    <s v="M00000323845"/>
    <d v="2007-12-20T00:00:00"/>
    <n v="0"/>
    <n v="71.23"/>
    <n v="1418"/>
    <n v="500.85"/>
    <x v="0"/>
    <s v="25"/>
    <s v="1113"/>
    <n v="25"/>
    <n v="1.2740341419586703"/>
    <n v="5.0961365678346811E-2"/>
  </r>
  <r>
    <x v="0"/>
    <x v="3"/>
    <x v="3"/>
    <s v="M00000341595"/>
    <d v="2008-02-29T00:00:00"/>
    <n v="0"/>
    <n v="88.06"/>
    <n v="1477"/>
    <n v="619.20000000000005"/>
    <x v="0"/>
    <s v="21"/>
    <s v="1376"/>
    <n v="21"/>
    <n v="1.0734011627906976"/>
    <n v="5.1114341085271318E-2"/>
  </r>
  <r>
    <x v="0"/>
    <x v="3"/>
    <x v="3"/>
    <s v="M00000318845"/>
    <d v="2008-01-24T00:00:00"/>
    <n v="0"/>
    <n v="128"/>
    <n v="2556"/>
    <n v="900"/>
    <x v="0"/>
    <s v="25"/>
    <s v="2000"/>
    <n v="25"/>
    <n v="1.278"/>
    <n v="5.1119999999999999E-2"/>
  </r>
  <r>
    <x v="0"/>
    <x v="3"/>
    <x v="3"/>
    <s v="M00000342003"/>
    <d v="2008-02-29T00:00:00"/>
    <n v="0"/>
    <n v="36.61"/>
    <n v="615"/>
    <n v="257.39999999999998"/>
    <x v="0"/>
    <s v="21"/>
    <s v="572"/>
    <n v="21"/>
    <n v="1.0751748251748252"/>
    <n v="5.11988011988012E-2"/>
  </r>
  <r>
    <x v="0"/>
    <x v="3"/>
    <x v="3"/>
    <s v="M00000306460"/>
    <d v="2007-10-25T00:00:00"/>
    <n v="0"/>
    <n v="68.349999999999994"/>
    <n v="1150"/>
    <n v="480.6"/>
    <x v="0"/>
    <s v="21"/>
    <s v="1068"/>
    <n v="21"/>
    <n v="1.0767790262172285"/>
    <n v="5.127519172462993E-2"/>
  </r>
  <r>
    <x v="0"/>
    <x v="3"/>
    <x v="3"/>
    <s v="M00000339125"/>
    <d v="2008-04-10T00:00:00"/>
    <n v="0"/>
    <n v="83.58"/>
    <n v="1680"/>
    <n v="587.70000000000005"/>
    <x v="0"/>
    <s v="25"/>
    <s v="1306"/>
    <n v="25"/>
    <n v="1.2863705972434916"/>
    <n v="5.1454823889739661E-2"/>
  </r>
  <r>
    <x v="0"/>
    <x v="3"/>
    <x v="3"/>
    <s v="M00000350689"/>
    <d v="2008-04-03T00:00:00"/>
    <n v="0"/>
    <n v="74.37"/>
    <n v="1496"/>
    <n v="522.9"/>
    <x v="0"/>
    <s v="25"/>
    <s v="1162"/>
    <n v="25"/>
    <n v="1.2874354561101549"/>
    <n v="5.1497418244406193E-2"/>
  </r>
  <r>
    <x v="0"/>
    <x v="3"/>
    <x v="3"/>
    <s v="M00000287241"/>
    <d v="2007-07-26T00:00:00"/>
    <n v="0"/>
    <n v="83.2"/>
    <n v="1674.01"/>
    <n v="585"/>
    <x v="0"/>
    <s v="25"/>
    <s v="1300"/>
    <n v="25"/>
    <n v="1.2877000000000001"/>
    <n v="5.1508000000000005E-2"/>
  </r>
  <r>
    <x v="0"/>
    <x v="3"/>
    <x v="3"/>
    <s v="M00000348089"/>
    <d v="2008-03-20T00:00:00"/>
    <n v="0"/>
    <n v="89.34"/>
    <n v="1799"/>
    <n v="628.20000000000005"/>
    <x v="0"/>
    <s v="25"/>
    <s v="1396"/>
    <n v="25"/>
    <n v="1.2886819484240688"/>
    <n v="5.1547277936962753E-2"/>
  </r>
  <r>
    <x v="0"/>
    <x v="3"/>
    <x v="3"/>
    <s v="M00000315972"/>
    <d v="2007-11-29T00:00:00"/>
    <n v="0"/>
    <n v="90.18"/>
    <n v="1525.35"/>
    <n v="634.04999999999995"/>
    <x v="0"/>
    <s v="21"/>
    <s v="1409"/>
    <n v="21"/>
    <n v="1.0825762952448545"/>
    <n v="5.1551252154516884E-2"/>
  </r>
  <r>
    <x v="0"/>
    <x v="3"/>
    <x v="3"/>
    <s v="M00000273231"/>
    <d v="2007-05-31T00:00:00"/>
    <n v="0"/>
    <n v="15.36"/>
    <n v="310.01"/>
    <n v="108"/>
    <x v="0"/>
    <s v="25"/>
    <s v="240"/>
    <n v="25"/>
    <n v="1.2917083333333332"/>
    <n v="5.166833333333333E-2"/>
  </r>
  <r>
    <x v="0"/>
    <x v="3"/>
    <x v="3"/>
    <s v="M00000282690"/>
    <d v="2007-08-09T00:00:00"/>
    <n v="0"/>
    <n v="102.14"/>
    <n v="2063.31"/>
    <n v="718.2"/>
    <x v="0"/>
    <s v="25"/>
    <s v="1596"/>
    <n v="25"/>
    <n v="1.2928007518796991"/>
    <n v="5.1712030075187966E-2"/>
  </r>
  <r>
    <x v="0"/>
    <x v="3"/>
    <x v="3"/>
    <s v="M00000339082"/>
    <d v="2008-03-27T00:00:00"/>
    <n v="0"/>
    <n v="82.56"/>
    <n v="1672"/>
    <n v="580.5"/>
    <x v="0"/>
    <s v="25"/>
    <s v="1290"/>
    <n v="25"/>
    <n v="1.296124031007752"/>
    <n v="5.1844961240310079E-2"/>
  </r>
  <r>
    <x v="0"/>
    <x v="3"/>
    <x v="3"/>
    <s v="M00000271569"/>
    <d v="2007-05-17T00:00:00"/>
    <n v="0"/>
    <n v="70.400000000000006"/>
    <n v="1199"/>
    <n v="495"/>
    <x v="0"/>
    <s v="21"/>
    <s v="1100"/>
    <n v="21"/>
    <n v="1.0900000000000001"/>
    <n v="5.1904761904761912E-2"/>
  </r>
  <r>
    <x v="0"/>
    <x v="3"/>
    <x v="3"/>
    <s v="M00000334637"/>
    <d v="2008-01-24T00:00:00"/>
    <n v="0"/>
    <n v="109.06"/>
    <n v="2213"/>
    <n v="766.8"/>
    <x v="0"/>
    <s v="25"/>
    <s v="1704"/>
    <n v="25"/>
    <n v="1.2987089201877935"/>
    <n v="5.1948356807511739E-2"/>
  </r>
  <r>
    <x v="0"/>
    <x v="3"/>
    <x v="3"/>
    <s v="M00000272007"/>
    <d v="2007-05-17T00:00:00"/>
    <n v="0"/>
    <n v="49.92"/>
    <n v="1014"/>
    <n v="351"/>
    <x v="0"/>
    <s v="25"/>
    <s v="780"/>
    <n v="25"/>
    <n v="1.3"/>
    <n v="5.2000000000000005E-2"/>
  </r>
  <r>
    <x v="0"/>
    <x v="3"/>
    <x v="3"/>
    <s v="M00000272457"/>
    <d v="2007-07-06T00:00:00"/>
    <n v="0"/>
    <n v="64"/>
    <n v="1300"/>
    <n v="450"/>
    <x v="0"/>
    <s v="25"/>
    <s v="1000"/>
    <n v="25"/>
    <n v="1.3"/>
    <n v="5.2000000000000005E-2"/>
  </r>
  <r>
    <x v="0"/>
    <x v="3"/>
    <x v="3"/>
    <s v="M00000315193"/>
    <d v="2007-12-20T00:00:00"/>
    <n v="0"/>
    <n v="76.8"/>
    <n v="1560"/>
    <n v="540"/>
    <x v="0"/>
    <s v="25"/>
    <s v="1200"/>
    <n v="25"/>
    <n v="1.3"/>
    <n v="5.2000000000000005E-2"/>
  </r>
  <r>
    <x v="0"/>
    <x v="3"/>
    <x v="3"/>
    <s v="M00000300432"/>
    <d v="2007-10-25T00:00:00"/>
    <n v="0"/>
    <n v="65.28"/>
    <n v="1330"/>
    <n v="459"/>
    <x v="0"/>
    <s v="25"/>
    <s v="1020"/>
    <n v="25"/>
    <n v="1.303921568627451"/>
    <n v="5.2156862745098037E-2"/>
  </r>
  <r>
    <x v="0"/>
    <x v="3"/>
    <x v="3"/>
    <s v="M00000284350"/>
    <d v="2007-07-19T00:00:00"/>
    <n v="0"/>
    <n v="121.6"/>
    <n v="2082.9699999999998"/>
    <n v="855"/>
    <x v="0"/>
    <s v="21"/>
    <s v="1900"/>
    <n v="21"/>
    <n v="1.0962999999999998"/>
    <n v="5.22047619047619E-2"/>
  </r>
  <r>
    <x v="0"/>
    <x v="3"/>
    <x v="3"/>
    <s v="M00000333941"/>
    <d v="2008-01-24T00:00:00"/>
    <n v="0"/>
    <n v="68.739999999999995"/>
    <n v="1403"/>
    <n v="483.3"/>
    <x v="0"/>
    <s v="25"/>
    <s v="1074"/>
    <n v="25"/>
    <n v="1.3063314711359404"/>
    <n v="5.2253258845437613E-2"/>
  </r>
  <r>
    <x v="0"/>
    <x v="3"/>
    <x v="3"/>
    <s v="M00000316715"/>
    <d v="2007-12-20T00:00:00"/>
    <n v="0"/>
    <n v="99.2"/>
    <n v="2430"/>
    <n v="697.5"/>
    <x v="0"/>
    <s v="30"/>
    <s v="1550"/>
    <n v="30"/>
    <n v="1.5677419354838709"/>
    <n v="5.2258064516129028E-2"/>
  </r>
  <r>
    <x v="0"/>
    <x v="3"/>
    <x v="3"/>
    <s v="M00000341575"/>
    <d v="2008-02-29T00:00:00"/>
    <n v="0"/>
    <n v="68.349999999999994"/>
    <n v="1397"/>
    <n v="480.6"/>
    <x v="0"/>
    <s v="25"/>
    <s v="1068"/>
    <n v="25"/>
    <n v="1.3080524344569289"/>
    <n v="5.2322097378277158E-2"/>
  </r>
  <r>
    <x v="0"/>
    <x v="3"/>
    <x v="3"/>
    <s v="M00000347506"/>
    <d v="2008-03-20T00:00:00"/>
    <n v="0"/>
    <n v="63.68"/>
    <n v="990"/>
    <n v="447.75"/>
    <x v="2"/>
    <s v="30"/>
    <s v="995"/>
    <n v="19"/>
    <n v="0.99497487437185927"/>
    <n v="5.2367098651150489E-2"/>
  </r>
  <r>
    <x v="0"/>
    <x v="3"/>
    <x v="3"/>
    <s v="M00000306681"/>
    <d v="2007-11-21T00:00:00"/>
    <n v="0"/>
    <n v="111.3"/>
    <n v="2740.67"/>
    <n v="782.55"/>
    <x v="0"/>
    <s v="30"/>
    <s v="1739"/>
    <n v="30"/>
    <n v="1.5760034502587694"/>
    <n v="5.2533448341958978E-2"/>
  </r>
  <r>
    <x v="0"/>
    <x v="3"/>
    <x v="3"/>
    <s v="M00000283054"/>
    <d v="2007-07-12T00:00:00"/>
    <n v="0"/>
    <n v="78.400000000000006"/>
    <n v="1610.02"/>
    <n v="551.25"/>
    <x v="0"/>
    <s v="25"/>
    <s v="1225"/>
    <n v="25"/>
    <n v="1.3143020408163266"/>
    <n v="5.2572081632653062E-2"/>
  </r>
  <r>
    <x v="0"/>
    <x v="3"/>
    <x v="3"/>
    <s v="M00000342268"/>
    <d v="2008-03-20T00:00:00"/>
    <n v="0"/>
    <n v="81.92"/>
    <n v="1683.86"/>
    <n v="576"/>
    <x v="0"/>
    <s v="25"/>
    <s v="1280"/>
    <n v="25"/>
    <n v="1.315515625"/>
    <n v="5.2620624999999997E-2"/>
  </r>
  <r>
    <x v="0"/>
    <x v="3"/>
    <x v="3"/>
    <s v="M00000343553"/>
    <d v="2008-03-06T00:00:00"/>
    <n v="0"/>
    <n v="87.55"/>
    <n v="1368"/>
    <n v="615.6"/>
    <x v="0"/>
    <s v="19"/>
    <s v="1368"/>
    <n v="19"/>
    <n v="1"/>
    <n v="5.2631578947368418E-2"/>
  </r>
  <r>
    <x v="0"/>
    <x v="3"/>
    <x v="3"/>
    <s v="M00000298525"/>
    <d v="2007-10-04T00:00:00"/>
    <n v="0"/>
    <n v="96"/>
    <n v="2370.1"/>
    <n v="675"/>
    <x v="0"/>
    <s v="30"/>
    <s v="1500"/>
    <n v="30"/>
    <n v="1.5800666666666665"/>
    <n v="5.2668888888888883E-2"/>
  </r>
  <r>
    <x v="0"/>
    <x v="3"/>
    <x v="3"/>
    <s v="M00000366408"/>
    <d v="2008-07-03T00:00:00"/>
    <n v="0"/>
    <n v="106.11"/>
    <n v="2185.36"/>
    <n v="746.1"/>
    <x v="0"/>
    <s v="25"/>
    <s v="1658"/>
    <n v="25"/>
    <n v="1.3180699638118216"/>
    <n v="5.2722798552472867E-2"/>
  </r>
  <r>
    <x v="0"/>
    <x v="3"/>
    <x v="3"/>
    <s v="M00000328834"/>
    <d v="2007-12-31T00:00:00"/>
    <n v="0"/>
    <n v="74.239999999999995"/>
    <n v="1531"/>
    <n v="522"/>
    <x v="0"/>
    <s v="25"/>
    <s v="1160"/>
    <n v="25"/>
    <n v="1.3198275862068964"/>
    <n v="5.2793103448275855E-2"/>
  </r>
  <r>
    <x v="0"/>
    <x v="3"/>
    <x v="3"/>
    <s v="M00000299835"/>
    <d v="2007-11-09T00:00:00"/>
    <n v="0"/>
    <n v="50.43"/>
    <n v="1044.02"/>
    <n v="354.6"/>
    <x v="0"/>
    <s v="25"/>
    <s v="788"/>
    <n v="25"/>
    <n v="1.3248984771573604"/>
    <n v="5.2995939086294415E-2"/>
  </r>
  <r>
    <x v="0"/>
    <x v="3"/>
    <x v="3"/>
    <s v="M00000343764"/>
    <d v="2008-03-20T00:00:00"/>
    <n v="0"/>
    <n v="161.6"/>
    <n v="3348.55"/>
    <n v="1136.25"/>
    <x v="0"/>
    <s v="25"/>
    <s v="2525"/>
    <n v="25"/>
    <n v="1.3261584158415842"/>
    <n v="5.3046336633663371E-2"/>
  </r>
  <r>
    <x v="0"/>
    <x v="3"/>
    <x v="3"/>
    <s v="M00000347135"/>
    <d v="2008-03-20T00:00:00"/>
    <n v="0"/>
    <n v="31.36"/>
    <n v="650"/>
    <n v="220.5"/>
    <x v="0"/>
    <s v="25"/>
    <s v="490"/>
    <n v="25"/>
    <n v="1.3265306122448979"/>
    <n v="5.3061224489795916E-2"/>
  </r>
  <r>
    <x v="0"/>
    <x v="3"/>
    <x v="3"/>
    <s v="M00000336964"/>
    <d v="2008-03-20T00:00:00"/>
    <n v="0"/>
    <n v="59.14"/>
    <n v="1474"/>
    <n v="415.8"/>
    <x v="0"/>
    <s v="30"/>
    <s v="924"/>
    <n v="30"/>
    <n v="1.5952380952380953"/>
    <n v="5.317460317460318E-2"/>
  </r>
  <r>
    <x v="0"/>
    <x v="3"/>
    <x v="3"/>
    <s v="M00000291117"/>
    <d v="2007-08-16T00:00:00"/>
    <n v="0"/>
    <n v="89.6"/>
    <n v="1862"/>
    <n v="630"/>
    <x v="0"/>
    <s v="25"/>
    <s v="1400"/>
    <n v="25"/>
    <n v="1.33"/>
    <n v="5.3200000000000004E-2"/>
  </r>
  <r>
    <x v="0"/>
    <x v="3"/>
    <x v="3"/>
    <s v="M00000303718"/>
    <d v="2007-10-11T00:00:00"/>
    <n v="0"/>
    <n v="88.58"/>
    <n v="1402"/>
    <n v="622.79999999999995"/>
    <x v="12"/>
    <s v="25"/>
    <s v="1384"/>
    <n v="19"/>
    <n v="1.0130057803468209"/>
    <n v="5.3316093702464255E-2"/>
  </r>
  <r>
    <x v="0"/>
    <x v="3"/>
    <x v="3"/>
    <s v="M00000348088"/>
    <d v="2008-03-20T00:00:00"/>
    <n v="0"/>
    <n v="49.34"/>
    <n v="1028"/>
    <n v="346.95"/>
    <x v="0"/>
    <s v="25"/>
    <s v="771"/>
    <n v="25"/>
    <n v="1.3333333333333333"/>
    <n v="5.333333333333333E-2"/>
  </r>
  <r>
    <x v="0"/>
    <x v="3"/>
    <x v="3"/>
    <s v="M00000343464"/>
    <d v="2008-03-06T00:00:00"/>
    <n v="0"/>
    <n v="56"/>
    <n v="890"/>
    <n v="393.75"/>
    <x v="0"/>
    <s v="19"/>
    <s v="875"/>
    <n v="19"/>
    <n v="1.0171428571428571"/>
    <n v="5.3533834586466163E-2"/>
  </r>
  <r>
    <x v="0"/>
    <x v="3"/>
    <x v="3"/>
    <s v="M00000303680"/>
    <d v="2007-11-09T00:00:00"/>
    <n v="0"/>
    <n v="63.36"/>
    <n v="1325"/>
    <n v="445.5"/>
    <x v="0"/>
    <s v="25"/>
    <s v="990"/>
    <n v="25"/>
    <n v="1.3383838383838385"/>
    <n v="5.353535353535354E-2"/>
  </r>
  <r>
    <x v="0"/>
    <x v="3"/>
    <x v="3"/>
    <s v="M00000279935"/>
    <d v="2007-08-30T00:00:00"/>
    <n v="0"/>
    <n v="51.2"/>
    <n v="1070.96"/>
    <n v="360"/>
    <x v="0"/>
    <s v="25"/>
    <s v="800"/>
    <n v="25"/>
    <n v="1.3387"/>
    <n v="5.3547999999999998E-2"/>
  </r>
  <r>
    <x v="0"/>
    <x v="3"/>
    <x v="3"/>
    <s v="M00000317314"/>
    <d v="2007-12-31T00:00:00"/>
    <n v="0"/>
    <n v="132.80000000000001"/>
    <n v="2338"/>
    <n v="933.75"/>
    <x v="0"/>
    <s v="21"/>
    <s v="2075"/>
    <n v="21"/>
    <n v="1.1267469879518073"/>
    <n v="5.3654618473895584E-2"/>
  </r>
  <r>
    <x v="0"/>
    <x v="3"/>
    <x v="3"/>
    <s v="M00000279425"/>
    <d v="2007-08-16T00:00:00"/>
    <n v="0"/>
    <n v="79.81"/>
    <n v="1674.1"/>
    <n v="561.15"/>
    <x v="0"/>
    <s v="25"/>
    <s v="1247"/>
    <n v="25"/>
    <n v="1.3425020048115477"/>
    <n v="5.3700080192461905E-2"/>
  </r>
  <r>
    <x v="0"/>
    <x v="3"/>
    <x v="3"/>
    <s v="M00000359413"/>
    <d v="2008-05-15T00:00:00"/>
    <n v="0"/>
    <n v="86.91"/>
    <n v="2200.42"/>
    <n v="611.1"/>
    <x v="0"/>
    <s v="30"/>
    <s v="1358"/>
    <n v="30"/>
    <n v="1.6203387334315169"/>
    <n v="5.4011291114383894E-2"/>
  </r>
  <r>
    <x v="0"/>
    <x v="3"/>
    <x v="3"/>
    <s v="M00000349421"/>
    <d v="2008-05-08T00:00:00"/>
    <n v="0"/>
    <n v="112.64"/>
    <n v="2378.36"/>
    <n v="792"/>
    <x v="0"/>
    <s v="25"/>
    <s v="1760"/>
    <n v="25"/>
    <n v="1.3513409090909092"/>
    <n v="5.4053636363636366E-2"/>
  </r>
  <r>
    <x v="0"/>
    <x v="3"/>
    <x v="3"/>
    <s v="M00000281606"/>
    <d v="2007-07-06T00:00:00"/>
    <n v="0"/>
    <n v="96"/>
    <n v="1702.95"/>
    <n v="675"/>
    <x v="0"/>
    <s v="21"/>
    <s v="1500"/>
    <n v="21"/>
    <n v="1.1353"/>
    <n v="5.4061904761904762E-2"/>
  </r>
  <r>
    <x v="0"/>
    <x v="3"/>
    <x v="3"/>
    <s v="M00000308712"/>
    <d v="2007-11-29T00:00:00"/>
    <n v="0"/>
    <n v="102.4"/>
    <n v="2596.4"/>
    <n v="720"/>
    <x v="0"/>
    <s v="30"/>
    <s v="1600"/>
    <n v="30"/>
    <n v="1.6227500000000001"/>
    <n v="5.409166666666667E-2"/>
  </r>
  <r>
    <x v="0"/>
    <x v="3"/>
    <x v="3"/>
    <s v="M00000290849"/>
    <d v="2007-08-30T00:00:00"/>
    <n v="0"/>
    <n v="115.2"/>
    <n v="2439.9"/>
    <n v="810"/>
    <x v="0"/>
    <s v="25"/>
    <s v="1800"/>
    <n v="25"/>
    <n v="1.3555000000000001"/>
    <n v="5.4220000000000004E-2"/>
  </r>
  <r>
    <x v="0"/>
    <x v="3"/>
    <x v="3"/>
    <s v="M00000359357"/>
    <d v="2008-05-15T00:00:00"/>
    <n v="0"/>
    <n v="53.76"/>
    <n v="1367.24"/>
    <n v="378"/>
    <x v="0"/>
    <s v="30"/>
    <s v="840"/>
    <n v="30"/>
    <n v="1.6276666666666666"/>
    <n v="5.425555555555555E-2"/>
  </r>
  <r>
    <x v="0"/>
    <x v="3"/>
    <x v="3"/>
    <s v="M00000366114"/>
    <d v="2008-06-12T00:00:00"/>
    <n v="0"/>
    <n v="99.84"/>
    <n v="2117"/>
    <n v="702"/>
    <x v="0"/>
    <s v="25"/>
    <s v="1560"/>
    <n v="25"/>
    <n v="1.3570512820512821"/>
    <n v="5.4282051282051283E-2"/>
  </r>
  <r>
    <x v="0"/>
    <x v="3"/>
    <x v="3"/>
    <s v="M00000270248"/>
    <d v="2007-05-17T00:00:00"/>
    <n v="0"/>
    <n v="84.22"/>
    <n v="1500.24"/>
    <n v="592.20000000000005"/>
    <x v="0"/>
    <s v="21"/>
    <s v="1316"/>
    <n v="21"/>
    <n v="1.1399999999999999"/>
    <n v="5.4285714285714284E-2"/>
  </r>
  <r>
    <x v="0"/>
    <x v="3"/>
    <x v="3"/>
    <s v="M00000303216"/>
    <d v="2007-10-11T00:00:00"/>
    <n v="0"/>
    <n v="33.79"/>
    <n v="860"/>
    <n v="237.6"/>
    <x v="0"/>
    <s v="30"/>
    <s v="528"/>
    <n v="30"/>
    <n v="1.6287878787878789"/>
    <n v="5.4292929292929296E-2"/>
  </r>
  <r>
    <x v="0"/>
    <x v="3"/>
    <x v="3"/>
    <s v="M00000273542"/>
    <d v="2007-08-09T00:00:00"/>
    <n v="0"/>
    <n v="89.6"/>
    <n v="1902.18"/>
    <n v="630"/>
    <x v="0"/>
    <s v="25"/>
    <s v="1400"/>
    <n v="25"/>
    <n v="1.3587"/>
    <n v="5.4348E-2"/>
  </r>
  <r>
    <x v="0"/>
    <x v="3"/>
    <x v="3"/>
    <s v="M00000271465"/>
    <d v="2007-05-17T00:00:00"/>
    <n v="0"/>
    <n v="72.959999999999994"/>
    <n v="1550.4"/>
    <n v="513"/>
    <x v="0"/>
    <s v="25"/>
    <s v="1140"/>
    <n v="25"/>
    <n v="1.36"/>
    <n v="5.4400000000000004E-2"/>
  </r>
  <r>
    <x v="0"/>
    <x v="3"/>
    <x v="3"/>
    <s v="M00000363347"/>
    <d v="2008-05-22T00:00:00"/>
    <n v="0"/>
    <n v="106.24"/>
    <n v="1904"/>
    <n v="747"/>
    <x v="0"/>
    <s v="21"/>
    <s v="1660"/>
    <n v="21"/>
    <n v="1.146987951807229"/>
    <n v="5.4618473895582331E-2"/>
  </r>
  <r>
    <x v="0"/>
    <x v="3"/>
    <x v="3"/>
    <s v="M00000327885"/>
    <d v="2007-12-31T00:00:00"/>
    <n v="0"/>
    <n v="128.06"/>
    <n v="2301"/>
    <n v="900.45"/>
    <x v="0"/>
    <s v="21"/>
    <s v="2001"/>
    <n v="21"/>
    <n v="1.1499250374812593"/>
    <n v="5.4758335118155206E-2"/>
  </r>
  <r>
    <x v="0"/>
    <x v="3"/>
    <x v="3"/>
    <s v="M00000340204"/>
    <d v="2008-03-06T00:00:00"/>
    <n v="0"/>
    <n v="80.319999999999993"/>
    <n v="2063"/>
    <n v="564.75"/>
    <x v="0"/>
    <s v="30"/>
    <s v="1255"/>
    <n v="30"/>
    <n v="1.6438247011952192"/>
    <n v="5.4794156706507308E-2"/>
  </r>
  <r>
    <x v="0"/>
    <x v="3"/>
    <x v="3"/>
    <s v="M00000296029"/>
    <d v="2007-09-28T00:00:00"/>
    <n v="0"/>
    <n v="87.81"/>
    <n v="1880.05"/>
    <n v="617.4"/>
    <x v="0"/>
    <s v="25"/>
    <s v="1372"/>
    <n v="25"/>
    <n v="1.3702988338192419"/>
    <n v="5.4811953352769678E-2"/>
  </r>
  <r>
    <x v="0"/>
    <x v="3"/>
    <x v="3"/>
    <s v="M00000292777"/>
    <d v="2007-08-23T00:00:00"/>
    <n v="0"/>
    <n v="138.24"/>
    <n v="3554.93"/>
    <n v="972"/>
    <x v="0"/>
    <s v="30"/>
    <s v="2160"/>
    <n v="30"/>
    <n v="1.6458009259259259"/>
    <n v="5.486003086419753E-2"/>
  </r>
  <r>
    <x v="0"/>
    <x v="3"/>
    <x v="3"/>
    <s v="M00000298076"/>
    <d v="2007-10-11T00:00:00"/>
    <n v="0"/>
    <n v="43.97"/>
    <n v="791.97"/>
    <n v="309.14999999999998"/>
    <x v="0"/>
    <s v="21"/>
    <s v="687"/>
    <n v="21"/>
    <n v="1.1527947598253276"/>
    <n v="5.4894988563110841E-2"/>
  </r>
  <r>
    <x v="0"/>
    <x v="3"/>
    <x v="3"/>
    <s v="M00000310432"/>
    <d v="2007-11-29T00:00:00"/>
    <n v="0"/>
    <n v="95.3"/>
    <n v="2046"/>
    <n v="670.05"/>
    <x v="0"/>
    <s v="25"/>
    <s v="1489"/>
    <n v="25"/>
    <n v="1.3740765614506381"/>
    <n v="5.496306245802552E-2"/>
  </r>
  <r>
    <x v="0"/>
    <x v="3"/>
    <x v="3"/>
    <s v="M00000367350"/>
    <d v="2008-06-12T00:00:00"/>
    <n v="0"/>
    <n v="90.94"/>
    <n v="2346"/>
    <n v="639.45000000000005"/>
    <x v="0"/>
    <s v="30"/>
    <s v="1421"/>
    <n v="30"/>
    <n v="1.6509500351864883"/>
    <n v="5.503166783954961E-2"/>
  </r>
  <r>
    <x v="0"/>
    <x v="3"/>
    <x v="3"/>
    <s v="M00000346885"/>
    <d v="2008-03-13T00:00:00"/>
    <n v="0"/>
    <n v="23.04"/>
    <n v="498"/>
    <n v="162"/>
    <x v="0"/>
    <s v="25"/>
    <s v="360"/>
    <n v="25"/>
    <n v="1.3833333333333333"/>
    <n v="5.5333333333333332E-2"/>
  </r>
  <r>
    <x v="0"/>
    <x v="3"/>
    <x v="3"/>
    <s v="M00000298242"/>
    <d v="2007-09-14T00:00:00"/>
    <n v="0"/>
    <n v="83.2"/>
    <n v="1799.98"/>
    <n v="585"/>
    <x v="0"/>
    <s v="25"/>
    <s v="1300"/>
    <n v="25"/>
    <n v="1.3846000000000001"/>
    <n v="5.5384000000000003E-2"/>
  </r>
  <r>
    <x v="0"/>
    <x v="3"/>
    <x v="3"/>
    <s v="M00000350611"/>
    <d v="2008-04-30T00:00:00"/>
    <n v="0"/>
    <n v="43.52"/>
    <n v="1130"/>
    <n v="306"/>
    <x v="0"/>
    <s v="30"/>
    <s v="680"/>
    <n v="30"/>
    <n v="1.661764705882353"/>
    <n v="5.5392156862745102E-2"/>
  </r>
  <r>
    <x v="0"/>
    <x v="3"/>
    <x v="3"/>
    <s v="M00000343916"/>
    <d v="2008-04-03T00:00:00"/>
    <n v="0"/>
    <n v="94.98"/>
    <n v="2055.27"/>
    <n v="667.8"/>
    <x v="0"/>
    <s v="25"/>
    <s v="1484"/>
    <n v="25"/>
    <n v="1.3849528301886793"/>
    <n v="5.5398113207547173E-2"/>
  </r>
  <r>
    <x v="0"/>
    <x v="3"/>
    <x v="3"/>
    <s v="M00000313006"/>
    <d v="2007-12-31T00:00:00"/>
    <n v="0"/>
    <n v="82.43"/>
    <n v="1788.59"/>
    <n v="579.6"/>
    <x v="0"/>
    <s v="25"/>
    <s v="1288"/>
    <n v="25"/>
    <n v="1.3886568322981365"/>
    <n v="5.5546273291925463E-2"/>
  </r>
  <r>
    <x v="0"/>
    <x v="3"/>
    <x v="3"/>
    <s v="M00000302199"/>
    <d v="2007-10-04T00:00:00"/>
    <n v="0"/>
    <n v="7.68"/>
    <n v="200"/>
    <n v="54"/>
    <x v="0"/>
    <s v="30"/>
    <s v="120"/>
    <n v="30"/>
    <n v="1.6666666666666667"/>
    <n v="5.5555555555555559E-2"/>
  </r>
  <r>
    <x v="0"/>
    <x v="3"/>
    <x v="3"/>
    <s v="M00000330782"/>
    <d v="2007-12-31T00:00:00"/>
    <n v="0"/>
    <n v="107.52"/>
    <n v="1960"/>
    <n v="756"/>
    <x v="0"/>
    <s v="21"/>
    <s v="1680"/>
    <n v="21"/>
    <n v="1.1666666666666667"/>
    <n v="5.5555555555555559E-2"/>
  </r>
  <r>
    <x v="0"/>
    <x v="3"/>
    <x v="3"/>
    <s v="M00000343831"/>
    <d v="2008-03-06T00:00:00"/>
    <n v="0"/>
    <n v="106.43"/>
    <n v="1942"/>
    <n v="748.35"/>
    <x v="0"/>
    <s v="21"/>
    <s v="1663"/>
    <n v="21"/>
    <n v="1.1677690920024053"/>
    <n v="5.5608052000114538E-2"/>
  </r>
  <r>
    <x v="0"/>
    <x v="3"/>
    <x v="3"/>
    <s v="M00000305345"/>
    <d v="2007-10-25T00:00:00"/>
    <n v="0"/>
    <n v="48"/>
    <n v="876"/>
    <n v="337.5"/>
    <x v="0"/>
    <s v="21"/>
    <s v="750"/>
    <n v="21"/>
    <n v="1.1679999999999999"/>
    <n v="5.5619047619047617E-2"/>
  </r>
  <r>
    <x v="0"/>
    <x v="3"/>
    <x v="3"/>
    <s v="M00000349820"/>
    <d v="2008-03-27T00:00:00"/>
    <n v="0"/>
    <n v="96.38"/>
    <n v="1760"/>
    <n v="677.7"/>
    <x v="0"/>
    <s v="21"/>
    <s v="1506"/>
    <n v="21"/>
    <n v="1.1686586985391767"/>
    <n v="5.5650414216151273E-2"/>
  </r>
  <r>
    <x v="0"/>
    <x v="3"/>
    <x v="3"/>
    <s v="M00000320693"/>
    <d v="2007-12-13T00:00:00"/>
    <n v="0"/>
    <n v="95.74"/>
    <n v="2082"/>
    <n v="673.2"/>
    <x v="0"/>
    <s v="25"/>
    <s v="1496"/>
    <n v="25"/>
    <n v="1.391711229946524"/>
    <n v="5.5668449197860959E-2"/>
  </r>
  <r>
    <x v="0"/>
    <x v="3"/>
    <x v="3"/>
    <s v="M00000342516"/>
    <d v="2008-03-20T00:00:00"/>
    <n v="0"/>
    <n v="20.67"/>
    <n v="450"/>
    <n v="145.35"/>
    <x v="0"/>
    <s v="25"/>
    <s v="323"/>
    <n v="25"/>
    <n v="1.3931888544891642"/>
    <n v="5.5727554179566569E-2"/>
  </r>
  <r>
    <x v="0"/>
    <x v="3"/>
    <x v="3"/>
    <s v="M00000318658"/>
    <d v="2007-12-06T00:00:00"/>
    <n v="0"/>
    <n v="95.36"/>
    <n v="1581"/>
    <n v="670.5"/>
    <x v="0"/>
    <s v="19"/>
    <s v="1490"/>
    <n v="19"/>
    <n v="1.0610738255033556"/>
    <n v="5.5845990815966084E-2"/>
  </r>
  <r>
    <x v="0"/>
    <x v="3"/>
    <x v="3"/>
    <s v="M00000309944"/>
    <d v="2007-11-01T00:00:00"/>
    <n v="0"/>
    <n v="35.26"/>
    <n v="770"/>
    <n v="247.95"/>
    <x v="0"/>
    <s v="25"/>
    <s v="551"/>
    <n v="25"/>
    <n v="1.3974591651542649"/>
    <n v="5.5898366606170598E-2"/>
  </r>
  <r>
    <x v="0"/>
    <x v="3"/>
    <x v="3"/>
    <s v="M00000347798"/>
    <d v="2008-03-20T00:00:00"/>
    <n v="0"/>
    <n v="125.76"/>
    <n v="2089"/>
    <n v="884.25"/>
    <x v="0"/>
    <s v="19"/>
    <s v="1965"/>
    <n v="19"/>
    <n v="1.0631043256997454"/>
    <n v="5.5952859247355026E-2"/>
  </r>
  <r>
    <x v="0"/>
    <x v="3"/>
    <x v="3"/>
    <s v="M00000333187"/>
    <d v="2008-01-24T00:00:00"/>
    <n v="0"/>
    <n v="88.7"/>
    <n v="1943.1"/>
    <n v="623.70000000000005"/>
    <x v="0"/>
    <s v="25"/>
    <s v="1386"/>
    <n v="25"/>
    <n v="1.4019480519480518"/>
    <n v="5.6077922077922074E-2"/>
  </r>
  <r>
    <x v="0"/>
    <x v="3"/>
    <x v="3"/>
    <s v="M00000272568"/>
    <d v="2007-05-24T00:00:00"/>
    <n v="0"/>
    <n v="110.21"/>
    <n v="2901.57"/>
    <n v="774.9"/>
    <x v="0"/>
    <s v="30"/>
    <s v="1722"/>
    <n v="30"/>
    <n v="1.6850000000000001"/>
    <n v="5.616666666666667E-2"/>
  </r>
  <r>
    <x v="0"/>
    <x v="3"/>
    <x v="3"/>
    <s v="M00000358580"/>
    <d v="2008-05-08T00:00:00"/>
    <n v="0"/>
    <n v="114.69"/>
    <n v="2518"/>
    <n v="806.4"/>
    <x v="0"/>
    <s v="25"/>
    <s v="1792"/>
    <n v="25"/>
    <n v="1.4051339285714286"/>
    <n v="5.6205357142857147E-2"/>
  </r>
  <r>
    <x v="0"/>
    <x v="3"/>
    <x v="3"/>
    <s v="M00000361138"/>
    <d v="2008-05-15T00:00:00"/>
    <n v="0"/>
    <n v="61.44"/>
    <n v="1350"/>
    <n v="432"/>
    <x v="0"/>
    <s v="25"/>
    <s v="960"/>
    <n v="25"/>
    <n v="1.40625"/>
    <n v="5.6250000000000001E-2"/>
  </r>
  <r>
    <x v="0"/>
    <x v="3"/>
    <x v="3"/>
    <s v="M00000327132"/>
    <d v="2007-12-31T00:00:00"/>
    <n v="0"/>
    <n v="92.42"/>
    <n v="2031.99"/>
    <n v="649.79999999999995"/>
    <x v="0"/>
    <s v="25"/>
    <s v="1444"/>
    <n v="25"/>
    <n v="1.4071952908587257"/>
    <n v="5.6287811634349032E-2"/>
  </r>
  <r>
    <x v="0"/>
    <x v="3"/>
    <x v="3"/>
    <s v="M00000330375"/>
    <d v="2007-12-31T00:00:00"/>
    <n v="0"/>
    <n v="78.400000000000006"/>
    <n v="1449"/>
    <n v="551.25"/>
    <x v="0"/>
    <s v="21"/>
    <s v="1225"/>
    <n v="21"/>
    <n v="1.1828571428571428"/>
    <n v="5.6326530612244893E-2"/>
  </r>
  <r>
    <x v="0"/>
    <x v="3"/>
    <x v="3"/>
    <s v="M00000300844"/>
    <d v="2007-11-01T00:00:00"/>
    <n v="0"/>
    <n v="68.739999999999995"/>
    <n v="1694.02"/>
    <n v="483.3"/>
    <x v="0"/>
    <s v="28"/>
    <s v="1074"/>
    <n v="28"/>
    <n v="1.5772998137802607"/>
    <n v="5.6332136206437886E-2"/>
  </r>
  <r>
    <x v="0"/>
    <x v="3"/>
    <x v="3"/>
    <s v="M00000348027"/>
    <d v="2008-03-27T00:00:00"/>
    <n v="0"/>
    <n v="51.2"/>
    <n v="1352"/>
    <n v="360"/>
    <x v="0"/>
    <s v="30"/>
    <s v="800"/>
    <n v="30"/>
    <n v="1.69"/>
    <n v="5.6333333333333332E-2"/>
  </r>
  <r>
    <x v="0"/>
    <x v="3"/>
    <x v="3"/>
    <s v="M00000359904"/>
    <d v="2008-05-15T00:00:00"/>
    <n v="0"/>
    <n v="16.7"/>
    <n v="250"/>
    <n v="117.45"/>
    <x v="1"/>
    <s v="25"/>
    <s v="261"/>
    <n v="17"/>
    <n v="0.95785440613026818"/>
    <n v="5.6344376831192249E-2"/>
  </r>
  <r>
    <x v="0"/>
    <x v="3"/>
    <x v="3"/>
    <s v="M00000299876"/>
    <d v="2007-10-04T00:00:00"/>
    <n v="0"/>
    <n v="25.09"/>
    <n v="553"/>
    <n v="176.4"/>
    <x v="0"/>
    <s v="25"/>
    <s v="392"/>
    <n v="25"/>
    <n v="1.4107142857142858"/>
    <n v="5.6428571428571432E-2"/>
  </r>
  <r>
    <x v="0"/>
    <x v="3"/>
    <x v="3"/>
    <s v="M00000296443"/>
    <d v="2007-09-06T00:00:00"/>
    <n v="0"/>
    <n v="86.4"/>
    <n v="1449.9"/>
    <n v="607.5"/>
    <x v="0"/>
    <s v="19"/>
    <s v="1350"/>
    <n v="19"/>
    <n v="1.0740000000000001"/>
    <n v="5.6526315789473688E-2"/>
  </r>
  <r>
    <x v="0"/>
    <x v="3"/>
    <x v="3"/>
    <s v="M00000363498"/>
    <d v="2008-05-29T00:00:00"/>
    <n v="0"/>
    <n v="60.48"/>
    <n v="1336.65"/>
    <n v="425.25"/>
    <x v="0"/>
    <s v="25"/>
    <s v="945"/>
    <n v="25"/>
    <n v="1.4144444444444446"/>
    <n v="5.6577777777777782E-2"/>
  </r>
  <r>
    <x v="0"/>
    <x v="3"/>
    <x v="3"/>
    <s v="M00000277243"/>
    <d v="2007-06-14T00:00:00"/>
    <n v="0"/>
    <n v="67.709999999999994"/>
    <n v="1498.97"/>
    <n v="476.1"/>
    <x v="0"/>
    <s v="25"/>
    <s v="1058"/>
    <n v="25"/>
    <n v="1.4167958412098298"/>
    <n v="5.6671833648393191E-2"/>
  </r>
  <r>
    <x v="0"/>
    <x v="3"/>
    <x v="3"/>
    <s v="M00000343771"/>
    <d v="2008-04-24T00:00:00"/>
    <n v="0"/>
    <n v="84.86"/>
    <n v="2256.29"/>
    <n v="596.70000000000005"/>
    <x v="0"/>
    <s v="30"/>
    <s v="1326"/>
    <n v="30"/>
    <n v="1.70157616892911"/>
    <n v="5.6719205630970333E-2"/>
  </r>
  <r>
    <x v="0"/>
    <x v="3"/>
    <x v="3"/>
    <s v="M00000304420"/>
    <d v="2007-10-25T00:00:00"/>
    <n v="0"/>
    <n v="64"/>
    <n v="1419.25"/>
    <n v="450"/>
    <x v="0"/>
    <s v="25"/>
    <s v="1000"/>
    <n v="25"/>
    <n v="1.4192499999999999"/>
    <n v="5.6769999999999994E-2"/>
  </r>
  <r>
    <x v="0"/>
    <x v="3"/>
    <x v="3"/>
    <s v="M00000323084"/>
    <d v="2007-12-20T00:00:00"/>
    <n v="0"/>
    <n v="19.2"/>
    <n v="426"/>
    <n v="135"/>
    <x v="0"/>
    <s v="25"/>
    <s v="300"/>
    <n v="25"/>
    <n v="1.42"/>
    <n v="5.6799999999999996E-2"/>
  </r>
  <r>
    <x v="0"/>
    <x v="3"/>
    <x v="3"/>
    <s v="M00000273076"/>
    <d v="2007-07-06T00:00:00"/>
    <n v="0"/>
    <n v="35.200000000000003"/>
    <n v="938.03"/>
    <n v="247.5"/>
    <x v="0"/>
    <s v="30"/>
    <s v="550"/>
    <n v="30"/>
    <n v="1.7055090909090909"/>
    <n v="5.6850303030303029E-2"/>
  </r>
  <r>
    <x v="0"/>
    <x v="3"/>
    <x v="3"/>
    <s v="M00000290006"/>
    <d v="2007-09-14T00:00:00"/>
    <n v="0"/>
    <n v="81.09"/>
    <n v="1801.29"/>
    <n v="570.15"/>
    <x v="0"/>
    <s v="25"/>
    <s v="1267"/>
    <n v="25"/>
    <n v="1.4216969218626676"/>
    <n v="5.6867876874506701E-2"/>
  </r>
  <r>
    <x v="0"/>
    <x v="3"/>
    <x v="3"/>
    <s v="M00000315416"/>
    <d v="2007-12-31T00:00:00"/>
    <n v="0"/>
    <n v="38.4"/>
    <n v="1024"/>
    <n v="270"/>
    <x v="0"/>
    <s v="30"/>
    <s v="600"/>
    <n v="30"/>
    <n v="1.7066666666666668"/>
    <n v="5.6888888888888892E-2"/>
  </r>
  <r>
    <x v="0"/>
    <x v="3"/>
    <x v="3"/>
    <s v="M00000342897"/>
    <d v="2008-04-03T00:00:00"/>
    <n v="0"/>
    <n v="69.5"/>
    <n v="1547"/>
    <n v="488.7"/>
    <x v="0"/>
    <s v="25"/>
    <s v="1086"/>
    <n v="25"/>
    <n v="1.4244935543278086"/>
    <n v="5.6979742173112344E-2"/>
  </r>
  <r>
    <x v="0"/>
    <x v="3"/>
    <x v="3"/>
    <s v="M00000342211"/>
    <d v="2008-03-27T00:00:00"/>
    <n v="0"/>
    <n v="11.52"/>
    <n v="195"/>
    <n v="81"/>
    <x v="0"/>
    <s v="19"/>
    <s v="180"/>
    <n v="19"/>
    <n v="1.0833333333333333"/>
    <n v="5.701754385964912E-2"/>
  </r>
  <r>
    <x v="0"/>
    <x v="3"/>
    <x v="3"/>
    <s v="M00000359440"/>
    <d v="2008-05-15T00:00:00"/>
    <n v="0"/>
    <n v="69.12"/>
    <n v="1539.52"/>
    <n v="486"/>
    <x v="0"/>
    <s v="25"/>
    <s v="1080"/>
    <n v="25"/>
    <n v="1.4254814814814816"/>
    <n v="5.7019259259259263E-2"/>
  </r>
  <r>
    <x v="0"/>
    <x v="3"/>
    <x v="3"/>
    <s v="M00000301382"/>
    <d v="2007-09-28T00:00:00"/>
    <n v="0"/>
    <n v="51.2"/>
    <n v="867"/>
    <n v="360"/>
    <x v="0"/>
    <s v="19"/>
    <s v="800"/>
    <n v="19"/>
    <n v="1.08375"/>
    <n v="5.7039473684210529E-2"/>
  </r>
  <r>
    <x v="0"/>
    <x v="3"/>
    <x v="3"/>
    <s v="M00000362035"/>
    <d v="2008-05-22T00:00:00"/>
    <n v="0"/>
    <n v="95.04"/>
    <n v="2117.81"/>
    <n v="668.25"/>
    <x v="0"/>
    <s v="25"/>
    <s v="1485"/>
    <n v="25"/>
    <n v="1.4261346801346801"/>
    <n v="5.7045387205387203E-2"/>
  </r>
  <r>
    <x v="0"/>
    <x v="3"/>
    <x v="3"/>
    <s v="M00000349998"/>
    <d v="2008-03-27T00:00:00"/>
    <n v="0"/>
    <n v="65.540000000000006"/>
    <n v="1227"/>
    <n v="460.8"/>
    <x v="0"/>
    <s v="21"/>
    <s v="1024"/>
    <n v="21"/>
    <n v="1.1982421875"/>
    <n v="5.7059151785714288E-2"/>
  </r>
  <r>
    <x v="0"/>
    <x v="3"/>
    <x v="3"/>
    <s v="M00000337434"/>
    <d v="2008-02-14T00:00:00"/>
    <n v="0"/>
    <n v="98.88"/>
    <n v="2205"/>
    <n v="695.25"/>
    <x v="0"/>
    <s v="25"/>
    <s v="1545"/>
    <n v="25"/>
    <n v="1.4271844660194175"/>
    <n v="5.7087378640776704E-2"/>
  </r>
  <r>
    <x v="0"/>
    <x v="3"/>
    <x v="3"/>
    <s v="M00000349605"/>
    <d v="2008-05-22T00:00:00"/>
    <n v="0"/>
    <n v="57.41"/>
    <n v="1372.8"/>
    <n v="403.65"/>
    <x v="0"/>
    <s v="25"/>
    <s v="960"/>
    <n v="25"/>
    <n v="1.43"/>
    <n v="5.7200000000000001E-2"/>
  </r>
  <r>
    <x v="0"/>
    <x v="3"/>
    <x v="3"/>
    <s v="M00000340830"/>
    <d v="2008-02-21T00:00:00"/>
    <n v="0"/>
    <n v="8"/>
    <n v="179"/>
    <n v="56.25"/>
    <x v="0"/>
    <s v="25"/>
    <s v="125"/>
    <n v="25"/>
    <n v="1.4319999999999999"/>
    <n v="5.7279999999999998E-2"/>
  </r>
  <r>
    <x v="0"/>
    <x v="3"/>
    <x v="3"/>
    <s v="M00000351378"/>
    <d v="2008-04-03T00:00:00"/>
    <n v="0"/>
    <n v="76.86"/>
    <n v="1445"/>
    <n v="540.45000000000005"/>
    <x v="0"/>
    <s v="21"/>
    <s v="1201"/>
    <n v="21"/>
    <n v="1.2031640299750208"/>
    <n v="5.729352523690575E-2"/>
  </r>
  <r>
    <x v="0"/>
    <x v="3"/>
    <x v="3"/>
    <s v="M00000350001"/>
    <d v="2008-03-27T00:00:00"/>
    <n v="0"/>
    <n v="65.28"/>
    <n v="1466"/>
    <n v="459"/>
    <x v="0"/>
    <s v="25"/>
    <s v="1020"/>
    <n v="25"/>
    <n v="1.4372549019607843"/>
    <n v="5.7490196078431373E-2"/>
  </r>
  <r>
    <x v="0"/>
    <x v="3"/>
    <x v="3"/>
    <s v="M00000327941"/>
    <d v="2007-12-31T00:00:00"/>
    <n v="0"/>
    <n v="93.44"/>
    <n v="1764"/>
    <n v="657"/>
    <x v="0"/>
    <s v="21"/>
    <s v="1460"/>
    <n v="21"/>
    <n v="1.2082191780821918"/>
    <n v="5.7534246575342465E-2"/>
  </r>
  <r>
    <x v="0"/>
    <x v="3"/>
    <x v="3"/>
    <s v="M00000347780"/>
    <d v="2008-03-20T00:00:00"/>
    <n v="0"/>
    <n v="64"/>
    <n v="1095"/>
    <n v="450"/>
    <x v="2"/>
    <s v="30"/>
    <s v="1000"/>
    <n v="19"/>
    <n v="1.095"/>
    <n v="5.7631578947368423E-2"/>
  </r>
  <r>
    <x v="0"/>
    <x v="3"/>
    <x v="3"/>
    <s v="M00000306665"/>
    <d v="2007-11-15T00:00:00"/>
    <n v="0"/>
    <n v="58.75"/>
    <n v="1588.5"/>
    <n v="413.1"/>
    <x v="0"/>
    <s v="30"/>
    <s v="918"/>
    <n v="30"/>
    <n v="1.7303921568627452"/>
    <n v="5.7679738562091507E-2"/>
  </r>
  <r>
    <x v="0"/>
    <x v="3"/>
    <x v="3"/>
    <s v="M00000283606"/>
    <d v="2007-07-26T00:00:00"/>
    <n v="0"/>
    <n v="43.26"/>
    <n v="976.01"/>
    <n v="304.2"/>
    <x v="0"/>
    <s v="25"/>
    <s v="676"/>
    <n v="25"/>
    <n v="1.4438017751479291"/>
    <n v="5.7752071005917165E-2"/>
  </r>
  <r>
    <x v="0"/>
    <x v="3"/>
    <x v="3"/>
    <s v="M00000296620"/>
    <d v="2007-09-06T00:00:00"/>
    <n v="0"/>
    <n v="53.76"/>
    <n v="1214.05"/>
    <n v="378"/>
    <x v="0"/>
    <s v="25"/>
    <s v="840"/>
    <n v="25"/>
    <n v="1.445297619047619"/>
    <n v="5.7811904761904759E-2"/>
  </r>
  <r>
    <x v="0"/>
    <x v="3"/>
    <x v="3"/>
    <s v="M00000341488"/>
    <d v="2008-02-29T00:00:00"/>
    <n v="0"/>
    <n v="72.45"/>
    <n v="1640"/>
    <n v="509.4"/>
    <x v="0"/>
    <s v="25"/>
    <s v="1132"/>
    <n v="25"/>
    <n v="1.4487632508833923"/>
    <n v="5.7950530035335693E-2"/>
  </r>
  <r>
    <x v="0"/>
    <x v="3"/>
    <x v="3"/>
    <s v="M00000278219"/>
    <d v="2007-06-21T00:00:00"/>
    <n v="0"/>
    <n v="41.47"/>
    <n v="939.02"/>
    <n v="291.60000000000002"/>
    <x v="0"/>
    <s v="25"/>
    <s v="648"/>
    <n v="25"/>
    <n v="1.4491049382716048"/>
    <n v="5.7964197530864195E-2"/>
  </r>
  <r>
    <x v="0"/>
    <x v="3"/>
    <x v="3"/>
    <s v="M00000342432"/>
    <d v="2008-02-29T00:00:00"/>
    <n v="0"/>
    <n v="64"/>
    <n v="1450"/>
    <n v="450"/>
    <x v="0"/>
    <s v="25"/>
    <s v="1000"/>
    <n v="25"/>
    <n v="1.45"/>
    <n v="5.7999999999999996E-2"/>
  </r>
  <r>
    <x v="0"/>
    <x v="3"/>
    <x v="3"/>
    <s v="M00000343869"/>
    <d v="2008-03-27T00:00:00"/>
    <n v="0"/>
    <n v="128"/>
    <n v="2903"/>
    <n v="900"/>
    <x v="0"/>
    <s v="25"/>
    <s v="2000"/>
    <n v="25"/>
    <n v="1.4515"/>
    <n v="5.806E-2"/>
  </r>
  <r>
    <x v="0"/>
    <x v="3"/>
    <x v="3"/>
    <s v="M00000343869"/>
    <d v="2008-05-15T00:00:00"/>
    <n v="0"/>
    <n v="-128"/>
    <n v="2903"/>
    <n v="900"/>
    <x v="0"/>
    <s v="25"/>
    <s v="2000"/>
    <n v="25"/>
    <n v="1.4515"/>
    <n v="5.806E-2"/>
  </r>
  <r>
    <x v="0"/>
    <x v="3"/>
    <x v="3"/>
    <s v="M00000275507"/>
    <d v="2007-06-07T00:00:00"/>
    <n v="0"/>
    <n v="16.64"/>
    <n v="377.99"/>
    <n v="117"/>
    <x v="0"/>
    <s v="25"/>
    <s v="260"/>
    <n v="25"/>
    <n v="1.4538076923076924"/>
    <n v="5.8152307692307698E-2"/>
  </r>
  <r>
    <x v="0"/>
    <x v="3"/>
    <x v="3"/>
    <s v="M00000272610"/>
    <d v="2007-06-28T00:00:00"/>
    <n v="0"/>
    <n v="14.08"/>
    <n v="319.99"/>
    <n v="99"/>
    <x v="0"/>
    <s v="25"/>
    <s v="220"/>
    <n v="25"/>
    <n v="1.4545000000000001"/>
    <n v="5.8180000000000003E-2"/>
  </r>
  <r>
    <x v="0"/>
    <x v="3"/>
    <x v="3"/>
    <s v="M00000356394"/>
    <d v="2008-04-30T00:00:00"/>
    <n v="0"/>
    <n v="79.099999999999994"/>
    <n v="1800"/>
    <n v="556.20000000000005"/>
    <x v="0"/>
    <s v="25"/>
    <s v="1236"/>
    <n v="25"/>
    <n v="1.4563106796116505"/>
    <n v="5.8252427184466021E-2"/>
  </r>
  <r>
    <x v="0"/>
    <x v="3"/>
    <x v="3"/>
    <s v="M00000305382"/>
    <d v="2008-03-13T00:00:00"/>
    <n v="0"/>
    <n v="106.94"/>
    <n v="2433.88"/>
    <n v="751.95"/>
    <x v="0"/>
    <s v="25"/>
    <s v="1671"/>
    <n v="25"/>
    <n v="1.4565409934171156"/>
    <n v="5.8261639736684627E-2"/>
  </r>
  <r>
    <x v="0"/>
    <x v="3"/>
    <x v="3"/>
    <s v="M00000327261"/>
    <d v="2007-12-31T00:00:00"/>
    <n v="0"/>
    <n v="50.18"/>
    <n v="960"/>
    <n v="352.8"/>
    <x v="0"/>
    <s v="21"/>
    <s v="784"/>
    <n v="21"/>
    <n v="1.2244897959183674"/>
    <n v="5.830903790087464E-2"/>
  </r>
  <r>
    <x v="0"/>
    <x v="3"/>
    <x v="3"/>
    <s v="M00000335070"/>
    <d v="2008-02-07T00:00:00"/>
    <n v="0"/>
    <n v="64"/>
    <n v="1225"/>
    <n v="450"/>
    <x v="0"/>
    <s v="21"/>
    <s v="1000"/>
    <n v="21"/>
    <n v="1.2250000000000001"/>
    <n v="5.8333333333333334E-2"/>
  </r>
  <r>
    <x v="0"/>
    <x v="3"/>
    <x v="3"/>
    <s v="M00000346806"/>
    <d v="2008-04-17T00:00:00"/>
    <n v="0"/>
    <n v="38.4"/>
    <n v="1050"/>
    <n v="270"/>
    <x v="0"/>
    <s v="30"/>
    <s v="600"/>
    <n v="30"/>
    <n v="1.75"/>
    <n v="5.8333333333333334E-2"/>
  </r>
  <r>
    <x v="0"/>
    <x v="3"/>
    <x v="3"/>
    <s v="M00000300523"/>
    <d v="2007-09-27T00:00:00"/>
    <n v="0"/>
    <n v="84.8"/>
    <n v="1623.75"/>
    <n v="596.25"/>
    <x v="0"/>
    <s v="21"/>
    <s v="1325"/>
    <n v="21"/>
    <n v="1.2254716981132074"/>
    <n v="5.8355795148247971E-2"/>
  </r>
  <r>
    <x v="0"/>
    <x v="3"/>
    <x v="3"/>
    <s v="M00000327560"/>
    <d v="2007-12-31T00:00:00"/>
    <n v="0"/>
    <n v="64"/>
    <n v="1460"/>
    <n v="450"/>
    <x v="0"/>
    <s v="25"/>
    <s v="1000"/>
    <n v="25"/>
    <n v="1.46"/>
    <n v="5.8400000000000001E-2"/>
  </r>
  <r>
    <x v="0"/>
    <x v="3"/>
    <x v="3"/>
    <s v="M00000351077"/>
    <d v="2008-05-08T00:00:00"/>
    <n v="0"/>
    <n v="40.83"/>
    <n v="1193.06"/>
    <n v="287.10000000000002"/>
    <x v="0"/>
    <s v="32"/>
    <s v="638"/>
    <n v="32"/>
    <n v="1.87"/>
    <n v="5.8437500000000003E-2"/>
  </r>
  <r>
    <x v="0"/>
    <x v="3"/>
    <x v="3"/>
    <s v="M00000297850"/>
    <d v="2007-09-28T00:00:00"/>
    <n v="0"/>
    <n v="96.96"/>
    <n v="2221.9"/>
    <n v="681.75"/>
    <x v="0"/>
    <s v="25"/>
    <s v="1515"/>
    <n v="25"/>
    <n v="1.4666006600660066"/>
    <n v="5.8664026402640262E-2"/>
  </r>
  <r>
    <x v="0"/>
    <x v="3"/>
    <x v="3"/>
    <s v="M00000279584"/>
    <d v="2007-07-06T00:00:00"/>
    <n v="0"/>
    <n v="87.04"/>
    <n v="1994.98"/>
    <n v="612"/>
    <x v="0"/>
    <s v="25"/>
    <s v="1360"/>
    <n v="25"/>
    <n v="1.4668970588235295"/>
    <n v="5.8675882352941182E-2"/>
  </r>
  <r>
    <x v="0"/>
    <x v="3"/>
    <x v="3"/>
    <s v="M00000365316"/>
    <d v="2008-06-05T00:00:00"/>
    <n v="0"/>
    <n v="59.9"/>
    <n v="1375"/>
    <n v="421.2"/>
    <x v="0"/>
    <s v="25"/>
    <s v="936"/>
    <n v="25"/>
    <n v="1.4690170940170941"/>
    <n v="5.8760683760683767E-2"/>
  </r>
  <r>
    <x v="0"/>
    <x v="3"/>
    <x v="3"/>
    <s v="M00000359428"/>
    <d v="2008-05-15T00:00:00"/>
    <n v="0"/>
    <n v="86.78"/>
    <n v="1992"/>
    <n v="610.20000000000005"/>
    <x v="0"/>
    <s v="25"/>
    <s v="1356"/>
    <n v="25"/>
    <n v="1.4690265486725664"/>
    <n v="5.8761061946902657E-2"/>
  </r>
  <r>
    <x v="0"/>
    <x v="3"/>
    <x v="3"/>
    <s v="M00000341100"/>
    <d v="2008-02-21T00:00:00"/>
    <n v="0"/>
    <n v="51.84"/>
    <n v="1190"/>
    <n v="364.5"/>
    <x v="0"/>
    <s v="25"/>
    <s v="810"/>
    <n v="25"/>
    <n v="1.4691358024691359"/>
    <n v="5.8765432098765433E-2"/>
  </r>
  <r>
    <x v="0"/>
    <x v="3"/>
    <x v="3"/>
    <s v="M00000333290"/>
    <d v="2008-01-31T00:00:00"/>
    <n v="0"/>
    <n v="84.16"/>
    <n v="1935"/>
    <n v="591.75"/>
    <x v="0"/>
    <s v="25"/>
    <s v="1315"/>
    <n v="25"/>
    <n v="1.4714828897338403"/>
    <n v="5.8859315589353617E-2"/>
  </r>
  <r>
    <x v="0"/>
    <x v="3"/>
    <x v="3"/>
    <s v="M00000300873"/>
    <d v="2007-11-09T00:00:00"/>
    <n v="0"/>
    <n v="51.52"/>
    <n v="1184.96"/>
    <n v="362.25"/>
    <x v="0"/>
    <s v="25"/>
    <s v="805"/>
    <n v="25"/>
    <n v="1.472"/>
    <n v="5.8880000000000002E-2"/>
  </r>
  <r>
    <x v="0"/>
    <x v="3"/>
    <x v="3"/>
    <s v="M00000313184"/>
    <d v="2007-12-13T00:00:00"/>
    <n v="0"/>
    <n v="58.37"/>
    <n v="1343"/>
    <n v="410.4"/>
    <x v="0"/>
    <s v="25"/>
    <s v="912"/>
    <n v="25"/>
    <n v="1.4725877192982457"/>
    <n v="5.8903508771929826E-2"/>
  </r>
  <r>
    <x v="0"/>
    <x v="3"/>
    <x v="3"/>
    <s v="M00000277354"/>
    <d v="2007-08-09T00:00:00"/>
    <n v="0"/>
    <n v="25.6"/>
    <n v="590"/>
    <n v="180"/>
    <x v="0"/>
    <s v="25"/>
    <s v="400"/>
    <n v="25"/>
    <n v="1.4750000000000001"/>
    <n v="5.9000000000000004E-2"/>
  </r>
  <r>
    <x v="0"/>
    <x v="3"/>
    <x v="3"/>
    <s v="M00000307675"/>
    <d v="2007-12-31T00:00:00"/>
    <n v="0"/>
    <n v="113.86"/>
    <n v="2205"/>
    <n v="800.55"/>
    <x v="0"/>
    <s v="21"/>
    <s v="1779"/>
    <n v="21"/>
    <n v="1.239460370994941"/>
    <n v="5.9021922428330521E-2"/>
  </r>
  <r>
    <x v="0"/>
    <x v="3"/>
    <x v="3"/>
    <s v="M00000327291"/>
    <d v="2007-12-31T00:00:00"/>
    <n v="0"/>
    <n v="36.61"/>
    <n v="845"/>
    <n v="257.39999999999998"/>
    <x v="0"/>
    <s v="25"/>
    <s v="572"/>
    <n v="25"/>
    <n v="1.4772727272727273"/>
    <n v="5.909090909090909E-2"/>
  </r>
  <r>
    <x v="0"/>
    <x v="3"/>
    <x v="3"/>
    <s v="M00000327466"/>
    <d v="2008-01-17T00:00:00"/>
    <n v="0"/>
    <n v="57.6"/>
    <n v="1330"/>
    <n v="405"/>
    <x v="0"/>
    <s v="25"/>
    <s v="900"/>
    <n v="25"/>
    <n v="1.4777777777777779"/>
    <n v="5.9111111111111114E-2"/>
  </r>
  <r>
    <x v="0"/>
    <x v="3"/>
    <x v="3"/>
    <s v="M00000302259"/>
    <d v="2007-10-04T00:00:00"/>
    <n v="0"/>
    <n v="45.12"/>
    <n v="1042"/>
    <n v="317.25"/>
    <x v="0"/>
    <s v="25"/>
    <s v="705"/>
    <n v="25"/>
    <n v="1.478014184397163"/>
    <n v="5.9120567375886522E-2"/>
  </r>
  <r>
    <x v="0"/>
    <x v="3"/>
    <x v="3"/>
    <s v="M00000358568"/>
    <d v="2008-05-08T00:00:00"/>
    <n v="0"/>
    <n v="32"/>
    <n v="415"/>
    <n v="225"/>
    <x v="2"/>
    <s v="25"/>
    <s v="500"/>
    <n v="14"/>
    <n v="0.83"/>
    <n v="5.9285714285714282E-2"/>
  </r>
  <r>
    <x v="0"/>
    <x v="3"/>
    <x v="3"/>
    <s v="M00000373847"/>
    <d v="2008-07-10T00:00:00"/>
    <n v="0"/>
    <n v="54.34"/>
    <n v="1060"/>
    <n v="382.05"/>
    <x v="0"/>
    <s v="21"/>
    <s v="849"/>
    <n v="21"/>
    <n v="1.248527679623086"/>
    <n v="5.9453699029670758E-2"/>
  </r>
  <r>
    <x v="0"/>
    <x v="3"/>
    <x v="3"/>
    <s v="M00000334250"/>
    <d v="2008-01-24T00:00:00"/>
    <n v="0"/>
    <n v="59.2"/>
    <n v="1375"/>
    <n v="416.25"/>
    <x v="0"/>
    <s v="25"/>
    <s v="925"/>
    <n v="25"/>
    <n v="1.4864864864864864"/>
    <n v="5.9459459459459456E-2"/>
  </r>
  <r>
    <x v="0"/>
    <x v="3"/>
    <x v="3"/>
    <s v="M00000304062"/>
    <d v="2007-10-25T00:00:00"/>
    <n v="0"/>
    <n v="124.8"/>
    <n v="2899.5"/>
    <n v="877.5"/>
    <x v="0"/>
    <s v="25"/>
    <s v="1950"/>
    <n v="25"/>
    <n v="1.486923076923077"/>
    <n v="5.947692307692308E-2"/>
  </r>
  <r>
    <x v="0"/>
    <x v="3"/>
    <x v="3"/>
    <s v="M00000294500"/>
    <d v="2007-08-30T00:00:00"/>
    <n v="0"/>
    <n v="90.69"/>
    <n v="2110.0500000000002"/>
    <n v="637.65"/>
    <x v="0"/>
    <s v="25"/>
    <s v="1417"/>
    <n v="25"/>
    <n v="1.4890966831333805"/>
    <n v="5.9563867325335224E-2"/>
  </r>
  <r>
    <x v="0"/>
    <x v="3"/>
    <x v="3"/>
    <s v="M00000269787"/>
    <d v="2007-05-10T00:00:00"/>
    <n v="0"/>
    <n v="107.71"/>
    <n v="2507.67"/>
    <n v="757.35"/>
    <x v="0"/>
    <s v="25"/>
    <s v="1683"/>
    <n v="25"/>
    <n v="1.49"/>
    <n v="5.96E-2"/>
  </r>
  <r>
    <x v="0"/>
    <x v="3"/>
    <x v="3"/>
    <s v="M00000315074"/>
    <d v="2007-12-27T00:00:00"/>
    <n v="0"/>
    <n v="50.24"/>
    <n v="1170"/>
    <n v="353.25"/>
    <x v="0"/>
    <s v="25"/>
    <s v="785"/>
    <n v="25"/>
    <n v="1.4904458598726114"/>
    <n v="5.9617834394904451E-2"/>
  </r>
  <r>
    <x v="0"/>
    <x v="3"/>
    <x v="3"/>
    <s v="M00000343332"/>
    <d v="2008-03-06T00:00:00"/>
    <n v="0"/>
    <n v="32.770000000000003"/>
    <n v="765"/>
    <n v="230.4"/>
    <x v="0"/>
    <s v="25"/>
    <s v="512"/>
    <n v="25"/>
    <n v="1.494140625"/>
    <n v="5.9765625000000003E-2"/>
  </r>
  <r>
    <x v="0"/>
    <x v="3"/>
    <x v="3"/>
    <s v="M00000285741"/>
    <d v="2007-07-19T00:00:00"/>
    <n v="0"/>
    <n v="62.21"/>
    <n v="1454.01"/>
    <n v="437.4"/>
    <x v="0"/>
    <s v="25"/>
    <s v="972"/>
    <n v="25"/>
    <n v="1.495895061728395"/>
    <n v="5.98358024691358E-2"/>
  </r>
  <r>
    <x v="0"/>
    <x v="3"/>
    <x v="3"/>
    <s v="M00000337770"/>
    <d v="2008-02-07T00:00:00"/>
    <n v="0"/>
    <n v="70.400000000000006"/>
    <n v="1648"/>
    <n v="495"/>
    <x v="0"/>
    <s v="25"/>
    <s v="1100"/>
    <n v="25"/>
    <n v="1.4981818181818183"/>
    <n v="5.9927272727272732E-2"/>
  </r>
  <r>
    <x v="0"/>
    <x v="3"/>
    <x v="3"/>
    <s v="M00000290668"/>
    <d v="2007-08-16T00:00:00"/>
    <n v="0"/>
    <n v="102.4"/>
    <n v="2014.08"/>
    <n v="720"/>
    <x v="0"/>
    <s v="21"/>
    <s v="1600"/>
    <n v="21"/>
    <n v="1.2587999999999999"/>
    <n v="5.9942857142857138E-2"/>
  </r>
  <r>
    <x v="0"/>
    <x v="3"/>
    <x v="3"/>
    <s v="M00000308698"/>
    <d v="2007-11-01T00:00:00"/>
    <n v="0"/>
    <n v="106.69"/>
    <n v="1900"/>
    <n v="750.15"/>
    <x v="0"/>
    <s v="19"/>
    <s v="1667"/>
    <n v="19"/>
    <n v="1.1397720455908817"/>
    <n v="5.9988002399520089E-2"/>
  </r>
  <r>
    <x v="0"/>
    <x v="3"/>
    <x v="3"/>
    <s v="M00000269346"/>
    <d v="2007-05-17T00:00:00"/>
    <n v="0"/>
    <n v="43.01"/>
    <n v="1008"/>
    <n v="302.39999999999998"/>
    <x v="0"/>
    <s v="25"/>
    <s v="672"/>
    <n v="25"/>
    <n v="1.5"/>
    <n v="0.06"/>
  </r>
  <r>
    <x v="0"/>
    <x v="3"/>
    <x v="3"/>
    <s v="M00000285704"/>
    <d v="2007-07-19T00:00:00"/>
    <n v="0"/>
    <n v="33.28"/>
    <n v="780"/>
    <n v="234"/>
    <x v="0"/>
    <s v="25"/>
    <s v="520"/>
    <n v="25"/>
    <n v="1.5"/>
    <n v="0.06"/>
  </r>
  <r>
    <x v="0"/>
    <x v="3"/>
    <x v="3"/>
    <s v="M00000294392"/>
    <d v="2007-09-28T00:00:00"/>
    <n v="0"/>
    <n v="6.4"/>
    <n v="150"/>
    <n v="45"/>
    <x v="0"/>
    <s v="25"/>
    <s v="100"/>
    <n v="25"/>
    <n v="1.5"/>
    <n v="0.06"/>
  </r>
  <r>
    <x v="0"/>
    <x v="3"/>
    <x v="3"/>
    <s v="M00000301617"/>
    <d v="2007-11-21T00:00:00"/>
    <n v="0"/>
    <n v="83.2"/>
    <n v="1950"/>
    <n v="585"/>
    <x v="0"/>
    <s v="25"/>
    <s v="1300"/>
    <n v="25"/>
    <n v="1.5"/>
    <n v="0.06"/>
  </r>
  <r>
    <x v="0"/>
    <x v="3"/>
    <x v="3"/>
    <s v="M00000326765"/>
    <d v="2007-12-31T00:00:00"/>
    <n v="0"/>
    <n v="153.09"/>
    <n v="3588"/>
    <n v="1076.4000000000001"/>
    <x v="0"/>
    <s v="25"/>
    <s v="2392"/>
    <n v="25"/>
    <n v="1.5"/>
    <n v="0.06"/>
  </r>
  <r>
    <x v="0"/>
    <x v="3"/>
    <x v="3"/>
    <s v="M00000337142"/>
    <d v="2008-03-13T00:00:00"/>
    <n v="0"/>
    <n v="9.6"/>
    <n v="225"/>
    <n v="67.5"/>
    <x v="0"/>
    <s v="25"/>
    <s v="150"/>
    <n v="25"/>
    <n v="1.5"/>
    <n v="0.06"/>
  </r>
  <r>
    <x v="0"/>
    <x v="3"/>
    <x v="3"/>
    <s v="M00000324913"/>
    <d v="2007-12-20T00:00:00"/>
    <n v="0"/>
    <n v="14.34"/>
    <n v="512"/>
    <n v="100.8"/>
    <x v="0"/>
    <s v="38"/>
    <s v="224"/>
    <n v="38"/>
    <n v="2.2857142857142856"/>
    <n v="6.0150375939849621E-2"/>
  </r>
  <r>
    <x v="0"/>
    <x v="3"/>
    <x v="3"/>
    <s v="M00000279556"/>
    <d v="2007-07-19T00:00:00"/>
    <n v="0"/>
    <n v="122.88"/>
    <n v="2888.06"/>
    <n v="864"/>
    <x v="0"/>
    <s v="25"/>
    <s v="1920"/>
    <n v="25"/>
    <n v="1.5041979166666666"/>
    <n v="6.0167916666666661E-2"/>
  </r>
  <r>
    <x v="0"/>
    <x v="3"/>
    <x v="3"/>
    <s v="M00000274966"/>
    <d v="2007-07-26T00:00:00"/>
    <n v="0"/>
    <n v="32"/>
    <n v="752.4"/>
    <n v="225"/>
    <x v="0"/>
    <s v="25"/>
    <s v="500"/>
    <n v="25"/>
    <n v="1.5047999999999999"/>
    <n v="6.0191999999999996E-2"/>
  </r>
  <r>
    <x v="0"/>
    <x v="3"/>
    <x v="3"/>
    <s v="M00000283113"/>
    <d v="2007-08-02T00:00:00"/>
    <n v="0"/>
    <n v="104"/>
    <n v="2445.9499999999998"/>
    <n v="731.25"/>
    <x v="0"/>
    <s v="25"/>
    <s v="1625"/>
    <n v="25"/>
    <n v="1.5051999999999999"/>
    <n v="6.0207999999999998E-2"/>
  </r>
  <r>
    <x v="0"/>
    <x v="3"/>
    <x v="3"/>
    <s v="M00000345137"/>
    <d v="2008-05-08T00:00:00"/>
    <n v="0"/>
    <n v="55.68"/>
    <n v="1314.15"/>
    <n v="391.5"/>
    <x v="0"/>
    <s v="25"/>
    <s v="870"/>
    <n v="25"/>
    <n v="1.5105172413793104"/>
    <n v="6.0420689655172416E-2"/>
  </r>
  <r>
    <x v="0"/>
    <x v="3"/>
    <x v="3"/>
    <s v="M00000366205"/>
    <d v="2008-06-12T00:00:00"/>
    <n v="0"/>
    <n v="128.58000000000001"/>
    <n v="2555"/>
    <n v="904.05"/>
    <x v="0"/>
    <s v="21"/>
    <s v="2009"/>
    <n v="21"/>
    <n v="1.2717770034843205"/>
    <n v="6.0560809689729551E-2"/>
  </r>
  <r>
    <x v="0"/>
    <x v="3"/>
    <x v="3"/>
    <s v="M00000341922"/>
    <d v="2008-02-29T00:00:00"/>
    <n v="0"/>
    <n v="46.46"/>
    <n v="1100"/>
    <n v="326.7"/>
    <x v="0"/>
    <s v="25"/>
    <s v="726"/>
    <n v="25"/>
    <n v="1.5151515151515151"/>
    <n v="6.0606060606060608E-2"/>
  </r>
  <r>
    <x v="0"/>
    <x v="3"/>
    <x v="3"/>
    <s v="M00000313549"/>
    <d v="2007-11-15T00:00:00"/>
    <n v="0"/>
    <n v="51.84"/>
    <n v="1231"/>
    <n v="364.5"/>
    <x v="0"/>
    <s v="25"/>
    <s v="810"/>
    <n v="25"/>
    <n v="1.519753086419753"/>
    <n v="6.0790123456790121E-2"/>
  </r>
  <r>
    <x v="0"/>
    <x v="3"/>
    <x v="3"/>
    <s v="M00000296311"/>
    <d v="2007-11-21T00:00:00"/>
    <n v="0"/>
    <n v="95.3"/>
    <n v="2263.2800000000002"/>
    <n v="670.05"/>
    <x v="0"/>
    <s v="25"/>
    <s v="1489"/>
    <n v="25"/>
    <n v="1.52"/>
    <n v="6.0800000000000007E-2"/>
  </r>
  <r>
    <x v="0"/>
    <x v="3"/>
    <x v="3"/>
    <s v="M00000346074"/>
    <d v="2008-03-13T00:00:00"/>
    <n v="0"/>
    <n v="16.96"/>
    <n v="404"/>
    <n v="119.25"/>
    <x v="0"/>
    <s v="25"/>
    <s v="265"/>
    <n v="25"/>
    <n v="1.5245283018867926"/>
    <n v="6.0981132075471706E-2"/>
  </r>
  <r>
    <x v="0"/>
    <x v="3"/>
    <x v="3"/>
    <s v="M00000292064"/>
    <d v="2007-08-30T00:00:00"/>
    <n v="0"/>
    <n v="71.680000000000007"/>
    <n v="1709.01"/>
    <n v="504"/>
    <x v="0"/>
    <s v="25"/>
    <s v="1120"/>
    <n v="25"/>
    <n v="1.5259017857142858"/>
    <n v="6.1036071428571433E-2"/>
  </r>
  <r>
    <x v="0"/>
    <x v="3"/>
    <x v="3"/>
    <s v="M00000311453"/>
    <d v="2007-11-09T00:00:00"/>
    <n v="0"/>
    <n v="83.84"/>
    <n v="2000"/>
    <n v="589.5"/>
    <x v="0"/>
    <s v="25"/>
    <s v="1310"/>
    <n v="25"/>
    <n v="1.5267175572519085"/>
    <n v="6.106870229007634E-2"/>
  </r>
  <r>
    <x v="0"/>
    <x v="3"/>
    <x v="3"/>
    <s v="M00000359872"/>
    <d v="2008-05-15T00:00:00"/>
    <n v="0"/>
    <n v="85.89"/>
    <n v="2052"/>
    <n v="603.9"/>
    <x v="0"/>
    <s v="25"/>
    <s v="1342"/>
    <n v="25"/>
    <n v="1.5290611028315946"/>
    <n v="6.1162444113263784E-2"/>
  </r>
  <r>
    <x v="0"/>
    <x v="3"/>
    <x v="3"/>
    <s v="M00000359561"/>
    <d v="2008-05-08T00:00:00"/>
    <n v="0"/>
    <n v="93.38"/>
    <n v="2231.4"/>
    <n v="656.55"/>
    <x v="0"/>
    <s v="25"/>
    <s v="1459"/>
    <n v="25"/>
    <n v="1.5294037011651818"/>
    <n v="6.1176148046607273E-2"/>
  </r>
  <r>
    <x v="0"/>
    <x v="3"/>
    <x v="3"/>
    <s v="M00000272309"/>
    <d v="2007-07-26T00:00:00"/>
    <n v="0"/>
    <n v="7.3"/>
    <n v="174.42"/>
    <n v="51.3"/>
    <x v="0"/>
    <s v="25"/>
    <s v="114"/>
    <n v="25"/>
    <n v="1.53"/>
    <n v="6.1199999999999991E-2"/>
  </r>
  <r>
    <x v="0"/>
    <x v="3"/>
    <x v="3"/>
    <s v="M00000346625"/>
    <d v="2008-03-13T00:00:00"/>
    <n v="0"/>
    <n v="76.48"/>
    <n v="1390"/>
    <n v="537.75"/>
    <x v="0"/>
    <s v="19"/>
    <s v="1195"/>
    <n v="19"/>
    <n v="1.1631799163179917"/>
    <n v="6.1219995595683772E-2"/>
  </r>
  <r>
    <x v="0"/>
    <x v="3"/>
    <x v="3"/>
    <s v="M00000290843"/>
    <d v="2007-08-23T00:00:00"/>
    <n v="0"/>
    <n v="85.89"/>
    <n v="2054.0700000000002"/>
    <n v="603.9"/>
    <x v="0"/>
    <s v="25"/>
    <s v="1342"/>
    <n v="25"/>
    <n v="1.5306035767511179"/>
    <n v="6.1224143070044715E-2"/>
  </r>
  <r>
    <x v="0"/>
    <x v="3"/>
    <x v="3"/>
    <s v="M00000282890"/>
    <d v="2007-08-23T00:00:00"/>
    <n v="0"/>
    <n v="71.040000000000006"/>
    <n v="1698.97"/>
    <n v="499.5"/>
    <x v="0"/>
    <s v="25"/>
    <s v="1110"/>
    <n v="25"/>
    <n v="1.5306036036036037"/>
    <n v="6.1224144144144149E-2"/>
  </r>
  <r>
    <x v="0"/>
    <x v="3"/>
    <x v="3"/>
    <s v="M00000312694"/>
    <d v="2007-12-13T00:00:00"/>
    <n v="0"/>
    <n v="100.03"/>
    <n v="2394.6999999999998"/>
    <n v="703.35"/>
    <x v="0"/>
    <s v="25"/>
    <s v="1563"/>
    <n v="25"/>
    <n v="1.5321177223288547"/>
    <n v="6.128470889315419E-2"/>
  </r>
  <r>
    <x v="0"/>
    <x v="3"/>
    <x v="3"/>
    <s v="M00000275114"/>
    <d v="2007-06-07T00:00:00"/>
    <n v="0"/>
    <n v="77.180000000000007"/>
    <n v="1849.88"/>
    <n v="542.70000000000005"/>
    <x v="0"/>
    <s v="25"/>
    <s v="1206"/>
    <n v="25"/>
    <n v="1.5338971807628525"/>
    <n v="6.1355887230514099E-2"/>
  </r>
  <r>
    <x v="0"/>
    <x v="3"/>
    <x v="3"/>
    <s v="M00000311521"/>
    <d v="2007-12-13T00:00:00"/>
    <n v="0"/>
    <n v="123.78"/>
    <n v="2967.2"/>
    <n v="870.3"/>
    <x v="0"/>
    <s v="25"/>
    <s v="1934"/>
    <n v="25"/>
    <n v="1.5342295760082729"/>
    <n v="6.136918304033092E-2"/>
  </r>
  <r>
    <x v="0"/>
    <x v="3"/>
    <x v="3"/>
    <s v="M00000298936"/>
    <d v="2007-10-04T00:00:00"/>
    <n v="0"/>
    <n v="67.069999999999993"/>
    <n v="1608.78"/>
    <n v="471.6"/>
    <x v="0"/>
    <s v="25"/>
    <s v="1048"/>
    <n v="25"/>
    <n v="1.5350954198473281"/>
    <n v="6.1403816793893125E-2"/>
  </r>
  <r>
    <x v="0"/>
    <x v="3"/>
    <x v="3"/>
    <s v="M00000298569"/>
    <d v="2008-03-06T00:00:00"/>
    <n v="0"/>
    <n v="92.8"/>
    <n v="2225.9"/>
    <n v="652.5"/>
    <x v="0"/>
    <s v="25"/>
    <s v="1450"/>
    <n v="25"/>
    <n v="1.5351034482758621"/>
    <n v="6.1404137931034483E-2"/>
  </r>
  <r>
    <x v="0"/>
    <x v="3"/>
    <x v="3"/>
    <s v="M00000326362"/>
    <d v="2008-01-31T00:00:00"/>
    <n v="0"/>
    <n v="86.4"/>
    <n v="2072.9"/>
    <n v="607.5"/>
    <x v="0"/>
    <s v="25"/>
    <s v="1350"/>
    <n v="25"/>
    <n v="1.5354814814814814"/>
    <n v="6.1419259259259257E-2"/>
  </r>
  <r>
    <x v="0"/>
    <x v="3"/>
    <x v="3"/>
    <s v="M00000350280"/>
    <d v="2008-05-08T00:00:00"/>
    <n v="0"/>
    <n v="109.18"/>
    <n v="2619.6799999999998"/>
    <n v="767.7"/>
    <x v="0"/>
    <s v="25"/>
    <s v="1706"/>
    <n v="25"/>
    <n v="1.5355685814771394"/>
    <n v="6.1422743259085574E-2"/>
  </r>
  <r>
    <x v="0"/>
    <x v="3"/>
    <x v="3"/>
    <s v="M00000366322"/>
    <d v="2008-06-19T00:00:00"/>
    <n v="0"/>
    <n v="72.06"/>
    <n v="1729.8"/>
    <n v="506.7"/>
    <x v="0"/>
    <s v="25"/>
    <s v="1126"/>
    <n v="25"/>
    <n v="1.536234458259325"/>
    <n v="6.1449378330372999E-2"/>
  </r>
  <r>
    <x v="0"/>
    <x v="3"/>
    <x v="3"/>
    <s v="M00000308346"/>
    <d v="2007-11-15T00:00:00"/>
    <n v="0"/>
    <n v="48.64"/>
    <n v="1170"/>
    <n v="342"/>
    <x v="0"/>
    <s v="25"/>
    <s v="760"/>
    <n v="25"/>
    <n v="1.5394736842105263"/>
    <n v="6.1578947368421053E-2"/>
  </r>
  <r>
    <x v="0"/>
    <x v="3"/>
    <x v="3"/>
    <s v="M00000308868"/>
    <d v="2007-11-21T00:00:00"/>
    <n v="0"/>
    <n v="72"/>
    <n v="1734.3"/>
    <n v="506.25"/>
    <x v="0"/>
    <s v="25"/>
    <s v="1125"/>
    <n v="25"/>
    <n v="1.5415999999999999"/>
    <n v="6.1663999999999997E-2"/>
  </r>
  <r>
    <x v="0"/>
    <x v="3"/>
    <x v="3"/>
    <s v="M00000370873"/>
    <d v="2008-06-26T00:00:00"/>
    <n v="0"/>
    <n v="54.27"/>
    <n v="1308"/>
    <n v="381.6"/>
    <x v="0"/>
    <s v="25"/>
    <s v="848"/>
    <n v="25"/>
    <n v="1.5424528301886793"/>
    <n v="6.1698113207547173E-2"/>
  </r>
  <r>
    <x v="0"/>
    <x v="3"/>
    <x v="3"/>
    <s v="M00000310387"/>
    <d v="2007-12-20T00:00:00"/>
    <n v="0"/>
    <n v="79.489999999999995"/>
    <n v="1916.16"/>
    <n v="558.9"/>
    <x v="0"/>
    <s v="25"/>
    <s v="1242"/>
    <n v="25"/>
    <n v="1.5428019323671498"/>
    <n v="6.1712077294685995E-2"/>
  </r>
  <r>
    <x v="0"/>
    <x v="3"/>
    <x v="3"/>
    <s v="M00000325064"/>
    <d v="2008-01-31T00:00:00"/>
    <n v="0"/>
    <n v="5.38"/>
    <n v="98.63"/>
    <n v="37.799999999999997"/>
    <x v="2"/>
    <s v="30"/>
    <s v="84"/>
    <n v="19"/>
    <n v="1.1741666666666666"/>
    <n v="6.1798245614035081E-2"/>
  </r>
  <r>
    <x v="0"/>
    <x v="3"/>
    <x v="3"/>
    <s v="M00000273590"/>
    <d v="2007-05-24T00:00:00"/>
    <n v="0"/>
    <n v="13.82"/>
    <n v="334"/>
    <n v="97.2"/>
    <x v="0"/>
    <s v="25"/>
    <s v="216"/>
    <n v="25"/>
    <n v="1.5462962962962963"/>
    <n v="6.1851851851851852E-2"/>
  </r>
  <r>
    <x v="0"/>
    <x v="3"/>
    <x v="3"/>
    <s v="M00000308332"/>
    <d v="2007-10-25T00:00:00"/>
    <n v="0"/>
    <n v="80.64"/>
    <n v="1950"/>
    <n v="567"/>
    <x v="0"/>
    <s v="25"/>
    <s v="1260"/>
    <n v="25"/>
    <n v="1.5476190476190477"/>
    <n v="6.1904761904761907E-2"/>
  </r>
  <r>
    <x v="0"/>
    <x v="3"/>
    <x v="3"/>
    <s v="M00000308645"/>
    <d v="2007-11-01T00:00:00"/>
    <n v="0"/>
    <n v="46.08"/>
    <n v="936"/>
    <n v="324"/>
    <x v="0"/>
    <s v="21"/>
    <s v="720"/>
    <n v="21"/>
    <n v="1.3"/>
    <n v="6.1904761904761907E-2"/>
  </r>
  <r>
    <x v="0"/>
    <x v="3"/>
    <x v="3"/>
    <s v="M00000287167"/>
    <d v="2007-08-30T00:00:00"/>
    <n v="0"/>
    <n v="81.92"/>
    <n v="2382.98"/>
    <n v="576"/>
    <x v="0"/>
    <s v="30"/>
    <s v="1280"/>
    <n v="30"/>
    <n v="1.861703125"/>
    <n v="6.2056770833333337E-2"/>
  </r>
  <r>
    <x v="0"/>
    <x v="3"/>
    <x v="3"/>
    <s v="M00000353258"/>
    <d v="2008-04-17T00:00:00"/>
    <n v="0"/>
    <n v="64.510000000000005"/>
    <n v="1319"/>
    <n v="453.6"/>
    <x v="0"/>
    <s v="21"/>
    <s v="1008"/>
    <n v="21"/>
    <n v="1.308531746031746"/>
    <n v="6.2311035525321239E-2"/>
  </r>
  <r>
    <x v="0"/>
    <x v="3"/>
    <x v="3"/>
    <s v="M00000343946"/>
    <d v="2008-03-13T00:00:00"/>
    <n v="0"/>
    <n v="73.73"/>
    <n v="1800"/>
    <n v="518.4"/>
    <x v="0"/>
    <s v="25"/>
    <s v="1152"/>
    <n v="25"/>
    <n v="1.5625"/>
    <n v="6.25E-2"/>
  </r>
  <r>
    <x v="0"/>
    <x v="3"/>
    <x v="3"/>
    <s v="M00000281171"/>
    <d v="2007-07-06T00:00:00"/>
    <n v="0"/>
    <n v="44.8"/>
    <n v="1095.01"/>
    <n v="315"/>
    <x v="0"/>
    <s v="25"/>
    <s v="700"/>
    <n v="25"/>
    <n v="1.5643"/>
    <n v="6.2572000000000003E-2"/>
  </r>
  <r>
    <x v="0"/>
    <x v="3"/>
    <x v="3"/>
    <s v="M00000346578"/>
    <d v="2008-03-20T00:00:00"/>
    <n v="0"/>
    <n v="105.47"/>
    <n v="2580"/>
    <n v="741.6"/>
    <x v="0"/>
    <s v="25"/>
    <s v="1648"/>
    <n v="25"/>
    <n v="1.5655339805825244"/>
    <n v="6.2621359223300976E-2"/>
  </r>
  <r>
    <x v="0"/>
    <x v="3"/>
    <x v="3"/>
    <s v="M00000314780"/>
    <d v="2008-04-24T00:00:00"/>
    <n v="0"/>
    <n v="80.58"/>
    <n v="1982"/>
    <n v="566.54999999999995"/>
    <x v="0"/>
    <s v="25"/>
    <s v="1259"/>
    <n v="25"/>
    <n v="1.574265289912629"/>
    <n v="6.297061159650516E-2"/>
  </r>
  <r>
    <x v="0"/>
    <x v="3"/>
    <x v="3"/>
    <s v="M00000298066"/>
    <d v="2007-10-25T00:00:00"/>
    <n v="0"/>
    <n v="89.92"/>
    <n v="2214.84"/>
    <n v="632.25"/>
    <x v="0"/>
    <s v="25"/>
    <s v="1405"/>
    <n v="25"/>
    <n v="1.5763985765124555"/>
    <n v="6.3055943060498221E-2"/>
  </r>
  <r>
    <x v="0"/>
    <x v="3"/>
    <x v="3"/>
    <s v="M00000303387"/>
    <d v="2007-10-11T00:00:00"/>
    <n v="0"/>
    <n v="70.53"/>
    <n v="1737.5"/>
    <n v="495.9"/>
    <x v="0"/>
    <s v="25"/>
    <s v="1102"/>
    <n v="25"/>
    <n v="1.5766787658802177"/>
    <n v="6.3067150635208707E-2"/>
  </r>
  <r>
    <x v="0"/>
    <x v="3"/>
    <x v="3"/>
    <s v="M00000299761"/>
    <d v="2008-04-17T00:00:00"/>
    <n v="0"/>
    <n v="96"/>
    <n v="2365.0500000000002"/>
    <n v="675"/>
    <x v="0"/>
    <s v="25"/>
    <s v="1500"/>
    <n v="25"/>
    <n v="1.5767000000000002"/>
    <n v="6.3068000000000013E-2"/>
  </r>
  <r>
    <x v="0"/>
    <x v="3"/>
    <x v="3"/>
    <s v="M00000296196"/>
    <d v="2007-11-01T00:00:00"/>
    <n v="0"/>
    <n v="101.12"/>
    <n v="2491.66"/>
    <n v="711"/>
    <x v="0"/>
    <s v="25"/>
    <s v="1580"/>
    <n v="25"/>
    <n v="1.577"/>
    <n v="6.3079999999999997E-2"/>
  </r>
  <r>
    <x v="0"/>
    <x v="3"/>
    <x v="3"/>
    <s v="M00000271629"/>
    <d v="2007-05-10T00:00:00"/>
    <n v="0"/>
    <n v="91.84"/>
    <n v="2267.3000000000002"/>
    <n v="645.75"/>
    <x v="0"/>
    <s v="25"/>
    <s v="1435"/>
    <n v="25"/>
    <n v="1.58"/>
    <n v="6.3200000000000006E-2"/>
  </r>
  <r>
    <x v="0"/>
    <x v="3"/>
    <x v="3"/>
    <s v="M00000307190"/>
    <d v="2007-11-21T00:00:00"/>
    <n v="0"/>
    <n v="142.53"/>
    <n v="3523.43"/>
    <n v="1002.15"/>
    <x v="0"/>
    <s v="25"/>
    <s v="2227"/>
    <n v="25"/>
    <n v="1.5821418949259092"/>
    <n v="6.3285675797036367E-2"/>
  </r>
  <r>
    <x v="0"/>
    <x v="3"/>
    <x v="3"/>
    <s v="M00000325090"/>
    <d v="2007-12-27T00:00:00"/>
    <n v="0"/>
    <n v="42.43"/>
    <n v="881.5"/>
    <n v="298.35000000000002"/>
    <x v="0"/>
    <s v="21"/>
    <s v="663"/>
    <n v="21"/>
    <n v="1.3295625942684766"/>
    <n v="6.3312504488975074E-2"/>
  </r>
  <r>
    <x v="0"/>
    <x v="3"/>
    <x v="3"/>
    <s v="M00000349764"/>
    <d v="2008-03-27T00:00:00"/>
    <n v="0"/>
    <n v="69.89"/>
    <n v="1729"/>
    <n v="491.4"/>
    <x v="0"/>
    <s v="25"/>
    <s v="1092"/>
    <n v="25"/>
    <n v="1.5833333333333333"/>
    <n v="6.3333333333333325E-2"/>
  </r>
  <r>
    <x v="0"/>
    <x v="3"/>
    <x v="3"/>
    <s v="M00000291454"/>
    <d v="2007-08-16T00:00:00"/>
    <n v="0"/>
    <n v="75.010000000000005"/>
    <n v="1855.98"/>
    <n v="527.4"/>
    <x v="0"/>
    <s v="25"/>
    <s v="1172"/>
    <n v="25"/>
    <n v="1.5836006825938567"/>
    <n v="6.3344027303754269E-2"/>
  </r>
  <r>
    <x v="0"/>
    <x v="3"/>
    <x v="3"/>
    <s v="M00000269285"/>
    <d v="2007-07-12T00:00:00"/>
    <n v="0"/>
    <n v="89.6"/>
    <n v="2231.04"/>
    <n v="630"/>
    <x v="0"/>
    <s v="25"/>
    <s v="1400"/>
    <n v="25"/>
    <n v="1.5935999999999999"/>
    <n v="6.3743999999999995E-2"/>
  </r>
  <r>
    <x v="0"/>
    <x v="3"/>
    <x v="3"/>
    <s v="M00000287227"/>
    <d v="2007-07-26T00:00:00"/>
    <n v="0"/>
    <n v="80.58"/>
    <n v="2012.01"/>
    <n v="566.54999999999995"/>
    <x v="0"/>
    <s v="25"/>
    <s v="1259"/>
    <n v="25"/>
    <n v="1.5981016679904687"/>
    <n v="6.3924066719618755E-2"/>
  </r>
  <r>
    <x v="0"/>
    <x v="3"/>
    <x v="3"/>
    <s v="M00000276947"/>
    <d v="2007-06-28T00:00:00"/>
    <n v="0"/>
    <n v="59.9"/>
    <n v="1496.01"/>
    <n v="421.2"/>
    <x v="0"/>
    <s v="25"/>
    <s v="936"/>
    <n v="25"/>
    <n v="1.5983012820512821"/>
    <n v="6.3932051282051289E-2"/>
  </r>
  <r>
    <x v="0"/>
    <x v="3"/>
    <x v="3"/>
    <s v="M00000350084"/>
    <d v="2008-05-08T00:00:00"/>
    <n v="0"/>
    <n v="52.61"/>
    <n v="1314.06"/>
    <n v="369.9"/>
    <x v="0"/>
    <s v="25"/>
    <s v="822"/>
    <n v="25"/>
    <n v="1.5986131386861313"/>
    <n v="6.3944525547445258E-2"/>
  </r>
  <r>
    <x v="0"/>
    <x v="3"/>
    <x v="3"/>
    <s v="M00000332324"/>
    <d v="2007-12-31T00:00:00"/>
    <n v="0"/>
    <n v="96"/>
    <n v="2398"/>
    <n v="675"/>
    <x v="0"/>
    <s v="25"/>
    <s v="1500"/>
    <n v="25"/>
    <n v="1.5986666666666667"/>
    <n v="6.3946666666666666E-2"/>
  </r>
  <r>
    <x v="0"/>
    <x v="3"/>
    <x v="3"/>
    <s v="M00000287100"/>
    <d v="2007-10-04T00:00:00"/>
    <n v="0"/>
    <n v="115.33"/>
    <n v="2883.02"/>
    <n v="810.9"/>
    <x v="0"/>
    <s v="25"/>
    <s v="1802"/>
    <n v="25"/>
    <n v="1.5999001109877913"/>
    <n v="6.3996004439511645E-2"/>
  </r>
  <r>
    <x v="0"/>
    <x v="3"/>
    <x v="3"/>
    <s v="M00000342361"/>
    <d v="2008-03-13T00:00:00"/>
    <n v="0"/>
    <n v="80"/>
    <n v="2000"/>
    <n v="562.5"/>
    <x v="0"/>
    <s v="25"/>
    <s v="1250"/>
    <n v="25"/>
    <n v="1.6"/>
    <n v="6.4000000000000001E-2"/>
  </r>
  <r>
    <x v="0"/>
    <x v="3"/>
    <x v="3"/>
    <s v="M00000276890"/>
    <d v="2007-06-14T00:00:00"/>
    <n v="0"/>
    <n v="167.68"/>
    <n v="4194.1000000000004"/>
    <n v="1179"/>
    <x v="0"/>
    <s v="25"/>
    <s v="2620"/>
    <n v="25"/>
    <n v="1.6008015267175575"/>
    <n v="6.4032061068702295E-2"/>
  </r>
  <r>
    <x v="0"/>
    <x v="3"/>
    <x v="3"/>
    <s v="M00000331885"/>
    <d v="2008-01-17T00:00:00"/>
    <n v="0"/>
    <n v="69.63"/>
    <n v="1742"/>
    <n v="489.6"/>
    <x v="0"/>
    <s v="25"/>
    <s v="1088"/>
    <n v="25"/>
    <n v="1.6011029411764706"/>
    <n v="6.4044117647058821E-2"/>
  </r>
  <r>
    <x v="0"/>
    <x v="3"/>
    <x v="3"/>
    <s v="M00000335153"/>
    <d v="2008-01-24T00:00:00"/>
    <n v="0"/>
    <n v="10.75"/>
    <n v="269"/>
    <n v="75.599999999999994"/>
    <x v="0"/>
    <s v="25"/>
    <s v="168"/>
    <n v="25"/>
    <n v="1.6011904761904763"/>
    <n v="6.4047619047619048E-2"/>
  </r>
  <r>
    <x v="0"/>
    <x v="3"/>
    <x v="3"/>
    <s v="M00000273195"/>
    <d v="2007-07-06T00:00:00"/>
    <n v="0"/>
    <n v="109.25"/>
    <n v="2737"/>
    <n v="768.15"/>
    <x v="0"/>
    <s v="25"/>
    <s v="1707"/>
    <n v="25"/>
    <n v="1.6033977738722907"/>
    <n v="6.4135910954891628E-2"/>
  </r>
  <r>
    <x v="0"/>
    <x v="3"/>
    <x v="3"/>
    <s v="M00000339033"/>
    <d v="2008-06-05T00:00:00"/>
    <n v="0"/>
    <n v="50.43"/>
    <n v="1264"/>
    <n v="354.6"/>
    <x v="0"/>
    <s v="25"/>
    <s v="788"/>
    <n v="25"/>
    <n v="1.6040609137055837"/>
    <n v="6.4162436548223345E-2"/>
  </r>
  <r>
    <x v="0"/>
    <x v="3"/>
    <x v="3"/>
    <s v="M00000359582"/>
    <d v="2008-05-08T00:00:00"/>
    <n v="0"/>
    <n v="106.24"/>
    <n v="2663"/>
    <n v="747"/>
    <x v="0"/>
    <s v="25"/>
    <s v="1660"/>
    <n v="25"/>
    <n v="1.6042168674698796"/>
    <n v="6.4168674698795183E-2"/>
  </r>
  <r>
    <x v="0"/>
    <x v="3"/>
    <x v="3"/>
    <s v="M00000282790"/>
    <d v="2007-08-23T00:00:00"/>
    <n v="0"/>
    <n v="97.6"/>
    <n v="2447.9299999999998"/>
    <n v="686.25"/>
    <x v="0"/>
    <s v="25"/>
    <s v="1525"/>
    <n v="25"/>
    <n v="1.6052"/>
    <n v="6.4208000000000001E-2"/>
  </r>
  <r>
    <x v="0"/>
    <x v="3"/>
    <x v="3"/>
    <s v="M00000307339"/>
    <d v="2007-11-09T00:00:00"/>
    <n v="0"/>
    <n v="73.790000000000006"/>
    <n v="2221.5500000000002"/>
    <n v="518.85"/>
    <x v="0"/>
    <s v="30"/>
    <s v="1153"/>
    <n v="30"/>
    <n v="1.9267562879444928"/>
    <n v="6.4225209598149757E-2"/>
  </r>
  <r>
    <x v="0"/>
    <x v="3"/>
    <x v="3"/>
    <s v="M00000315424"/>
    <d v="2007-12-31T00:00:00"/>
    <n v="0"/>
    <n v="102.4"/>
    <n v="3094"/>
    <n v="720"/>
    <x v="0"/>
    <s v="30"/>
    <s v="1600"/>
    <n v="30"/>
    <n v="1.9337500000000001"/>
    <n v="6.445833333333334E-2"/>
  </r>
  <r>
    <x v="0"/>
    <x v="3"/>
    <x v="3"/>
    <s v="M00000364292"/>
    <d v="2008-05-29T00:00:00"/>
    <n v="0"/>
    <n v="59.52"/>
    <n v="1500"/>
    <n v="418.5"/>
    <x v="0"/>
    <s v="25"/>
    <s v="930"/>
    <n v="25"/>
    <n v="1.6129032258064515"/>
    <n v="6.4516129032258063E-2"/>
  </r>
  <r>
    <x v="0"/>
    <x v="3"/>
    <x v="3"/>
    <s v="M00000315404"/>
    <d v="2007-12-31T00:00:00"/>
    <n v="0"/>
    <n v="140.80000000000001"/>
    <n v="3549.05"/>
    <n v="990"/>
    <x v="0"/>
    <s v="25"/>
    <s v="2200"/>
    <n v="25"/>
    <n v="1.6132045454545456"/>
    <n v="6.4528181818181818E-2"/>
  </r>
  <r>
    <x v="0"/>
    <x v="3"/>
    <x v="3"/>
    <s v="M00000303851"/>
    <d v="2007-10-11T00:00:00"/>
    <n v="0"/>
    <n v="89.09"/>
    <n v="2248"/>
    <n v="626.4"/>
    <x v="0"/>
    <s v="25"/>
    <s v="1392"/>
    <n v="25"/>
    <n v="1.6149425287356323"/>
    <n v="6.4597701149425285E-2"/>
  </r>
  <r>
    <x v="0"/>
    <x v="3"/>
    <x v="3"/>
    <s v="M00000301256"/>
    <d v="2007-09-27T00:00:00"/>
    <n v="0"/>
    <n v="3.33"/>
    <n v="84"/>
    <n v="23.4"/>
    <x v="0"/>
    <s v="25"/>
    <s v="52"/>
    <n v="25"/>
    <n v="1.6153846153846154"/>
    <n v="6.4615384615384616E-2"/>
  </r>
  <r>
    <x v="0"/>
    <x v="3"/>
    <x v="3"/>
    <s v="M00000317002"/>
    <d v="2007-12-31T00:00:00"/>
    <n v="0"/>
    <n v="92.8"/>
    <n v="2812"/>
    <n v="652.5"/>
    <x v="0"/>
    <s v="30"/>
    <s v="1450"/>
    <n v="30"/>
    <n v="1.9393103448275861"/>
    <n v="6.4643678160919538E-2"/>
  </r>
  <r>
    <x v="0"/>
    <x v="3"/>
    <x v="3"/>
    <s v="M00000272358"/>
    <d v="2007-05-17T00:00:00"/>
    <n v="0"/>
    <n v="96"/>
    <n v="2427"/>
    <n v="675"/>
    <x v="0"/>
    <s v="25"/>
    <s v="1500"/>
    <n v="25"/>
    <n v="1.6180000000000001"/>
    <n v="6.472E-2"/>
  </r>
  <r>
    <x v="0"/>
    <x v="3"/>
    <x v="3"/>
    <s v="M00000297915"/>
    <d v="2007-10-11T00:00:00"/>
    <n v="0"/>
    <n v="70.91"/>
    <n v="1793.74"/>
    <n v="498.6"/>
    <x v="0"/>
    <s v="25"/>
    <s v="1108"/>
    <n v="25"/>
    <n v="1.618898916967509"/>
    <n v="6.4755956678700363E-2"/>
  </r>
  <r>
    <x v="0"/>
    <x v="3"/>
    <x v="3"/>
    <s v="M00000282300"/>
    <d v="2007-07-06T00:00:00"/>
    <n v="0"/>
    <n v="87.04"/>
    <n v="2201.98"/>
    <n v="612"/>
    <x v="0"/>
    <s v="25"/>
    <s v="1360"/>
    <n v="25"/>
    <n v="1.6191029411764706"/>
    <n v="6.4764117647058819E-2"/>
  </r>
  <r>
    <x v="0"/>
    <x v="3"/>
    <x v="3"/>
    <s v="M00000299827"/>
    <d v="2007-09-20T00:00:00"/>
    <n v="0"/>
    <n v="59.84"/>
    <n v="1514.05"/>
    <n v="420.75"/>
    <x v="0"/>
    <s v="25"/>
    <s v="935"/>
    <n v="25"/>
    <n v="1.6193048128342244"/>
    <n v="6.4772192513368979E-2"/>
  </r>
  <r>
    <x v="0"/>
    <x v="3"/>
    <x v="3"/>
    <s v="M00000297033"/>
    <d v="2007-10-04T00:00:00"/>
    <n v="0"/>
    <n v="40.19"/>
    <n v="1017.99"/>
    <n v="282.60000000000002"/>
    <x v="0"/>
    <s v="25"/>
    <s v="628"/>
    <n v="25"/>
    <n v="1.6210031847133759"/>
    <n v="6.4840127388535035E-2"/>
  </r>
  <r>
    <x v="0"/>
    <x v="3"/>
    <x v="3"/>
    <s v="M00000313923"/>
    <d v="2007-11-21T00:00:00"/>
    <n v="0"/>
    <n v="115.2"/>
    <n v="2459"/>
    <n v="810"/>
    <x v="0"/>
    <s v="21"/>
    <s v="1800"/>
    <n v="21"/>
    <n v="1.3661111111111111"/>
    <n v="6.5052910052910057E-2"/>
  </r>
  <r>
    <x v="0"/>
    <x v="3"/>
    <x v="3"/>
    <s v="M00000290820"/>
    <d v="2007-08-16T00:00:00"/>
    <n v="0"/>
    <n v="51.97"/>
    <n v="1323.97"/>
    <n v="365.4"/>
    <x v="0"/>
    <s v="25"/>
    <s v="812"/>
    <n v="25"/>
    <n v="1.6305049261083744"/>
    <n v="6.5220197044334974E-2"/>
  </r>
  <r>
    <x v="0"/>
    <x v="3"/>
    <x v="3"/>
    <s v="M00000334217"/>
    <d v="2008-01-24T00:00:00"/>
    <n v="0"/>
    <n v="78.08"/>
    <n v="1678"/>
    <n v="549"/>
    <x v="0"/>
    <s v="21"/>
    <s v="1220"/>
    <n v="21"/>
    <n v="1.3754098360655738"/>
    <n v="6.5495706479313034E-2"/>
  </r>
  <r>
    <x v="0"/>
    <x v="3"/>
    <x v="3"/>
    <s v="M00000363755"/>
    <d v="2008-06-26T00:00:00"/>
    <n v="0"/>
    <n v="36.86"/>
    <n v="1132.47"/>
    <n v="259.2"/>
    <x v="0"/>
    <s v="30"/>
    <s v="576"/>
    <n v="30"/>
    <n v="1.96609375"/>
    <n v="6.5536458333333339E-2"/>
  </r>
  <r>
    <x v="0"/>
    <x v="3"/>
    <x v="3"/>
    <s v="M00000357653"/>
    <d v="2008-05-15T00:00:00"/>
    <n v="0"/>
    <n v="6.27"/>
    <n v="161"/>
    <n v="44.1"/>
    <x v="0"/>
    <s v="25"/>
    <s v="98"/>
    <n v="25"/>
    <n v="1.6428571428571428"/>
    <n v="6.5714285714285711E-2"/>
  </r>
  <r>
    <x v="0"/>
    <x v="3"/>
    <x v="3"/>
    <s v="M00000269755"/>
    <d v="2007-08-30T00:00:00"/>
    <n v="0"/>
    <n v="84.99"/>
    <n v="1833.97"/>
    <n v="597.6"/>
    <x v="0"/>
    <s v="21"/>
    <s v="1328"/>
    <n v="21"/>
    <n v="1.3810015060240963"/>
    <n v="6.5761976477337919E-2"/>
  </r>
  <r>
    <x v="0"/>
    <x v="3"/>
    <x v="3"/>
    <s v="M00000274554"/>
    <d v="2007-07-06T00:00:00"/>
    <n v="0"/>
    <n v="96.64"/>
    <n v="2483.04"/>
    <n v="679.5"/>
    <x v="0"/>
    <s v="25"/>
    <s v="1510"/>
    <n v="25"/>
    <n v="1.6443973509933774"/>
    <n v="6.5775894039735092E-2"/>
  </r>
  <r>
    <x v="0"/>
    <x v="3"/>
    <x v="3"/>
    <s v="M00000368604"/>
    <d v="2008-06-19T00:00:00"/>
    <n v="0"/>
    <n v="156.93"/>
    <n v="3065"/>
    <n v="1103.4000000000001"/>
    <x v="0"/>
    <s v="19"/>
    <s v="2452"/>
    <n v="19"/>
    <n v="1.25"/>
    <n v="6.5789473684210523E-2"/>
  </r>
  <r>
    <x v="0"/>
    <x v="3"/>
    <x v="3"/>
    <s v="M00000280593"/>
    <d v="2007-06-28T00:00:00"/>
    <n v="0"/>
    <n v="69.06"/>
    <n v="995.05"/>
    <n v="485.55"/>
    <x v="2"/>
    <s v="25"/>
    <s v="1079"/>
    <n v="14"/>
    <n v="0.9221964782205746"/>
    <n v="6.5871177015755331E-2"/>
  </r>
  <r>
    <x v="0"/>
    <x v="3"/>
    <x v="3"/>
    <s v="M00000276421"/>
    <d v="2007-06-14T00:00:00"/>
    <n v="0"/>
    <n v="92.16"/>
    <n v="2374.42"/>
    <n v="648"/>
    <x v="0"/>
    <s v="25"/>
    <s v="1440"/>
    <n v="25"/>
    <n v="1.6489027777777778"/>
    <n v="6.5956111111111118E-2"/>
  </r>
  <r>
    <x v="0"/>
    <x v="3"/>
    <x v="3"/>
    <s v="M00000301950"/>
    <d v="2007-09-28T00:00:00"/>
    <n v="0"/>
    <n v="102.4"/>
    <n v="2640"/>
    <n v="720"/>
    <x v="0"/>
    <s v="25"/>
    <s v="1600"/>
    <n v="25"/>
    <n v="1.65"/>
    <n v="6.6000000000000003E-2"/>
  </r>
  <r>
    <x v="0"/>
    <x v="3"/>
    <x v="3"/>
    <s v="M00000269230"/>
    <d v="2007-06-28T00:00:00"/>
    <n v="0"/>
    <n v="83.52"/>
    <n v="2165"/>
    <n v="587.25"/>
    <x v="0"/>
    <s v="25"/>
    <s v="1305"/>
    <n v="25"/>
    <n v="1.6590038314176245"/>
    <n v="6.6360153256704982E-2"/>
  </r>
  <r>
    <x v="0"/>
    <x v="3"/>
    <x v="3"/>
    <s v="M00000332237"/>
    <d v="2008-01-17T00:00:00"/>
    <n v="0"/>
    <n v="33.79"/>
    <n v="876"/>
    <n v="237.6"/>
    <x v="0"/>
    <s v="25"/>
    <s v="528"/>
    <n v="25"/>
    <n v="1.6590909090909092"/>
    <n v="6.6363636363636361E-2"/>
  </r>
  <r>
    <x v="0"/>
    <x v="3"/>
    <x v="3"/>
    <s v="M00000325601"/>
    <d v="2007-12-31T00:00:00"/>
    <n v="0"/>
    <n v="79.099999999999994"/>
    <n v="2051"/>
    <n v="556.20000000000005"/>
    <x v="0"/>
    <s v="25"/>
    <s v="1236"/>
    <n v="25"/>
    <n v="1.6593851132686084"/>
    <n v="6.6375404530744336E-2"/>
  </r>
  <r>
    <x v="0"/>
    <x v="3"/>
    <x v="3"/>
    <s v="M00000313889"/>
    <d v="2007-12-31T00:00:00"/>
    <n v="0"/>
    <n v="38.909999999999997"/>
    <n v="1009"/>
    <n v="273.60000000000002"/>
    <x v="0"/>
    <s v="25"/>
    <s v="608"/>
    <n v="25"/>
    <n v="1.6595394736842106"/>
    <n v="6.638157894736843E-2"/>
  </r>
  <r>
    <x v="0"/>
    <x v="3"/>
    <x v="3"/>
    <s v="M00000373719"/>
    <d v="2008-07-10T00:00:00"/>
    <n v="0"/>
    <n v="87.04"/>
    <n v="2257"/>
    <n v="612"/>
    <x v="0"/>
    <s v="25"/>
    <s v="1360"/>
    <n v="25"/>
    <n v="1.6595588235294119"/>
    <n v="6.6382352941176476E-2"/>
  </r>
  <r>
    <x v="0"/>
    <x v="3"/>
    <x v="3"/>
    <s v="M00000317470"/>
    <d v="2007-12-06T00:00:00"/>
    <n v="0"/>
    <n v="68.48"/>
    <n v="1776"/>
    <n v="481.5"/>
    <x v="0"/>
    <s v="25"/>
    <s v="1070"/>
    <n v="25"/>
    <n v="1.6598130841121495"/>
    <n v="6.6392523364485978E-2"/>
  </r>
  <r>
    <x v="0"/>
    <x v="3"/>
    <x v="3"/>
    <s v="M00000312596"/>
    <d v="2007-11-15T00:00:00"/>
    <n v="0"/>
    <n v="111.36"/>
    <n v="2197"/>
    <n v="783"/>
    <x v="2"/>
    <s v="30"/>
    <s v="1740"/>
    <n v="19"/>
    <n v="1.2626436781609196"/>
    <n v="6.645493042952208E-2"/>
  </r>
  <r>
    <x v="0"/>
    <x v="3"/>
    <x v="3"/>
    <s v="M00000335483"/>
    <d v="2008-01-31T00:00:00"/>
    <n v="0"/>
    <n v="94.72"/>
    <n v="2465"/>
    <n v="666"/>
    <x v="0"/>
    <s v="25"/>
    <s v="1480"/>
    <n v="25"/>
    <n v="1.6655405405405406"/>
    <n v="6.6621621621621621E-2"/>
  </r>
  <r>
    <x v="0"/>
    <x v="3"/>
    <x v="3"/>
    <s v="M00000287272"/>
    <d v="2007-08-16T00:00:00"/>
    <n v="0"/>
    <n v="118.02"/>
    <n v="3087.04"/>
    <n v="829.8"/>
    <x v="0"/>
    <s v="25"/>
    <s v="1844"/>
    <n v="25"/>
    <n v="1.6740997830802602"/>
    <n v="6.6963991323210403E-2"/>
  </r>
  <r>
    <x v="0"/>
    <x v="3"/>
    <x v="3"/>
    <s v="M00000335435"/>
    <d v="2008-01-31T00:00:00"/>
    <n v="0"/>
    <n v="102.85"/>
    <n v="2262"/>
    <n v="723.15"/>
    <x v="0"/>
    <s v="21"/>
    <s v="1607"/>
    <n v="21"/>
    <n v="1.4075917859365277"/>
    <n v="6.7028180282691793E-2"/>
  </r>
  <r>
    <x v="0"/>
    <x v="3"/>
    <x v="3"/>
    <s v="M00000340586"/>
    <d v="2008-02-21T00:00:00"/>
    <n v="0"/>
    <n v="78.27"/>
    <n v="2051"/>
    <n v="550.35"/>
    <x v="0"/>
    <s v="25"/>
    <s v="1223"/>
    <n v="25"/>
    <n v="1.6770237121831562"/>
    <n v="6.708094848732625E-2"/>
  </r>
  <r>
    <x v="0"/>
    <x v="3"/>
    <x v="3"/>
    <s v="M00000304121"/>
    <d v="2007-11-15T00:00:00"/>
    <n v="0"/>
    <n v="106.24"/>
    <n v="2784.9"/>
    <n v="747"/>
    <x v="0"/>
    <s v="25"/>
    <s v="1660"/>
    <n v="25"/>
    <n v="1.6776506024096387"/>
    <n v="6.7106024096385553E-2"/>
  </r>
  <r>
    <x v="0"/>
    <x v="3"/>
    <x v="3"/>
    <s v="M00000339753"/>
    <d v="2008-02-14T00:00:00"/>
    <n v="0"/>
    <n v="74.88"/>
    <n v="1971"/>
    <n v="526.5"/>
    <x v="0"/>
    <s v="25"/>
    <s v="1170"/>
    <n v="25"/>
    <n v="1.6846153846153846"/>
    <n v="6.738461538461539E-2"/>
  </r>
  <r>
    <x v="0"/>
    <x v="3"/>
    <x v="3"/>
    <s v="M00000288557"/>
    <d v="2007-08-02T00:00:00"/>
    <n v="0"/>
    <n v="8.19"/>
    <n v="216"/>
    <n v="57.6"/>
    <x v="0"/>
    <s v="25"/>
    <s v="128"/>
    <n v="25"/>
    <n v="1.6875"/>
    <n v="6.7500000000000004E-2"/>
  </r>
  <r>
    <x v="0"/>
    <x v="3"/>
    <x v="3"/>
    <s v="M00000356147"/>
    <d v="2008-05-08T00:00:00"/>
    <n v="0"/>
    <n v="68.86"/>
    <n v="1090"/>
    <n v="484.2"/>
    <x v="16"/>
    <s v="22"/>
    <s v="1076"/>
    <n v="15"/>
    <n v="1.013011152416357"/>
    <n v="6.7534076827757125E-2"/>
  </r>
  <r>
    <x v="0"/>
    <x v="3"/>
    <x v="3"/>
    <s v="M00000348131"/>
    <d v="2008-03-27T00:00:00"/>
    <n v="0"/>
    <n v="126.4"/>
    <n v="1872"/>
    <n v="888.75"/>
    <x v="2"/>
    <s v="25"/>
    <s v="1975"/>
    <n v="14"/>
    <n v="0.94784810126582275"/>
    <n v="6.7703435804701631E-2"/>
  </r>
  <r>
    <x v="0"/>
    <x v="3"/>
    <x v="3"/>
    <s v="M00000357624"/>
    <d v="2008-04-30T00:00:00"/>
    <n v="0"/>
    <n v="39.94"/>
    <n v="1395"/>
    <n v="280.8"/>
    <x v="0"/>
    <s v="33"/>
    <s v="624"/>
    <n v="33"/>
    <n v="2.2355769230769229"/>
    <n v="6.7744755244755234E-2"/>
  </r>
  <r>
    <x v="0"/>
    <x v="3"/>
    <x v="3"/>
    <s v="M00000318804"/>
    <d v="2008-01-24T00:00:00"/>
    <n v="0"/>
    <n v="88"/>
    <n v="2332.5500000000002"/>
    <n v="618.75"/>
    <x v="0"/>
    <s v="25"/>
    <s v="1375"/>
    <n v="25"/>
    <n v="1.6964000000000001"/>
    <n v="6.7856E-2"/>
  </r>
  <r>
    <x v="0"/>
    <x v="3"/>
    <x v="3"/>
    <s v="M00000319025"/>
    <d v="2007-12-06T00:00:00"/>
    <n v="0"/>
    <n v="66.05"/>
    <n v="1755"/>
    <n v="464.4"/>
    <x v="0"/>
    <s v="25"/>
    <s v="1032"/>
    <n v="25"/>
    <n v="1.7005813953488371"/>
    <n v="6.8023255813953479E-2"/>
  </r>
  <r>
    <x v="0"/>
    <x v="3"/>
    <x v="3"/>
    <s v="M00000333256"/>
    <d v="2007-12-31T00:00:00"/>
    <n v="0"/>
    <n v="92.8"/>
    <n v="2468"/>
    <n v="652.5"/>
    <x v="0"/>
    <s v="25"/>
    <s v="1450"/>
    <n v="25"/>
    <n v="1.7020689655172414"/>
    <n v="6.808275862068966E-2"/>
  </r>
  <r>
    <x v="0"/>
    <x v="3"/>
    <x v="3"/>
    <s v="M00000342429"/>
    <d v="2008-02-29T00:00:00"/>
    <n v="0"/>
    <n v="40.96"/>
    <n v="1093"/>
    <n v="288"/>
    <x v="0"/>
    <s v="25"/>
    <s v="640"/>
    <n v="25"/>
    <n v="1.7078125"/>
    <n v="6.8312499999999998E-2"/>
  </r>
  <r>
    <x v="0"/>
    <x v="3"/>
    <x v="3"/>
    <s v="M00000271434"/>
    <d v="2007-12-31T00:00:00"/>
    <n v="0"/>
    <n v="102.4"/>
    <n v="2736"/>
    <n v="720"/>
    <x v="0"/>
    <s v="25"/>
    <s v="1600"/>
    <n v="25"/>
    <n v="1.71"/>
    <n v="6.8400000000000002E-2"/>
  </r>
  <r>
    <x v="0"/>
    <x v="3"/>
    <x v="3"/>
    <s v="M00000320917"/>
    <d v="2008-03-20T00:00:00"/>
    <n v="0"/>
    <n v="80.64"/>
    <n v="2155.14"/>
    <n v="567"/>
    <x v="0"/>
    <s v="25"/>
    <s v="1260"/>
    <n v="25"/>
    <n v="1.7104285714285714"/>
    <n v="6.8417142857142857E-2"/>
  </r>
  <r>
    <x v="0"/>
    <x v="3"/>
    <x v="3"/>
    <s v="M00000353650"/>
    <d v="2008-04-17T00:00:00"/>
    <n v="0"/>
    <n v="91.2"/>
    <n v="2447"/>
    <n v="641.25"/>
    <x v="0"/>
    <s v="25"/>
    <s v="1425"/>
    <n v="25"/>
    <n v="1.7171929824561403"/>
    <n v="6.8687719298245617E-2"/>
  </r>
  <r>
    <x v="0"/>
    <x v="3"/>
    <x v="3"/>
    <s v="M00000358049"/>
    <d v="2008-05-22T00:00:00"/>
    <n v="0"/>
    <n v="73.41"/>
    <n v="1970"/>
    <n v="516.15"/>
    <x v="0"/>
    <s v="25"/>
    <s v="1147"/>
    <n v="25"/>
    <n v="1.7175239755884917"/>
    <n v="6.8700959023539662E-2"/>
  </r>
  <r>
    <x v="0"/>
    <x v="3"/>
    <x v="3"/>
    <s v="M00000269693"/>
    <d v="2007-05-10T00:00:00"/>
    <n v="0"/>
    <n v="59.9"/>
    <n v="1609.92"/>
    <n v="421.2"/>
    <x v="0"/>
    <s v="25"/>
    <s v="936"/>
    <n v="25"/>
    <n v="1.72"/>
    <n v="6.88E-2"/>
  </r>
  <r>
    <x v="0"/>
    <x v="3"/>
    <x v="3"/>
    <s v="M00000332247"/>
    <d v="2008-01-17T00:00:00"/>
    <n v="0"/>
    <n v="74.239999999999995"/>
    <n v="1688"/>
    <n v="522"/>
    <x v="0"/>
    <s v="21"/>
    <s v="1160"/>
    <n v="21"/>
    <n v="1.4551724137931035"/>
    <n v="6.9293924466338266E-2"/>
  </r>
  <r>
    <x v="0"/>
    <x v="3"/>
    <x v="3"/>
    <s v="M00000277478"/>
    <d v="2007-06-14T00:00:00"/>
    <n v="0"/>
    <n v="15.42"/>
    <n v="417.99"/>
    <n v="108.45"/>
    <x v="0"/>
    <s v="25"/>
    <s v="241"/>
    <n v="25"/>
    <n v="1.7343983402489627"/>
    <n v="6.9375933609958501E-2"/>
  </r>
  <r>
    <x v="0"/>
    <x v="3"/>
    <x v="3"/>
    <s v="M00000291135"/>
    <d v="2007-08-16T00:00:00"/>
    <n v="0"/>
    <n v="89.6"/>
    <n v="2043.02"/>
    <n v="630"/>
    <x v="0"/>
    <s v="21"/>
    <s v="1400"/>
    <n v="21"/>
    <n v="1.4593"/>
    <n v="6.9490476190476186E-2"/>
  </r>
  <r>
    <x v="0"/>
    <x v="3"/>
    <x v="3"/>
    <s v="M00000318038"/>
    <d v="2007-12-06T00:00:00"/>
    <n v="0"/>
    <n v="128"/>
    <n v="2920"/>
    <n v="900"/>
    <x v="0"/>
    <s v="21"/>
    <s v="2000"/>
    <n v="21"/>
    <n v="1.46"/>
    <n v="6.9523809523809516E-2"/>
  </r>
  <r>
    <x v="0"/>
    <x v="3"/>
    <x v="3"/>
    <s v="M00000282312"/>
    <d v="2007-08-23T00:00:00"/>
    <n v="0"/>
    <n v="57.34"/>
    <n v="1561.91"/>
    <n v="403.2"/>
    <x v="0"/>
    <s v="25"/>
    <s v="896"/>
    <n v="25"/>
    <n v="1.743203125"/>
    <n v="6.9728125000000002E-2"/>
  </r>
  <r>
    <x v="0"/>
    <x v="3"/>
    <x v="3"/>
    <s v="M00000346682"/>
    <d v="2008-03-20T00:00:00"/>
    <n v="0"/>
    <n v="124.93"/>
    <n v="3410"/>
    <n v="878.4"/>
    <x v="0"/>
    <s v="25"/>
    <s v="1952"/>
    <n v="25"/>
    <n v="1.7469262295081966"/>
    <n v="6.987704918032786E-2"/>
  </r>
  <r>
    <x v="0"/>
    <x v="3"/>
    <x v="3"/>
    <s v="M00000301629"/>
    <d v="2007-10-04T00:00:00"/>
    <n v="0"/>
    <n v="67.2"/>
    <n v="2202"/>
    <n v="472.5"/>
    <x v="0"/>
    <s v="30"/>
    <s v="1050"/>
    <n v="30"/>
    <n v="2.097142857142857"/>
    <n v="6.99047619047619E-2"/>
  </r>
  <r>
    <x v="0"/>
    <x v="3"/>
    <x v="3"/>
    <s v="M00000304763"/>
    <d v="2007-11-29T00:00:00"/>
    <n v="0"/>
    <n v="73.540000000000006"/>
    <n v="2010.75"/>
    <n v="517.04999999999995"/>
    <x v="0"/>
    <s v="25"/>
    <s v="1149"/>
    <n v="25"/>
    <n v="1.75"/>
    <n v="7.0000000000000007E-2"/>
  </r>
  <r>
    <x v="0"/>
    <x v="3"/>
    <x v="3"/>
    <s v="M00000287213"/>
    <d v="2007-08-09T00:00:00"/>
    <n v="0"/>
    <n v="89.6"/>
    <n v="2458.96"/>
    <n v="630"/>
    <x v="0"/>
    <s v="25"/>
    <s v="1400"/>
    <n v="25"/>
    <n v="1.7564"/>
    <n v="7.0255999999999999E-2"/>
  </r>
  <r>
    <x v="0"/>
    <x v="3"/>
    <x v="3"/>
    <s v="M00000320667"/>
    <d v="2007-12-13T00:00:00"/>
    <n v="0"/>
    <n v="99.84"/>
    <n v="2748"/>
    <n v="702"/>
    <x v="0"/>
    <s v="25"/>
    <s v="1560"/>
    <n v="25"/>
    <n v="1.7615384615384615"/>
    <n v="7.0461538461538464E-2"/>
  </r>
  <r>
    <x v="0"/>
    <x v="3"/>
    <x v="3"/>
    <s v="M00000358348"/>
    <d v="2008-05-08T00:00:00"/>
    <n v="0"/>
    <n v="9.7899999999999991"/>
    <n v="270"/>
    <n v="68.849999999999994"/>
    <x v="0"/>
    <s v="25"/>
    <s v="153"/>
    <n v="25"/>
    <n v="1.7647058823529411"/>
    <n v="7.0588235294117646E-2"/>
  </r>
  <r>
    <x v="0"/>
    <x v="3"/>
    <x v="3"/>
    <s v="M00000311730"/>
    <d v="2007-11-09T00:00:00"/>
    <n v="0"/>
    <n v="67.2"/>
    <n v="1855"/>
    <n v="472.5"/>
    <x v="0"/>
    <s v="25"/>
    <s v="1050"/>
    <n v="25"/>
    <n v="1.7666666666666666"/>
    <n v="7.0666666666666669E-2"/>
  </r>
  <r>
    <x v="0"/>
    <x v="3"/>
    <x v="3"/>
    <s v="M00000285079"/>
    <d v="2007-07-19T00:00:00"/>
    <n v="0"/>
    <n v="82.94"/>
    <n v="2293.0100000000002"/>
    <n v="583.20000000000005"/>
    <x v="0"/>
    <s v="25"/>
    <s v="1296"/>
    <n v="25"/>
    <n v="1.7692978395061729"/>
    <n v="7.0771913580246912E-2"/>
  </r>
  <r>
    <x v="0"/>
    <x v="3"/>
    <x v="3"/>
    <s v="M00000336976"/>
    <d v="2008-02-29T00:00:00"/>
    <n v="0"/>
    <n v="84.48"/>
    <n v="2336"/>
    <n v="594"/>
    <x v="0"/>
    <s v="25"/>
    <s v="1320"/>
    <n v="25"/>
    <n v="1.7696969696969698"/>
    <n v="7.0787878787878789E-2"/>
  </r>
  <r>
    <x v="0"/>
    <x v="3"/>
    <x v="3"/>
    <s v="M00000326892"/>
    <d v="2007-12-31T00:00:00"/>
    <n v="0"/>
    <n v="124.8"/>
    <n v="3451"/>
    <n v="877.5"/>
    <x v="0"/>
    <s v="25"/>
    <s v="1950"/>
    <n v="25"/>
    <n v="1.7697435897435898"/>
    <n v="7.0789743589743589E-2"/>
  </r>
  <r>
    <x v="0"/>
    <x v="3"/>
    <x v="3"/>
    <s v="M00000301850"/>
    <d v="2007-10-04T00:00:00"/>
    <n v="0"/>
    <n v="106.56"/>
    <n v="2950"/>
    <n v="749.25"/>
    <x v="0"/>
    <s v="25"/>
    <s v="1665"/>
    <n v="25"/>
    <n v="1.7717717717717718"/>
    <n v="7.0870870870870878E-2"/>
  </r>
  <r>
    <x v="0"/>
    <x v="3"/>
    <x v="3"/>
    <s v="M00000287197"/>
    <d v="2007-12-31T00:00:00"/>
    <n v="0"/>
    <n v="99.58"/>
    <n v="2757.23"/>
    <n v="700.2"/>
    <x v="0"/>
    <s v="25"/>
    <s v="1556"/>
    <n v="25"/>
    <n v="1.7719987146529563"/>
    <n v="7.0879948586118249E-2"/>
  </r>
  <r>
    <x v="0"/>
    <x v="3"/>
    <x v="3"/>
    <s v="M00000308799"/>
    <d v="2007-11-01T00:00:00"/>
    <n v="0"/>
    <n v="49.6"/>
    <n v="1375"/>
    <n v="348.75"/>
    <x v="0"/>
    <s v="25"/>
    <s v="775"/>
    <n v="25"/>
    <n v="1.7741935483870968"/>
    <n v="7.0967741935483872E-2"/>
  </r>
  <r>
    <x v="0"/>
    <x v="3"/>
    <x v="3"/>
    <s v="M00000291353"/>
    <d v="2007-08-30T00:00:00"/>
    <n v="0"/>
    <n v="117.76"/>
    <n v="3268.94"/>
    <n v="828"/>
    <x v="0"/>
    <s v="25"/>
    <s v="1840"/>
    <n v="25"/>
    <n v="1.7765978260869566"/>
    <n v="7.1063913043478269E-2"/>
  </r>
  <r>
    <x v="0"/>
    <x v="3"/>
    <x v="3"/>
    <s v="M00000350853"/>
    <d v="2008-04-03T00:00:00"/>
    <n v="0"/>
    <n v="80"/>
    <n v="2228"/>
    <n v="562.5"/>
    <x v="0"/>
    <s v="25"/>
    <s v="1250"/>
    <n v="25"/>
    <n v="1.7824"/>
    <n v="7.1295999999999998E-2"/>
  </r>
  <r>
    <x v="0"/>
    <x v="3"/>
    <x v="3"/>
    <s v="M00000351321"/>
    <d v="2008-04-10T00:00:00"/>
    <n v="0"/>
    <n v="81.92"/>
    <n v="2300"/>
    <n v="576"/>
    <x v="0"/>
    <s v="25"/>
    <s v="1280"/>
    <n v="25"/>
    <n v="1.796875"/>
    <n v="7.1874999999999994E-2"/>
  </r>
  <r>
    <x v="0"/>
    <x v="3"/>
    <x v="3"/>
    <s v="M00000325438"/>
    <d v="2007-12-27T00:00:00"/>
    <n v="0"/>
    <n v="101.95"/>
    <n v="2874"/>
    <n v="716.85"/>
    <x v="0"/>
    <s v="25"/>
    <s v="1593"/>
    <n v="25"/>
    <n v="1.8041431261770244"/>
    <n v="7.2165725047080978E-2"/>
  </r>
  <r>
    <x v="0"/>
    <x v="3"/>
    <x v="3"/>
    <s v="M00000350902"/>
    <d v="2008-04-03T00:00:00"/>
    <n v="0"/>
    <n v="92.16"/>
    <n v="2598"/>
    <n v="648"/>
    <x v="0"/>
    <s v="25"/>
    <s v="1440"/>
    <n v="25"/>
    <n v="1.8041666666666667"/>
    <n v="7.2166666666666671E-2"/>
  </r>
  <r>
    <x v="0"/>
    <x v="3"/>
    <x v="3"/>
    <s v="M00000343564"/>
    <d v="2008-04-03T00:00:00"/>
    <n v="0"/>
    <n v="89.6"/>
    <n v="2125"/>
    <n v="630"/>
    <x v="15"/>
    <s v="38"/>
    <s v="1400"/>
    <n v="21"/>
    <n v="1.5178571428571428"/>
    <n v="7.2278911564625847E-2"/>
  </r>
  <r>
    <x v="0"/>
    <x v="3"/>
    <x v="3"/>
    <s v="M00000299799"/>
    <d v="2007-09-20T00:00:00"/>
    <n v="0"/>
    <n v="127.04"/>
    <n v="3588.09"/>
    <n v="893.25"/>
    <x v="0"/>
    <s v="25"/>
    <s v="1985"/>
    <n v="25"/>
    <n v="1.8076020151133503"/>
    <n v="7.2304080604534013E-2"/>
  </r>
  <r>
    <x v="0"/>
    <x v="3"/>
    <x v="3"/>
    <s v="M00000282191"/>
    <d v="2007-07-06T00:00:00"/>
    <n v="0"/>
    <n v="96"/>
    <n v="2065.0500000000002"/>
    <n v="675"/>
    <x v="0"/>
    <s v="19"/>
    <s v="1500"/>
    <n v="19"/>
    <n v="1.3767"/>
    <n v="7.245789473684211E-2"/>
  </r>
  <r>
    <x v="0"/>
    <x v="3"/>
    <x v="3"/>
    <s v="M00000342415"/>
    <d v="2008-02-29T00:00:00"/>
    <n v="0"/>
    <n v="49.54"/>
    <n v="1409"/>
    <n v="348.3"/>
    <x v="0"/>
    <s v="25"/>
    <s v="774"/>
    <n v="25"/>
    <n v="1.8204134366925064"/>
    <n v="7.2816537467700254E-2"/>
  </r>
  <r>
    <x v="0"/>
    <x v="3"/>
    <x v="3"/>
    <s v="M00000332111"/>
    <d v="2007-12-31T00:00:00"/>
    <n v="0"/>
    <n v="67.2"/>
    <n v="1912"/>
    <n v="472.5"/>
    <x v="0"/>
    <s v="25"/>
    <s v="1050"/>
    <n v="25"/>
    <n v="1.8209523809523809"/>
    <n v="7.283809523809523E-2"/>
  </r>
  <r>
    <x v="0"/>
    <x v="3"/>
    <x v="3"/>
    <s v="M00000349499"/>
    <d v="2008-03-27T00:00:00"/>
    <n v="0"/>
    <n v="116.93"/>
    <n v="3333"/>
    <n v="822.15"/>
    <x v="0"/>
    <s v="25"/>
    <s v="1827"/>
    <n v="25"/>
    <n v="1.8243021346469623"/>
    <n v="7.2972085385878488E-2"/>
  </r>
  <r>
    <x v="0"/>
    <x v="3"/>
    <x v="3"/>
    <s v="M00000346240"/>
    <d v="2008-03-13T00:00:00"/>
    <n v="0"/>
    <n v="51.2"/>
    <n v="1460"/>
    <n v="360"/>
    <x v="0"/>
    <s v="25"/>
    <s v="800"/>
    <n v="25"/>
    <n v="1.825"/>
    <n v="7.2999999999999995E-2"/>
  </r>
  <r>
    <x v="0"/>
    <x v="3"/>
    <x v="3"/>
    <s v="M00000300487"/>
    <d v="2007-09-27T00:00:00"/>
    <n v="0"/>
    <n v="81.47"/>
    <n v="1957"/>
    <n v="572.85"/>
    <x v="0"/>
    <s v="21"/>
    <s v="1273"/>
    <n v="21"/>
    <n v="1.5373134328358209"/>
    <n v="7.3205401563610523E-2"/>
  </r>
  <r>
    <x v="0"/>
    <x v="3"/>
    <x v="3"/>
    <s v="M00000316766"/>
    <d v="2008-01-24T00:00:00"/>
    <n v="0"/>
    <n v="80"/>
    <n v="2298"/>
    <n v="562.5"/>
    <x v="0"/>
    <s v="25"/>
    <s v="1250"/>
    <n v="25"/>
    <n v="1.8384"/>
    <n v="7.3536000000000004E-2"/>
  </r>
  <r>
    <x v="0"/>
    <x v="3"/>
    <x v="3"/>
    <s v="M00000276615"/>
    <d v="2007-06-21T00:00:00"/>
    <n v="0"/>
    <n v="118.66"/>
    <n v="2047.93"/>
    <n v="834.3"/>
    <x v="2"/>
    <s v="26"/>
    <s v="1854"/>
    <n v="15"/>
    <n v="1.1046008629989212"/>
    <n v="7.3640057533261416E-2"/>
  </r>
  <r>
    <x v="0"/>
    <x v="3"/>
    <x v="3"/>
    <s v="M00000308626"/>
    <d v="2007-12-13T00:00:00"/>
    <n v="0"/>
    <n v="99.84"/>
    <n v="2876"/>
    <n v="702"/>
    <x v="0"/>
    <s v="25"/>
    <s v="1560"/>
    <n v="25"/>
    <n v="1.8435897435897435"/>
    <n v="7.3743589743589744E-2"/>
  </r>
  <r>
    <x v="0"/>
    <x v="3"/>
    <x v="3"/>
    <s v="M00000346790"/>
    <d v="2008-05-29T00:00:00"/>
    <n v="0"/>
    <n v="73.86"/>
    <n v="2129.7399999999998"/>
    <n v="519.29999999999995"/>
    <x v="0"/>
    <s v="25"/>
    <s v="1154"/>
    <n v="25"/>
    <n v="1.8455285961871748"/>
    <n v="7.3821143847486989E-2"/>
  </r>
  <r>
    <x v="0"/>
    <x v="3"/>
    <x v="3"/>
    <s v="M00000294665"/>
    <d v="2007-09-14T00:00:00"/>
    <n v="0"/>
    <n v="62.98"/>
    <n v="1820.01"/>
    <n v="442.8"/>
    <x v="0"/>
    <s v="25"/>
    <s v="984"/>
    <n v="25"/>
    <n v="1.8496036585365854"/>
    <n v="7.3984146341463414E-2"/>
  </r>
  <r>
    <x v="0"/>
    <x v="3"/>
    <x v="3"/>
    <s v="M00000336749"/>
    <d v="2008-02-07T00:00:00"/>
    <n v="0"/>
    <n v="102.4"/>
    <n v="2250"/>
    <n v="720"/>
    <x v="0"/>
    <s v="19"/>
    <s v="1600"/>
    <n v="19"/>
    <n v="1.40625"/>
    <n v="7.4013157894736836E-2"/>
  </r>
  <r>
    <x v="0"/>
    <x v="3"/>
    <x v="3"/>
    <s v="M00000269233"/>
    <d v="2007-07-26T00:00:00"/>
    <n v="0"/>
    <n v="104.32"/>
    <n v="2571"/>
    <n v="733.5"/>
    <x v="0"/>
    <s v="21"/>
    <s v="1630"/>
    <n v="21"/>
    <n v="1.5773006134969325"/>
    <n v="7.5109553023663456E-2"/>
  </r>
  <r>
    <x v="0"/>
    <x v="3"/>
    <x v="3"/>
    <s v="M00000298441"/>
    <d v="2007-10-25T00:00:00"/>
    <n v="0"/>
    <n v="97.22"/>
    <n v="2852.99"/>
    <n v="683.55"/>
    <x v="0"/>
    <s v="25"/>
    <s v="1519"/>
    <n v="25"/>
    <n v="1.8782027649769584"/>
    <n v="7.512811059907834E-2"/>
  </r>
  <r>
    <x v="0"/>
    <x v="3"/>
    <x v="3"/>
    <s v="M00000299226"/>
    <d v="2007-10-04T00:00:00"/>
    <n v="0"/>
    <n v="14.34"/>
    <n v="320"/>
    <n v="100.8"/>
    <x v="2"/>
    <s v="30"/>
    <s v="224"/>
    <n v="19"/>
    <n v="1.4285714285714286"/>
    <n v="7.5187969924812026E-2"/>
  </r>
  <r>
    <x v="0"/>
    <x v="3"/>
    <x v="3"/>
    <s v="M00000327226"/>
    <d v="2007-12-31T00:00:00"/>
    <n v="0"/>
    <n v="64"/>
    <n v="1883"/>
    <n v="450"/>
    <x v="0"/>
    <s v="25"/>
    <s v="1000"/>
    <n v="25"/>
    <n v="1.883"/>
    <n v="7.5319999999999998E-2"/>
  </r>
  <r>
    <x v="0"/>
    <x v="3"/>
    <x v="3"/>
    <s v="M00000337113"/>
    <d v="2008-02-07T00:00:00"/>
    <n v="0"/>
    <n v="59.39"/>
    <n v="1610"/>
    <n v="417.6"/>
    <x v="16"/>
    <s v="30"/>
    <s v="928"/>
    <n v="23"/>
    <n v="1.7349137931034482"/>
    <n v="7.5431034482758619E-2"/>
  </r>
  <r>
    <x v="0"/>
    <x v="3"/>
    <x v="3"/>
    <s v="M00000282719"/>
    <d v="2007-08-23T00:00:00"/>
    <n v="0"/>
    <n v="57.6"/>
    <n v="1700.01"/>
    <n v="405"/>
    <x v="0"/>
    <s v="25"/>
    <s v="900"/>
    <n v="25"/>
    <n v="1.8889"/>
    <n v="7.5555999999999998E-2"/>
  </r>
  <r>
    <x v="0"/>
    <x v="3"/>
    <x v="3"/>
    <s v="M00000339065"/>
    <d v="2008-03-06T00:00:00"/>
    <n v="0"/>
    <n v="71.81"/>
    <n v="1782"/>
    <n v="504.9"/>
    <x v="0"/>
    <s v="21"/>
    <s v="1122"/>
    <n v="21"/>
    <n v="1.588235294117647"/>
    <n v="7.5630252100840331E-2"/>
  </r>
  <r>
    <x v="0"/>
    <x v="3"/>
    <x v="3"/>
    <s v="M00000310501"/>
    <d v="2007-12-31T00:00:00"/>
    <n v="0"/>
    <n v="0.06"/>
    <n v="811.36"/>
    <n v="0.45"/>
    <x v="0"/>
    <s v="25"/>
    <s v="428"/>
    <n v="25"/>
    <n v="1.8957009345794393"/>
    <n v="7.5828037383177574E-2"/>
  </r>
  <r>
    <x v="0"/>
    <x v="3"/>
    <x v="3"/>
    <s v="M00000341879"/>
    <d v="2008-02-29T00:00:00"/>
    <n v="0"/>
    <n v="29.95"/>
    <n v="1070"/>
    <n v="210.6"/>
    <x v="0"/>
    <s v="30"/>
    <s v="468"/>
    <n v="30"/>
    <n v="2.2863247863247862"/>
    <n v="7.6210826210826213E-2"/>
  </r>
  <r>
    <x v="0"/>
    <x v="3"/>
    <x v="3"/>
    <s v="M00000319150"/>
    <d v="2007-12-06T00:00:00"/>
    <n v="0"/>
    <n v="9.09"/>
    <n v="271"/>
    <n v="63.9"/>
    <x v="0"/>
    <s v="25"/>
    <s v="142"/>
    <n v="25"/>
    <n v="1.908450704225352"/>
    <n v="7.6338028169014083E-2"/>
  </r>
  <r>
    <x v="0"/>
    <x v="3"/>
    <x v="3"/>
    <s v="M00000325707"/>
    <d v="2007-12-27T00:00:00"/>
    <n v="0"/>
    <n v="69.63"/>
    <n v="2502"/>
    <n v="489.6"/>
    <x v="0"/>
    <s v="30"/>
    <s v="1088"/>
    <n v="30"/>
    <n v="2.2996323529411766"/>
    <n v="7.6654411764705888E-2"/>
  </r>
  <r>
    <x v="0"/>
    <x v="3"/>
    <x v="3"/>
    <s v="M00000284656"/>
    <d v="2007-07-19T00:00:00"/>
    <n v="0"/>
    <n v="121.73"/>
    <n v="3070.97"/>
    <n v="855.9"/>
    <x v="0"/>
    <s v="21"/>
    <s v="1902"/>
    <n v="21"/>
    <n v="1.6146004206098843"/>
    <n v="7.6885734314756399E-2"/>
  </r>
  <r>
    <x v="0"/>
    <x v="3"/>
    <x v="3"/>
    <s v="M00000354374"/>
    <d v="2008-04-17T00:00:00"/>
    <n v="0"/>
    <n v="192"/>
    <n v="6930"/>
    <n v="1350"/>
    <x v="0"/>
    <s v="30"/>
    <s v="3000"/>
    <n v="30"/>
    <n v="2.31"/>
    <n v="7.6999999999999999E-2"/>
  </r>
  <r>
    <x v="0"/>
    <x v="3"/>
    <x v="3"/>
    <s v="M00000368130"/>
    <d v="2008-06-19T00:00:00"/>
    <n v="0"/>
    <n v="48.9"/>
    <n v="1473"/>
    <n v="343.8"/>
    <x v="0"/>
    <s v="25"/>
    <s v="764"/>
    <n v="25"/>
    <n v="1.9280104712041886"/>
    <n v="7.7120418848167546E-2"/>
  </r>
  <r>
    <x v="0"/>
    <x v="3"/>
    <x v="3"/>
    <s v="M00000315369"/>
    <d v="2007-12-31T00:00:00"/>
    <n v="0"/>
    <n v="110.4"/>
    <n v="3325.95"/>
    <n v="776.25"/>
    <x v="0"/>
    <s v="25"/>
    <s v="1725"/>
    <n v="25"/>
    <n v="1.9280869565217391"/>
    <n v="7.7123478260869571E-2"/>
  </r>
  <r>
    <x v="0"/>
    <x v="3"/>
    <x v="3"/>
    <s v="M00000347757"/>
    <d v="2008-03-20T00:00:00"/>
    <n v="0"/>
    <n v="51.2"/>
    <n v="1545"/>
    <n v="360"/>
    <x v="0"/>
    <s v="25"/>
    <s v="800"/>
    <n v="25"/>
    <n v="1.9312499999999999"/>
    <n v="7.7249999999999999E-2"/>
  </r>
  <r>
    <x v="0"/>
    <x v="3"/>
    <x v="3"/>
    <s v="M00000305249"/>
    <d v="2007-11-21T00:00:00"/>
    <n v="0"/>
    <n v="80"/>
    <n v="2428"/>
    <n v="562.5"/>
    <x v="0"/>
    <s v="25"/>
    <s v="1250"/>
    <n v="25"/>
    <n v="1.9423999999999999"/>
    <n v="7.7696000000000001E-2"/>
  </r>
  <r>
    <x v="0"/>
    <x v="3"/>
    <x v="3"/>
    <s v="M00000281467"/>
    <d v="2007-07-06T00:00:00"/>
    <n v="0"/>
    <n v="86.4"/>
    <n v="2626.97"/>
    <n v="607.5"/>
    <x v="0"/>
    <s v="25"/>
    <s v="1350"/>
    <n v="25"/>
    <n v="1.9459037037037035"/>
    <n v="7.783614814814814E-2"/>
  </r>
  <r>
    <x v="0"/>
    <x v="3"/>
    <x v="3"/>
    <s v="M00000340451"/>
    <d v="2008-03-13T00:00:00"/>
    <n v="0"/>
    <n v="53.12"/>
    <n v="1616"/>
    <n v="373.5"/>
    <x v="0"/>
    <s v="25"/>
    <s v="830"/>
    <n v="25"/>
    <n v="1.9469879518072288"/>
    <n v="7.7879518072289156E-2"/>
  </r>
  <r>
    <x v="0"/>
    <x v="3"/>
    <x v="3"/>
    <s v="M00000305447"/>
    <d v="2007-10-18T00:00:00"/>
    <n v="0"/>
    <n v="22.4"/>
    <n v="575"/>
    <n v="157.5"/>
    <x v="0"/>
    <s v="21"/>
    <s v="350"/>
    <n v="21"/>
    <n v="1.6428571428571428"/>
    <n v="7.8231292517006806E-2"/>
  </r>
  <r>
    <x v="0"/>
    <x v="3"/>
    <x v="3"/>
    <s v="M00000366217"/>
    <d v="2008-06-19T00:00:00"/>
    <n v="0"/>
    <n v="44.8"/>
    <n v="1649.43"/>
    <n v="315"/>
    <x v="0"/>
    <s v="30"/>
    <s v="700"/>
    <n v="30"/>
    <n v="2.3563285714285715"/>
    <n v="7.8544285714285719E-2"/>
  </r>
  <r>
    <x v="0"/>
    <x v="3"/>
    <x v="3"/>
    <s v="M00000311877"/>
    <d v="2007-12-13T00:00:00"/>
    <n v="0"/>
    <n v="105.86"/>
    <n v="3256"/>
    <n v="744.3"/>
    <x v="0"/>
    <s v="25"/>
    <s v="1654"/>
    <n v="25"/>
    <n v="1.9685610640870617"/>
    <n v="7.8742442563482465E-2"/>
  </r>
  <r>
    <x v="0"/>
    <x v="3"/>
    <x v="3"/>
    <s v="M00000359286"/>
    <d v="2008-05-22T00:00:00"/>
    <n v="0"/>
    <n v="57.6"/>
    <n v="1350"/>
    <n v="405"/>
    <x v="0"/>
    <s v="19"/>
    <s v="900"/>
    <n v="19"/>
    <n v="1.5"/>
    <n v="7.8947368421052627E-2"/>
  </r>
  <r>
    <x v="0"/>
    <x v="3"/>
    <x v="3"/>
    <s v="M00000322995"/>
    <d v="2007-12-20T00:00:00"/>
    <n v="0"/>
    <n v="140.93"/>
    <n v="4359"/>
    <n v="990.9"/>
    <x v="0"/>
    <s v="25"/>
    <s v="2202"/>
    <n v="25"/>
    <n v="1.9795640326975477"/>
    <n v="7.9182561307901911E-2"/>
  </r>
  <r>
    <x v="0"/>
    <x v="3"/>
    <x v="3"/>
    <s v="M00000269675"/>
    <d v="2007-05-17T00:00:00"/>
    <n v="0"/>
    <n v="86.91"/>
    <n v="2281.44"/>
    <n v="611.1"/>
    <x v="0"/>
    <s v="21"/>
    <s v="1358"/>
    <n v="21"/>
    <n v="1.68"/>
    <n v="0.08"/>
  </r>
  <r>
    <x v="0"/>
    <x v="3"/>
    <x v="3"/>
    <s v="M00000309772"/>
    <d v="2007-11-01T00:00:00"/>
    <n v="0"/>
    <n v="6.4"/>
    <n v="200"/>
    <n v="45"/>
    <x v="0"/>
    <s v="25"/>
    <s v="100"/>
    <n v="25"/>
    <n v="2"/>
    <n v="0.08"/>
  </r>
  <r>
    <x v="0"/>
    <x v="3"/>
    <x v="3"/>
    <s v="M00000318824"/>
    <d v="2007-12-06T00:00:00"/>
    <n v="0"/>
    <n v="17.920000000000002"/>
    <n v="560"/>
    <n v="126"/>
    <x v="0"/>
    <s v="25"/>
    <s v="280"/>
    <n v="25"/>
    <n v="2"/>
    <n v="0.08"/>
  </r>
  <r>
    <x v="0"/>
    <x v="3"/>
    <x v="3"/>
    <s v="M00000322903"/>
    <d v="2007-12-20T00:00:00"/>
    <n v="0"/>
    <n v="32"/>
    <n v="1000"/>
    <n v="225"/>
    <x v="0"/>
    <s v="25"/>
    <s v="500"/>
    <n v="25"/>
    <n v="2"/>
    <n v="0.08"/>
  </r>
  <r>
    <x v="0"/>
    <x v="3"/>
    <x v="3"/>
    <s v="M00000339055"/>
    <d v="2008-02-21T00:00:00"/>
    <n v="0"/>
    <n v="102.4"/>
    <n v="2688"/>
    <n v="720"/>
    <x v="0"/>
    <s v="21"/>
    <s v="1600"/>
    <n v="21"/>
    <n v="1.68"/>
    <n v="0.08"/>
  </r>
  <r>
    <x v="0"/>
    <x v="3"/>
    <x v="3"/>
    <s v="M00000343381"/>
    <d v="2008-03-06T00:00:00"/>
    <n v="0"/>
    <n v="19.14"/>
    <n v="598"/>
    <n v="134.55000000000001"/>
    <x v="0"/>
    <s v="25"/>
    <s v="299"/>
    <n v="25"/>
    <n v="2"/>
    <n v="0.08"/>
  </r>
  <r>
    <x v="0"/>
    <x v="3"/>
    <x v="3"/>
    <s v="M00000350289"/>
    <d v="2008-04-03T00:00:00"/>
    <n v="0"/>
    <n v="51.97"/>
    <n v="1624"/>
    <n v="365.4"/>
    <x v="0"/>
    <s v="25"/>
    <s v="812"/>
    <n v="25"/>
    <n v="2"/>
    <n v="0.08"/>
  </r>
  <r>
    <x v="0"/>
    <x v="3"/>
    <x v="3"/>
    <s v="M00000312745"/>
    <d v="2007-11-15T00:00:00"/>
    <n v="0"/>
    <n v="57.6"/>
    <n v="1806"/>
    <n v="405"/>
    <x v="0"/>
    <s v="25"/>
    <s v="900"/>
    <n v="25"/>
    <n v="2.0066666666666668"/>
    <n v="8.0266666666666667E-2"/>
  </r>
  <r>
    <x v="0"/>
    <x v="3"/>
    <x v="3"/>
    <s v="M00000308531"/>
    <d v="2007-11-01T00:00:00"/>
    <n v="0"/>
    <n v="153.72999999999999"/>
    <n v="4827"/>
    <n v="1080.9000000000001"/>
    <x v="0"/>
    <s v="25"/>
    <s v="2402"/>
    <n v="25"/>
    <n v="2.0095753538717736"/>
    <n v="8.0383014154870938E-2"/>
  </r>
  <r>
    <x v="0"/>
    <x v="3"/>
    <x v="3"/>
    <s v="M00000349992"/>
    <d v="2008-04-03T00:00:00"/>
    <n v="0"/>
    <n v="78.459999999999994"/>
    <n v="2470"/>
    <n v="551.70000000000005"/>
    <x v="0"/>
    <s v="25"/>
    <s v="1226"/>
    <n v="25"/>
    <n v="2.0146818923327894"/>
    <n v="8.0587275693311575E-2"/>
  </r>
  <r>
    <x v="0"/>
    <x v="3"/>
    <x v="3"/>
    <s v="M00000343545"/>
    <d v="2008-04-03T00:00:00"/>
    <n v="0"/>
    <n v="96"/>
    <n v="3029.7"/>
    <n v="675"/>
    <x v="0"/>
    <s v="25"/>
    <s v="1500"/>
    <n v="25"/>
    <n v="2.0198"/>
    <n v="8.0792000000000003E-2"/>
  </r>
  <r>
    <x v="0"/>
    <x v="3"/>
    <x v="3"/>
    <s v="M00000369031"/>
    <d v="2008-06-26T00:00:00"/>
    <n v="0"/>
    <n v="113.92"/>
    <n v="3600.2"/>
    <n v="801"/>
    <x v="0"/>
    <s v="25"/>
    <s v="1780"/>
    <n v="25"/>
    <n v="2.022584269662921"/>
    <n v="8.090337078651684E-2"/>
  </r>
  <r>
    <x v="0"/>
    <x v="3"/>
    <x v="3"/>
    <s v="M00000284411"/>
    <d v="2007-07-19T00:00:00"/>
    <n v="0"/>
    <n v="68.86"/>
    <n v="2182.02"/>
    <n v="484.2"/>
    <x v="0"/>
    <s v="25"/>
    <s v="1076"/>
    <n v="25"/>
    <n v="2.0278996282527881"/>
    <n v="8.111598513011152E-2"/>
  </r>
  <r>
    <x v="0"/>
    <x v="3"/>
    <x v="3"/>
    <s v="M00000290942"/>
    <d v="2007-08-23T00:00:00"/>
    <n v="0"/>
    <n v="82.24"/>
    <n v="2613.0500000000002"/>
    <n v="578.25"/>
    <x v="0"/>
    <s v="25"/>
    <s v="1285"/>
    <n v="25"/>
    <n v="2.0335019455252921"/>
    <n v="8.1340077821011686E-2"/>
  </r>
  <r>
    <x v="0"/>
    <x v="3"/>
    <x v="3"/>
    <s v="M00000318127"/>
    <d v="2007-11-30T00:00:00"/>
    <n v="0"/>
    <n v="64"/>
    <n v="2450"/>
    <n v="450"/>
    <x v="0"/>
    <s v="30"/>
    <s v="1000"/>
    <n v="30"/>
    <n v="2.4500000000000002"/>
    <n v="8.1666666666666679E-2"/>
  </r>
  <r>
    <x v="0"/>
    <x v="3"/>
    <x v="3"/>
    <s v="M00000284442"/>
    <d v="2007-07-19T00:00:00"/>
    <n v="0"/>
    <n v="10.75"/>
    <n v="206"/>
    <n v="75.599999999999994"/>
    <x v="9"/>
    <s v="19"/>
    <s v="168"/>
    <n v="15"/>
    <n v="1.2261904761904763"/>
    <n v="8.1746031746031747E-2"/>
  </r>
  <r>
    <x v="0"/>
    <x v="3"/>
    <x v="3"/>
    <s v="M00000299358"/>
    <d v="2007-09-20T00:00:00"/>
    <n v="0"/>
    <n v="0.06"/>
    <n v="2208.96"/>
    <n v="480.15"/>
    <x v="0"/>
    <s v="25"/>
    <s v="1067"/>
    <n v="25"/>
    <n v="2.070253045923149"/>
    <n v="8.281012183692596E-2"/>
  </r>
  <r>
    <x v="0"/>
    <x v="3"/>
    <x v="3"/>
    <s v="M00000305144"/>
    <d v="2007-10-18T00:00:00"/>
    <n v="0"/>
    <n v="68.290000000000006"/>
    <n v="2209.0100000000002"/>
    <n v="480.15"/>
    <x v="0"/>
    <s v="25"/>
    <s v="1067"/>
    <n v="25"/>
    <n v="2.0702999062792879"/>
    <n v="8.2811996251171513E-2"/>
  </r>
  <r>
    <x v="0"/>
    <x v="3"/>
    <x v="3"/>
    <s v="M00000318084"/>
    <d v="2007-12-06T00:00:00"/>
    <n v="0"/>
    <n v="64"/>
    <n v="2078"/>
    <n v="450"/>
    <x v="0"/>
    <s v="25"/>
    <s v="1000"/>
    <n v="25"/>
    <n v="2.0779999999999998"/>
    <n v="8.3119999999999999E-2"/>
  </r>
  <r>
    <x v="0"/>
    <x v="3"/>
    <x v="3"/>
    <s v="M00000269913"/>
    <d v="2007-08-02T00:00:00"/>
    <n v="0"/>
    <n v="29.18"/>
    <n v="948.48"/>
    <n v="205.2"/>
    <x v="0"/>
    <s v="25"/>
    <s v="456"/>
    <n v="25"/>
    <n v="2.08"/>
    <n v="8.3199999999999996E-2"/>
  </r>
  <r>
    <x v="0"/>
    <x v="3"/>
    <x v="3"/>
    <s v="M00000356290"/>
    <d v="2008-04-30T00:00:00"/>
    <n v="0"/>
    <n v="118.66"/>
    <n v="4635"/>
    <n v="834.3"/>
    <x v="0"/>
    <s v="30"/>
    <s v="1854"/>
    <n v="30"/>
    <n v="2.5"/>
    <n v="8.3333333333333329E-2"/>
  </r>
  <r>
    <x v="0"/>
    <x v="3"/>
    <x v="3"/>
    <s v="M00000296425"/>
    <d v="2007-10-04T00:00:00"/>
    <n v="0"/>
    <n v="76.8"/>
    <n v="2117.04"/>
    <n v="540"/>
    <x v="0"/>
    <s v="21"/>
    <s v="1200"/>
    <n v="21"/>
    <n v="1.7642"/>
    <n v="8.4009523809523812E-2"/>
  </r>
  <r>
    <x v="0"/>
    <x v="3"/>
    <x v="3"/>
    <s v="M00000373469"/>
    <d v="2008-07-10T00:00:00"/>
    <n v="0"/>
    <n v="21.12"/>
    <n v="696"/>
    <n v="148.5"/>
    <x v="0"/>
    <s v="25"/>
    <s v="330"/>
    <n v="25"/>
    <n v="2.1090909090909089"/>
    <n v="8.4363636363636363E-2"/>
  </r>
  <r>
    <x v="0"/>
    <x v="3"/>
    <x v="3"/>
    <s v="M00000320436"/>
    <d v="2007-12-13T00:00:00"/>
    <n v="0"/>
    <n v="44.8"/>
    <n v="650"/>
    <n v="315"/>
    <x v="0"/>
    <s v="11"/>
    <s v="700"/>
    <n v="11"/>
    <n v="0.9285714285714286"/>
    <n v="8.4415584415584416E-2"/>
  </r>
  <r>
    <x v="0"/>
    <x v="3"/>
    <x v="3"/>
    <s v="M00000294837"/>
    <d v="2007-08-30T00:00:00"/>
    <n v="0"/>
    <n v="107.9"/>
    <n v="2710.08"/>
    <n v="758.7"/>
    <x v="0"/>
    <s v="19"/>
    <s v="1686"/>
    <n v="19"/>
    <n v="1.6074021352313166"/>
    <n v="8.4600112380595616E-2"/>
  </r>
  <r>
    <x v="0"/>
    <x v="3"/>
    <x v="3"/>
    <s v="M00000314566"/>
    <d v="2007-12-31T00:00:00"/>
    <n v="0"/>
    <n v="105.6"/>
    <n v="2948"/>
    <n v="742.5"/>
    <x v="0"/>
    <s v="21"/>
    <s v="1650"/>
    <n v="21"/>
    <n v="1.7866666666666666"/>
    <n v="8.5079365079365074E-2"/>
  </r>
  <r>
    <x v="0"/>
    <x v="3"/>
    <x v="3"/>
    <s v="M00000291348"/>
    <d v="2007-08-16T00:00:00"/>
    <n v="0"/>
    <n v="4.22"/>
    <n v="141"/>
    <n v="29.7"/>
    <x v="0"/>
    <s v="25"/>
    <s v="66"/>
    <n v="25"/>
    <n v="2.1363636363636362"/>
    <n v="8.545454545454545E-2"/>
  </r>
  <r>
    <x v="0"/>
    <x v="3"/>
    <x v="3"/>
    <s v="M00000333966"/>
    <d v="2008-01-24T00:00:00"/>
    <n v="0"/>
    <n v="64.900000000000006"/>
    <n v="2168"/>
    <n v="456.3"/>
    <x v="0"/>
    <s v="25"/>
    <s v="1014"/>
    <n v="25"/>
    <n v="2.138067061143984"/>
    <n v="8.5522682445759363E-2"/>
  </r>
  <r>
    <x v="0"/>
    <x v="3"/>
    <x v="3"/>
    <s v="M00000289546"/>
    <d v="2007-09-06T00:00:00"/>
    <n v="0"/>
    <n v="4.4800000000000004"/>
    <n v="150"/>
    <n v="31.5"/>
    <x v="0"/>
    <s v="25"/>
    <s v="70"/>
    <n v="25"/>
    <n v="2.1428571428571428"/>
    <n v="8.5714285714285715E-2"/>
  </r>
  <r>
    <x v="0"/>
    <x v="3"/>
    <x v="3"/>
    <s v="M00000315109"/>
    <d v="2007-11-21T00:00:00"/>
    <n v="0"/>
    <n v="96.77"/>
    <n v="2471"/>
    <n v="680.4"/>
    <x v="0"/>
    <s v="19"/>
    <s v="1512"/>
    <n v="19"/>
    <n v="1.6342592592592593"/>
    <n v="8.6013645224171542E-2"/>
  </r>
  <r>
    <x v="0"/>
    <x v="3"/>
    <x v="3"/>
    <s v="M00000339838"/>
    <d v="2008-02-14T00:00:00"/>
    <n v="0"/>
    <n v="138.05000000000001"/>
    <n v="3945"/>
    <n v="970.65"/>
    <x v="0"/>
    <s v="21"/>
    <s v="2157"/>
    <n v="21"/>
    <n v="1.8289290681502086"/>
    <n v="8.7091860388105166E-2"/>
  </r>
  <r>
    <x v="0"/>
    <x v="3"/>
    <x v="3"/>
    <s v="M00000356111"/>
    <d v="2008-04-30T00:00:00"/>
    <n v="0"/>
    <n v="18.05"/>
    <n v="620"/>
    <n v="126.9"/>
    <x v="0"/>
    <s v="25"/>
    <s v="282"/>
    <n v="25"/>
    <n v="2.1985815602836878"/>
    <n v="8.7943262411347506E-2"/>
  </r>
  <r>
    <x v="0"/>
    <x v="3"/>
    <x v="3"/>
    <s v="M00000353728"/>
    <d v="2008-05-08T00:00:00"/>
    <n v="0"/>
    <n v="6.4"/>
    <n v="220"/>
    <n v="45"/>
    <x v="0"/>
    <s v="25"/>
    <s v="100"/>
    <n v="25"/>
    <n v="2.2000000000000002"/>
    <n v="8.8000000000000009E-2"/>
  </r>
  <r>
    <x v="0"/>
    <x v="3"/>
    <x v="3"/>
    <s v="M00000310364"/>
    <d v="2007-11-09T00:00:00"/>
    <n v="0"/>
    <n v="66.3"/>
    <n v="2285"/>
    <n v="466.2"/>
    <x v="0"/>
    <s v="25"/>
    <s v="1036"/>
    <n v="25"/>
    <n v="2.2055984555984556"/>
    <n v="8.8223938223938217E-2"/>
  </r>
  <r>
    <x v="0"/>
    <x v="3"/>
    <x v="3"/>
    <s v="M00000270422"/>
    <d v="2007-07-12T00:00:00"/>
    <n v="0"/>
    <n v="36.61"/>
    <n v="1262"/>
    <n v="257.39999999999998"/>
    <x v="0"/>
    <s v="25"/>
    <s v="572"/>
    <n v="25"/>
    <n v="2.2062937062937062"/>
    <n v="8.8251748251748252E-2"/>
  </r>
  <r>
    <x v="0"/>
    <x v="3"/>
    <x v="3"/>
    <s v="M00000340441"/>
    <d v="2008-02-21T00:00:00"/>
    <n v="0"/>
    <n v="107.52"/>
    <n v="3116"/>
    <n v="756"/>
    <x v="0"/>
    <s v="21"/>
    <s v="1680"/>
    <n v="21"/>
    <n v="1.8547619047619048"/>
    <n v="8.8321995464852615E-2"/>
  </r>
  <r>
    <x v="0"/>
    <x v="3"/>
    <x v="3"/>
    <s v="M00000347848"/>
    <d v="2008-05-15T00:00:00"/>
    <n v="0"/>
    <n v="19.2"/>
    <n v="664.8"/>
    <n v="135"/>
    <x v="0"/>
    <s v="25"/>
    <s v="300"/>
    <n v="25"/>
    <n v="2.2159999999999997"/>
    <n v="8.8639999999999997E-2"/>
  </r>
  <r>
    <x v="0"/>
    <x v="3"/>
    <x v="3"/>
    <s v="M00000300915"/>
    <d v="2007-09-27T00:00:00"/>
    <n v="0"/>
    <n v="8.64"/>
    <n v="300"/>
    <n v="60.75"/>
    <x v="0"/>
    <s v="25"/>
    <s v="135"/>
    <n v="25"/>
    <n v="2.2222222222222223"/>
    <n v="8.8888888888888892E-2"/>
  </r>
  <r>
    <x v="0"/>
    <x v="3"/>
    <x v="3"/>
    <s v="M00000348421"/>
    <d v="2008-03-27T00:00:00"/>
    <n v="0"/>
    <n v="121.6"/>
    <n v="3600"/>
    <n v="855"/>
    <x v="0"/>
    <s v="21"/>
    <s v="1900"/>
    <n v="21"/>
    <n v="1.8947368421052631"/>
    <n v="9.0225563909774431E-2"/>
  </r>
  <r>
    <x v="0"/>
    <x v="3"/>
    <x v="3"/>
    <s v="M00000292848"/>
    <d v="2007-09-20T00:00:00"/>
    <n v="0"/>
    <n v="2.11"/>
    <n v="90"/>
    <n v="14.85"/>
    <x v="0"/>
    <s v="30"/>
    <s v="33"/>
    <n v="30"/>
    <n v="2.7272727272727271"/>
    <n v="9.0909090909090898E-2"/>
  </r>
  <r>
    <x v="0"/>
    <x v="3"/>
    <x v="3"/>
    <s v="M00000335082"/>
    <d v="2008-02-21T00:00:00"/>
    <n v="0"/>
    <n v="115.2"/>
    <n v="3119"/>
    <n v="810"/>
    <x v="12"/>
    <s v="25"/>
    <s v="1800"/>
    <n v="19"/>
    <n v="1.7327777777777778"/>
    <n v="9.1198830409356724E-2"/>
  </r>
  <r>
    <x v="0"/>
    <x v="3"/>
    <x v="3"/>
    <s v="M00000329185"/>
    <d v="2007-12-31T00:00:00"/>
    <n v="0"/>
    <n v="4.8"/>
    <n v="174"/>
    <n v="33.75"/>
    <x v="0"/>
    <s v="25"/>
    <s v="75"/>
    <n v="25"/>
    <n v="2.3199999999999998"/>
    <n v="9.2799999999999994E-2"/>
  </r>
  <r>
    <x v="0"/>
    <x v="3"/>
    <x v="3"/>
    <s v="M00000294364"/>
    <d v="2007-08-30T00:00:00"/>
    <n v="0"/>
    <n v="83.2"/>
    <n v="1831.44"/>
    <n v="585"/>
    <x v="0"/>
    <s v="15"/>
    <s v="1300"/>
    <n v="15"/>
    <n v="1.4088000000000001"/>
    <n v="9.3920000000000003E-2"/>
  </r>
  <r>
    <x v="0"/>
    <x v="3"/>
    <x v="3"/>
    <s v="M00000274937"/>
    <d v="2007-06-07T00:00:00"/>
    <n v="0"/>
    <n v="33.979999999999997"/>
    <n v="1248.01"/>
    <n v="238.95"/>
    <x v="0"/>
    <s v="25"/>
    <s v="531"/>
    <n v="25"/>
    <n v="2.3503013182674199"/>
    <n v="9.4012052730696793E-2"/>
  </r>
  <r>
    <x v="0"/>
    <x v="3"/>
    <x v="3"/>
    <s v="M00000348976"/>
    <d v="2008-03-27T00:00:00"/>
    <n v="0"/>
    <n v="74.239999999999995"/>
    <n v="2300"/>
    <n v="522"/>
    <x v="0"/>
    <s v="21"/>
    <s v="1160"/>
    <n v="21"/>
    <n v="1.9827586206896552"/>
    <n v="9.4417077175697875E-2"/>
  </r>
  <r>
    <x v="0"/>
    <x v="3"/>
    <x v="3"/>
    <s v="M00000278129"/>
    <d v="2007-06-28T00:00:00"/>
    <n v="0"/>
    <n v="6.4"/>
    <n v="237"/>
    <n v="45"/>
    <x v="0"/>
    <s v="25"/>
    <s v="100"/>
    <n v="25"/>
    <n v="2.37"/>
    <n v="9.4800000000000009E-2"/>
  </r>
  <r>
    <x v="0"/>
    <x v="3"/>
    <x v="3"/>
    <s v="M00000350934"/>
    <d v="2008-04-03T00:00:00"/>
    <n v="0"/>
    <n v="4.8600000000000003"/>
    <n v="216.24"/>
    <n v="34.200000000000003"/>
    <x v="0"/>
    <s v="30"/>
    <s v="76"/>
    <n v="30"/>
    <n v="2.8452631578947369"/>
    <n v="9.4842105263157894E-2"/>
  </r>
  <r>
    <x v="0"/>
    <x v="3"/>
    <x v="3"/>
    <s v="M00000339048"/>
    <d v="2008-02-29T00:00:00"/>
    <n v="0"/>
    <n v="39.94"/>
    <n v="1482"/>
    <n v="280.8"/>
    <x v="0"/>
    <s v="25"/>
    <s v="624"/>
    <n v="25"/>
    <n v="2.375"/>
    <n v="9.5000000000000001E-2"/>
  </r>
  <r>
    <x v="0"/>
    <x v="3"/>
    <x v="3"/>
    <s v="M00000306284"/>
    <d v="2007-10-18T00:00:00"/>
    <n v="0"/>
    <n v="73.98"/>
    <n v="1228"/>
    <n v="520.20000000000005"/>
    <x v="0"/>
    <s v="11"/>
    <s v="1156"/>
    <n v="11"/>
    <n v="1.0622837370242215"/>
    <n v="9.6571248820383773E-2"/>
  </r>
  <r>
    <x v="0"/>
    <x v="3"/>
    <x v="3"/>
    <s v="M00000343522"/>
    <d v="2008-03-06T00:00:00"/>
    <n v="0"/>
    <n v="98.3"/>
    <n v="1200"/>
    <n v="691.2"/>
    <x v="2"/>
    <s v="19"/>
    <s v="1536"/>
    <n v="8"/>
    <n v="0.78125"/>
    <n v="9.765625E-2"/>
  </r>
  <r>
    <x v="0"/>
    <x v="3"/>
    <x v="3"/>
    <s v="M00000342121"/>
    <d v="2008-02-29T00:00:00"/>
    <n v="0"/>
    <n v="0.06"/>
    <n v="2991"/>
    <n v="200"/>
    <x v="0"/>
    <s v="25"/>
    <s v="1200"/>
    <n v="25"/>
    <n v="2.4925000000000002"/>
    <n v="9.9700000000000011E-2"/>
  </r>
  <r>
    <x v="0"/>
    <x v="3"/>
    <x v="3"/>
    <s v="M00000299038"/>
    <d v="2007-10-11T00:00:00"/>
    <n v="0"/>
    <n v="53.95"/>
    <n v="2115.9299999999998"/>
    <n v="379.35"/>
    <x v="0"/>
    <s v="25"/>
    <s v="843"/>
    <n v="25"/>
    <n v="2.5099999999999998"/>
    <n v="0.10039999999999999"/>
  </r>
  <r>
    <x v="0"/>
    <x v="3"/>
    <x v="3"/>
    <s v="M00000277504"/>
    <d v="2007-06-14T00:00:00"/>
    <n v="0"/>
    <n v="19.010000000000002"/>
    <n v="755"/>
    <n v="133.65"/>
    <x v="0"/>
    <s v="25"/>
    <s v="297"/>
    <n v="25"/>
    <n v="2.542087542087542"/>
    <n v="0.10168350168350168"/>
  </r>
  <r>
    <x v="0"/>
    <x v="3"/>
    <x v="3"/>
    <s v="M00000305083"/>
    <d v="2007-12-20T00:00:00"/>
    <n v="0"/>
    <n v="88.9"/>
    <n v="3552"/>
    <n v="625.04999999999995"/>
    <x v="0"/>
    <s v="25"/>
    <s v="1389"/>
    <n v="25"/>
    <n v="2.5572354211663066"/>
    <n v="0.10228941684665227"/>
  </r>
  <r>
    <x v="0"/>
    <x v="3"/>
    <x v="3"/>
    <s v="M00000345119"/>
    <d v="2008-03-13T00:00:00"/>
    <n v="0"/>
    <n v="85.31"/>
    <n v="3100"/>
    <n v="599.85"/>
    <x v="1"/>
    <s v="30"/>
    <s v="1333"/>
    <n v="22"/>
    <n v="2.3255813953488373"/>
    <n v="0.10570824524312897"/>
  </r>
  <r>
    <x v="0"/>
    <x v="3"/>
    <x v="3"/>
    <s v="M00000298915"/>
    <d v="2007-10-11T00:00:00"/>
    <n v="0"/>
    <n v="76.8"/>
    <n v="2690.04"/>
    <n v="540"/>
    <x v="0"/>
    <s v="21"/>
    <s v="1200"/>
    <n v="21"/>
    <n v="2.2416999999999998"/>
    <n v="0.10674761904761904"/>
  </r>
  <r>
    <x v="0"/>
    <x v="3"/>
    <x v="3"/>
    <s v="M00000298059"/>
    <d v="2007-09-14T00:00:00"/>
    <n v="0"/>
    <n v="5.7"/>
    <n v="200"/>
    <n v="40.049999999999997"/>
    <x v="0"/>
    <s v="21"/>
    <s v="89"/>
    <n v="21"/>
    <n v="2.2471910112359552"/>
    <n v="0.10700909577314073"/>
  </r>
  <r>
    <x v="0"/>
    <x v="3"/>
    <x v="3"/>
    <s v="M00000338137"/>
    <d v="2008-02-29T00:00:00"/>
    <n v="0"/>
    <n v="46.08"/>
    <n v="2100"/>
    <n v="324"/>
    <x v="0"/>
    <s v="25"/>
    <s v="720"/>
    <n v="25"/>
    <n v="2.9166666666666665"/>
    <n v="0.11666666666666665"/>
  </r>
  <r>
    <x v="0"/>
    <x v="3"/>
    <x v="3"/>
    <s v="M00000308768"/>
    <d v="2007-11-29T00:00:00"/>
    <n v="0"/>
    <n v="14.34"/>
    <n v="665"/>
    <n v="100.8"/>
    <x v="0"/>
    <s v="25"/>
    <s v="224"/>
    <n v="25"/>
    <n v="2.96875"/>
    <n v="0.11874999999999999"/>
  </r>
  <r>
    <x v="0"/>
    <x v="3"/>
    <x v="3"/>
    <s v="M00000347670"/>
    <d v="2008-03-20T00:00:00"/>
    <n v="0"/>
    <n v="65.47"/>
    <n v="1000"/>
    <n v="460.35"/>
    <x v="2"/>
    <s v="19"/>
    <s v="1023"/>
    <n v="8"/>
    <n v="0.97751710654936463"/>
    <n v="0.12218963831867058"/>
  </r>
  <r>
    <x v="0"/>
    <x v="3"/>
    <x v="3"/>
    <s v="M00000285662"/>
    <d v="2007-07-19T00:00:00"/>
    <n v="0"/>
    <n v="22.4"/>
    <n v="1135.05"/>
    <n v="157.5"/>
    <x v="0"/>
    <s v="25"/>
    <s v="350"/>
    <n v="25"/>
    <n v="3.2429999999999999"/>
    <n v="0.12972"/>
  </r>
  <r>
    <x v="0"/>
    <x v="3"/>
    <x v="3"/>
    <s v="M00000315263"/>
    <d v="2007-12-31T00:00:00"/>
    <n v="0"/>
    <n v="95.3"/>
    <n v="2531.3000000000002"/>
    <n v="670.05"/>
    <x v="0"/>
    <s v="13"/>
    <s v="1489"/>
    <n v="13"/>
    <n v="1.7"/>
    <n v="0.13076923076923078"/>
  </r>
  <r>
    <x v="0"/>
    <x v="3"/>
    <x v="3"/>
    <s v="M00000336441"/>
    <d v="2008-02-21T00:00:00"/>
    <n v="0"/>
    <n v="51.2"/>
    <n v="1470"/>
    <n v="360"/>
    <x v="2"/>
    <s v="25"/>
    <s v="800"/>
    <n v="14"/>
    <n v="1.8374999999999999"/>
    <n v="0.13125000000000001"/>
  </r>
  <r>
    <x v="0"/>
    <x v="3"/>
    <x v="3"/>
    <s v="M00000353088"/>
    <d v="2008-04-10T00:00:00"/>
    <n v="0"/>
    <n v="27.9"/>
    <n v="2258"/>
    <n v="196.2"/>
    <x v="0"/>
    <s v="38"/>
    <s v="436"/>
    <n v="38"/>
    <n v="5.1788990825688073"/>
    <n v="0.13628681796233702"/>
  </r>
  <r>
    <x v="0"/>
    <x v="3"/>
    <x v="3"/>
    <s v="M00000277851"/>
    <d v="2007-06-21T00:00:00"/>
    <n v="0"/>
    <n v="26.88"/>
    <n v="632.02"/>
    <n v="189"/>
    <x v="1"/>
    <s v="19"/>
    <s v="420"/>
    <n v="11"/>
    <n v="1.5048095238095238"/>
    <n v="0.13680086580086581"/>
  </r>
  <r>
    <x v="0"/>
    <x v="3"/>
    <x v="3"/>
    <s v="M00000333451"/>
    <d v="2008-02-29T00:00:00"/>
    <n v="0"/>
    <n v="28.16"/>
    <n v="1480"/>
    <n v="198"/>
    <x v="0"/>
    <s v="21"/>
    <s v="440"/>
    <n v="21"/>
    <n v="3.3636363636363638"/>
    <n v="0.16017316017316019"/>
  </r>
  <r>
    <x v="0"/>
    <x v="3"/>
    <x v="3"/>
    <s v="M00000365327"/>
    <d v="2008-06-12T00:00:00"/>
    <n v="0"/>
    <n v="14.4"/>
    <n v="909"/>
    <n v="101.25"/>
    <x v="0"/>
    <s v="25"/>
    <s v="225"/>
    <n v="25"/>
    <n v="4.04"/>
    <n v="0.16159999999999999"/>
  </r>
  <r>
    <x v="0"/>
    <x v="3"/>
    <x v="3"/>
    <s v="M00000359774"/>
    <d v="2008-05-15T00:00:00"/>
    <n v="0"/>
    <n v="12.8"/>
    <n v="1000"/>
    <n v="90"/>
    <x v="0"/>
    <s v="25"/>
    <s v="200"/>
    <n v="25"/>
    <n v="5"/>
    <n v="0.2"/>
  </r>
  <r>
    <x v="0"/>
    <x v="3"/>
    <x v="3"/>
    <s v="M00000327299"/>
    <d v="2007-12-31T00:00:00"/>
    <n v="0"/>
    <n v="16.32"/>
    <n v="1285"/>
    <n v="114.75"/>
    <x v="0"/>
    <s v="25"/>
    <s v="255"/>
    <n v="25"/>
    <n v="5.0392156862745097"/>
    <n v="0.20156862745098039"/>
  </r>
  <r>
    <x v="0"/>
    <x v="3"/>
    <x v="3"/>
    <s v="M00000300907"/>
    <d v="2007-09-27T00:00:00"/>
    <n v="0"/>
    <n v="16"/>
    <n v="1350"/>
    <n v="112.5"/>
    <x v="0"/>
    <s v="25"/>
    <s v="250"/>
    <n v="25"/>
    <n v="5.4"/>
    <n v="0.21600000000000003"/>
  </r>
  <r>
    <x v="0"/>
    <x v="3"/>
    <x v="3"/>
    <s v="M00000277631"/>
    <d v="2007-06-21T00:00:00"/>
    <n v="0"/>
    <n v="14.08"/>
    <n v="1335"/>
    <n v="99"/>
    <x v="0"/>
    <s v="25"/>
    <s v="220"/>
    <n v="25"/>
    <n v="6.0681818181818183"/>
    <n v="0.24272727272727274"/>
  </r>
  <r>
    <x v="0"/>
    <x v="3"/>
    <x v="3"/>
    <s v="M00000340818"/>
    <d v="2008-03-20T00:00:00"/>
    <n v="0"/>
    <n v="20.48"/>
    <n v="1039"/>
    <n v="144"/>
    <x v="5"/>
    <s v="30"/>
    <s v="320"/>
    <n v="11"/>
    <n v="3.2468750000000002"/>
    <n v="0.29517045454545454"/>
  </r>
  <r>
    <x v="0"/>
    <x v="3"/>
    <x v="3"/>
    <s v="M00000335170"/>
    <d v="2008-01-24T00:00:00"/>
    <n v="0"/>
    <n v="2.2999999999999998"/>
    <n v="306"/>
    <n v="16.2"/>
    <x v="0"/>
    <s v="25"/>
    <s v="36"/>
    <n v="25"/>
    <n v="8.5"/>
    <n v="0.34"/>
  </r>
  <r>
    <x v="0"/>
    <x v="3"/>
    <x v="3"/>
    <s v="M00000329200"/>
    <d v="2007-12-31T00:00:00"/>
    <n v="0"/>
    <n v="2.0499999999999998"/>
    <n v="350"/>
    <n v="14.4"/>
    <x v="0"/>
    <s v="25"/>
    <s v="32"/>
    <n v="25"/>
    <n v="10.9375"/>
    <n v="0.4375"/>
  </r>
  <r>
    <x v="0"/>
    <x v="3"/>
    <x v="3"/>
    <s v="M00000346640"/>
    <d v="2008-03-20T00:00:00"/>
    <n v="0"/>
    <n v="89.86"/>
    <n v="1236"/>
    <n v="631.79999999999995"/>
    <x v="2"/>
    <s v="13"/>
    <s v="1404"/>
    <n v="2"/>
    <n v="0.88034188034188032"/>
    <n v="0.44017094017094016"/>
  </r>
  <r>
    <x v="0"/>
    <x v="3"/>
    <x v="3"/>
    <s v="M00000318533"/>
    <d v="2007-12-06T00:00:00"/>
    <n v="0"/>
    <n v="111.1"/>
    <n v="1650"/>
    <n v="781.2"/>
    <x v="0"/>
    <s v="11"/>
    <s v="100"/>
    <n v="11"/>
    <n v="16.5"/>
    <n v="1.5"/>
  </r>
  <r>
    <x v="0"/>
    <x v="3"/>
    <x v="3"/>
    <s v="M00000361198"/>
    <d v="2008-05-15T00:00:00"/>
    <n v="0"/>
    <n v="128"/>
    <n v="5806000"/>
    <n v="900"/>
    <x v="0"/>
    <s v="25"/>
    <s v="2000"/>
    <n v="25"/>
    <n v="2903"/>
    <n v="116.12"/>
  </r>
  <r>
    <x v="0"/>
    <x v="4"/>
    <x v="4"/>
    <s v="M00000365986"/>
    <d v="2008-06-12T00:00:00"/>
    <n v="2"/>
    <n v="0"/>
    <n v="40"/>
    <n v="40"/>
    <x v="0"/>
    <s v="15"/>
    <s v="300"/>
    <n v="15"/>
    <n v="0.13333333333333333"/>
    <n v="8.8888888888888889E-3"/>
  </r>
  <r>
    <x v="0"/>
    <x v="4"/>
    <x v="4"/>
    <s v="M00000303604"/>
    <d v="2007-10-11T00:00:00"/>
    <n v="130"/>
    <n v="0"/>
    <n v="50"/>
    <n v="30"/>
    <x v="0"/>
    <s v="21"/>
    <s v="100"/>
    <n v="21"/>
    <n v="0.5"/>
    <n v="2.3809523809523808E-2"/>
  </r>
  <r>
    <x v="0"/>
    <x v="4"/>
    <x v="4"/>
    <s v="M00000318821"/>
    <d v="2007-12-06T00:00:00"/>
    <n v="1261"/>
    <n v="0"/>
    <n v="450"/>
    <n v="291.3"/>
    <x v="0"/>
    <s v="19"/>
    <s v="971"/>
    <n v="19"/>
    <n v="0.46343975283213185"/>
    <n v="2.4391565938533255E-2"/>
  </r>
  <r>
    <x v="0"/>
    <x v="4"/>
    <x v="4"/>
    <s v="M00000302139"/>
    <d v="2007-10-04T00:00:00"/>
    <n v="2453"/>
    <n v="0"/>
    <n v="1000"/>
    <n v="567"/>
    <x v="0"/>
    <s v="21"/>
    <s v="1890"/>
    <n v="21"/>
    <n v="0.52910052910052907"/>
    <n v="2.5195263290501386E-2"/>
  </r>
  <r>
    <x v="0"/>
    <x v="4"/>
    <x v="4"/>
    <s v="M00000292279"/>
    <d v="2007-08-23T00:00:00"/>
    <n v="1205"/>
    <n v="0"/>
    <n v="500.01"/>
    <n v="278.39999999999998"/>
    <x v="0"/>
    <s v="21"/>
    <s v="928"/>
    <n v="21"/>
    <n v="0.53880387931034479"/>
    <n v="2.5657327586206896E-2"/>
  </r>
  <r>
    <x v="0"/>
    <x v="4"/>
    <x v="4"/>
    <s v="M00000272699"/>
    <d v="2007-05-24T00:00:00"/>
    <n v="2006"/>
    <n v="0"/>
    <n v="873.03"/>
    <n v="463.8"/>
    <x v="0"/>
    <s v="21"/>
    <s v="1546"/>
    <n v="21"/>
    <n v="0.56470245795601548"/>
    <n v="2.6890593236000737E-2"/>
  </r>
  <r>
    <x v="0"/>
    <x v="4"/>
    <x v="4"/>
    <s v="M00000287484"/>
    <d v="2007-07-26T00:00:00"/>
    <n v="395"/>
    <n v="0"/>
    <n v="125"/>
    <n v="91.2"/>
    <x v="0"/>
    <s v="15"/>
    <s v="304"/>
    <n v="15"/>
    <n v="0.41118421052631576"/>
    <n v="2.7412280701754384E-2"/>
  </r>
  <r>
    <x v="0"/>
    <x v="4"/>
    <x v="4"/>
    <s v="M00000299516"/>
    <d v="2007-09-20T00:00:00"/>
    <n v="1399"/>
    <n v="0"/>
    <n v="680"/>
    <n v="323.39999999999998"/>
    <x v="0"/>
    <s v="21"/>
    <s v="1078"/>
    <n v="21"/>
    <n v="0.63079777365491652"/>
    <n v="3.0037989221662693E-2"/>
  </r>
  <r>
    <x v="0"/>
    <x v="4"/>
    <x v="4"/>
    <s v="M00000347488"/>
    <d v="2008-03-20T00:00:00"/>
    <n v="249"/>
    <n v="0"/>
    <n v="125"/>
    <n v="57.6"/>
    <x v="0"/>
    <s v="21"/>
    <s v="192"/>
    <n v="21"/>
    <n v="0.65104166666666663"/>
    <n v="3.1001984126984124E-2"/>
  </r>
  <r>
    <x v="0"/>
    <x v="4"/>
    <x v="4"/>
    <s v="M00000333455"/>
    <d v="2007-12-31T00:00:00"/>
    <n v="685"/>
    <n v="0"/>
    <n v="635"/>
    <n v="158.4"/>
    <x v="0"/>
    <s v="38"/>
    <s v="528"/>
    <n v="38"/>
    <n v="1.2026515151515151"/>
    <n v="3.1648724082934607E-2"/>
  </r>
  <r>
    <x v="0"/>
    <x v="4"/>
    <x v="4"/>
    <s v="M00000316163"/>
    <d v="2007-11-29T00:00:00"/>
    <n v="389"/>
    <n v="0"/>
    <n v="147"/>
    <n v="90"/>
    <x v="0"/>
    <s v="15"/>
    <s v="300"/>
    <n v="15"/>
    <n v="0.49"/>
    <n v="3.2666666666666663E-2"/>
  </r>
  <r>
    <x v="0"/>
    <x v="4"/>
    <x v="4"/>
    <s v="M00000368028"/>
    <d v="2008-06-19T00:00:00"/>
    <n v="745"/>
    <n v="0"/>
    <n v="294"/>
    <n v="172.5"/>
    <x v="0"/>
    <s v="15"/>
    <s v="575"/>
    <n v="15"/>
    <n v="0.51130434782608691"/>
    <n v="3.4086956521739126E-2"/>
  </r>
  <r>
    <x v="0"/>
    <x v="4"/>
    <x v="4"/>
    <s v="M00000365338"/>
    <d v="2008-06-26T00:00:00"/>
    <n v="907"/>
    <n v="0"/>
    <n v="420"/>
    <n v="210"/>
    <x v="0"/>
    <s v="15"/>
    <s v="700"/>
    <n v="15"/>
    <n v="0.6"/>
    <n v="0.04"/>
  </r>
  <r>
    <x v="0"/>
    <x v="4"/>
    <x v="4"/>
    <s v="M00000355515"/>
    <d v="2008-04-24T00:00:00"/>
    <n v="492"/>
    <n v="0"/>
    <n v="200"/>
    <n v="114"/>
    <x v="0"/>
    <s v="13"/>
    <s v="380"/>
    <n v="13"/>
    <n v="0.52631578947368418"/>
    <n v="4.048582995951417E-2"/>
  </r>
  <r>
    <x v="0"/>
    <x v="4"/>
    <x v="4"/>
    <s v="M00000349351"/>
    <d v="2008-05-08T00:00:00"/>
    <n v="877"/>
    <n v="0"/>
    <n v="704"/>
    <n v="203.1"/>
    <x v="0"/>
    <s v="21"/>
    <s v="816"/>
    <n v="21"/>
    <n v="0.86274509803921573"/>
    <n v="4.1083099906629318E-2"/>
  </r>
  <r>
    <x v="0"/>
    <x v="4"/>
    <x v="4"/>
    <s v="M00000367195"/>
    <d v="2008-06-12T00:00:00"/>
    <n v="1127"/>
    <n v="0"/>
    <n v="544"/>
    <n v="261"/>
    <x v="0"/>
    <s v="15"/>
    <s v="870"/>
    <n v="15"/>
    <n v="0.62528735632183907"/>
    <n v="4.168582375478927E-2"/>
  </r>
  <r>
    <x v="0"/>
    <x v="4"/>
    <x v="4"/>
    <s v="M00000347747"/>
    <d v="2008-05-08T00:00:00"/>
    <n v="803"/>
    <n v="0"/>
    <n v="649"/>
    <n v="186"/>
    <x v="0"/>
    <s v="21"/>
    <s v="620"/>
    <n v="21"/>
    <n v="1.0467741935483872"/>
    <n v="4.9846390168970821E-2"/>
  </r>
  <r>
    <x v="0"/>
    <x v="4"/>
    <x v="4"/>
    <s v="M00000329739"/>
    <d v="2007-12-31T00:00:00"/>
    <n v="1947"/>
    <n v="0"/>
    <n v="1160"/>
    <n v="450"/>
    <x v="0"/>
    <s v="15"/>
    <s v="1500"/>
    <n v="15"/>
    <n v="0.77333333333333332"/>
    <n v="5.1555555555555556E-2"/>
  </r>
  <r>
    <x v="0"/>
    <x v="4"/>
    <x v="4"/>
    <s v="M00000370879"/>
    <d v="2008-06-26T00:00:00"/>
    <n v="1555"/>
    <n v="0"/>
    <n v="890"/>
    <n v="360"/>
    <x v="0"/>
    <s v="14"/>
    <s v="1200"/>
    <n v="14"/>
    <n v="0.7416666666666667"/>
    <n v="5.2976190476190475E-2"/>
  </r>
  <r>
    <x v="0"/>
    <x v="4"/>
    <x v="4"/>
    <s v="M00000276953"/>
    <d v="2007-06-28T00:00:00"/>
    <n v="1185"/>
    <n v="0"/>
    <n v="749.03"/>
    <n v="273.89999999999998"/>
    <x v="0"/>
    <s v="15"/>
    <s v="913"/>
    <n v="15"/>
    <n v="0.82040525739320913"/>
    <n v="5.4693683826213944E-2"/>
  </r>
  <r>
    <x v="0"/>
    <x v="4"/>
    <x v="4"/>
    <s v="M00000346649"/>
    <d v="2008-03-20T00:00:00"/>
    <n v="1012"/>
    <n v="0"/>
    <n v="920"/>
    <n v="234.3"/>
    <x v="0"/>
    <s v="21"/>
    <s v="781"/>
    <n v="21"/>
    <n v="1.17797695262484"/>
    <n v="5.6094140601182861E-2"/>
  </r>
  <r>
    <x v="0"/>
    <x v="4"/>
    <x v="4"/>
    <s v="M00000348705"/>
    <d v="2008-03-27T00:00:00"/>
    <n v="2273"/>
    <n v="0"/>
    <n v="1600"/>
    <n v="526.20000000000005"/>
    <x v="0"/>
    <s v="15"/>
    <s v="1754"/>
    <n v="15"/>
    <n v="0.91220068415051314"/>
    <n v="6.0813378943367545E-2"/>
  </r>
  <r>
    <x v="0"/>
    <x v="4"/>
    <x v="4"/>
    <s v="M00000354017"/>
    <d v="2008-04-17T00:00:00"/>
    <n v="1042"/>
    <n v="0"/>
    <n v="538"/>
    <n v="241.2"/>
    <x v="0"/>
    <s v="11"/>
    <s v="804"/>
    <n v="11"/>
    <n v="0.6691542288557214"/>
    <n v="6.08322026232474E-2"/>
  </r>
  <r>
    <x v="0"/>
    <x v="4"/>
    <x v="4"/>
    <s v="M00000369687"/>
    <d v="2008-06-26T00:00:00"/>
    <n v="1555"/>
    <n v="0"/>
    <n v="990"/>
    <n v="360"/>
    <x v="0"/>
    <s v="13"/>
    <s v="1200"/>
    <n v="13"/>
    <n v="0.82499999999999996"/>
    <n v="6.3461538461538458E-2"/>
  </r>
  <r>
    <x v="0"/>
    <x v="4"/>
    <x v="4"/>
    <s v="M00000361510"/>
    <d v="2008-05-22T00:00:00"/>
    <n v="1555"/>
    <n v="0"/>
    <n v="1080"/>
    <n v="360"/>
    <x v="0"/>
    <s v="14"/>
    <s v="1200"/>
    <n v="14"/>
    <n v="0.9"/>
    <n v="6.4285714285714293E-2"/>
  </r>
  <r>
    <x v="0"/>
    <x v="4"/>
    <x v="4"/>
    <s v="M00000359198"/>
    <d v="2008-05-15T00:00:00"/>
    <n v="3566"/>
    <n v="0"/>
    <n v="2660"/>
    <n v="825.6"/>
    <x v="0"/>
    <s v="15"/>
    <s v="2752"/>
    <n v="15"/>
    <n v="0.96656976744186052"/>
    <n v="6.4437984496124034E-2"/>
  </r>
  <r>
    <x v="0"/>
    <x v="4"/>
    <x v="4"/>
    <s v="M00000318161"/>
    <d v="2007-11-30T00:00:00"/>
    <n v="644"/>
    <n v="0"/>
    <n v="496"/>
    <n v="148.80000000000001"/>
    <x v="0"/>
    <s v="15"/>
    <s v="496"/>
    <n v="15"/>
    <n v="1"/>
    <n v="6.6666666666666666E-2"/>
  </r>
  <r>
    <x v="0"/>
    <x v="4"/>
    <x v="4"/>
    <s v="M00000313009"/>
    <d v="2007-12-13T00:00:00"/>
    <n v="1262"/>
    <n v="0"/>
    <n v="995"/>
    <n v="291.60000000000002"/>
    <x v="0"/>
    <s v="15"/>
    <s v="972"/>
    <n v="15"/>
    <n v="1.0236625514403292"/>
    <n v="6.8244170096021947E-2"/>
  </r>
  <r>
    <x v="0"/>
    <x v="4"/>
    <x v="4"/>
    <s v="M00000285516"/>
    <d v="2007-07-19T00:00:00"/>
    <n v="1682"/>
    <n v="0"/>
    <n v="1230.94"/>
    <n v="388.8"/>
    <x v="0"/>
    <s v="13"/>
    <s v="1296"/>
    <n v="13"/>
    <n v="0.94979938271604947"/>
    <n v="7.3061490978157645E-2"/>
  </r>
  <r>
    <x v="0"/>
    <x v="4"/>
    <x v="4"/>
    <s v="M00000304360"/>
    <d v="2007-10-11T00:00:00"/>
    <n v="1153"/>
    <n v="0"/>
    <n v="975"/>
    <n v="266.39999999999998"/>
    <x v="0"/>
    <s v="15"/>
    <s v="888"/>
    <n v="15"/>
    <n v="1.097972972972973"/>
    <n v="7.31981981981982E-2"/>
  </r>
  <r>
    <x v="0"/>
    <x v="4"/>
    <x v="4"/>
    <s v="M00000310349"/>
    <d v="2007-11-09T00:00:00"/>
    <n v="1005"/>
    <n v="0"/>
    <n v="890"/>
    <n v="232.5"/>
    <x v="0"/>
    <s v="15"/>
    <s v="775"/>
    <n v="15"/>
    <n v="1.1483870967741936"/>
    <n v="7.6559139784946245E-2"/>
  </r>
  <r>
    <x v="0"/>
    <x v="4"/>
    <x v="4"/>
    <s v="M00000339737"/>
    <d v="2008-04-17T00:00:00"/>
    <n v="1575"/>
    <n v="0"/>
    <n v="1216"/>
    <n v="364.8"/>
    <x v="0"/>
    <s v="13"/>
    <s v="1216"/>
    <n v="13"/>
    <n v="1"/>
    <n v="7.6923076923076927E-2"/>
  </r>
  <r>
    <x v="0"/>
    <x v="4"/>
    <x v="4"/>
    <s v="M00000359254"/>
    <d v="2008-05-15T00:00:00"/>
    <n v="1453"/>
    <n v="0"/>
    <n v="953"/>
    <n v="336.3"/>
    <x v="0"/>
    <s v="11"/>
    <s v="1121"/>
    <n v="11"/>
    <n v="0.8501338090990187"/>
    <n v="7.7284891736274425E-2"/>
  </r>
  <r>
    <x v="0"/>
    <x v="4"/>
    <x v="4"/>
    <s v="M00000297980"/>
    <d v="2007-09-14T00:00:00"/>
    <n v="2526"/>
    <n v="0"/>
    <n v="3405.5"/>
    <n v="583.79999999999995"/>
    <x v="0"/>
    <s v="21"/>
    <s v="1946"/>
    <n v="21"/>
    <n v="1.75"/>
    <n v="8.3333333333333329E-2"/>
  </r>
  <r>
    <x v="0"/>
    <x v="4"/>
    <x v="4"/>
    <s v="M00000330932"/>
    <d v="2007-12-31T00:00:00"/>
    <n v="1005"/>
    <n v="0"/>
    <n v="975"/>
    <n v="232.5"/>
    <x v="0"/>
    <s v="15"/>
    <s v="775"/>
    <n v="15"/>
    <n v="1.2580645161290323"/>
    <n v="8.387096774193549E-2"/>
  </r>
  <r>
    <x v="0"/>
    <x v="4"/>
    <x v="4"/>
    <s v="M00000350126"/>
    <d v="2008-04-03T00:00:00"/>
    <n v="305"/>
    <n v="0"/>
    <n v="296.10000000000002"/>
    <n v="70.5"/>
    <x v="0"/>
    <s v="15"/>
    <s v="235"/>
    <n v="15"/>
    <n v="1.26"/>
    <n v="8.4000000000000005E-2"/>
  </r>
  <r>
    <x v="0"/>
    <x v="4"/>
    <x v="4"/>
    <s v="M00000295523"/>
    <d v="2007-09-06T00:00:00"/>
    <n v="1337"/>
    <n v="0"/>
    <n v="1141.96"/>
    <n v="309"/>
    <x v="0"/>
    <s v="13"/>
    <s v="1030"/>
    <n v="13"/>
    <n v="1.1086990291262135"/>
    <n v="8.5284540702016423E-2"/>
  </r>
  <r>
    <x v="0"/>
    <x v="4"/>
    <x v="4"/>
    <s v="M00000307122"/>
    <d v="2007-10-25T00:00:00"/>
    <n v="974"/>
    <n v="0"/>
    <n v="983"/>
    <n v="225"/>
    <x v="0"/>
    <s v="15"/>
    <s v="750"/>
    <n v="15"/>
    <n v="1.3106666666666666"/>
    <n v="8.7377777777777776E-2"/>
  </r>
  <r>
    <x v="0"/>
    <x v="4"/>
    <x v="4"/>
    <s v="M00000275948"/>
    <d v="2007-06-14T00:00:00"/>
    <n v="1278"/>
    <n v="0"/>
    <n v="1144.96"/>
    <n v="295.5"/>
    <x v="0"/>
    <s v="13"/>
    <s v="985"/>
    <n v="13"/>
    <n v="1.1623959390862943"/>
    <n v="8.9415072237407259E-2"/>
  </r>
  <r>
    <x v="0"/>
    <x v="4"/>
    <x v="4"/>
    <s v="M00000367088"/>
    <d v="2008-06-12T00:00:00"/>
    <n v="1425"/>
    <n v="0"/>
    <n v="1485"/>
    <n v="330"/>
    <x v="0"/>
    <s v="15"/>
    <s v="1100"/>
    <n v="15"/>
    <n v="1.35"/>
    <n v="0.09"/>
  </r>
  <r>
    <x v="0"/>
    <x v="4"/>
    <x v="4"/>
    <s v="M00000273595"/>
    <d v="2007-08-09T00:00:00"/>
    <n v="2430"/>
    <n v="0"/>
    <n v="2564.27"/>
    <n v="561.6"/>
    <x v="0"/>
    <s v="15"/>
    <s v="1872"/>
    <n v="15"/>
    <n v="1.3698023504273504"/>
    <n v="9.1320156695156696E-2"/>
  </r>
  <r>
    <x v="0"/>
    <x v="4"/>
    <x v="4"/>
    <s v="M00000285404"/>
    <d v="2007-07-19T00:00:00"/>
    <n v="932"/>
    <n v="0"/>
    <n v="983.66"/>
    <n v="215.4"/>
    <x v="0"/>
    <s v="15"/>
    <s v="718"/>
    <n v="15"/>
    <n v="1.37"/>
    <n v="9.1333333333333322E-2"/>
  </r>
  <r>
    <x v="0"/>
    <x v="4"/>
    <x v="4"/>
    <s v="M00000329747"/>
    <d v="2007-12-31T00:00:00"/>
    <n v="1609"/>
    <n v="0"/>
    <n v="1698.8"/>
    <n v="372"/>
    <x v="0"/>
    <s v="15"/>
    <s v="1240"/>
    <n v="15"/>
    <n v="1.37"/>
    <n v="9.1333333333333322E-2"/>
  </r>
  <r>
    <x v="0"/>
    <x v="4"/>
    <x v="4"/>
    <s v="M00000313037"/>
    <d v="2007-12-20T00:00:00"/>
    <n v="488"/>
    <n v="0"/>
    <n v="515.12"/>
    <n v="112.8"/>
    <x v="0"/>
    <s v="15"/>
    <s v="376"/>
    <n v="15"/>
    <n v="1.37"/>
    <n v="9.1333333333333336E-2"/>
  </r>
  <r>
    <x v="0"/>
    <x v="4"/>
    <x v="4"/>
    <s v="M00000333427"/>
    <d v="2007-12-31T00:00:00"/>
    <n v="260"/>
    <n v="0"/>
    <n v="274"/>
    <n v="60"/>
    <x v="0"/>
    <s v="15"/>
    <s v="200"/>
    <n v="15"/>
    <n v="1.37"/>
    <n v="9.1333333333333336E-2"/>
  </r>
  <r>
    <x v="0"/>
    <x v="4"/>
    <x v="4"/>
    <s v="M00000350390"/>
    <d v="2008-05-08T00:00:00"/>
    <n v="1097"/>
    <n v="0"/>
    <n v="1160.3900000000001"/>
    <n v="254.1"/>
    <x v="0"/>
    <s v="15"/>
    <s v="847"/>
    <n v="15"/>
    <n v="1.37"/>
    <n v="9.1333333333333336E-2"/>
  </r>
  <r>
    <x v="0"/>
    <x v="4"/>
    <x v="4"/>
    <s v="M00000351372"/>
    <d v="2008-05-08T00:00:00"/>
    <n v="1296"/>
    <n v="0"/>
    <n v="1370"/>
    <n v="300"/>
    <x v="0"/>
    <s v="15"/>
    <s v="1000"/>
    <n v="15"/>
    <n v="1.37"/>
    <n v="9.1333333333333336E-2"/>
  </r>
  <r>
    <x v="0"/>
    <x v="4"/>
    <x v="4"/>
    <s v="M00000280456"/>
    <d v="2007-06-28T00:00:00"/>
    <n v="685"/>
    <n v="0"/>
    <n v="634.02"/>
    <n v="158.4"/>
    <x v="0"/>
    <s v="13"/>
    <s v="528"/>
    <n v="13"/>
    <n v="1.2007954545454544"/>
    <n v="9.2368881118881113E-2"/>
  </r>
  <r>
    <x v="0"/>
    <x v="4"/>
    <x v="4"/>
    <s v="M00000308834"/>
    <d v="2007-12-13T00:00:00"/>
    <n v="1796"/>
    <n v="0"/>
    <n v="1919.6"/>
    <n v="415.2"/>
    <x v="0"/>
    <s v="15"/>
    <s v="1384"/>
    <n v="15"/>
    <n v="1.386994219653179"/>
    <n v="9.2466281310211937E-2"/>
  </r>
  <r>
    <x v="0"/>
    <x v="4"/>
    <x v="4"/>
    <s v="M00000333446"/>
    <d v="2007-12-31T00:00:00"/>
    <n v="1298"/>
    <n v="0"/>
    <n v="1390"/>
    <n v="300"/>
    <x v="0"/>
    <s v="15"/>
    <s v="1000"/>
    <n v="15"/>
    <n v="1.39"/>
    <n v="9.2666666666666661E-2"/>
  </r>
  <r>
    <x v="0"/>
    <x v="4"/>
    <x v="4"/>
    <s v="M00000350070"/>
    <d v="2008-04-30T00:00:00"/>
    <n v="648"/>
    <n v="0"/>
    <n v="695"/>
    <n v="150"/>
    <x v="0"/>
    <s v="15"/>
    <s v="500"/>
    <n v="15"/>
    <n v="1.39"/>
    <n v="9.2666666666666661E-2"/>
  </r>
  <r>
    <x v="0"/>
    <x v="4"/>
    <x v="4"/>
    <s v="M00000370960"/>
    <d v="2008-06-26T00:00:00"/>
    <n v="1006"/>
    <n v="0"/>
    <n v="1080.03"/>
    <n v="233.1"/>
    <x v="0"/>
    <s v="15"/>
    <s v="777"/>
    <n v="15"/>
    <n v="1.39"/>
    <n v="9.2666666666666661E-2"/>
  </r>
  <r>
    <x v="0"/>
    <x v="4"/>
    <x v="4"/>
    <s v="M00000287582"/>
    <d v="2007-07-26T00:00:00"/>
    <n v="88"/>
    <n v="0"/>
    <n v="96"/>
    <n v="20.399999999999999"/>
    <x v="0"/>
    <s v="15"/>
    <s v="68"/>
    <n v="15"/>
    <n v="1.411764705882353"/>
    <n v="9.4117647058823542E-2"/>
  </r>
  <r>
    <x v="0"/>
    <x v="4"/>
    <x v="4"/>
    <s v="M00000272463"/>
    <d v="2007-07-06T00:00:00"/>
    <n v="519"/>
    <n v="0"/>
    <n v="500"/>
    <n v="120"/>
    <x v="0"/>
    <s v="13"/>
    <s v="400"/>
    <n v="13"/>
    <n v="1.25"/>
    <n v="9.6153846153846159E-2"/>
  </r>
  <r>
    <x v="0"/>
    <x v="4"/>
    <x v="4"/>
    <s v="M00000359012"/>
    <d v="2008-05-29T00:00:00"/>
    <n v="881"/>
    <n v="0"/>
    <n v="850"/>
    <n v="204"/>
    <x v="0"/>
    <s v="13"/>
    <s v="680"/>
    <n v="13"/>
    <n v="1.25"/>
    <n v="9.6153846153846159E-2"/>
  </r>
  <r>
    <x v="0"/>
    <x v="4"/>
    <x v="4"/>
    <s v="M00000302333"/>
    <d v="2007-10-11T00:00:00"/>
    <n v="752"/>
    <n v="0"/>
    <n v="736"/>
    <n v="174"/>
    <x v="0"/>
    <s v="13"/>
    <s v="580"/>
    <n v="13"/>
    <n v="1.2689655172413794"/>
    <n v="9.761273209549072E-2"/>
  </r>
  <r>
    <x v="0"/>
    <x v="4"/>
    <x v="4"/>
    <s v="M00000325029"/>
    <d v="2008-02-07T00:00:00"/>
    <n v="1285"/>
    <n v="0"/>
    <n v="1455.3"/>
    <n v="297"/>
    <x v="0"/>
    <s v="15"/>
    <s v="990"/>
    <n v="15"/>
    <n v="1.47"/>
    <n v="9.8000000000000004E-2"/>
  </r>
  <r>
    <x v="0"/>
    <x v="4"/>
    <x v="4"/>
    <s v="M00000356806"/>
    <d v="2008-05-15T00:00:00"/>
    <n v="228"/>
    <n v="0"/>
    <n v="260"/>
    <n v="52.8"/>
    <x v="0"/>
    <s v="15"/>
    <s v="176"/>
    <n v="15"/>
    <n v="1.4772727272727273"/>
    <n v="9.8484848484848481E-2"/>
  </r>
  <r>
    <x v="0"/>
    <x v="4"/>
    <x v="4"/>
    <s v="M00000374377"/>
    <d v="2008-07-10T00:00:00"/>
    <n v="1031"/>
    <n v="0"/>
    <n v="1026"/>
    <n v="238.8"/>
    <x v="0"/>
    <s v="13"/>
    <s v="796"/>
    <n v="13"/>
    <n v="1.2889447236180904"/>
    <n v="9.9149594124468499E-2"/>
  </r>
  <r>
    <x v="0"/>
    <x v="4"/>
    <x v="4"/>
    <s v="M00000332128"/>
    <d v="2007-12-31T00:00:00"/>
    <n v="2222"/>
    <n v="0"/>
    <n v="2640.44"/>
    <n v="513.6"/>
    <x v="0"/>
    <s v="15"/>
    <s v="1712"/>
    <n v="15"/>
    <n v="1.5423130841121495"/>
    <n v="0.1028208722741433"/>
  </r>
  <r>
    <x v="0"/>
    <x v="4"/>
    <x v="4"/>
    <s v="M00000355605"/>
    <d v="2008-04-30T00:00:00"/>
    <n v="1487"/>
    <n v="0"/>
    <n v="1549"/>
    <n v="344.4"/>
    <x v="0"/>
    <s v="13"/>
    <s v="1148"/>
    <n v="13"/>
    <n v="1.3493031358885017"/>
    <n v="0.10379254891450013"/>
  </r>
  <r>
    <x v="0"/>
    <x v="4"/>
    <x v="4"/>
    <s v="M00000281362"/>
    <d v="2007-07-19T00:00:00"/>
    <n v="3097"/>
    <n v="0"/>
    <n v="3723.35"/>
    <n v="715.8"/>
    <x v="0"/>
    <s v="15"/>
    <s v="2386"/>
    <n v="15"/>
    <n v="1.560498742665549"/>
    <n v="0.1040332495110366"/>
  </r>
  <r>
    <x v="0"/>
    <x v="4"/>
    <x v="4"/>
    <s v="M00000350359"/>
    <d v="2008-04-03T00:00:00"/>
    <n v="1859"/>
    <n v="0"/>
    <n v="1673"/>
    <n v="430.5"/>
    <x v="0"/>
    <s v="11"/>
    <s v="1435"/>
    <n v="11"/>
    <n v="1.1658536585365853"/>
    <n v="0.10598669623059866"/>
  </r>
  <r>
    <x v="0"/>
    <x v="4"/>
    <x v="4"/>
    <s v="M00000314410"/>
    <d v="2007-11-29T00:00:00"/>
    <n v="150"/>
    <n v="0"/>
    <n v="157.47"/>
    <n v="34.5"/>
    <x v="0"/>
    <s v="11"/>
    <s v="135"/>
    <n v="11"/>
    <n v="1.1664444444444444"/>
    <n v="0.10604040404040403"/>
  </r>
  <r>
    <x v="0"/>
    <x v="4"/>
    <x v="4"/>
    <s v="M00000301540"/>
    <d v="2007-12-20T00:00:00"/>
    <n v="1528"/>
    <n v="0"/>
    <n v="1647"/>
    <n v="353.1"/>
    <x v="0"/>
    <s v="13"/>
    <s v="1177"/>
    <n v="13"/>
    <n v="1.399320305862362"/>
    <n v="0.107640023527874"/>
  </r>
  <r>
    <x v="0"/>
    <x v="4"/>
    <x v="4"/>
    <s v="M00000342369"/>
    <d v="2008-03-06T00:00:00"/>
    <n v="1164"/>
    <n v="0"/>
    <n v="1258"/>
    <n v="269.7"/>
    <x v="0"/>
    <s v="13"/>
    <s v="899"/>
    <n v="13"/>
    <n v="1.3993325917686319"/>
    <n v="0.10764096859758707"/>
  </r>
  <r>
    <x v="0"/>
    <x v="4"/>
    <x v="4"/>
    <s v="M00000315210"/>
    <d v="2007-11-29T00:00:00"/>
    <n v="851"/>
    <n v="0"/>
    <n v="787"/>
    <n v="196.8"/>
    <x v="0"/>
    <s v="11"/>
    <s v="656"/>
    <n v="11"/>
    <n v="1.1996951219512195"/>
    <n v="0.10906319290465633"/>
  </r>
  <r>
    <x v="0"/>
    <x v="4"/>
    <x v="4"/>
    <s v="M00000285549"/>
    <d v="2007-07-26T00:00:00"/>
    <n v="802"/>
    <n v="0"/>
    <n v="1019.7"/>
    <n v="185.4"/>
    <x v="0"/>
    <s v="15"/>
    <s v="618"/>
    <n v="15"/>
    <n v="1.65"/>
    <n v="0.11"/>
  </r>
  <r>
    <x v="0"/>
    <x v="4"/>
    <x v="4"/>
    <s v="M00000312819"/>
    <d v="2007-11-15T00:00:00"/>
    <n v="3411"/>
    <n v="0"/>
    <n v="3810"/>
    <n v="788.4"/>
    <x v="0"/>
    <s v="13"/>
    <s v="2628"/>
    <n v="13"/>
    <n v="1.4497716894977168"/>
    <n v="0.11152089919213207"/>
  </r>
  <r>
    <x v="0"/>
    <x v="4"/>
    <x v="4"/>
    <s v="M00000299891"/>
    <d v="2007-09-20T00:00:00"/>
    <n v="701"/>
    <n v="0"/>
    <n v="810"/>
    <n v="162"/>
    <x v="0"/>
    <s v="13"/>
    <s v="540"/>
    <n v="13"/>
    <n v="1.5"/>
    <n v="0.11538461538461539"/>
  </r>
  <r>
    <x v="0"/>
    <x v="4"/>
    <x v="4"/>
    <s v="M00000343277"/>
    <d v="2008-03-06T00:00:00"/>
    <n v="186"/>
    <n v="0"/>
    <n v="216"/>
    <n v="43.2"/>
    <x v="0"/>
    <s v="13"/>
    <s v="144"/>
    <n v="13"/>
    <n v="1.5"/>
    <n v="0.11538461538461539"/>
  </r>
  <r>
    <x v="0"/>
    <x v="4"/>
    <x v="4"/>
    <s v="M00000332760"/>
    <d v="2007-12-31T00:00:00"/>
    <n v="1910"/>
    <n v="0"/>
    <n v="2574.25"/>
    <n v="441.3"/>
    <x v="0"/>
    <s v="15"/>
    <s v="1471"/>
    <n v="15"/>
    <n v="1.75"/>
    <n v="0.11666666666666667"/>
  </r>
  <r>
    <x v="0"/>
    <x v="4"/>
    <x v="4"/>
    <s v="M00000338406"/>
    <d v="2008-02-14T00:00:00"/>
    <n v="752"/>
    <n v="0"/>
    <n v="757"/>
    <n v="174"/>
    <x v="0"/>
    <s v="11"/>
    <s v="580"/>
    <n v="11"/>
    <n v="1.3051724137931036"/>
    <n v="0.11865203761755487"/>
  </r>
  <r>
    <x v="0"/>
    <x v="4"/>
    <x v="4"/>
    <s v="M00000330947"/>
    <d v="2007-12-31T00:00:00"/>
    <n v="1918"/>
    <n v="0"/>
    <n v="1933"/>
    <n v="443.4"/>
    <x v="0"/>
    <s v="11"/>
    <s v="1478"/>
    <n v="11"/>
    <n v="1.3078484438430311"/>
    <n v="0.1188953130766392"/>
  </r>
  <r>
    <x v="0"/>
    <x v="4"/>
    <x v="4"/>
    <s v="M00000358463"/>
    <d v="2008-05-08T00:00:00"/>
    <n v="1623"/>
    <n v="0"/>
    <n v="1645"/>
    <n v="375.9"/>
    <x v="0"/>
    <s v="11"/>
    <s v="1253"/>
    <n v="11"/>
    <n v="1.3128491620111731"/>
    <n v="0.11934992381919755"/>
  </r>
  <r>
    <x v="0"/>
    <x v="4"/>
    <x v="4"/>
    <s v="M00000307052"/>
    <d v="2007-10-25T00:00:00"/>
    <n v="103"/>
    <n v="0"/>
    <n v="126"/>
    <n v="24"/>
    <x v="0"/>
    <s v="13"/>
    <s v="80"/>
    <n v="13"/>
    <n v="1.575"/>
    <n v="0.12115384615384615"/>
  </r>
  <r>
    <x v="0"/>
    <x v="4"/>
    <x v="4"/>
    <s v="M00000307199"/>
    <d v="2007-10-25T00:00:00"/>
    <n v="1135"/>
    <n v="0"/>
    <n v="956.25"/>
    <n v="262.5"/>
    <x v="9"/>
    <s v="13"/>
    <s v="875"/>
    <n v="9"/>
    <n v="1.0928571428571427"/>
    <n v="0.12142857142857141"/>
  </r>
  <r>
    <x v="0"/>
    <x v="4"/>
    <x v="4"/>
    <s v="M00000307041"/>
    <d v="2007-10-25T00:00:00"/>
    <n v="1195"/>
    <n v="0"/>
    <n v="1500"/>
    <n v="276"/>
    <x v="0"/>
    <s v="13"/>
    <s v="920"/>
    <n v="13"/>
    <n v="1.6304347826086956"/>
    <n v="0.1254180602006689"/>
  </r>
  <r>
    <x v="0"/>
    <x v="4"/>
    <x v="4"/>
    <s v="M00000326834"/>
    <d v="2007-12-31T00:00:00"/>
    <n v="2302"/>
    <n v="0"/>
    <n v="4013"/>
    <n v="532.20000000000005"/>
    <x v="0"/>
    <s v="18"/>
    <s v="1774"/>
    <n v="18"/>
    <n v="2.2621195039458848"/>
    <n v="0.12567330577477137"/>
  </r>
  <r>
    <x v="0"/>
    <x v="4"/>
    <x v="4"/>
    <s v="M00000355557"/>
    <d v="2008-04-24T00:00:00"/>
    <n v="1289"/>
    <n v="0"/>
    <n v="1626"/>
    <n v="298.5"/>
    <x v="0"/>
    <s v="13"/>
    <s v="995"/>
    <n v="13"/>
    <n v="1.6341708542713569"/>
    <n v="0.12570545032856592"/>
  </r>
  <r>
    <x v="0"/>
    <x v="4"/>
    <x v="4"/>
    <s v="M00000347386"/>
    <d v="2008-03-20T00:00:00"/>
    <n v="3887"/>
    <n v="0"/>
    <n v="4950"/>
    <n v="900"/>
    <x v="0"/>
    <s v="13"/>
    <s v="3000"/>
    <n v="13"/>
    <n v="1.65"/>
    <n v="0.12692307692307692"/>
  </r>
  <r>
    <x v="0"/>
    <x v="4"/>
    <x v="4"/>
    <s v="M00000351760"/>
    <d v="2008-04-10T00:00:00"/>
    <n v="2164"/>
    <n v="0"/>
    <n v="2882"/>
    <n v="501"/>
    <x v="0"/>
    <s v="13"/>
    <s v="1670"/>
    <n v="13"/>
    <n v="1.7257485029940121"/>
    <n v="0.13274988484569322"/>
  </r>
  <r>
    <x v="0"/>
    <x v="4"/>
    <x v="4"/>
    <s v="M00000313000"/>
    <d v="2007-12-27T00:00:00"/>
    <n v="1077"/>
    <n v="0"/>
    <n v="1948"/>
    <n v="249"/>
    <x v="0"/>
    <s v="15"/>
    <s v="830"/>
    <n v="15"/>
    <n v="2.346987951807229"/>
    <n v="0.15646586345381527"/>
  </r>
  <r>
    <x v="0"/>
    <x v="4"/>
    <x v="4"/>
    <s v="M00000277378"/>
    <d v="2007-06-14T00:00:00"/>
    <n v="620"/>
    <n v="0"/>
    <n v="1046.01"/>
    <n v="143.4"/>
    <x v="0"/>
    <s v="11"/>
    <s v="478"/>
    <n v="11"/>
    <n v="2.1883054393305441"/>
    <n v="0.19893685812095854"/>
  </r>
  <r>
    <x v="0"/>
    <x v="4"/>
    <x v="4"/>
    <s v="M00000311441"/>
    <d v="2007-11-09T00:00:00"/>
    <n v="1363"/>
    <n v="0"/>
    <n v="2298"/>
    <n v="315"/>
    <x v="0"/>
    <s v="11"/>
    <s v="1050"/>
    <n v="11"/>
    <n v="2.1885714285714286"/>
    <n v="0.19896103896103898"/>
  </r>
  <r>
    <x v="0"/>
    <x v="4"/>
    <x v="4"/>
    <s v="M00000312655"/>
    <d v="2007-11-15T00:00:00"/>
    <n v="1077"/>
    <n v="0"/>
    <n v="2700"/>
    <n v="249"/>
    <x v="0"/>
    <s v="15"/>
    <s v="830"/>
    <n v="15"/>
    <n v="3.2530120481927711"/>
    <n v="0.21686746987951808"/>
  </r>
  <r>
    <x v="0"/>
    <x v="4"/>
    <x v="4"/>
    <s v="M00000366278"/>
    <d v="2008-06-19T00:00:00"/>
    <n v="101"/>
    <n v="0"/>
    <n v="330"/>
    <n v="23.4"/>
    <x v="0"/>
    <s v="19"/>
    <s v="78"/>
    <n v="19"/>
    <n v="4.2307692307692308"/>
    <n v="0.22267206477732793"/>
  </r>
  <r>
    <x v="0"/>
    <x v="4"/>
    <x v="4"/>
    <s v="M00000365362"/>
    <d v="2008-07-10T00:00:00"/>
    <n v="1555"/>
    <n v="0"/>
    <n v="3873"/>
    <n v="360"/>
    <x v="0"/>
    <s v="13"/>
    <s v="1200"/>
    <n v="13"/>
    <n v="3.2275"/>
    <n v="0.24826923076923077"/>
  </r>
  <r>
    <x v="0"/>
    <x v="4"/>
    <x v="4"/>
    <s v="M00000315838"/>
    <d v="2007-11-21T00:00:00"/>
    <n v="1254"/>
    <n v="0"/>
    <n v="3374"/>
    <n v="289.8"/>
    <x v="0"/>
    <s v="14"/>
    <s v="966"/>
    <n v="14"/>
    <n v="3.4927536231884058"/>
    <n v="0.24948240165631469"/>
  </r>
  <r>
    <x v="0"/>
    <x v="4"/>
    <x v="4"/>
    <s v="M00000338531"/>
    <d v="2008-02-14T00:00:00"/>
    <n v="319"/>
    <n v="0"/>
    <n v="1232"/>
    <n v="73.8"/>
    <x v="0"/>
    <s v="19"/>
    <s v="246"/>
    <n v="19"/>
    <n v="5.0081300813008127"/>
    <n v="0.26358579375267438"/>
  </r>
  <r>
    <x v="0"/>
    <x v="4"/>
    <x v="4"/>
    <s v="M00000304088"/>
    <d v="2007-10-11T00:00:00"/>
    <n v="164"/>
    <n v="0"/>
    <n v="600"/>
    <n v="37.799999999999997"/>
    <x v="0"/>
    <s v="16"/>
    <s v="126"/>
    <n v="16"/>
    <n v="4.7619047619047619"/>
    <n v="0.29761904761904762"/>
  </r>
  <r>
    <x v="0"/>
    <x v="4"/>
    <x v="4"/>
    <s v="M00000274824"/>
    <d v="2007-05-31T00:00:00"/>
    <n v="1819"/>
    <n v="0"/>
    <n v="6111.04"/>
    <n v="420.6"/>
    <x v="0"/>
    <s v="13"/>
    <s v="1402"/>
    <n v="13"/>
    <n v="4.3588017118402282"/>
    <n v="0.33529243937232522"/>
  </r>
  <r>
    <x v="0"/>
    <x v="4"/>
    <x v="4"/>
    <s v="M00000300762"/>
    <d v="2007-09-27T00:00:00"/>
    <n v="260"/>
    <n v="0"/>
    <n v="960"/>
    <n v="60"/>
    <x v="0"/>
    <s v="11"/>
    <s v="200"/>
    <n v="11"/>
    <n v="4.8"/>
    <n v="0.43636363636363634"/>
  </r>
  <r>
    <x v="0"/>
    <x v="5"/>
    <x v="5"/>
    <s v="M00000317984"/>
    <d v="2007-11-30T00:00:00"/>
    <n v="0"/>
    <n v="54.4"/>
    <n v="230"/>
    <n v="204"/>
    <x v="0"/>
    <s v="25"/>
    <s v="680"/>
    <n v="25"/>
    <n v="0.33823529411764708"/>
    <n v="1.3529411764705884E-2"/>
  </r>
  <r>
    <x v="0"/>
    <x v="5"/>
    <x v="5"/>
    <s v="M00000347036"/>
    <d v="2008-03-20T00:00:00"/>
    <n v="0"/>
    <n v="48"/>
    <n v="219.6"/>
    <n v="180"/>
    <x v="0"/>
    <s v="20"/>
    <s v="600"/>
    <n v="20"/>
    <n v="0.36599999999999999"/>
    <n v="1.83E-2"/>
  </r>
  <r>
    <x v="0"/>
    <x v="5"/>
    <x v="5"/>
    <s v="M00000337120"/>
    <d v="2008-04-10T00:00:00"/>
    <n v="0"/>
    <n v="88.24"/>
    <n v="331"/>
    <n v="330.9"/>
    <x v="0"/>
    <s v="13"/>
    <s v="1103"/>
    <n v="13"/>
    <n v="0.30009066183136901"/>
    <n v="2.3083897063951461E-2"/>
  </r>
  <r>
    <x v="0"/>
    <x v="5"/>
    <x v="5"/>
    <s v="M00000290837"/>
    <d v="2007-09-06T00:00:00"/>
    <n v="0"/>
    <n v="111.52"/>
    <n v="426.42"/>
    <n v="418.2"/>
    <x v="0"/>
    <s v="13"/>
    <s v="1394"/>
    <n v="13"/>
    <n v="0.30589670014347203"/>
    <n v="2.3530515395651694E-2"/>
  </r>
  <r>
    <x v="0"/>
    <x v="5"/>
    <x v="5"/>
    <s v="M00000326851"/>
    <d v="2007-12-31T00:00:00"/>
    <n v="0"/>
    <n v="146.4"/>
    <n v="1050"/>
    <n v="549"/>
    <x v="0"/>
    <s v="22"/>
    <s v="1830"/>
    <n v="22"/>
    <n v="0.57377049180327866"/>
    <n v="2.608047690014903E-2"/>
  </r>
  <r>
    <x v="0"/>
    <x v="5"/>
    <x v="5"/>
    <s v="M00000281564"/>
    <d v="2007-07-06T00:00:00"/>
    <n v="0"/>
    <n v="34.24"/>
    <n v="153.99"/>
    <n v="128.4"/>
    <x v="0"/>
    <s v="13"/>
    <s v="428"/>
    <n v="13"/>
    <n v="0.35978971962616824"/>
    <n v="2.7676132278936019E-2"/>
  </r>
  <r>
    <x v="0"/>
    <x v="5"/>
    <x v="5"/>
    <s v="M00000336907"/>
    <d v="2008-02-07T00:00:00"/>
    <n v="0"/>
    <n v="102.4"/>
    <n v="755"/>
    <n v="384"/>
    <x v="0"/>
    <s v="21"/>
    <s v="1280"/>
    <n v="21"/>
    <n v="0.58984375"/>
    <n v="2.808779761904762E-2"/>
  </r>
  <r>
    <x v="0"/>
    <x v="5"/>
    <x v="5"/>
    <s v="M00000342027"/>
    <d v="2008-02-29T00:00:00"/>
    <n v="0"/>
    <n v="6.96"/>
    <n v="55"/>
    <n v="26.1"/>
    <x v="0"/>
    <s v="21"/>
    <s v="87"/>
    <n v="21"/>
    <n v="0.63218390804597702"/>
    <n v="3.0103995621237001E-2"/>
  </r>
  <r>
    <x v="0"/>
    <x v="5"/>
    <x v="5"/>
    <s v="M00000348250"/>
    <d v="2008-03-27T00:00:00"/>
    <n v="0"/>
    <n v="80"/>
    <n v="580"/>
    <n v="300"/>
    <x v="0"/>
    <s v="19"/>
    <s v="1000"/>
    <n v="19"/>
    <n v="0.57999999999999996"/>
    <n v="3.0526315789473683E-2"/>
  </r>
  <r>
    <x v="0"/>
    <x v="5"/>
    <x v="5"/>
    <s v="M00000313071"/>
    <d v="2007-11-15T00:00:00"/>
    <n v="0"/>
    <n v="80"/>
    <n v="652"/>
    <n v="300"/>
    <x v="0"/>
    <s v="21"/>
    <s v="1000"/>
    <n v="21"/>
    <n v="0.65200000000000002"/>
    <n v="3.104761904761905E-2"/>
  </r>
  <r>
    <x v="0"/>
    <x v="5"/>
    <x v="5"/>
    <s v="M00000309773"/>
    <d v="2007-11-01T00:00:00"/>
    <n v="0"/>
    <n v="24"/>
    <n v="200"/>
    <n v="90"/>
    <x v="0"/>
    <s v="21"/>
    <s v="300"/>
    <n v="21"/>
    <n v="0.66666666666666663"/>
    <n v="3.1746031746031744E-2"/>
  </r>
  <r>
    <x v="0"/>
    <x v="5"/>
    <x v="5"/>
    <s v="M00000301630"/>
    <d v="2007-10-04T00:00:00"/>
    <n v="0"/>
    <n v="83.2"/>
    <n v="712"/>
    <n v="312"/>
    <x v="0"/>
    <s v="21"/>
    <s v="1040"/>
    <n v="21"/>
    <n v="0.68461538461538463"/>
    <n v="3.2600732600732603E-2"/>
  </r>
  <r>
    <x v="0"/>
    <x v="5"/>
    <x v="5"/>
    <s v="M00000351629"/>
    <d v="2008-04-03T00:00:00"/>
    <n v="0"/>
    <n v="160"/>
    <n v="1400"/>
    <n v="600"/>
    <x v="0"/>
    <s v="21"/>
    <s v="2000"/>
    <n v="21"/>
    <n v="0.7"/>
    <n v="3.3333333333333333E-2"/>
  </r>
  <r>
    <x v="0"/>
    <x v="5"/>
    <x v="5"/>
    <s v="M00000359839"/>
    <d v="2008-05-15T00:00:00"/>
    <n v="0"/>
    <n v="147.19999999999999"/>
    <n v="1293"/>
    <n v="552"/>
    <x v="0"/>
    <s v="21"/>
    <s v="1840"/>
    <n v="21"/>
    <n v="0.70271739130434785"/>
    <n v="3.346273291925466E-2"/>
  </r>
  <r>
    <x v="0"/>
    <x v="5"/>
    <x v="5"/>
    <s v="M00000278304"/>
    <d v="2007-06-21T00:00:00"/>
    <n v="0"/>
    <n v="113.6"/>
    <n v="999.96"/>
    <n v="426"/>
    <x v="0"/>
    <s v="21"/>
    <s v="1420"/>
    <n v="21"/>
    <n v="0.70419718309859158"/>
    <n v="3.3533199195171025E-2"/>
  </r>
  <r>
    <x v="0"/>
    <x v="5"/>
    <x v="5"/>
    <s v="M00000291360"/>
    <d v="2007-08-16T00:00:00"/>
    <n v="0"/>
    <n v="118.8"/>
    <n v="1269.97"/>
    <n v="445.5"/>
    <x v="0"/>
    <s v="25"/>
    <s v="1485"/>
    <n v="25"/>
    <n v="0.85519865319865318"/>
    <n v="3.4207946127946129E-2"/>
  </r>
  <r>
    <x v="0"/>
    <x v="5"/>
    <x v="5"/>
    <s v="M00000278113"/>
    <d v="2007-06-21T00:00:00"/>
    <n v="0"/>
    <n v="24"/>
    <n v="195"/>
    <n v="90"/>
    <x v="0"/>
    <s v="19"/>
    <s v="300"/>
    <n v="19"/>
    <n v="0.65"/>
    <n v="3.4210526315789476E-2"/>
  </r>
  <r>
    <x v="0"/>
    <x v="5"/>
    <x v="5"/>
    <s v="M00000367538"/>
    <d v="2008-06-12T00:00:00"/>
    <n v="0"/>
    <n v="44.8"/>
    <n v="437"/>
    <n v="168"/>
    <x v="0"/>
    <s v="21"/>
    <s v="560"/>
    <n v="21"/>
    <n v="0.78035714285714286"/>
    <n v="3.7159863945578228E-2"/>
  </r>
  <r>
    <x v="0"/>
    <x v="5"/>
    <x v="5"/>
    <s v="M00000341955"/>
    <d v="2008-02-29T00:00:00"/>
    <n v="0"/>
    <n v="128"/>
    <n v="1261"/>
    <n v="480"/>
    <x v="0"/>
    <s v="21"/>
    <s v="1600"/>
    <n v="21"/>
    <n v="0.78812499999999996"/>
    <n v="3.7529761904761906E-2"/>
  </r>
  <r>
    <x v="0"/>
    <x v="5"/>
    <x v="5"/>
    <s v="M00000318642"/>
    <d v="2007-12-06T00:00:00"/>
    <n v="0"/>
    <n v="59.28"/>
    <n v="427"/>
    <n v="222.3"/>
    <x v="0"/>
    <s v="15"/>
    <s v="741"/>
    <n v="15"/>
    <n v="0.57624831309041835"/>
    <n v="3.8416554206027888E-2"/>
  </r>
  <r>
    <x v="0"/>
    <x v="5"/>
    <x v="5"/>
    <s v="M00000320552"/>
    <d v="2007-12-13T00:00:00"/>
    <n v="0"/>
    <n v="85.92"/>
    <n v="785"/>
    <n v="322.2"/>
    <x v="0"/>
    <s v="19"/>
    <s v="1074"/>
    <n v="19"/>
    <n v="0.73091247672253257"/>
    <n v="3.8469077722238558E-2"/>
  </r>
  <r>
    <x v="0"/>
    <x v="5"/>
    <x v="5"/>
    <s v="M00000285150"/>
    <d v="2007-07-19T00:00:00"/>
    <n v="0"/>
    <n v="110.72"/>
    <n v="1335.01"/>
    <n v="415.2"/>
    <x v="0"/>
    <s v="25"/>
    <s v="1384"/>
    <n v="25"/>
    <n v="0.96460260115606933"/>
    <n v="3.8584104046242775E-2"/>
  </r>
  <r>
    <x v="0"/>
    <x v="5"/>
    <x v="5"/>
    <s v="M00000295367"/>
    <d v="2007-09-06T00:00:00"/>
    <n v="0"/>
    <n v="130.56"/>
    <n v="965.16"/>
    <n v="489.6"/>
    <x v="0"/>
    <s v="15"/>
    <s v="1632"/>
    <n v="15"/>
    <n v="0.59139705882352944"/>
    <n v="3.9426470588235299E-2"/>
  </r>
  <r>
    <x v="0"/>
    <x v="5"/>
    <x v="5"/>
    <s v="M00000305589"/>
    <d v="2007-10-18T00:00:00"/>
    <n v="0"/>
    <n v="32"/>
    <n v="300"/>
    <n v="120"/>
    <x v="0"/>
    <s v="19"/>
    <s v="400"/>
    <n v="19"/>
    <n v="0.75"/>
    <n v="3.9473684210526314E-2"/>
  </r>
  <r>
    <x v="0"/>
    <x v="5"/>
    <x v="5"/>
    <s v="M00000353209"/>
    <d v="2008-04-17T00:00:00"/>
    <n v="0"/>
    <n v="32.32"/>
    <n v="335"/>
    <n v="121.2"/>
    <x v="0"/>
    <s v="21"/>
    <s v="404"/>
    <n v="21"/>
    <n v="0.82920792079207917"/>
    <n v="3.9486091466289487E-2"/>
  </r>
  <r>
    <x v="0"/>
    <x v="5"/>
    <x v="5"/>
    <s v="M00000318659"/>
    <d v="2007-12-06T00:00:00"/>
    <n v="0"/>
    <n v="23.04"/>
    <n v="242"/>
    <n v="86.4"/>
    <x v="0"/>
    <s v="21"/>
    <s v="288"/>
    <n v="21"/>
    <n v="0.84027777777777779"/>
    <n v="4.0013227513227514E-2"/>
  </r>
  <r>
    <x v="0"/>
    <x v="5"/>
    <x v="5"/>
    <s v="M00000338014"/>
    <d v="2008-02-07T00:00:00"/>
    <n v="0"/>
    <n v="18.239999999999998"/>
    <n v="196"/>
    <n v="68.400000000000006"/>
    <x v="0"/>
    <s v="21"/>
    <s v="228"/>
    <n v="21"/>
    <n v="0.85964912280701755"/>
    <n v="4.0935672514619881E-2"/>
  </r>
  <r>
    <x v="0"/>
    <x v="5"/>
    <x v="5"/>
    <s v="M00000322811"/>
    <d v="2007-12-20T00:00:00"/>
    <n v="0"/>
    <n v="31.68"/>
    <n v="245"/>
    <n v="118.8"/>
    <x v="0"/>
    <s v="15"/>
    <s v="396"/>
    <n v="15"/>
    <n v="0.61868686868686873"/>
    <n v="4.1245791245791245E-2"/>
  </r>
  <r>
    <x v="0"/>
    <x v="5"/>
    <x v="5"/>
    <s v="M00000346609"/>
    <d v="2008-03-13T00:00:00"/>
    <n v="0"/>
    <n v="5.04"/>
    <n v="55"/>
    <n v="18.899999999999999"/>
    <x v="0"/>
    <s v="21"/>
    <s v="63"/>
    <n v="21"/>
    <n v="0.87301587301587302"/>
    <n v="4.1572184429327287E-2"/>
  </r>
  <r>
    <x v="0"/>
    <x v="5"/>
    <x v="5"/>
    <s v="M00000329202"/>
    <d v="2007-12-31T00:00:00"/>
    <n v="0"/>
    <n v="32"/>
    <n v="350"/>
    <n v="120"/>
    <x v="0"/>
    <s v="21"/>
    <s v="400"/>
    <n v="21"/>
    <n v="0.875"/>
    <n v="4.1666666666666664E-2"/>
  </r>
  <r>
    <x v="0"/>
    <x v="5"/>
    <x v="5"/>
    <s v="M00000359442"/>
    <d v="2008-05-15T00:00:00"/>
    <n v="0"/>
    <n v="22"/>
    <n v="269.5"/>
    <n v="82.5"/>
    <x v="0"/>
    <s v="23"/>
    <s v="275"/>
    <n v="23"/>
    <n v="0.98"/>
    <n v="4.2608695652173914E-2"/>
  </r>
  <r>
    <x v="0"/>
    <x v="5"/>
    <x v="5"/>
    <s v="M00000291401"/>
    <d v="2007-08-16T00:00:00"/>
    <n v="0"/>
    <n v="80"/>
    <n v="600"/>
    <n v="300"/>
    <x v="0"/>
    <s v="14"/>
    <s v="1000"/>
    <n v="14"/>
    <n v="0.6"/>
    <n v="4.2857142857142858E-2"/>
  </r>
  <r>
    <x v="0"/>
    <x v="5"/>
    <x v="5"/>
    <s v="M00000306493"/>
    <d v="2007-10-25T00:00:00"/>
    <n v="0"/>
    <n v="13.92"/>
    <n v="112"/>
    <n v="52.2"/>
    <x v="0"/>
    <s v="15"/>
    <s v="174"/>
    <n v="15"/>
    <n v="0.64367816091954022"/>
    <n v="4.2911877394636012E-2"/>
  </r>
  <r>
    <x v="0"/>
    <x v="5"/>
    <x v="5"/>
    <s v="M00000293981"/>
    <d v="2007-08-30T00:00:00"/>
    <n v="0"/>
    <n v="152"/>
    <n v="1550.02"/>
    <n v="570"/>
    <x v="0"/>
    <s v="19"/>
    <s v="1900"/>
    <n v="19"/>
    <n v="0.81579999999999997"/>
    <n v="4.2936842105263155E-2"/>
  </r>
  <r>
    <x v="0"/>
    <x v="5"/>
    <x v="5"/>
    <s v="M00000350777"/>
    <d v="2008-04-03T00:00:00"/>
    <n v="0"/>
    <n v="64"/>
    <n v="520"/>
    <n v="240"/>
    <x v="0"/>
    <s v="15"/>
    <s v="800"/>
    <n v="15"/>
    <n v="0.65"/>
    <n v="4.3333333333333335E-2"/>
  </r>
  <r>
    <x v="0"/>
    <x v="5"/>
    <x v="5"/>
    <s v="M00000295768"/>
    <d v="2007-11-15T00:00:00"/>
    <n v="0"/>
    <n v="14.72"/>
    <n v="124.77"/>
    <n v="55.2"/>
    <x v="0"/>
    <s v="15"/>
    <s v="184"/>
    <n v="15"/>
    <n v="0.67809782608695646"/>
    <n v="4.520652173913043E-2"/>
  </r>
  <r>
    <x v="0"/>
    <x v="5"/>
    <x v="5"/>
    <s v="M00000330684"/>
    <d v="2007-12-31T00:00:00"/>
    <n v="0"/>
    <n v="76.400000000000006"/>
    <n v="651"/>
    <n v="286.5"/>
    <x v="0"/>
    <s v="15"/>
    <s v="955"/>
    <n v="15"/>
    <n v="0.68167539267015709"/>
    <n v="4.5445026178010474E-2"/>
  </r>
  <r>
    <x v="0"/>
    <x v="5"/>
    <x v="5"/>
    <s v="M00000318151"/>
    <d v="2007-11-30T00:00:00"/>
    <n v="0"/>
    <n v="6.4"/>
    <n v="55"/>
    <n v="24"/>
    <x v="0"/>
    <s v="15"/>
    <s v="80"/>
    <n v="15"/>
    <n v="0.6875"/>
    <n v="4.583333333333333E-2"/>
  </r>
  <r>
    <x v="0"/>
    <x v="5"/>
    <x v="5"/>
    <s v="M00000361413"/>
    <d v="2008-06-12T00:00:00"/>
    <n v="0"/>
    <n v="51.2"/>
    <n v="448"/>
    <n v="192"/>
    <x v="0"/>
    <s v="15"/>
    <s v="640"/>
    <n v="15"/>
    <n v="0.7"/>
    <n v="4.6666666666666662E-2"/>
  </r>
  <r>
    <x v="0"/>
    <x v="5"/>
    <x v="5"/>
    <s v="M00000303840"/>
    <d v="2007-10-11T00:00:00"/>
    <n v="0"/>
    <n v="71.84"/>
    <n v="628.6"/>
    <n v="269.39999999999998"/>
    <x v="0"/>
    <s v="15"/>
    <s v="898"/>
    <n v="15"/>
    <n v="0.7"/>
    <n v="4.6666666666666669E-2"/>
  </r>
  <r>
    <x v="0"/>
    <x v="5"/>
    <x v="5"/>
    <s v="M00000347941"/>
    <d v="2008-03-27T00:00:00"/>
    <n v="0"/>
    <n v="14.24"/>
    <n v="175"/>
    <n v="53.4"/>
    <x v="0"/>
    <s v="21"/>
    <s v="178"/>
    <n v="21"/>
    <n v="0.9831460674157303"/>
    <n v="4.681647940074906E-2"/>
  </r>
  <r>
    <x v="0"/>
    <x v="5"/>
    <x v="5"/>
    <s v="M00000312976"/>
    <d v="2007-11-15T00:00:00"/>
    <n v="0"/>
    <n v="20.96"/>
    <n v="185"/>
    <n v="78.599999999999994"/>
    <x v="0"/>
    <s v="15"/>
    <s v="262"/>
    <n v="15"/>
    <n v="0.70610687022900764"/>
    <n v="4.7073791348600506E-2"/>
  </r>
  <r>
    <x v="0"/>
    <x v="5"/>
    <x v="5"/>
    <s v="M00000315473"/>
    <d v="2007-11-21T00:00:00"/>
    <n v="0"/>
    <n v="96"/>
    <n v="800"/>
    <n v="360"/>
    <x v="0"/>
    <s v="14"/>
    <s v="1200"/>
    <n v="14"/>
    <n v="0.66666666666666663"/>
    <n v="4.7619047619047616E-2"/>
  </r>
  <r>
    <x v="0"/>
    <x v="5"/>
    <x v="5"/>
    <s v="M00000327561"/>
    <d v="2007-12-31T00:00:00"/>
    <n v="0"/>
    <n v="12.72"/>
    <n v="159"/>
    <n v="47.7"/>
    <x v="0"/>
    <s v="21"/>
    <s v="159"/>
    <n v="21"/>
    <n v="1"/>
    <n v="4.7619047619047616E-2"/>
  </r>
  <r>
    <x v="0"/>
    <x v="5"/>
    <x v="5"/>
    <s v="M00000334755"/>
    <d v="2008-01-24T00:00:00"/>
    <n v="0"/>
    <n v="13.6"/>
    <n v="170"/>
    <n v="51"/>
    <x v="0"/>
    <s v="21"/>
    <s v="170"/>
    <n v="21"/>
    <n v="1"/>
    <n v="4.7619047619047616E-2"/>
  </r>
  <r>
    <x v="0"/>
    <x v="5"/>
    <x v="5"/>
    <s v="M00000350002"/>
    <d v="2008-03-27T00:00:00"/>
    <n v="0"/>
    <n v="4"/>
    <n v="50"/>
    <n v="15"/>
    <x v="0"/>
    <s v="21"/>
    <s v="50"/>
    <n v="21"/>
    <n v="1"/>
    <n v="4.7619047619047616E-2"/>
  </r>
  <r>
    <x v="0"/>
    <x v="5"/>
    <x v="5"/>
    <s v="M00000363289"/>
    <d v="2008-05-22T00:00:00"/>
    <n v="0"/>
    <n v="6"/>
    <n v="75"/>
    <n v="22.5"/>
    <x v="0"/>
    <s v="21"/>
    <s v="75"/>
    <n v="21"/>
    <n v="1"/>
    <n v="4.7619047619047616E-2"/>
  </r>
  <r>
    <x v="0"/>
    <x v="5"/>
    <x v="5"/>
    <s v="M00000326919"/>
    <d v="2007-12-31T00:00:00"/>
    <n v="0"/>
    <n v="58.4"/>
    <n v="456"/>
    <n v="219"/>
    <x v="0"/>
    <s v="13"/>
    <s v="730"/>
    <n v="13"/>
    <n v="0.62465753424657533"/>
    <n v="4.805057955742887E-2"/>
  </r>
  <r>
    <x v="0"/>
    <x v="5"/>
    <x v="5"/>
    <s v="M00000324171"/>
    <d v="2007-12-20T00:00:00"/>
    <n v="0"/>
    <n v="80.64"/>
    <n v="1029"/>
    <n v="302.39999999999998"/>
    <x v="0"/>
    <s v="21"/>
    <s v="1008"/>
    <n v="21"/>
    <n v="1.0208333333333333"/>
    <n v="4.8611111111111105E-2"/>
  </r>
  <r>
    <x v="0"/>
    <x v="5"/>
    <x v="5"/>
    <s v="M00000300916"/>
    <d v="2007-09-27T00:00:00"/>
    <n v="0"/>
    <n v="149.91999999999999"/>
    <n v="1394"/>
    <n v="562.20000000000005"/>
    <x v="0"/>
    <s v="15"/>
    <s v="1874"/>
    <n v="15"/>
    <n v="0.74386339381003197"/>
    <n v="4.9590892920668796E-2"/>
  </r>
  <r>
    <x v="0"/>
    <x v="5"/>
    <x v="5"/>
    <s v="M00000371795"/>
    <d v="2008-07-03T00:00:00"/>
    <n v="0"/>
    <n v="55.52"/>
    <n v="729"/>
    <n v="208.2"/>
    <x v="0"/>
    <s v="21"/>
    <s v="694"/>
    <n v="21"/>
    <n v="1.0504322766570606"/>
    <n v="5.0020584602717175E-2"/>
  </r>
  <r>
    <x v="0"/>
    <x v="5"/>
    <x v="5"/>
    <s v="M00000323513"/>
    <d v="2007-12-31T00:00:00"/>
    <n v="0"/>
    <n v="32.479999999999997"/>
    <n v="305"/>
    <n v="121.8"/>
    <x v="0"/>
    <s v="15"/>
    <s v="406"/>
    <n v="15"/>
    <n v="0.75123152709359609"/>
    <n v="5.0082101806239739E-2"/>
  </r>
  <r>
    <x v="0"/>
    <x v="5"/>
    <x v="5"/>
    <s v="M00000327854"/>
    <d v="2007-12-31T00:00:00"/>
    <n v="0"/>
    <n v="11.2"/>
    <n v="150"/>
    <n v="42"/>
    <x v="0"/>
    <s v="21"/>
    <s v="140"/>
    <n v="21"/>
    <n v="1.0714285714285714"/>
    <n v="5.1020408163265307E-2"/>
  </r>
  <r>
    <x v="0"/>
    <x v="5"/>
    <x v="5"/>
    <s v="M00000287274"/>
    <d v="2007-08-16T00:00:00"/>
    <n v="0"/>
    <n v="81.28"/>
    <n v="789.13"/>
    <n v="304.8"/>
    <x v="0"/>
    <s v="15"/>
    <s v="1016"/>
    <n v="15"/>
    <n v="0.77670275590551185"/>
    <n v="5.1780183727034121E-2"/>
  </r>
  <r>
    <x v="0"/>
    <x v="5"/>
    <x v="5"/>
    <s v="M00000305045"/>
    <d v="2007-10-18T00:00:00"/>
    <n v="0"/>
    <n v="42.08"/>
    <n v="572"/>
    <n v="157.80000000000001"/>
    <x v="0"/>
    <s v="21"/>
    <s v="526"/>
    <n v="21"/>
    <n v="1.0874524714828897"/>
    <n v="5.1783451022994746E-2"/>
  </r>
  <r>
    <x v="0"/>
    <x v="5"/>
    <x v="5"/>
    <s v="M00000298405"/>
    <d v="2007-09-14T00:00:00"/>
    <n v="0"/>
    <n v="149.84"/>
    <n v="1458"/>
    <n v="561.9"/>
    <x v="0"/>
    <s v="15"/>
    <s v="1873"/>
    <n v="15"/>
    <n v="0.77843032568072612"/>
    <n v="5.1895355045381744E-2"/>
  </r>
  <r>
    <x v="0"/>
    <x v="5"/>
    <x v="5"/>
    <s v="M00000341746"/>
    <d v="2008-03-27T00:00:00"/>
    <n v="0"/>
    <n v="37.6"/>
    <n v="367"/>
    <n v="141"/>
    <x v="0"/>
    <s v="15"/>
    <s v="470"/>
    <n v="15"/>
    <n v="0.7808510638297872"/>
    <n v="5.205673758865248E-2"/>
  </r>
  <r>
    <x v="0"/>
    <x v="5"/>
    <x v="5"/>
    <s v="M00000347677"/>
    <d v="2008-03-20T00:00:00"/>
    <n v="0"/>
    <n v="14.4"/>
    <n v="141"/>
    <n v="54"/>
    <x v="0"/>
    <s v="15"/>
    <s v="180"/>
    <n v="15"/>
    <n v="0.78333333333333333"/>
    <n v="5.2222222222222218E-2"/>
  </r>
  <r>
    <x v="0"/>
    <x v="5"/>
    <x v="5"/>
    <s v="M00000301371"/>
    <d v="2007-09-28T00:00:00"/>
    <n v="0"/>
    <n v="177.92"/>
    <n v="2486"/>
    <n v="667.2"/>
    <x v="0"/>
    <s v="21"/>
    <s v="2224"/>
    <n v="21"/>
    <n v="1.1178057553956835"/>
    <n v="5.3228845495032547E-2"/>
  </r>
  <r>
    <x v="0"/>
    <x v="5"/>
    <x v="5"/>
    <s v="M00000327020"/>
    <d v="2007-12-31T00:00:00"/>
    <n v="0"/>
    <n v="113.6"/>
    <n v="1590.4"/>
    <n v="426"/>
    <x v="0"/>
    <s v="21"/>
    <s v="1420"/>
    <n v="21"/>
    <n v="1.1200000000000001"/>
    <n v="5.3333333333333337E-2"/>
  </r>
  <r>
    <x v="0"/>
    <x v="5"/>
    <x v="5"/>
    <s v="M00000334473"/>
    <d v="2008-01-24T00:00:00"/>
    <n v="0"/>
    <n v="20"/>
    <n v="200"/>
    <n v="75"/>
    <x v="0"/>
    <s v="15"/>
    <s v="250"/>
    <n v="15"/>
    <n v="0.8"/>
    <n v="5.3333333333333337E-2"/>
  </r>
  <r>
    <x v="0"/>
    <x v="5"/>
    <x v="5"/>
    <s v="M00000291480"/>
    <d v="2007-08-23T00:00:00"/>
    <n v="0"/>
    <n v="76.88"/>
    <n v="1081.99"/>
    <n v="288.3"/>
    <x v="0"/>
    <s v="21"/>
    <s v="961"/>
    <n v="21"/>
    <n v="1.1259001040582726"/>
    <n v="5.3614290669441553E-2"/>
  </r>
  <r>
    <x v="0"/>
    <x v="5"/>
    <x v="5"/>
    <s v="M00000268889"/>
    <d v="2007-07-06T00:00:00"/>
    <n v="0"/>
    <n v="17.440000000000001"/>
    <n v="333.54"/>
    <n v="65.400000000000006"/>
    <x v="0"/>
    <s v="28"/>
    <s v="218"/>
    <n v="28"/>
    <n v="1.53"/>
    <n v="5.4642857142857146E-2"/>
  </r>
  <r>
    <x v="0"/>
    <x v="5"/>
    <x v="5"/>
    <s v="M00000328045"/>
    <d v="2007-12-31T00:00:00"/>
    <n v="0"/>
    <n v="171.68"/>
    <n v="2468"/>
    <n v="643.79999999999995"/>
    <x v="0"/>
    <s v="21"/>
    <s v="2146"/>
    <n v="21"/>
    <n v="1.1500465983224604"/>
    <n v="5.4764123729640971E-2"/>
  </r>
  <r>
    <x v="0"/>
    <x v="5"/>
    <x v="5"/>
    <s v="M00000333215"/>
    <d v="2008-01-17T00:00:00"/>
    <n v="0"/>
    <n v="79.599999999999994"/>
    <n v="1172"/>
    <n v="298.5"/>
    <x v="0"/>
    <s v="21"/>
    <s v="995"/>
    <n v="21"/>
    <n v="1.1778894472361809"/>
    <n v="5.608997367791338E-2"/>
  </r>
  <r>
    <x v="0"/>
    <x v="5"/>
    <x v="5"/>
    <s v="M00000272008"/>
    <d v="2007-05-17T00:00:00"/>
    <n v="0"/>
    <n v="79.2"/>
    <n v="851.4"/>
    <n v="297"/>
    <x v="0"/>
    <s v="15"/>
    <s v="990"/>
    <n v="15"/>
    <n v="0.86"/>
    <n v="5.7333333333333333E-2"/>
  </r>
  <r>
    <x v="0"/>
    <x v="5"/>
    <x v="5"/>
    <s v="M00000370306"/>
    <d v="2008-06-26T00:00:00"/>
    <n v="0"/>
    <n v="8.8000000000000007"/>
    <n v="95"/>
    <n v="33"/>
    <x v="0"/>
    <s v="15"/>
    <s v="110"/>
    <n v="15"/>
    <n v="0.86363636363636365"/>
    <n v="5.7575757575757579E-2"/>
  </r>
  <r>
    <x v="0"/>
    <x v="5"/>
    <x v="5"/>
    <s v="M00000291344"/>
    <d v="2007-08-16T00:00:00"/>
    <n v="0"/>
    <n v="102.24"/>
    <n v="1107"/>
    <n v="383.4"/>
    <x v="0"/>
    <s v="15"/>
    <s v="1278"/>
    <n v="15"/>
    <n v="0.86619718309859151"/>
    <n v="5.7746478873239436E-2"/>
  </r>
  <r>
    <x v="0"/>
    <x v="5"/>
    <x v="5"/>
    <s v="M00000305155"/>
    <d v="2007-10-18T00:00:00"/>
    <n v="0"/>
    <n v="116"/>
    <n v="1263"/>
    <n v="435"/>
    <x v="0"/>
    <s v="15"/>
    <s v="1450"/>
    <n v="15"/>
    <n v="0.87103448275862072"/>
    <n v="5.8068965517241382E-2"/>
  </r>
  <r>
    <x v="0"/>
    <x v="5"/>
    <x v="5"/>
    <s v="M00000271686"/>
    <d v="2007-05-17T00:00:00"/>
    <n v="0"/>
    <n v="85.12"/>
    <n v="1298.08"/>
    <n v="319.2"/>
    <x v="0"/>
    <s v="21"/>
    <s v="1064"/>
    <n v="21"/>
    <n v="1.22"/>
    <n v="5.8095238095238096E-2"/>
  </r>
  <r>
    <x v="0"/>
    <x v="5"/>
    <x v="5"/>
    <s v="M00000313866"/>
    <d v="2007-12-31T00:00:00"/>
    <n v="0"/>
    <n v="48.8"/>
    <n v="755"/>
    <n v="183"/>
    <x v="0"/>
    <s v="21"/>
    <s v="610"/>
    <n v="21"/>
    <n v="1.2377049180327868"/>
    <n v="5.8938329430132705E-2"/>
  </r>
  <r>
    <x v="0"/>
    <x v="5"/>
    <x v="5"/>
    <s v="M00000323267"/>
    <d v="2007-12-20T00:00:00"/>
    <n v="0"/>
    <n v="96"/>
    <n v="1000"/>
    <n v="360"/>
    <x v="0"/>
    <s v="14"/>
    <s v="1200"/>
    <n v="14"/>
    <n v="0.83333333333333337"/>
    <n v="5.9523809523809527E-2"/>
  </r>
  <r>
    <x v="0"/>
    <x v="5"/>
    <x v="5"/>
    <s v="M00000342022"/>
    <d v="2008-02-29T00:00:00"/>
    <n v="0"/>
    <n v="89.6"/>
    <n v="1000"/>
    <n v="336"/>
    <x v="0"/>
    <s v="15"/>
    <s v="1120"/>
    <n v="15"/>
    <n v="0.8928571428571429"/>
    <n v="5.9523809523809527E-2"/>
  </r>
  <r>
    <x v="0"/>
    <x v="5"/>
    <x v="5"/>
    <s v="M00000318782"/>
    <d v="2007-12-06T00:00:00"/>
    <n v="0"/>
    <n v="24.32"/>
    <n v="200"/>
    <n v="91.2"/>
    <x v="0"/>
    <s v="11"/>
    <s v="304"/>
    <n v="11"/>
    <n v="0.65789473684210531"/>
    <n v="5.9808612440191394E-2"/>
  </r>
  <r>
    <x v="0"/>
    <x v="5"/>
    <x v="5"/>
    <s v="M00000318782"/>
    <d v="2008-04-24T00:00:00"/>
    <n v="0"/>
    <n v="-21.89"/>
    <n v="200"/>
    <n v="91.2"/>
    <x v="0"/>
    <s v="11"/>
    <s v="304"/>
    <n v="11"/>
    <n v="0.65789473684210531"/>
    <n v="5.9808612440191394E-2"/>
  </r>
  <r>
    <x v="0"/>
    <x v="5"/>
    <x v="5"/>
    <s v="M00000318782"/>
    <d v="2008-04-24T00:00:00"/>
    <n v="0"/>
    <n v="21.89"/>
    <n v="200"/>
    <n v="91.2"/>
    <x v="0"/>
    <s v="11"/>
    <s v="304"/>
    <n v="11"/>
    <n v="0.65789473684210531"/>
    <n v="5.9808612440191394E-2"/>
  </r>
  <r>
    <x v="0"/>
    <x v="5"/>
    <x v="5"/>
    <s v="M00000354525"/>
    <d v="2008-05-08T00:00:00"/>
    <n v="0"/>
    <n v="35.36"/>
    <n v="560.07000000000005"/>
    <n v="132.6"/>
    <x v="0"/>
    <s v="21"/>
    <s v="442"/>
    <n v="21"/>
    <n v="1.2671266968325794"/>
    <n v="6.0339366515837115E-2"/>
  </r>
  <r>
    <x v="0"/>
    <x v="5"/>
    <x v="5"/>
    <s v="M00000346526"/>
    <d v="2008-04-03T00:00:00"/>
    <n v="0"/>
    <n v="46.4"/>
    <n v="456"/>
    <n v="174"/>
    <x v="0"/>
    <s v="13"/>
    <s v="580"/>
    <n v="13"/>
    <n v="0.78620689655172415"/>
    <n v="6.0477453580901855E-2"/>
  </r>
  <r>
    <x v="0"/>
    <x v="5"/>
    <x v="5"/>
    <s v="M00000307582"/>
    <d v="2007-10-25T00:00:00"/>
    <n v="0"/>
    <n v="23.52"/>
    <n v="374"/>
    <n v="88.2"/>
    <x v="0"/>
    <s v="21"/>
    <s v="294"/>
    <n v="21"/>
    <n v="1.272108843537415"/>
    <n v="6.0576611597019762E-2"/>
  </r>
  <r>
    <x v="0"/>
    <x v="5"/>
    <x v="5"/>
    <s v="M00000310694"/>
    <d v="2007-11-09T00:00:00"/>
    <n v="0"/>
    <n v="73.040000000000006"/>
    <n v="1384"/>
    <n v="273.89999999999998"/>
    <x v="0"/>
    <s v="25"/>
    <s v="913"/>
    <n v="25"/>
    <n v="1.5158817086527929"/>
    <n v="6.0635268346111715E-2"/>
  </r>
  <r>
    <x v="0"/>
    <x v="5"/>
    <x v="5"/>
    <s v="M00000359130"/>
    <d v="2008-05-08T00:00:00"/>
    <n v="0"/>
    <n v="68.8"/>
    <n v="790"/>
    <n v="258"/>
    <x v="0"/>
    <s v="15"/>
    <s v="860"/>
    <n v="15"/>
    <n v="0.91860465116279066"/>
    <n v="6.1240310077519379E-2"/>
  </r>
  <r>
    <x v="0"/>
    <x v="5"/>
    <x v="5"/>
    <s v="M00000293726"/>
    <d v="2007-09-20T00:00:00"/>
    <n v="0"/>
    <n v="164.64"/>
    <n v="1893.98"/>
    <n v="617.4"/>
    <x v="0"/>
    <s v="15"/>
    <s v="2058"/>
    <n v="15"/>
    <n v="0.92030126336248785"/>
    <n v="6.1353417557499193E-2"/>
  </r>
  <r>
    <x v="0"/>
    <x v="5"/>
    <x v="5"/>
    <s v="M00000357426"/>
    <d v="2008-04-30T00:00:00"/>
    <n v="0"/>
    <n v="102.4"/>
    <n v="870"/>
    <n v="384"/>
    <x v="0"/>
    <s v="11"/>
    <s v="1280"/>
    <n v="11"/>
    <n v="0.6796875"/>
    <n v="6.1789772727272728E-2"/>
  </r>
  <r>
    <x v="0"/>
    <x v="5"/>
    <x v="5"/>
    <s v="M00000274919"/>
    <d v="2007-06-07T00:00:00"/>
    <n v="0"/>
    <n v="94.08"/>
    <n v="1100.03"/>
    <n v="352.8"/>
    <x v="0"/>
    <s v="15"/>
    <s v="1176"/>
    <n v="15"/>
    <n v="0.93539965986394558"/>
    <n v="6.2359977324263037E-2"/>
  </r>
  <r>
    <x v="0"/>
    <x v="5"/>
    <x v="5"/>
    <s v="M00000342481"/>
    <d v="2008-02-29T00:00:00"/>
    <n v="0"/>
    <n v="46.4"/>
    <n v="760"/>
    <n v="174"/>
    <x v="0"/>
    <s v="21"/>
    <s v="580"/>
    <n v="21"/>
    <n v="1.3103448275862069"/>
    <n v="6.2397372742200329E-2"/>
  </r>
  <r>
    <x v="0"/>
    <x v="5"/>
    <x v="5"/>
    <s v="M00000269152"/>
    <d v="2007-05-10T00:00:00"/>
    <n v="0"/>
    <n v="221.28"/>
    <n v="4314.96"/>
    <n v="829.8"/>
    <x v="0"/>
    <s v="25"/>
    <s v="2766"/>
    <n v="25"/>
    <n v="1.56"/>
    <n v="6.2400000000000004E-2"/>
  </r>
  <r>
    <x v="0"/>
    <x v="5"/>
    <x v="5"/>
    <s v="M00000345136"/>
    <d v="2008-03-13T00:00:00"/>
    <n v="0"/>
    <n v="117.2"/>
    <n v="1375"/>
    <n v="439.5"/>
    <x v="0"/>
    <s v="15"/>
    <s v="1465"/>
    <n v="15"/>
    <n v="0.93856655290102387"/>
    <n v="6.2571103526734922E-2"/>
  </r>
  <r>
    <x v="0"/>
    <x v="5"/>
    <x v="5"/>
    <s v="M00000308646"/>
    <d v="2007-11-01T00:00:00"/>
    <n v="0"/>
    <n v="44.8"/>
    <n v="742"/>
    <n v="168"/>
    <x v="0"/>
    <s v="21"/>
    <s v="560"/>
    <n v="21"/>
    <n v="1.325"/>
    <n v="6.3095238095238093E-2"/>
  </r>
  <r>
    <x v="0"/>
    <x v="5"/>
    <x v="5"/>
    <s v="M00000339846"/>
    <d v="2008-03-06T00:00:00"/>
    <n v="0"/>
    <n v="30.16"/>
    <n v="500"/>
    <n v="113.1"/>
    <x v="0"/>
    <s v="21"/>
    <s v="377"/>
    <n v="21"/>
    <n v="1.3262599469496021"/>
    <n v="6.3155235569028675E-2"/>
  </r>
  <r>
    <x v="0"/>
    <x v="5"/>
    <x v="5"/>
    <s v="M00000271570"/>
    <d v="2007-05-17T00:00:00"/>
    <n v="0"/>
    <n v="84"/>
    <n v="997.5"/>
    <n v="315"/>
    <x v="0"/>
    <s v="15"/>
    <s v="1050"/>
    <n v="15"/>
    <n v="0.95"/>
    <n v="6.3333333333333325E-2"/>
  </r>
  <r>
    <x v="0"/>
    <x v="5"/>
    <x v="5"/>
    <s v="M00000287568"/>
    <d v="2007-07-26T00:00:00"/>
    <n v="0"/>
    <n v="111.68"/>
    <n v="1333.04"/>
    <n v="418.8"/>
    <x v="0"/>
    <s v="15"/>
    <s v="1396"/>
    <n v="15"/>
    <n v="0.95489971346704872"/>
    <n v="6.3659980897803253E-2"/>
  </r>
  <r>
    <x v="0"/>
    <x v="5"/>
    <x v="5"/>
    <s v="M00000367054"/>
    <d v="2008-07-03T00:00:00"/>
    <n v="0"/>
    <n v="128.4"/>
    <n v="1555"/>
    <n v="481.5"/>
    <x v="0"/>
    <s v="15"/>
    <s v="1605"/>
    <n v="15"/>
    <n v="0.96884735202492211"/>
    <n v="6.4589823468328145E-2"/>
  </r>
  <r>
    <x v="0"/>
    <x v="5"/>
    <x v="5"/>
    <s v="M00000353004"/>
    <d v="2008-04-10T00:00:00"/>
    <n v="0"/>
    <n v="112"/>
    <n v="1178"/>
    <n v="420"/>
    <x v="0"/>
    <s v="13"/>
    <s v="1400"/>
    <n v="13"/>
    <n v="0.84142857142857141"/>
    <n v="6.4725274725274728E-2"/>
  </r>
  <r>
    <x v="0"/>
    <x v="5"/>
    <x v="5"/>
    <s v="M00000305784"/>
    <d v="2007-10-18T00:00:00"/>
    <n v="0"/>
    <n v="88"/>
    <n v="1000"/>
    <n v="330"/>
    <x v="0"/>
    <s v="14"/>
    <s v="1100"/>
    <n v="14"/>
    <n v="0.90909090909090906"/>
    <n v="6.4935064935064929E-2"/>
  </r>
  <r>
    <x v="0"/>
    <x v="5"/>
    <x v="5"/>
    <s v="M00000302916"/>
    <d v="2007-10-18T00:00:00"/>
    <n v="0"/>
    <n v="87.68"/>
    <n v="1644"/>
    <n v="328.8"/>
    <x v="0"/>
    <s v="23"/>
    <s v="1096"/>
    <n v="23"/>
    <n v="1.5"/>
    <n v="6.5217391304347824E-2"/>
  </r>
  <r>
    <x v="0"/>
    <x v="5"/>
    <x v="5"/>
    <s v="M00000314618"/>
    <d v="2007-12-31T00:00:00"/>
    <n v="0"/>
    <n v="76.8"/>
    <n v="814"/>
    <n v="288"/>
    <x v="0"/>
    <s v="13"/>
    <s v="960"/>
    <n v="13"/>
    <n v="0.84791666666666665"/>
    <n v="6.5224358974358979E-2"/>
  </r>
  <r>
    <x v="0"/>
    <x v="5"/>
    <x v="5"/>
    <s v="M00000340102"/>
    <d v="2008-02-21T00:00:00"/>
    <n v="0"/>
    <n v="266.24"/>
    <n v="4579.84"/>
    <n v="998.4"/>
    <x v="0"/>
    <s v="21"/>
    <s v="3328"/>
    <n v="21"/>
    <n v="1.3761538461538463"/>
    <n v="6.5531135531135543E-2"/>
  </r>
  <r>
    <x v="0"/>
    <x v="5"/>
    <x v="5"/>
    <s v="M00000325349"/>
    <d v="2007-12-27T00:00:00"/>
    <n v="0"/>
    <n v="65.680000000000007"/>
    <n v="1148"/>
    <n v="246.3"/>
    <x v="0"/>
    <s v="21"/>
    <s v="821"/>
    <n v="21"/>
    <n v="1.3982947624847746"/>
    <n v="6.658546488022736E-2"/>
  </r>
  <r>
    <x v="0"/>
    <x v="5"/>
    <x v="5"/>
    <s v="M00000277146"/>
    <d v="2007-06-14T00:00:00"/>
    <n v="0"/>
    <n v="27.2"/>
    <n v="340"/>
    <n v="102"/>
    <x v="0"/>
    <s v="15"/>
    <s v="340"/>
    <n v="15"/>
    <n v="1"/>
    <n v="6.6666666666666666E-2"/>
  </r>
  <r>
    <x v="0"/>
    <x v="5"/>
    <x v="5"/>
    <s v="M00000324600"/>
    <d v="2007-12-20T00:00:00"/>
    <n v="0"/>
    <n v="148"/>
    <n v="1850"/>
    <n v="555"/>
    <x v="0"/>
    <s v="15"/>
    <s v="1850"/>
    <n v="15"/>
    <n v="1"/>
    <n v="6.6666666666666666E-2"/>
  </r>
  <r>
    <x v="0"/>
    <x v="5"/>
    <x v="5"/>
    <s v="M00000327725"/>
    <d v="2007-12-31T00:00:00"/>
    <n v="0"/>
    <n v="65.2"/>
    <n v="815"/>
    <n v="244.5"/>
    <x v="0"/>
    <s v="15"/>
    <s v="815"/>
    <n v="15"/>
    <n v="1"/>
    <n v="6.6666666666666666E-2"/>
  </r>
  <r>
    <x v="0"/>
    <x v="5"/>
    <x v="5"/>
    <s v="M00000346528"/>
    <d v="2008-03-13T00:00:00"/>
    <n v="0"/>
    <n v="168"/>
    <n v="2100"/>
    <n v="630"/>
    <x v="0"/>
    <s v="15"/>
    <s v="2100"/>
    <n v="15"/>
    <n v="1"/>
    <n v="6.6666666666666666E-2"/>
  </r>
  <r>
    <x v="0"/>
    <x v="5"/>
    <x v="5"/>
    <s v="M00000347371"/>
    <d v="2008-03-20T00:00:00"/>
    <n v="0"/>
    <n v="128.80000000000001"/>
    <n v="1860"/>
    <n v="483"/>
    <x v="0"/>
    <s v="15"/>
    <s v="1860"/>
    <n v="15"/>
    <n v="1"/>
    <n v="6.6666666666666666E-2"/>
  </r>
  <r>
    <x v="0"/>
    <x v="5"/>
    <x v="5"/>
    <s v="M00000356417"/>
    <d v="2008-05-29T00:00:00"/>
    <n v="0"/>
    <n v="237.2"/>
    <n v="2965"/>
    <n v="889.5"/>
    <x v="0"/>
    <s v="15"/>
    <s v="2965"/>
    <n v="15"/>
    <n v="1"/>
    <n v="6.6666666666666666E-2"/>
  </r>
  <r>
    <x v="0"/>
    <x v="5"/>
    <x v="5"/>
    <s v="M00000364281"/>
    <d v="2008-05-29T00:00:00"/>
    <n v="0"/>
    <n v="16"/>
    <n v="200"/>
    <n v="60"/>
    <x v="0"/>
    <s v="15"/>
    <s v="200"/>
    <n v="15"/>
    <n v="1"/>
    <n v="6.6666666666666666E-2"/>
  </r>
  <r>
    <x v="0"/>
    <x v="5"/>
    <x v="5"/>
    <s v="M00000372703"/>
    <d v="2008-07-03T00:00:00"/>
    <n v="0"/>
    <n v="136.4"/>
    <n v="1705"/>
    <n v="511.5"/>
    <x v="0"/>
    <s v="15"/>
    <s v="1705"/>
    <n v="15"/>
    <n v="1"/>
    <n v="6.6666666666666666E-2"/>
  </r>
  <r>
    <x v="0"/>
    <x v="5"/>
    <x v="5"/>
    <s v="M00000295677"/>
    <d v="2007-09-28T00:00:00"/>
    <n v="0"/>
    <n v="100.16"/>
    <n v="1107.02"/>
    <n v="375.6"/>
    <x v="0"/>
    <s v="15"/>
    <s v="1107"/>
    <n v="15"/>
    <n v="1.0000180668473351"/>
    <n v="6.666787112315567E-2"/>
  </r>
  <r>
    <x v="0"/>
    <x v="5"/>
    <x v="5"/>
    <s v="M00000284402"/>
    <d v="2007-07-19T00:00:00"/>
    <n v="0"/>
    <n v="131.84"/>
    <n v="1649.98"/>
    <n v="494.4"/>
    <x v="0"/>
    <s v="15"/>
    <s v="1648"/>
    <n v="15"/>
    <n v="1.0012014563106797"/>
    <n v="6.6746763754045313E-2"/>
  </r>
  <r>
    <x v="0"/>
    <x v="5"/>
    <x v="5"/>
    <s v="M00000271321"/>
    <d v="2007-06-28T00:00:00"/>
    <n v="0"/>
    <n v="43.12"/>
    <n v="398.86"/>
    <n v="161.69999999999999"/>
    <x v="0"/>
    <s v="11"/>
    <s v="539"/>
    <n v="11"/>
    <n v="0.74"/>
    <n v="6.7272727272727276E-2"/>
  </r>
  <r>
    <x v="0"/>
    <x v="5"/>
    <x v="5"/>
    <s v="M00000289483"/>
    <d v="2007-08-09T00:00:00"/>
    <n v="0"/>
    <n v="88.96"/>
    <n v="974"/>
    <n v="333.6"/>
    <x v="0"/>
    <s v="13"/>
    <s v="1112"/>
    <n v="13"/>
    <n v="0.87589928057553956"/>
    <n v="6.7376867736579971E-2"/>
  </r>
  <r>
    <x v="0"/>
    <x v="5"/>
    <x v="5"/>
    <s v="M00000348064"/>
    <d v="2008-03-27T00:00:00"/>
    <n v="0"/>
    <n v="46.4"/>
    <n v="595"/>
    <n v="174"/>
    <x v="0"/>
    <s v="15"/>
    <s v="580"/>
    <n v="15"/>
    <n v="1.0258620689655173"/>
    <n v="6.8390804597701152E-2"/>
  </r>
  <r>
    <x v="0"/>
    <x v="5"/>
    <x v="5"/>
    <s v="M00000343029"/>
    <d v="2008-04-03T00:00:00"/>
    <n v="0"/>
    <n v="57.12"/>
    <n v="735"/>
    <n v="214.2"/>
    <x v="0"/>
    <s v="15"/>
    <s v="714"/>
    <n v="15"/>
    <n v="1.0294117647058822"/>
    <n v="6.8627450980392149E-2"/>
  </r>
  <r>
    <x v="0"/>
    <x v="5"/>
    <x v="5"/>
    <s v="M00000285597"/>
    <d v="2007-07-19T00:00:00"/>
    <n v="0"/>
    <n v="141.28"/>
    <n v="1578.98"/>
    <n v="529.79999999999995"/>
    <x v="0"/>
    <s v="13"/>
    <s v="1766"/>
    <n v="13"/>
    <n v="0.89409966024915066"/>
    <n v="6.8776896942242358E-2"/>
  </r>
  <r>
    <x v="0"/>
    <x v="5"/>
    <x v="5"/>
    <s v="M00000302157"/>
    <d v="2007-10-04T00:00:00"/>
    <n v="0"/>
    <n v="76"/>
    <n v="987.5"/>
    <n v="285"/>
    <x v="0"/>
    <s v="15"/>
    <s v="950"/>
    <n v="15"/>
    <n v="1.0394736842105263"/>
    <n v="6.9298245614035095E-2"/>
  </r>
  <r>
    <x v="0"/>
    <x v="5"/>
    <x v="5"/>
    <s v="M00000352206"/>
    <d v="2008-04-10T00:00:00"/>
    <n v="0"/>
    <n v="304.56"/>
    <n v="3967"/>
    <n v="1142.0999999999999"/>
    <x v="0"/>
    <s v="15"/>
    <s v="3807"/>
    <n v="15"/>
    <n v="1.0420278434462831"/>
    <n v="6.9468522896418874E-2"/>
  </r>
  <r>
    <x v="0"/>
    <x v="5"/>
    <x v="5"/>
    <s v="M00000306243"/>
    <d v="2007-10-18T00:00:00"/>
    <n v="0"/>
    <n v="136"/>
    <n v="1537"/>
    <n v="510"/>
    <x v="0"/>
    <s v="13"/>
    <s v="1700"/>
    <n v="13"/>
    <n v="0.90411764705882358"/>
    <n v="6.9547511312217203E-2"/>
  </r>
  <r>
    <x v="0"/>
    <x v="5"/>
    <x v="5"/>
    <s v="M00000285740"/>
    <d v="2007-07-26T00:00:00"/>
    <n v="0"/>
    <n v="114.08"/>
    <n v="1491.03"/>
    <n v="427.8"/>
    <x v="0"/>
    <s v="15"/>
    <s v="1426"/>
    <n v="15"/>
    <n v="1.0456030855539973"/>
    <n v="6.9706872370266487E-2"/>
  </r>
  <r>
    <x v="0"/>
    <x v="5"/>
    <x v="5"/>
    <s v="M00000278825"/>
    <d v="2007-06-21T00:00:00"/>
    <n v="0"/>
    <n v="126.72"/>
    <n v="1660.03"/>
    <n v="475.2"/>
    <x v="0"/>
    <s v="15"/>
    <s v="1584"/>
    <n v="15"/>
    <n v="1.0479987373737374"/>
    <n v="6.9866582491582493E-2"/>
  </r>
  <r>
    <x v="0"/>
    <x v="5"/>
    <x v="5"/>
    <s v="M00000282223"/>
    <d v="2007-07-06T00:00:00"/>
    <n v="0"/>
    <n v="83.2"/>
    <n v="1090.02"/>
    <n v="312"/>
    <x v="0"/>
    <s v="15"/>
    <s v="1040"/>
    <n v="15"/>
    <n v="1.0480961538461537"/>
    <n v="6.9873076923076913E-2"/>
  </r>
  <r>
    <x v="0"/>
    <x v="5"/>
    <x v="5"/>
    <s v="M00000359775"/>
    <d v="2008-05-15T00:00:00"/>
    <n v="0"/>
    <n v="104"/>
    <n v="1363"/>
    <n v="390"/>
    <x v="0"/>
    <s v="15"/>
    <s v="1300"/>
    <n v="15"/>
    <n v="1.0484615384615386"/>
    <n v="6.9897435897435897E-2"/>
  </r>
  <r>
    <x v="0"/>
    <x v="5"/>
    <x v="5"/>
    <s v="M00000321779"/>
    <d v="2007-12-13T00:00:00"/>
    <n v="0"/>
    <n v="99.84"/>
    <n v="1310"/>
    <n v="374.4"/>
    <x v="0"/>
    <s v="15"/>
    <s v="1248"/>
    <n v="15"/>
    <n v="1.0496794871794872"/>
    <n v="6.997863247863248E-2"/>
  </r>
  <r>
    <x v="0"/>
    <x v="5"/>
    <x v="5"/>
    <s v="M00000277532"/>
    <d v="2007-07-06T00:00:00"/>
    <n v="0"/>
    <n v="108.8"/>
    <n v="1428"/>
    <n v="408"/>
    <x v="0"/>
    <s v="15"/>
    <s v="1360"/>
    <n v="15"/>
    <n v="1.05"/>
    <n v="7.0000000000000007E-2"/>
  </r>
  <r>
    <x v="0"/>
    <x v="5"/>
    <x v="5"/>
    <s v="M00000301794"/>
    <d v="2007-09-28T00:00:00"/>
    <n v="0"/>
    <n v="152"/>
    <n v="1995"/>
    <n v="570"/>
    <x v="0"/>
    <s v="15"/>
    <s v="1900"/>
    <n v="15"/>
    <n v="1.05"/>
    <n v="7.0000000000000007E-2"/>
  </r>
  <r>
    <x v="0"/>
    <x v="5"/>
    <x v="5"/>
    <s v="M00000342220"/>
    <d v="2008-02-29T00:00:00"/>
    <n v="0"/>
    <n v="136.96"/>
    <n v="1559"/>
    <n v="513.6"/>
    <x v="0"/>
    <s v="13"/>
    <s v="1712"/>
    <n v="13"/>
    <n v="0.91063084112149528"/>
    <n v="7.0048526240115025E-2"/>
  </r>
  <r>
    <x v="0"/>
    <x v="5"/>
    <x v="5"/>
    <s v="M00000327642"/>
    <d v="2007-12-31T00:00:00"/>
    <n v="0"/>
    <n v="52.88"/>
    <n v="695"/>
    <n v="198.3"/>
    <x v="0"/>
    <s v="15"/>
    <s v="661"/>
    <n v="15"/>
    <n v="1.0514372163388805"/>
    <n v="7.0095814422592037E-2"/>
  </r>
  <r>
    <x v="0"/>
    <x v="5"/>
    <x v="5"/>
    <s v="M00000342250"/>
    <d v="2008-02-29T00:00:00"/>
    <n v="0"/>
    <n v="161.28"/>
    <n v="2120"/>
    <n v="604.79999999999995"/>
    <x v="0"/>
    <s v="15"/>
    <s v="2016"/>
    <n v="15"/>
    <n v="1.0515873015873016"/>
    <n v="7.0105820105820102E-2"/>
  </r>
  <r>
    <x v="0"/>
    <x v="5"/>
    <x v="5"/>
    <s v="M00000356538"/>
    <d v="2008-04-30T00:00:00"/>
    <n v="0"/>
    <n v="118.24"/>
    <n v="1555"/>
    <n v="443.4"/>
    <x v="0"/>
    <s v="15"/>
    <s v="1478"/>
    <n v="15"/>
    <n v="1.0520974289580514"/>
    <n v="7.0139828597203427E-2"/>
  </r>
  <r>
    <x v="0"/>
    <x v="5"/>
    <x v="5"/>
    <s v="M00000347795"/>
    <d v="2008-03-20T00:00:00"/>
    <n v="0"/>
    <n v="62.72"/>
    <n v="825"/>
    <n v="235.2"/>
    <x v="0"/>
    <s v="15"/>
    <s v="784"/>
    <n v="15"/>
    <n v="1.052295918367347"/>
    <n v="7.0153061224489804E-2"/>
  </r>
  <r>
    <x v="0"/>
    <x v="5"/>
    <x v="5"/>
    <s v="M00000310186"/>
    <d v="2007-11-09T00:00:00"/>
    <n v="0"/>
    <n v="99.2"/>
    <n v="1305"/>
    <n v="372"/>
    <x v="0"/>
    <s v="15"/>
    <s v="1240"/>
    <n v="15"/>
    <n v="1.0524193548387097"/>
    <n v="7.0161290322580644E-2"/>
  </r>
  <r>
    <x v="0"/>
    <x v="5"/>
    <x v="5"/>
    <s v="M00000333173"/>
    <d v="2007-12-31T00:00:00"/>
    <n v="0"/>
    <n v="106.4"/>
    <n v="1400"/>
    <n v="399"/>
    <x v="0"/>
    <s v="15"/>
    <s v="1330"/>
    <n v="15"/>
    <n v="1.0526315789473684"/>
    <n v="7.0175438596491224E-2"/>
  </r>
  <r>
    <x v="0"/>
    <x v="5"/>
    <x v="5"/>
    <s v="M00000325091"/>
    <d v="2007-12-27T00:00:00"/>
    <n v="0"/>
    <n v="119.12"/>
    <n v="2202.4499999999998"/>
    <n v="446.7"/>
    <x v="0"/>
    <s v="21"/>
    <s v="1489"/>
    <n v="21"/>
    <n v="1.4791470785762255"/>
    <n v="7.0435575170296458E-2"/>
  </r>
  <r>
    <x v="0"/>
    <x v="5"/>
    <x v="5"/>
    <s v="M00000328010"/>
    <d v="2007-12-31T00:00:00"/>
    <n v="0"/>
    <n v="144"/>
    <n v="1905"/>
    <n v="540"/>
    <x v="0"/>
    <s v="15"/>
    <s v="1800"/>
    <n v="15"/>
    <n v="1.0583333333333333"/>
    <n v="7.0555555555555552E-2"/>
  </r>
  <r>
    <x v="0"/>
    <x v="5"/>
    <x v="5"/>
    <s v="M00000318397"/>
    <d v="2008-01-24T00:00:00"/>
    <n v="0"/>
    <n v="104"/>
    <n v="1300"/>
    <n v="390"/>
    <x v="0"/>
    <s v="14"/>
    <s v="1300"/>
    <n v="14"/>
    <n v="1"/>
    <n v="7.1428571428571425E-2"/>
  </r>
  <r>
    <x v="0"/>
    <x v="5"/>
    <x v="5"/>
    <s v="M00000327351"/>
    <d v="2007-12-31T00:00:00"/>
    <n v="0"/>
    <n v="40"/>
    <n v="500"/>
    <n v="150"/>
    <x v="0"/>
    <s v="14"/>
    <s v="500"/>
    <n v="14"/>
    <n v="1"/>
    <n v="7.1428571428571425E-2"/>
  </r>
  <r>
    <x v="0"/>
    <x v="5"/>
    <x v="5"/>
    <s v="M00000335452"/>
    <d v="2008-01-31T00:00:00"/>
    <n v="0"/>
    <n v="88"/>
    <n v="1100"/>
    <n v="330"/>
    <x v="0"/>
    <s v="14"/>
    <s v="1100"/>
    <n v="14"/>
    <n v="1"/>
    <n v="7.1428571428571425E-2"/>
  </r>
  <r>
    <x v="0"/>
    <x v="5"/>
    <x v="5"/>
    <s v="M00000337942"/>
    <d v="2008-03-06T00:00:00"/>
    <n v="0"/>
    <n v="104"/>
    <n v="1300"/>
    <n v="390"/>
    <x v="0"/>
    <s v="14"/>
    <s v="1300"/>
    <n v="14"/>
    <n v="1"/>
    <n v="7.1428571428571425E-2"/>
  </r>
  <r>
    <x v="0"/>
    <x v="5"/>
    <x v="5"/>
    <s v="M00000369049"/>
    <d v="2008-06-19T00:00:00"/>
    <n v="0"/>
    <n v="60.8"/>
    <n v="760"/>
    <n v="228"/>
    <x v="0"/>
    <s v="14"/>
    <s v="760"/>
    <n v="14"/>
    <n v="1"/>
    <n v="7.1428571428571425E-2"/>
  </r>
  <r>
    <x v="0"/>
    <x v="5"/>
    <x v="5"/>
    <s v="M00000333188"/>
    <d v="2008-01-24T00:00:00"/>
    <n v="0"/>
    <n v="103.36"/>
    <n v="1201.2"/>
    <n v="387.6"/>
    <x v="0"/>
    <s v="13"/>
    <s v="1292"/>
    <n v="13"/>
    <n v="0.92972136222910218"/>
    <n v="7.1517027863777088E-2"/>
  </r>
  <r>
    <x v="0"/>
    <x v="5"/>
    <x v="5"/>
    <s v="M00000324914"/>
    <d v="2007-12-20T00:00:00"/>
    <n v="0"/>
    <n v="134.4"/>
    <n v="1562.5"/>
    <n v="504"/>
    <x v="0"/>
    <s v="13"/>
    <s v="1680"/>
    <n v="13"/>
    <n v="0.93005952380952384"/>
    <n v="7.1543040293040289E-2"/>
  </r>
  <r>
    <x v="0"/>
    <x v="5"/>
    <x v="5"/>
    <s v="M00000279709"/>
    <d v="2007-07-12T00:00:00"/>
    <n v="0"/>
    <n v="62.4"/>
    <n v="1170"/>
    <n v="234"/>
    <x v="0"/>
    <s v="13"/>
    <s v="1242"/>
    <n v="13"/>
    <n v="0.94202898550724634"/>
    <n v="7.2463768115942032E-2"/>
  </r>
  <r>
    <x v="0"/>
    <x v="5"/>
    <x v="5"/>
    <s v="M00000359366"/>
    <d v="2008-05-22T00:00:00"/>
    <n v="0"/>
    <n v="70.959999999999994"/>
    <n v="708"/>
    <n v="266.10000000000002"/>
    <x v="0"/>
    <s v="11"/>
    <s v="887"/>
    <n v="11"/>
    <n v="0.79819616685456596"/>
    <n v="7.2563287895869633E-2"/>
  </r>
  <r>
    <x v="0"/>
    <x v="5"/>
    <x v="5"/>
    <s v="M00000334579"/>
    <d v="2008-01-24T00:00:00"/>
    <n v="0"/>
    <n v="48.8"/>
    <n v="487"/>
    <n v="183"/>
    <x v="0"/>
    <s v="11"/>
    <s v="610"/>
    <n v="11"/>
    <n v="0.79836065573770487"/>
    <n v="7.2578241430700449E-2"/>
  </r>
  <r>
    <x v="0"/>
    <x v="5"/>
    <x v="5"/>
    <s v="M00000357234"/>
    <d v="2008-04-30T00:00:00"/>
    <n v="0"/>
    <n v="41.6"/>
    <n v="569"/>
    <n v="156"/>
    <x v="0"/>
    <s v="15"/>
    <s v="520"/>
    <n v="15"/>
    <n v="1.0942307692307693"/>
    <n v="7.2948717948717962E-2"/>
  </r>
  <r>
    <x v="0"/>
    <x v="5"/>
    <x v="5"/>
    <s v="M00000350964"/>
    <d v="2008-04-03T00:00:00"/>
    <n v="0"/>
    <n v="84.48"/>
    <n v="1003"/>
    <n v="316.8"/>
    <x v="0"/>
    <s v="13"/>
    <s v="1056"/>
    <n v="13"/>
    <n v="0.94981060606060608"/>
    <n v="7.3062354312354319E-2"/>
  </r>
  <r>
    <x v="0"/>
    <x v="5"/>
    <x v="5"/>
    <s v="M00000341475"/>
    <d v="2008-02-29T00:00:00"/>
    <n v="0"/>
    <n v="100.48"/>
    <n v="1193"/>
    <n v="376.8"/>
    <x v="0"/>
    <s v="13"/>
    <s v="1256"/>
    <n v="13"/>
    <n v="0.94984076433121023"/>
    <n v="7.3064674179323857E-2"/>
  </r>
  <r>
    <x v="0"/>
    <x v="5"/>
    <x v="5"/>
    <s v="M00000313091"/>
    <d v="2007-11-15T00:00:00"/>
    <n v="0"/>
    <n v="130.88"/>
    <n v="1554"/>
    <n v="490.8"/>
    <x v="0"/>
    <s v="13"/>
    <s v="1636"/>
    <n v="13"/>
    <n v="0.94987775061124691"/>
    <n v="7.306751927778822E-2"/>
  </r>
  <r>
    <x v="0"/>
    <x v="5"/>
    <x v="5"/>
    <s v="M00000354533"/>
    <d v="2008-04-24T00:00:00"/>
    <n v="0"/>
    <n v="94.72"/>
    <n v="1125"/>
    <n v="355.2"/>
    <x v="0"/>
    <s v="13"/>
    <s v="1184"/>
    <n v="13"/>
    <n v="0.95016891891891897"/>
    <n v="7.3089916839916849E-2"/>
  </r>
  <r>
    <x v="0"/>
    <x v="5"/>
    <x v="5"/>
    <s v="M00000295371"/>
    <d v="2007-09-06T00:00:00"/>
    <n v="0"/>
    <n v="101.12"/>
    <n v="1201.05"/>
    <n v="379.2"/>
    <x v="0"/>
    <s v="13"/>
    <s v="1264"/>
    <n v="13"/>
    <n v="0.95019778481012651"/>
    <n v="7.3092137293086654E-2"/>
  </r>
  <r>
    <x v="0"/>
    <x v="5"/>
    <x v="5"/>
    <s v="M00000292857"/>
    <d v="2007-09-06T00:00:00"/>
    <n v="0"/>
    <n v="96.8"/>
    <n v="1330.03"/>
    <n v="363"/>
    <x v="0"/>
    <s v="15"/>
    <s v="1210"/>
    <n v="15"/>
    <n v="1.099198347107438"/>
    <n v="7.3279889807162532E-2"/>
  </r>
  <r>
    <x v="0"/>
    <x v="5"/>
    <x v="5"/>
    <s v="M00000356428"/>
    <d v="2008-04-30T00:00:00"/>
    <n v="0"/>
    <n v="112"/>
    <n v="1540"/>
    <n v="420"/>
    <x v="0"/>
    <s v="15"/>
    <s v="1400"/>
    <n v="15"/>
    <n v="1.1000000000000001"/>
    <n v="7.3333333333333334E-2"/>
  </r>
  <r>
    <x v="0"/>
    <x v="5"/>
    <x v="5"/>
    <s v="M00000301133"/>
    <d v="2007-09-27T00:00:00"/>
    <n v="0"/>
    <n v="72"/>
    <n v="1000"/>
    <n v="270"/>
    <x v="0"/>
    <s v="15"/>
    <s v="900"/>
    <n v="15"/>
    <n v="1.1111111111111112"/>
    <n v="7.4074074074074084E-2"/>
  </r>
  <r>
    <x v="0"/>
    <x v="5"/>
    <x v="5"/>
    <s v="M00000346096"/>
    <d v="2008-03-13T00:00:00"/>
    <n v="0"/>
    <n v="14.4"/>
    <n v="201.88"/>
    <n v="54"/>
    <x v="0"/>
    <s v="15"/>
    <s v="180"/>
    <n v="15"/>
    <n v="1.1215555555555556"/>
    <n v="7.4770370370370376E-2"/>
  </r>
  <r>
    <x v="0"/>
    <x v="5"/>
    <x v="5"/>
    <s v="M00000305611"/>
    <d v="2007-10-18T00:00:00"/>
    <n v="0"/>
    <n v="88.32"/>
    <n v="1240"/>
    <n v="331.2"/>
    <x v="0"/>
    <s v="15"/>
    <s v="1104"/>
    <n v="15"/>
    <n v="1.1231884057971016"/>
    <n v="7.487922705314011E-2"/>
  </r>
  <r>
    <x v="0"/>
    <x v="5"/>
    <x v="5"/>
    <s v="M00000301798"/>
    <d v="2007-09-28T00:00:00"/>
    <n v="0"/>
    <n v="85.76"/>
    <n v="1207"/>
    <n v="321.60000000000002"/>
    <x v="0"/>
    <s v="15"/>
    <s v="1072"/>
    <n v="15"/>
    <n v="1.1259328358208955"/>
    <n v="7.5062189054726364E-2"/>
  </r>
  <r>
    <x v="0"/>
    <x v="5"/>
    <x v="5"/>
    <s v="M00000272867"/>
    <d v="2007-05-24T00:00:00"/>
    <n v="0"/>
    <n v="144.63999999999999"/>
    <n v="1768.95"/>
    <n v="542.4"/>
    <x v="0"/>
    <s v="13"/>
    <s v="1808"/>
    <n v="13"/>
    <n v="0.97840154867256635"/>
    <n v="7.5261657590197414E-2"/>
  </r>
  <r>
    <x v="0"/>
    <x v="5"/>
    <x v="5"/>
    <s v="M00000294615"/>
    <d v="2007-08-30T00:00:00"/>
    <n v="0"/>
    <n v="84"/>
    <n v="950.04"/>
    <n v="315"/>
    <x v="0"/>
    <s v="12"/>
    <s v="1050"/>
    <n v="12"/>
    <n v="0.90479999999999994"/>
    <n v="7.5399999999999995E-2"/>
  </r>
  <r>
    <x v="0"/>
    <x v="5"/>
    <x v="5"/>
    <s v="M00000308769"/>
    <d v="2007-11-29T00:00:00"/>
    <n v="0"/>
    <n v="150.08000000000001"/>
    <n v="1841"/>
    <n v="562.79999999999995"/>
    <x v="0"/>
    <s v="13"/>
    <s v="1876"/>
    <n v="13"/>
    <n v="0.98134328358208955"/>
    <n v="7.548794489092997E-2"/>
  </r>
  <r>
    <x v="0"/>
    <x v="5"/>
    <x v="5"/>
    <s v="M00000299485"/>
    <d v="2007-09-20T00:00:00"/>
    <n v="0"/>
    <n v="35.840000000000003"/>
    <n v="508"/>
    <n v="134.4"/>
    <x v="0"/>
    <s v="15"/>
    <s v="448"/>
    <n v="15"/>
    <n v="1.1339285714285714"/>
    <n v="7.559523809523809E-2"/>
  </r>
  <r>
    <x v="0"/>
    <x v="5"/>
    <x v="5"/>
    <s v="M00000301144"/>
    <d v="2007-10-11T00:00:00"/>
    <n v="0"/>
    <n v="85.04"/>
    <n v="1048"/>
    <n v="318.89999999999998"/>
    <x v="0"/>
    <s v="13"/>
    <s v="1063"/>
    <n v="13"/>
    <n v="0.98588899341486358"/>
    <n v="7.5837614878066423E-2"/>
  </r>
  <r>
    <x v="0"/>
    <x v="5"/>
    <x v="5"/>
    <s v="M00000315417"/>
    <d v="2007-12-31T00:00:00"/>
    <n v="0"/>
    <n v="149.76"/>
    <n v="2137"/>
    <n v="561.6"/>
    <x v="0"/>
    <s v="15"/>
    <s v="1872"/>
    <n v="15"/>
    <n v="1.141559829059829"/>
    <n v="7.6103988603988607E-2"/>
  </r>
  <r>
    <x v="0"/>
    <x v="5"/>
    <x v="5"/>
    <s v="M00000280859"/>
    <d v="2007-06-28T00:00:00"/>
    <n v="0"/>
    <n v="152.96"/>
    <n v="1894.03"/>
    <n v="573.6"/>
    <x v="0"/>
    <s v="13"/>
    <s v="1912"/>
    <n v="13"/>
    <n v="0.99060146443514641"/>
    <n v="7.6200112648857413E-2"/>
  </r>
  <r>
    <x v="0"/>
    <x v="5"/>
    <x v="5"/>
    <s v="M00000291492"/>
    <d v="2007-08-16T00:00:00"/>
    <n v="0"/>
    <n v="100.64"/>
    <n v="1995.94"/>
    <n v="377.4"/>
    <x v="0"/>
    <s v="13"/>
    <s v="1996"/>
    <n v="13"/>
    <n v="0.99996993987975957"/>
    <n v="7.6920764606135353E-2"/>
  </r>
  <r>
    <x v="0"/>
    <x v="5"/>
    <x v="5"/>
    <s v="M00000296064"/>
    <d v="2007-09-06T00:00:00"/>
    <n v="0"/>
    <n v="136"/>
    <n v="1700"/>
    <n v="510"/>
    <x v="0"/>
    <s v="13"/>
    <s v="1700"/>
    <n v="13"/>
    <n v="1"/>
    <n v="7.6923076923076927E-2"/>
  </r>
  <r>
    <x v="0"/>
    <x v="5"/>
    <x v="5"/>
    <s v="M00000309298"/>
    <d v="2007-11-01T00:00:00"/>
    <n v="0"/>
    <n v="101.6"/>
    <n v="1270"/>
    <n v="381"/>
    <x v="17"/>
    <s v="15"/>
    <s v="1270"/>
    <n v="13"/>
    <n v="1"/>
    <n v="7.6923076923076927E-2"/>
  </r>
  <r>
    <x v="0"/>
    <x v="5"/>
    <x v="5"/>
    <s v="M00000313454"/>
    <d v="2007-11-15T00:00:00"/>
    <n v="0"/>
    <n v="81.92"/>
    <n v="1024"/>
    <n v="307.2"/>
    <x v="0"/>
    <s v="13"/>
    <s v="1024"/>
    <n v="13"/>
    <n v="1"/>
    <n v="7.6923076923076927E-2"/>
  </r>
  <r>
    <x v="0"/>
    <x v="5"/>
    <x v="5"/>
    <s v="M00000319409"/>
    <d v="2007-12-06T00:00:00"/>
    <n v="0"/>
    <n v="99.84"/>
    <n v="1374"/>
    <n v="374.4"/>
    <x v="0"/>
    <s v="13"/>
    <s v="1374"/>
    <n v="13"/>
    <n v="1"/>
    <n v="7.6923076923076927E-2"/>
  </r>
  <r>
    <x v="0"/>
    <x v="5"/>
    <x v="5"/>
    <s v="M00000336464"/>
    <d v="2008-02-29T00:00:00"/>
    <n v="0"/>
    <n v="80.64"/>
    <n v="1008"/>
    <n v="302.39999999999998"/>
    <x v="0"/>
    <s v="13"/>
    <s v="1008"/>
    <n v="13"/>
    <n v="1"/>
    <n v="7.6923076923076927E-2"/>
  </r>
  <r>
    <x v="0"/>
    <x v="5"/>
    <x v="5"/>
    <s v="M00000343815"/>
    <d v="2008-03-20T00:00:00"/>
    <n v="0"/>
    <n v="22.8"/>
    <n v="300"/>
    <n v="85.5"/>
    <x v="0"/>
    <s v="13"/>
    <s v="300"/>
    <n v="13"/>
    <n v="1"/>
    <n v="7.6923076923076927E-2"/>
  </r>
  <r>
    <x v="0"/>
    <x v="5"/>
    <x v="5"/>
    <s v="M00000370540"/>
    <d v="2008-06-26T00:00:00"/>
    <n v="0"/>
    <n v="105.92"/>
    <n v="1324"/>
    <n v="397.2"/>
    <x v="9"/>
    <s v="17"/>
    <s v="1324"/>
    <n v="13"/>
    <n v="1"/>
    <n v="7.6923076923076927E-2"/>
  </r>
  <r>
    <x v="0"/>
    <x v="5"/>
    <x v="5"/>
    <s v="M00000370918"/>
    <d v="2008-06-26T00:00:00"/>
    <n v="0"/>
    <n v="60"/>
    <n v="900"/>
    <n v="225"/>
    <x v="0"/>
    <s v="13"/>
    <s v="900"/>
    <n v="13"/>
    <n v="1"/>
    <n v="7.6923076923076927E-2"/>
  </r>
  <r>
    <x v="0"/>
    <x v="5"/>
    <x v="5"/>
    <s v="M00000291385"/>
    <d v="2007-11-15T00:00:00"/>
    <n v="0"/>
    <n v="65.92"/>
    <n v="1287.01"/>
    <n v="247.2"/>
    <x v="0"/>
    <s v="13"/>
    <s v="1287"/>
    <n v="13"/>
    <n v="1.0000077700077701"/>
    <n v="7.6923674615982318E-2"/>
  </r>
  <r>
    <x v="0"/>
    <x v="5"/>
    <x v="5"/>
    <s v="M00000290525"/>
    <d v="2007-09-20T00:00:00"/>
    <n v="0"/>
    <n v="90.8"/>
    <n v="1100.04"/>
    <n v="340.5"/>
    <x v="0"/>
    <s v="13"/>
    <s v="1100"/>
    <n v="13"/>
    <n v="1.0000363636363636"/>
    <n v="7.6925874125874122E-2"/>
  </r>
  <r>
    <x v="0"/>
    <x v="5"/>
    <x v="5"/>
    <s v="M00000309684"/>
    <d v="2007-12-13T00:00:00"/>
    <n v="0"/>
    <n v="173.36"/>
    <n v="2176"/>
    <n v="650.1"/>
    <x v="17"/>
    <s v="15"/>
    <s v="2167"/>
    <n v="13"/>
    <n v="1.0041532071988926"/>
    <n v="7.7242554399914815E-2"/>
  </r>
  <r>
    <x v="0"/>
    <x v="5"/>
    <x v="5"/>
    <s v="M00000271956"/>
    <d v="2007-05-17T00:00:00"/>
    <n v="0"/>
    <n v="28.8"/>
    <n v="417.6"/>
    <n v="108"/>
    <x v="0"/>
    <s v="15"/>
    <s v="360"/>
    <n v="15"/>
    <n v="1.1599999999999999"/>
    <n v="7.7333333333333337E-2"/>
  </r>
  <r>
    <x v="0"/>
    <x v="5"/>
    <x v="5"/>
    <s v="M00000301111"/>
    <d v="2007-09-27T00:00:00"/>
    <n v="0"/>
    <n v="24"/>
    <n v="350"/>
    <n v="90"/>
    <x v="0"/>
    <s v="15"/>
    <s v="300"/>
    <n v="15"/>
    <n v="1.1666666666666667"/>
    <n v="7.7777777777777779E-2"/>
  </r>
  <r>
    <x v="0"/>
    <x v="5"/>
    <x v="5"/>
    <s v="M00000279334"/>
    <d v="2007-06-21T00:00:00"/>
    <n v="0"/>
    <n v="140.80000000000001"/>
    <n v="2057.9699999999998"/>
    <n v="528"/>
    <x v="0"/>
    <s v="15"/>
    <s v="1760"/>
    <n v="15"/>
    <n v="1.1693011363636363"/>
    <n v="7.7953409090909087E-2"/>
  </r>
  <r>
    <x v="0"/>
    <x v="5"/>
    <x v="5"/>
    <s v="M00000277099"/>
    <d v="2007-06-14T00:00:00"/>
    <n v="0"/>
    <n v="112.8"/>
    <n v="1433.97"/>
    <n v="423"/>
    <x v="0"/>
    <s v="13"/>
    <s v="1410"/>
    <n v="13"/>
    <n v="1.0170000000000001"/>
    <n v="7.8230769230769243E-2"/>
  </r>
  <r>
    <x v="0"/>
    <x v="5"/>
    <x v="5"/>
    <s v="M00000319326"/>
    <d v="2007-12-06T00:00:00"/>
    <n v="0"/>
    <n v="140"/>
    <n v="1792"/>
    <n v="525"/>
    <x v="0"/>
    <s v="13"/>
    <s v="1750"/>
    <n v="13"/>
    <n v="1.024"/>
    <n v="7.8769230769230772E-2"/>
  </r>
  <r>
    <x v="0"/>
    <x v="5"/>
    <x v="5"/>
    <s v="M00000277505"/>
    <d v="2007-06-14T00:00:00"/>
    <n v="0"/>
    <n v="162.88"/>
    <n v="2086.9"/>
    <n v="610.79999999999995"/>
    <x v="0"/>
    <s v="13"/>
    <s v="2036"/>
    <n v="13"/>
    <n v="1.0249999999999999"/>
    <n v="7.8846153846153857E-2"/>
  </r>
  <r>
    <x v="0"/>
    <x v="5"/>
    <x v="5"/>
    <s v="M00000341944"/>
    <d v="2008-02-29T00:00:00"/>
    <n v="0"/>
    <n v="116.48"/>
    <n v="1495"/>
    <n v="436.8"/>
    <x v="0"/>
    <s v="13"/>
    <s v="1456"/>
    <n v="13"/>
    <n v="1.0267857142857142"/>
    <n v="7.898351648351648E-2"/>
  </r>
  <r>
    <x v="0"/>
    <x v="5"/>
    <x v="5"/>
    <s v="M00000285968"/>
    <d v="2007-07-26T00:00:00"/>
    <n v="0"/>
    <n v="145.28"/>
    <n v="2167.0300000000002"/>
    <n v="544.79999999999995"/>
    <x v="0"/>
    <s v="15"/>
    <s v="1816"/>
    <n v="15"/>
    <n v="1.1932984581497799"/>
    <n v="7.9553230543318657E-2"/>
  </r>
  <r>
    <x v="0"/>
    <x v="5"/>
    <x v="5"/>
    <s v="M00000283320"/>
    <d v="2007-07-12T00:00:00"/>
    <n v="0"/>
    <n v="68.72"/>
    <n v="901.01"/>
    <n v="257.7"/>
    <x v="0"/>
    <s v="13"/>
    <s v="859"/>
    <n v="13"/>
    <n v="1.0489057043073342"/>
    <n v="8.0685054177487253E-2"/>
  </r>
  <r>
    <x v="0"/>
    <x v="5"/>
    <x v="5"/>
    <s v="M00000373441"/>
    <d v="2008-07-10T00:00:00"/>
    <n v="0"/>
    <n v="143.04"/>
    <n v="1877"/>
    <n v="536.4"/>
    <x v="0"/>
    <s v="13"/>
    <s v="1788"/>
    <n v="13"/>
    <n v="1.0497762863534676"/>
    <n v="8.0752022027189813E-2"/>
  </r>
  <r>
    <x v="0"/>
    <x v="5"/>
    <x v="5"/>
    <s v="M00000287628"/>
    <d v="2007-08-02T00:00:00"/>
    <n v="0"/>
    <n v="9.2799999999999994"/>
    <n v="178"/>
    <n v="34.799999999999997"/>
    <x v="0"/>
    <s v="19"/>
    <s v="116"/>
    <n v="19"/>
    <n v="1.5344827586206897"/>
    <n v="8.0762250453720513E-2"/>
  </r>
  <r>
    <x v="0"/>
    <x v="5"/>
    <x v="5"/>
    <s v="M00000283328"/>
    <d v="2007-08-02T00:00:00"/>
    <n v="0"/>
    <n v="108.32"/>
    <n v="1421.97"/>
    <n v="406.2"/>
    <x v="0"/>
    <s v="13"/>
    <s v="1354"/>
    <n v="13"/>
    <n v="1.0501994091580502"/>
    <n v="8.0784569935234626E-2"/>
  </r>
  <r>
    <x v="0"/>
    <x v="5"/>
    <x v="5"/>
    <s v="M00000332602"/>
    <d v="2007-12-31T00:00:00"/>
    <n v="0"/>
    <n v="106.08"/>
    <n v="1393"/>
    <n v="397.8"/>
    <x v="0"/>
    <s v="13"/>
    <s v="1326"/>
    <n v="13"/>
    <n v="1.05052790346908"/>
    <n v="8.0809838728390773E-2"/>
  </r>
  <r>
    <x v="0"/>
    <x v="5"/>
    <x v="5"/>
    <s v="M00000277480"/>
    <d v="2007-06-14T00:00:00"/>
    <n v="0"/>
    <n v="110.08"/>
    <n v="1447.96"/>
    <n v="412.8"/>
    <x v="0"/>
    <s v="13"/>
    <s v="1376"/>
    <n v="13"/>
    <n v="1.052296511627907"/>
    <n v="8.0945885509839E-2"/>
  </r>
  <r>
    <x v="0"/>
    <x v="5"/>
    <x v="5"/>
    <s v="M00000354912"/>
    <d v="2008-04-24T00:00:00"/>
    <n v="0"/>
    <n v="124.56"/>
    <n v="2647"/>
    <n v="467.1"/>
    <x v="0"/>
    <s v="21"/>
    <s v="1557"/>
    <n v="21"/>
    <n v="1.7000642260757868"/>
    <n v="8.0955439336942228E-2"/>
  </r>
  <r>
    <x v="0"/>
    <x v="5"/>
    <x v="5"/>
    <s v="M00000339822"/>
    <d v="2008-03-13T00:00:00"/>
    <n v="0"/>
    <n v="76.8"/>
    <n v="1166"/>
    <n v="288"/>
    <x v="0"/>
    <s v="15"/>
    <s v="960"/>
    <n v="15"/>
    <n v="1.2145833333333333"/>
    <n v="8.0972222222222223E-2"/>
  </r>
  <r>
    <x v="0"/>
    <x v="5"/>
    <x v="5"/>
    <s v="M00000272310"/>
    <d v="2007-07-26T00:00:00"/>
    <n v="0"/>
    <n v="19.2"/>
    <n v="254.4"/>
    <n v="72"/>
    <x v="0"/>
    <s v="13"/>
    <s v="240"/>
    <n v="13"/>
    <n v="1.06"/>
    <n v="8.1538461538461546E-2"/>
  </r>
  <r>
    <x v="0"/>
    <x v="5"/>
    <x v="5"/>
    <s v="M00000291349"/>
    <d v="2007-08-16T00:00:00"/>
    <n v="0"/>
    <n v="175.44"/>
    <n v="2325.9"/>
    <n v="657.9"/>
    <x v="17"/>
    <s v="15"/>
    <s v="2193"/>
    <n v="13"/>
    <n v="1.0606019151846786"/>
    <n v="8.1584762706513742E-2"/>
  </r>
  <r>
    <x v="0"/>
    <x v="5"/>
    <x v="5"/>
    <s v="M00000280595"/>
    <d v="2007-06-28T00:00:00"/>
    <n v="0"/>
    <n v="110.56"/>
    <n v="1243.94"/>
    <n v="414.6"/>
    <x v="0"/>
    <s v="11"/>
    <s v="1382"/>
    <n v="11"/>
    <n v="0.90010130246020259"/>
    <n v="8.1827391132745689E-2"/>
  </r>
  <r>
    <x v="0"/>
    <x v="5"/>
    <x v="5"/>
    <s v="M00000301153"/>
    <d v="2007-09-27T00:00:00"/>
    <n v="0"/>
    <n v="172.48"/>
    <n v="2309.94"/>
    <n v="646.79999999999995"/>
    <x v="0"/>
    <s v="13"/>
    <s v="2156"/>
    <n v="13"/>
    <n v="1.0714007421150278"/>
    <n v="8.2415441701155986E-2"/>
  </r>
  <r>
    <x v="0"/>
    <x v="5"/>
    <x v="5"/>
    <s v="M00000296602"/>
    <d v="2007-09-06T00:00:00"/>
    <n v="0"/>
    <n v="35.200000000000003"/>
    <n v="471.99"/>
    <n v="132"/>
    <x v="0"/>
    <s v="13"/>
    <s v="440"/>
    <n v="13"/>
    <n v="1.0727045454545454"/>
    <n v="8.2515734265734261E-2"/>
  </r>
  <r>
    <x v="0"/>
    <x v="5"/>
    <x v="5"/>
    <s v="M00000336959"/>
    <d v="2008-02-07T00:00:00"/>
    <n v="0"/>
    <n v="12.96"/>
    <n v="201"/>
    <n v="48.6"/>
    <x v="0"/>
    <s v="15"/>
    <s v="162"/>
    <n v="15"/>
    <n v="1.2407407407407407"/>
    <n v="8.2716049382716053E-2"/>
  </r>
  <r>
    <x v="0"/>
    <x v="5"/>
    <x v="5"/>
    <s v="M00000343395"/>
    <d v="2008-03-06T00:00:00"/>
    <n v="0"/>
    <n v="113.44"/>
    <n v="1765"/>
    <n v="425.4"/>
    <x v="0"/>
    <s v="15"/>
    <s v="1418"/>
    <n v="15"/>
    <n v="1.2447108603667136"/>
    <n v="8.2980724024447575E-2"/>
  </r>
  <r>
    <x v="0"/>
    <x v="5"/>
    <x v="5"/>
    <s v="M00000332580"/>
    <d v="2007-12-31T00:00:00"/>
    <n v="0"/>
    <n v="75.2"/>
    <n v="1019"/>
    <n v="282"/>
    <x v="0"/>
    <s v="13"/>
    <s v="940"/>
    <n v="13"/>
    <n v="1.0840425531914895"/>
    <n v="8.3387888707037644E-2"/>
  </r>
  <r>
    <x v="0"/>
    <x v="5"/>
    <x v="5"/>
    <s v="M00000302200"/>
    <d v="2007-10-04T00:00:00"/>
    <n v="0"/>
    <n v="23.6"/>
    <n v="369"/>
    <n v="88.5"/>
    <x v="0"/>
    <s v="15"/>
    <s v="295"/>
    <n v="15"/>
    <n v="1.2508474576271187"/>
    <n v="8.338983050847458E-2"/>
  </r>
  <r>
    <x v="0"/>
    <x v="5"/>
    <x v="5"/>
    <s v="M00000367057"/>
    <d v="2008-06-12T00:00:00"/>
    <n v="0"/>
    <n v="44"/>
    <n v="688"/>
    <n v="165"/>
    <x v="0"/>
    <s v="15"/>
    <s v="550"/>
    <n v="15"/>
    <n v="1.250909090909091"/>
    <n v="8.3393939393939395E-2"/>
  </r>
  <r>
    <x v="0"/>
    <x v="5"/>
    <x v="5"/>
    <s v="M00000359914"/>
    <d v="2008-05-15T00:00:00"/>
    <n v="0"/>
    <n v="69.2"/>
    <n v="1010"/>
    <n v="259.5"/>
    <x v="0"/>
    <s v="14"/>
    <s v="865"/>
    <n v="14"/>
    <n v="1.1676300578034682"/>
    <n v="8.3402146985962017E-2"/>
  </r>
  <r>
    <x v="0"/>
    <x v="5"/>
    <x v="5"/>
    <s v="M00000279507"/>
    <d v="2007-06-28T00:00:00"/>
    <n v="0"/>
    <n v="92"/>
    <n v="1246.95"/>
    <n v="345"/>
    <x v="0"/>
    <s v="13"/>
    <s v="1150"/>
    <n v="13"/>
    <n v="1.084304347826087"/>
    <n v="8.3408026755852849E-2"/>
  </r>
  <r>
    <x v="0"/>
    <x v="5"/>
    <x v="5"/>
    <s v="M00000299877"/>
    <d v="2007-10-04T00:00:00"/>
    <n v="0"/>
    <n v="121.76"/>
    <n v="1655"/>
    <n v="456.6"/>
    <x v="0"/>
    <s v="13"/>
    <s v="1522"/>
    <n v="13"/>
    <n v="1.0873850197109067"/>
    <n v="8.3645001516223588E-2"/>
  </r>
  <r>
    <x v="0"/>
    <x v="5"/>
    <x v="5"/>
    <s v="M00000338716"/>
    <d v="2008-02-14T00:00:00"/>
    <n v="0"/>
    <n v="176"/>
    <n v="2400"/>
    <n v="660"/>
    <x v="0"/>
    <s v="13"/>
    <s v="2200"/>
    <n v="13"/>
    <n v="1.0909090909090908"/>
    <n v="8.3916083916083906E-2"/>
  </r>
  <r>
    <x v="0"/>
    <x v="5"/>
    <x v="5"/>
    <s v="M00000309393"/>
    <d v="2007-11-01T00:00:00"/>
    <n v="0"/>
    <n v="170.8"/>
    <n v="2688"/>
    <n v="640.5"/>
    <x v="9"/>
    <s v="19"/>
    <s v="2135"/>
    <n v="15"/>
    <n v="1.2590163934426231"/>
    <n v="8.3934426229508211E-2"/>
  </r>
  <r>
    <x v="0"/>
    <x v="5"/>
    <x v="5"/>
    <s v="M00000367918"/>
    <d v="2008-06-26T00:00:00"/>
    <n v="0"/>
    <n v="95.6"/>
    <n v="1505"/>
    <n v="358.5"/>
    <x v="0"/>
    <s v="15"/>
    <s v="1195"/>
    <n v="15"/>
    <n v="1.2594142259414225"/>
    <n v="8.3960948396094831E-2"/>
  </r>
  <r>
    <x v="0"/>
    <x v="5"/>
    <x v="5"/>
    <s v="M00000355543"/>
    <d v="2008-04-24T00:00:00"/>
    <n v="0"/>
    <n v="112"/>
    <n v="1647"/>
    <n v="420"/>
    <x v="0"/>
    <s v="14"/>
    <s v="1400"/>
    <n v="14"/>
    <n v="1.1764285714285714"/>
    <n v="8.4030612244897954E-2"/>
  </r>
  <r>
    <x v="0"/>
    <x v="5"/>
    <x v="5"/>
    <s v="M00000276886"/>
    <d v="2007-06-14T00:00:00"/>
    <n v="0"/>
    <n v="95.2"/>
    <n v="1299.96"/>
    <n v="357"/>
    <x v="0"/>
    <s v="13"/>
    <s v="1190"/>
    <n v="13"/>
    <n v="1.0924033613445379"/>
    <n v="8.4031027795733682E-2"/>
  </r>
  <r>
    <x v="0"/>
    <x v="5"/>
    <x v="5"/>
    <s v="M00000304522"/>
    <d v="2007-10-11T00:00:00"/>
    <n v="0"/>
    <n v="77.680000000000007"/>
    <n v="1062"/>
    <n v="291.3"/>
    <x v="0"/>
    <s v="13"/>
    <s v="971"/>
    <n v="13"/>
    <n v="1.0937178166838311"/>
    <n v="8.4132139744910087E-2"/>
  </r>
  <r>
    <x v="0"/>
    <x v="5"/>
    <x v="5"/>
    <s v="M00000282331"/>
    <d v="2007-07-06T00:00:00"/>
    <n v="0"/>
    <n v="76.16"/>
    <n v="1047.01"/>
    <n v="285.60000000000002"/>
    <x v="0"/>
    <s v="13"/>
    <s v="952"/>
    <n v="13"/>
    <n v="1.0998004201680671"/>
    <n v="8.460003232062055E-2"/>
  </r>
  <r>
    <x v="0"/>
    <x v="5"/>
    <x v="5"/>
    <s v="M00000284582"/>
    <d v="2007-07-19T00:00:00"/>
    <n v="0"/>
    <n v="49.68"/>
    <n v="683.04"/>
    <n v="186.3"/>
    <x v="0"/>
    <s v="13"/>
    <s v="621"/>
    <n v="13"/>
    <n v="1.0999033816425121"/>
    <n v="8.4607952434039388E-2"/>
  </r>
  <r>
    <x v="0"/>
    <x v="5"/>
    <x v="5"/>
    <s v="M00000307200"/>
    <d v="2007-11-21T00:00:00"/>
    <n v="0"/>
    <n v="124"/>
    <n v="1710"/>
    <n v="465"/>
    <x v="0"/>
    <s v="13"/>
    <s v="1550"/>
    <n v="13"/>
    <n v="1.1032258064516129"/>
    <n v="8.4863523573200997E-2"/>
  </r>
  <r>
    <x v="0"/>
    <x v="5"/>
    <x v="5"/>
    <s v="M00000374663"/>
    <d v="2008-07-10T00:00:00"/>
    <n v="0"/>
    <n v="95.04"/>
    <n v="1318"/>
    <n v="356.4"/>
    <x v="0"/>
    <s v="13"/>
    <s v="1188"/>
    <n v="13"/>
    <n v="1.1094276094276094"/>
    <n v="8.5340585340585334E-2"/>
  </r>
  <r>
    <x v="0"/>
    <x v="5"/>
    <x v="5"/>
    <s v="M00000292762"/>
    <d v="2007-08-23T00:00:00"/>
    <n v="0"/>
    <n v="76"/>
    <n v="974.99"/>
    <n v="285"/>
    <x v="0"/>
    <s v="12"/>
    <s v="950"/>
    <n v="12"/>
    <n v="1.0263052631578948"/>
    <n v="8.5525438596491241E-2"/>
  </r>
  <r>
    <x v="0"/>
    <x v="5"/>
    <x v="5"/>
    <s v="M00000300302"/>
    <d v="2007-10-11T00:00:00"/>
    <n v="0"/>
    <n v="98.64"/>
    <n v="1583.72"/>
    <n v="369.9"/>
    <x v="0"/>
    <s v="15"/>
    <s v="1233"/>
    <n v="15"/>
    <n v="1.2844444444444445"/>
    <n v="8.5629629629629639E-2"/>
  </r>
  <r>
    <x v="0"/>
    <x v="5"/>
    <x v="5"/>
    <s v="M00000300902"/>
    <d v="2007-10-18T00:00:00"/>
    <n v="0"/>
    <n v="91.36"/>
    <n v="1275"/>
    <n v="342.6"/>
    <x v="0"/>
    <s v="13"/>
    <s v="1142"/>
    <n v="13"/>
    <n v="1.1164623467600701"/>
    <n v="8.5881718981543856E-2"/>
  </r>
  <r>
    <x v="0"/>
    <x v="5"/>
    <x v="5"/>
    <s v="M00000323082"/>
    <d v="2007-12-20T00:00:00"/>
    <n v="0"/>
    <n v="151.04"/>
    <n v="2441"/>
    <n v="566.4"/>
    <x v="0"/>
    <s v="15"/>
    <s v="1888"/>
    <n v="15"/>
    <n v="1.2929025423728813"/>
    <n v="8.6193502824858756E-2"/>
  </r>
  <r>
    <x v="0"/>
    <x v="5"/>
    <x v="5"/>
    <s v="M00000336750"/>
    <d v="2008-02-07T00:00:00"/>
    <n v="0"/>
    <n v="56.4"/>
    <n v="790"/>
    <n v="211.5"/>
    <x v="0"/>
    <s v="13"/>
    <s v="705"/>
    <n v="13"/>
    <n v="1.1205673758865249"/>
    <n v="8.6197490452809611E-2"/>
  </r>
  <r>
    <x v="0"/>
    <x v="5"/>
    <x v="5"/>
    <s v="M00000369871"/>
    <d v="2008-06-26T00:00:00"/>
    <n v="0"/>
    <n v="62.96"/>
    <n v="883"/>
    <n v="236.1"/>
    <x v="0"/>
    <s v="13"/>
    <s v="787"/>
    <n v="13"/>
    <n v="1.121982210927573"/>
    <n v="8.6306323917505617E-2"/>
  </r>
  <r>
    <x v="0"/>
    <x v="5"/>
    <x v="5"/>
    <s v="M00000296079"/>
    <d v="2007-09-06T00:00:00"/>
    <n v="0"/>
    <n v="153.6"/>
    <n v="2496"/>
    <n v="576"/>
    <x v="0"/>
    <s v="15"/>
    <s v="1920"/>
    <n v="15"/>
    <n v="1.3"/>
    <n v="8.666666666666667E-2"/>
  </r>
  <r>
    <x v="0"/>
    <x v="5"/>
    <x v="5"/>
    <s v="M00000296278"/>
    <d v="2007-09-06T00:00:00"/>
    <n v="0"/>
    <n v="73.599999999999994"/>
    <n v="1038.04"/>
    <n v="276"/>
    <x v="0"/>
    <s v="13"/>
    <s v="920"/>
    <n v="13"/>
    <n v="1.128304347826087"/>
    <n v="8.6792642140468237E-2"/>
  </r>
  <r>
    <x v="0"/>
    <x v="5"/>
    <x v="5"/>
    <s v="M00000282313"/>
    <d v="2007-08-23T00:00:00"/>
    <n v="0"/>
    <n v="73.92"/>
    <n v="1205.9100000000001"/>
    <n v="277.2"/>
    <x v="0"/>
    <s v="15"/>
    <s v="924"/>
    <n v="15"/>
    <n v="1.3050974025974027"/>
    <n v="8.7006493506493518E-2"/>
  </r>
  <r>
    <x v="0"/>
    <x v="5"/>
    <x v="5"/>
    <s v="M00000369879"/>
    <d v="2008-06-26T00:00:00"/>
    <n v="0"/>
    <n v="68.56"/>
    <n v="971"/>
    <n v="257.10000000000002"/>
    <x v="0"/>
    <s v="13"/>
    <s v="857"/>
    <n v="13"/>
    <n v="1.1330221703617269"/>
    <n v="8.7155551566286682E-2"/>
  </r>
  <r>
    <x v="0"/>
    <x v="5"/>
    <x v="5"/>
    <s v="M00000353298"/>
    <d v="2008-05-15T00:00:00"/>
    <n v="0"/>
    <n v="144"/>
    <n v="2200"/>
    <n v="540"/>
    <x v="0"/>
    <s v="14"/>
    <s v="1800"/>
    <n v="14"/>
    <n v="1.2222222222222223"/>
    <n v="8.7301587301587311E-2"/>
  </r>
  <r>
    <x v="0"/>
    <x v="5"/>
    <x v="5"/>
    <s v="M00000299087"/>
    <d v="2007-09-14T00:00:00"/>
    <n v="0"/>
    <n v="90.88"/>
    <n v="1294"/>
    <n v="340.8"/>
    <x v="0"/>
    <s v="13"/>
    <s v="1136"/>
    <n v="13"/>
    <n v="1.1390845070422535"/>
    <n v="8.762188515709643E-2"/>
  </r>
  <r>
    <x v="0"/>
    <x v="5"/>
    <x v="5"/>
    <s v="M00000272611"/>
    <d v="2007-06-28T00:00:00"/>
    <n v="0"/>
    <n v="132"/>
    <n v="1880.01"/>
    <n v="495"/>
    <x v="0"/>
    <s v="13"/>
    <s v="1650"/>
    <n v="13"/>
    <n v="1.1394"/>
    <n v="8.7646153846153846E-2"/>
  </r>
  <r>
    <x v="0"/>
    <x v="5"/>
    <x v="5"/>
    <s v="M00000312702"/>
    <d v="2007-11-15T00:00:00"/>
    <n v="0"/>
    <n v="114.8"/>
    <n v="1894"/>
    <n v="430.5"/>
    <x v="0"/>
    <s v="15"/>
    <s v="1435"/>
    <n v="15"/>
    <n v="1.3198606271777003"/>
    <n v="8.7990708478513355E-2"/>
  </r>
  <r>
    <x v="0"/>
    <x v="5"/>
    <x v="5"/>
    <s v="M00000291342"/>
    <d v="2007-08-16T00:00:00"/>
    <n v="0"/>
    <n v="60.32"/>
    <n v="864.01"/>
    <n v="226.2"/>
    <x v="0"/>
    <s v="13"/>
    <s v="754"/>
    <n v="13"/>
    <n v="1.1459018567639256"/>
    <n v="8.8146296674148125E-2"/>
  </r>
  <r>
    <x v="0"/>
    <x v="5"/>
    <x v="5"/>
    <s v="M00000342227"/>
    <d v="2008-02-29T00:00:00"/>
    <n v="0"/>
    <n v="62.4"/>
    <n v="895"/>
    <n v="234"/>
    <x v="0"/>
    <s v="13"/>
    <s v="780"/>
    <n v="13"/>
    <n v="1.1474358974358974"/>
    <n v="8.8264299802761334E-2"/>
  </r>
  <r>
    <x v="0"/>
    <x v="5"/>
    <x v="5"/>
    <s v="M00000283364"/>
    <d v="2007-07-12T00:00:00"/>
    <n v="0"/>
    <n v="104.08"/>
    <n v="1493.94"/>
    <n v="390.3"/>
    <x v="0"/>
    <s v="13"/>
    <s v="1301"/>
    <n v="13"/>
    <n v="1.1483013066871637"/>
    <n v="8.8330869745166435E-2"/>
  </r>
  <r>
    <x v="0"/>
    <x v="5"/>
    <x v="5"/>
    <s v="M00000360327"/>
    <d v="2008-05-15T00:00:00"/>
    <n v="0"/>
    <n v="92.4"/>
    <n v="1328"/>
    <n v="346.5"/>
    <x v="0"/>
    <s v="13"/>
    <s v="1155"/>
    <n v="13"/>
    <n v="1.1497835497835498"/>
    <n v="8.8444888444888445E-2"/>
  </r>
  <r>
    <x v="0"/>
    <x v="5"/>
    <x v="5"/>
    <s v="M00000271360"/>
    <d v="2007-05-17T00:00:00"/>
    <n v="0"/>
    <n v="72"/>
    <n v="1035"/>
    <n v="270"/>
    <x v="0"/>
    <s v="13"/>
    <s v="900"/>
    <n v="13"/>
    <n v="1.1499999999999999"/>
    <n v="8.8461538461538453E-2"/>
  </r>
  <r>
    <x v="0"/>
    <x v="5"/>
    <x v="5"/>
    <s v="M00000315001"/>
    <d v="2007-11-21T00:00:00"/>
    <n v="0"/>
    <n v="157.6"/>
    <n v="2448"/>
    <n v="591"/>
    <x v="0"/>
    <s v="14"/>
    <s v="1970"/>
    <n v="14"/>
    <n v="1.2426395939086294"/>
    <n v="8.8759970993473533E-2"/>
  </r>
  <r>
    <x v="0"/>
    <x v="5"/>
    <x v="5"/>
    <s v="M00000321762"/>
    <d v="2007-12-13T00:00:00"/>
    <n v="0"/>
    <n v="224.88"/>
    <n v="3747"/>
    <n v="843.3"/>
    <x v="0"/>
    <s v="15"/>
    <s v="2811"/>
    <n v="15"/>
    <n v="1.3329775880469583"/>
    <n v="8.8865172536463893E-2"/>
  </r>
  <r>
    <x v="0"/>
    <x v="5"/>
    <x v="5"/>
    <s v="M00000315391"/>
    <d v="2007-11-21T00:00:00"/>
    <n v="0"/>
    <n v="122.8"/>
    <n v="2050"/>
    <n v="460.5"/>
    <x v="0"/>
    <s v="15"/>
    <s v="1535"/>
    <n v="15"/>
    <n v="1.3355048859934853"/>
    <n v="8.9033659066232354E-2"/>
  </r>
  <r>
    <x v="0"/>
    <x v="5"/>
    <x v="5"/>
    <s v="M00000289687"/>
    <d v="2007-08-09T00:00:00"/>
    <n v="0"/>
    <n v="95.36"/>
    <n v="1382"/>
    <n v="357.6"/>
    <x v="0"/>
    <s v="13"/>
    <s v="1192"/>
    <n v="13"/>
    <n v="1.1593959731543624"/>
    <n v="8.9184305627258639E-2"/>
  </r>
  <r>
    <x v="0"/>
    <x v="5"/>
    <x v="5"/>
    <s v="M00000341220"/>
    <d v="2008-03-20T00:00:00"/>
    <n v="0"/>
    <n v="82.4"/>
    <n v="1195"/>
    <n v="309"/>
    <x v="0"/>
    <s v="13"/>
    <s v="1030"/>
    <n v="13"/>
    <n v="1.1601941747572815"/>
    <n v="8.9245705750560109E-2"/>
  </r>
  <r>
    <x v="0"/>
    <x v="5"/>
    <x v="5"/>
    <s v="M00000289547"/>
    <d v="2007-09-06T00:00:00"/>
    <n v="0"/>
    <n v="119.2"/>
    <n v="1730.04"/>
    <n v="447"/>
    <x v="0"/>
    <s v="13"/>
    <s v="1490"/>
    <n v="13"/>
    <n v="1.1611006711409395"/>
    <n v="8.9315436241610729E-2"/>
  </r>
  <r>
    <x v="0"/>
    <x v="5"/>
    <x v="5"/>
    <s v="M00000315023"/>
    <d v="2007-12-31T00:00:00"/>
    <n v="0"/>
    <n v="103.28"/>
    <n v="1500"/>
    <n v="387.3"/>
    <x v="0"/>
    <s v="13"/>
    <s v="1291"/>
    <n v="13"/>
    <n v="1.1618900077459333"/>
    <n v="8.9376154441994871E-2"/>
  </r>
  <r>
    <x v="0"/>
    <x v="5"/>
    <x v="5"/>
    <s v="M00000334645"/>
    <d v="2008-01-24T00:00:00"/>
    <n v="0"/>
    <n v="92.16"/>
    <n v="1547"/>
    <n v="345.6"/>
    <x v="0"/>
    <s v="15"/>
    <s v="1152"/>
    <n v="15"/>
    <n v="1.3428819444444444"/>
    <n v="8.9525462962962959E-2"/>
  </r>
  <r>
    <x v="0"/>
    <x v="5"/>
    <x v="5"/>
    <s v="M00000275529"/>
    <d v="2007-06-07T00:00:00"/>
    <n v="0"/>
    <n v="86.8"/>
    <n v="1265"/>
    <n v="325.5"/>
    <x v="0"/>
    <s v="13"/>
    <s v="1085"/>
    <n v="13"/>
    <n v="1.1658986175115207"/>
    <n v="8.9684509039347743E-2"/>
  </r>
  <r>
    <x v="0"/>
    <x v="5"/>
    <x v="5"/>
    <s v="M00000285613"/>
    <d v="2007-07-19T00:00:00"/>
    <n v="0"/>
    <n v="35.6"/>
    <n v="519"/>
    <n v="133.5"/>
    <x v="0"/>
    <s v="13"/>
    <s v="445"/>
    <n v="13"/>
    <n v="1.1662921348314608"/>
    <n v="8.9714779602420053E-2"/>
  </r>
  <r>
    <x v="0"/>
    <x v="5"/>
    <x v="5"/>
    <s v="M00000331811"/>
    <d v="2007-12-31T00:00:00"/>
    <n v="0"/>
    <n v="136.80000000000001"/>
    <n v="1998"/>
    <n v="513"/>
    <x v="0"/>
    <s v="13"/>
    <s v="1710"/>
    <n v="13"/>
    <n v="1.168421052631579"/>
    <n v="8.9878542510121465E-2"/>
  </r>
  <r>
    <x v="0"/>
    <x v="5"/>
    <x v="5"/>
    <s v="M00000346283"/>
    <d v="2008-03-27T00:00:00"/>
    <n v="0"/>
    <n v="74.88"/>
    <n v="1263"/>
    <n v="280.8"/>
    <x v="0"/>
    <s v="15"/>
    <s v="936"/>
    <n v="15"/>
    <n v="1.3493589743589745"/>
    <n v="8.9957264957264957E-2"/>
  </r>
  <r>
    <x v="0"/>
    <x v="5"/>
    <x v="5"/>
    <s v="M00000331883"/>
    <d v="2007-12-31T00:00:00"/>
    <n v="0"/>
    <n v="91.52"/>
    <n v="1544"/>
    <n v="343.2"/>
    <x v="0"/>
    <s v="15"/>
    <s v="1144"/>
    <n v="15"/>
    <n v="1.3496503496503496"/>
    <n v="8.9976689976689977E-2"/>
  </r>
  <r>
    <x v="0"/>
    <x v="5"/>
    <x v="5"/>
    <s v="M00000333876"/>
    <d v="2008-01-24T00:00:00"/>
    <n v="0"/>
    <n v="48.96"/>
    <n v="826"/>
    <n v="183.6"/>
    <x v="0"/>
    <s v="15"/>
    <s v="612"/>
    <n v="15"/>
    <n v="1.3496732026143792"/>
    <n v="8.9978213507625276E-2"/>
  </r>
  <r>
    <x v="0"/>
    <x v="5"/>
    <x v="5"/>
    <s v="M00000324636"/>
    <d v="2007-12-20T00:00:00"/>
    <n v="0"/>
    <n v="120"/>
    <n v="1350"/>
    <n v="450"/>
    <x v="9"/>
    <s v="14"/>
    <s v="1500"/>
    <n v="10"/>
    <n v="0.9"/>
    <n v="0.09"/>
  </r>
  <r>
    <x v="0"/>
    <x v="5"/>
    <x v="5"/>
    <s v="M00000338799"/>
    <d v="2008-02-29T00:00:00"/>
    <n v="0"/>
    <n v="126"/>
    <n v="2126.4"/>
    <n v="472.5"/>
    <x v="0"/>
    <s v="15"/>
    <s v="1575"/>
    <n v="15"/>
    <n v="1.3500952380952382"/>
    <n v="9.0006349206349215E-2"/>
  </r>
  <r>
    <x v="0"/>
    <x v="5"/>
    <x v="5"/>
    <s v="M00000342149"/>
    <d v="2008-03-13T00:00:00"/>
    <n v="0"/>
    <n v="60"/>
    <n v="880"/>
    <n v="225"/>
    <x v="0"/>
    <s v="13"/>
    <s v="750"/>
    <n v="13"/>
    <n v="1.1733333333333333"/>
    <n v="9.0256410256410263E-2"/>
  </r>
  <r>
    <x v="0"/>
    <x v="5"/>
    <x v="5"/>
    <s v="M00000292849"/>
    <d v="2007-09-20T00:00:00"/>
    <n v="0"/>
    <n v="143.36000000000001"/>
    <n v="2110.98"/>
    <n v="537.6"/>
    <x v="0"/>
    <s v="13"/>
    <s v="1792"/>
    <n v="13"/>
    <n v="1.1780022321428572"/>
    <n v="9.0615556318681317E-2"/>
  </r>
  <r>
    <x v="0"/>
    <x v="5"/>
    <x v="5"/>
    <s v="M00000283942"/>
    <d v="2007-08-09T00:00:00"/>
    <n v="0"/>
    <n v="100.8"/>
    <n v="1485.04"/>
    <n v="378"/>
    <x v="0"/>
    <s v="13"/>
    <s v="1260"/>
    <n v="13"/>
    <n v="1.1786031746031747"/>
    <n v="9.0661782661782667E-2"/>
  </r>
  <r>
    <x v="0"/>
    <x v="5"/>
    <x v="5"/>
    <s v="M00000292340"/>
    <d v="2007-09-06T00:00:00"/>
    <n v="0"/>
    <n v="155.6"/>
    <n v="2292.96"/>
    <n v="583.5"/>
    <x v="0"/>
    <s v="13"/>
    <s v="1945"/>
    <n v="13"/>
    <n v="1.1788997429305912"/>
    <n v="9.0684595610045479E-2"/>
  </r>
  <r>
    <x v="0"/>
    <x v="5"/>
    <x v="5"/>
    <s v="M00000319026"/>
    <d v="2007-12-06T00:00:00"/>
    <n v="0"/>
    <n v="69.599999999999994"/>
    <n v="1186"/>
    <n v="261"/>
    <x v="0"/>
    <s v="15"/>
    <s v="870"/>
    <n v="15"/>
    <n v="1.3632183908045976"/>
    <n v="9.0881226053639838E-2"/>
  </r>
  <r>
    <x v="0"/>
    <x v="5"/>
    <x v="5"/>
    <s v="M00000320932"/>
    <d v="2007-12-13T00:00:00"/>
    <n v="0"/>
    <n v="98"/>
    <n v="1506"/>
    <n v="367.5"/>
    <x v="0"/>
    <s v="11"/>
    <s v="1506"/>
    <n v="11"/>
    <n v="1"/>
    <n v="9.0909090909090912E-2"/>
  </r>
  <r>
    <x v="0"/>
    <x v="5"/>
    <x v="5"/>
    <s v="M00000330902"/>
    <d v="2007-12-31T00:00:00"/>
    <n v="0"/>
    <n v="92.48"/>
    <n v="1156"/>
    <n v="346.8"/>
    <x v="0"/>
    <s v="11"/>
    <s v="1156"/>
    <n v="11"/>
    <n v="1"/>
    <n v="9.0909090909090912E-2"/>
  </r>
  <r>
    <x v="0"/>
    <x v="5"/>
    <x v="5"/>
    <s v="M00000335311"/>
    <d v="2008-01-31T00:00:00"/>
    <n v="0"/>
    <n v="106.32"/>
    <n v="1329"/>
    <n v="398.7"/>
    <x v="0"/>
    <s v="11"/>
    <s v="1329"/>
    <n v="11"/>
    <n v="1"/>
    <n v="9.0909090909090912E-2"/>
  </r>
  <r>
    <x v="0"/>
    <x v="5"/>
    <x v="5"/>
    <s v="M00000278130"/>
    <d v="2007-06-28T00:00:00"/>
    <n v="0"/>
    <n v="111.36"/>
    <n v="1647.01"/>
    <n v="417.6"/>
    <x v="0"/>
    <s v="13"/>
    <s v="1392"/>
    <n v="13"/>
    <n v="1.1831968390804597"/>
    <n v="9.101514146772767E-2"/>
  </r>
  <r>
    <x v="0"/>
    <x v="5"/>
    <x v="5"/>
    <s v="M00000289705"/>
    <d v="2007-09-28T00:00:00"/>
    <n v="0"/>
    <n v="49.68"/>
    <n v="850.77"/>
    <n v="186.3"/>
    <x v="0"/>
    <s v="15"/>
    <s v="621"/>
    <n v="15"/>
    <n v="1.37"/>
    <n v="9.1333333333333322E-2"/>
  </r>
  <r>
    <x v="0"/>
    <x v="5"/>
    <x v="5"/>
    <s v="M00000304410"/>
    <d v="2007-11-09T00:00:00"/>
    <n v="0"/>
    <n v="81.52"/>
    <n v="1396.03"/>
    <n v="305.7"/>
    <x v="0"/>
    <s v="15"/>
    <s v="1019"/>
    <n v="15"/>
    <n v="1.37"/>
    <n v="9.1333333333333322E-2"/>
  </r>
  <r>
    <x v="0"/>
    <x v="5"/>
    <x v="5"/>
    <s v="M00000307188"/>
    <d v="2007-12-20T00:00:00"/>
    <n v="0"/>
    <n v="134.47999999999999"/>
    <n v="2302.9699999999998"/>
    <n v="504.3"/>
    <x v="0"/>
    <s v="15"/>
    <s v="1681"/>
    <n v="15"/>
    <n v="1.37"/>
    <n v="9.1333333333333322E-2"/>
  </r>
  <r>
    <x v="0"/>
    <x v="5"/>
    <x v="5"/>
    <s v="M00000310009"/>
    <d v="2007-12-06T00:00:00"/>
    <n v="0"/>
    <n v="81.84"/>
    <n v="1401.51"/>
    <n v="306.89999999999998"/>
    <x v="0"/>
    <s v="15"/>
    <s v="1023"/>
    <n v="15"/>
    <n v="1.37"/>
    <n v="9.1333333333333322E-2"/>
  </r>
  <r>
    <x v="0"/>
    <x v="5"/>
    <x v="5"/>
    <s v="M00000323950"/>
    <d v="2007-12-31T00:00:00"/>
    <n v="0"/>
    <n v="102.56"/>
    <n v="1756.34"/>
    <n v="384.6"/>
    <x v="0"/>
    <s v="15"/>
    <s v="1282"/>
    <n v="15"/>
    <n v="1.37"/>
    <n v="9.1333333333333322E-2"/>
  </r>
  <r>
    <x v="0"/>
    <x v="5"/>
    <x v="5"/>
    <s v="M00000326072"/>
    <d v="2008-02-14T00:00:00"/>
    <n v="0"/>
    <n v="49.84"/>
    <n v="853.51"/>
    <n v="186.9"/>
    <x v="0"/>
    <s v="15"/>
    <s v="623"/>
    <n v="15"/>
    <n v="1.37"/>
    <n v="9.1333333333333322E-2"/>
  </r>
  <r>
    <x v="0"/>
    <x v="5"/>
    <x v="5"/>
    <s v="M00000336445"/>
    <d v="2008-02-29T00:00:00"/>
    <n v="0"/>
    <n v="99.36"/>
    <n v="1701.54"/>
    <n v="372.6"/>
    <x v="0"/>
    <s v="15"/>
    <s v="1242"/>
    <n v="15"/>
    <n v="1.37"/>
    <n v="9.1333333333333322E-2"/>
  </r>
  <r>
    <x v="0"/>
    <x v="5"/>
    <x v="5"/>
    <s v="M00000339824"/>
    <d v="2008-02-29T00:00:00"/>
    <n v="0"/>
    <n v="79.2"/>
    <n v="1356.3"/>
    <n v="297"/>
    <x v="0"/>
    <s v="15"/>
    <s v="990"/>
    <n v="15"/>
    <n v="1.37"/>
    <n v="9.1333333333333322E-2"/>
  </r>
  <r>
    <x v="0"/>
    <x v="5"/>
    <x v="5"/>
    <s v="M00000343671"/>
    <d v="2008-04-24T00:00:00"/>
    <n v="0"/>
    <n v="105.2"/>
    <n v="1801.55"/>
    <n v="394.5"/>
    <x v="0"/>
    <s v="15"/>
    <s v="1315"/>
    <n v="15"/>
    <n v="1.37"/>
    <n v="9.1333333333333322E-2"/>
  </r>
  <r>
    <x v="0"/>
    <x v="5"/>
    <x v="5"/>
    <s v="M00000347142"/>
    <d v="2008-06-12T00:00:00"/>
    <n v="0"/>
    <n v="47.84"/>
    <n v="819.26"/>
    <n v="179.4"/>
    <x v="0"/>
    <s v="15"/>
    <s v="598"/>
    <n v="15"/>
    <n v="1.37"/>
    <n v="9.1333333333333322E-2"/>
  </r>
  <r>
    <x v="0"/>
    <x v="5"/>
    <x v="5"/>
    <s v="M00000366323"/>
    <d v="2008-06-19T00:00:00"/>
    <n v="0"/>
    <n v="74.56"/>
    <n v="1276.8399999999999"/>
    <n v="279.60000000000002"/>
    <x v="0"/>
    <s v="15"/>
    <s v="932"/>
    <n v="15"/>
    <n v="1.37"/>
    <n v="9.1333333333333322E-2"/>
  </r>
  <r>
    <x v="0"/>
    <x v="5"/>
    <x v="5"/>
    <s v="M00000366987"/>
    <d v="2008-06-12T00:00:00"/>
    <n v="0"/>
    <n v="14.96"/>
    <n v="256.19"/>
    <n v="56.1"/>
    <x v="0"/>
    <s v="15"/>
    <s v="187"/>
    <n v="15"/>
    <n v="1.37"/>
    <n v="9.1333333333333322E-2"/>
  </r>
  <r>
    <x v="0"/>
    <x v="5"/>
    <x v="5"/>
    <s v="M00000367078"/>
    <d v="2008-06-12T00:00:00"/>
    <n v="0"/>
    <n v="85.36"/>
    <n v="1461.79"/>
    <n v="320.10000000000002"/>
    <x v="0"/>
    <s v="15"/>
    <s v="1067"/>
    <n v="15"/>
    <n v="1.37"/>
    <n v="9.1333333333333322E-2"/>
  </r>
  <r>
    <x v="0"/>
    <x v="5"/>
    <x v="5"/>
    <s v="M00000269750"/>
    <d v="2007-05-10T00:00:00"/>
    <n v="0"/>
    <n v="46"/>
    <n v="787.75"/>
    <n v="172.5"/>
    <x v="0"/>
    <s v="15"/>
    <s v="575"/>
    <n v="15"/>
    <n v="1.37"/>
    <n v="9.1333333333333336E-2"/>
  </r>
  <r>
    <x v="0"/>
    <x v="5"/>
    <x v="5"/>
    <s v="M00000286931"/>
    <d v="2007-08-02T00:00:00"/>
    <n v="0"/>
    <n v="133.52000000000001"/>
    <n v="2286.5300000000002"/>
    <n v="500.7"/>
    <x v="0"/>
    <s v="15"/>
    <s v="1669"/>
    <n v="15"/>
    <n v="1.37"/>
    <n v="9.1333333333333336E-2"/>
  </r>
  <r>
    <x v="0"/>
    <x v="5"/>
    <x v="5"/>
    <s v="M00000287198"/>
    <d v="2007-12-31T00:00:00"/>
    <n v="0"/>
    <n v="89.6"/>
    <n v="1534.4"/>
    <n v="336"/>
    <x v="0"/>
    <s v="15"/>
    <s v="1120"/>
    <n v="15"/>
    <n v="1.37"/>
    <n v="9.1333333333333336E-2"/>
  </r>
  <r>
    <x v="0"/>
    <x v="5"/>
    <x v="5"/>
    <s v="M00000292851"/>
    <d v="2007-08-23T00:00:00"/>
    <n v="0"/>
    <n v="108.48"/>
    <n v="1857.72"/>
    <n v="406.8"/>
    <x v="0"/>
    <s v="15"/>
    <s v="1356"/>
    <n v="15"/>
    <n v="1.37"/>
    <n v="9.1333333333333336E-2"/>
  </r>
  <r>
    <x v="0"/>
    <x v="5"/>
    <x v="5"/>
    <s v="M00000296313"/>
    <d v="2007-11-21T00:00:00"/>
    <n v="0"/>
    <n v="105.28"/>
    <n v="1802.92"/>
    <n v="394.8"/>
    <x v="0"/>
    <s v="15"/>
    <s v="1316"/>
    <n v="15"/>
    <n v="1.37"/>
    <n v="9.1333333333333336E-2"/>
  </r>
  <r>
    <x v="0"/>
    <x v="5"/>
    <x v="5"/>
    <s v="M00000298529"/>
    <d v="2007-11-21T00:00:00"/>
    <n v="0"/>
    <n v="86.8"/>
    <n v="1486.45"/>
    <n v="325.5"/>
    <x v="0"/>
    <s v="15"/>
    <s v="1085"/>
    <n v="15"/>
    <n v="1.37"/>
    <n v="9.1333333333333336E-2"/>
  </r>
  <r>
    <x v="0"/>
    <x v="5"/>
    <x v="5"/>
    <s v="M00000304419"/>
    <d v="2007-10-25T00:00:00"/>
    <n v="0"/>
    <n v="80"/>
    <n v="1370"/>
    <n v="300"/>
    <x v="0"/>
    <s v="15"/>
    <s v="1000"/>
    <n v="15"/>
    <n v="1.37"/>
    <n v="9.1333333333333336E-2"/>
  </r>
  <r>
    <x v="0"/>
    <x v="5"/>
    <x v="5"/>
    <s v="M00000322584"/>
    <d v="2008-01-24T00:00:00"/>
    <n v="0"/>
    <n v="64.16"/>
    <n v="1098.74"/>
    <n v="240.6"/>
    <x v="0"/>
    <s v="15"/>
    <s v="802"/>
    <n v="15"/>
    <n v="1.37"/>
    <n v="9.1333333333333336E-2"/>
  </r>
  <r>
    <x v="0"/>
    <x v="5"/>
    <x v="5"/>
    <s v="M00000332198"/>
    <d v="2008-02-07T00:00:00"/>
    <n v="0"/>
    <n v="93.76"/>
    <n v="1605.64"/>
    <n v="351.6"/>
    <x v="0"/>
    <s v="15"/>
    <s v="1172"/>
    <n v="15"/>
    <n v="1.37"/>
    <n v="9.1333333333333336E-2"/>
  </r>
  <r>
    <x v="0"/>
    <x v="5"/>
    <x v="5"/>
    <s v="M00000337132"/>
    <d v="2008-02-07T00:00:00"/>
    <n v="0"/>
    <n v="97.6"/>
    <n v="1671.4"/>
    <n v="366"/>
    <x v="0"/>
    <s v="15"/>
    <s v="1220"/>
    <n v="15"/>
    <n v="1.37"/>
    <n v="9.1333333333333336E-2"/>
  </r>
  <r>
    <x v="0"/>
    <x v="5"/>
    <x v="5"/>
    <s v="M00000338920"/>
    <d v="2008-02-14T00:00:00"/>
    <n v="0"/>
    <n v="78.959999999999994"/>
    <n v="1352.19"/>
    <n v="296.10000000000002"/>
    <x v="0"/>
    <s v="15"/>
    <s v="987"/>
    <n v="15"/>
    <n v="1.37"/>
    <n v="9.1333333333333336E-2"/>
  </r>
  <r>
    <x v="0"/>
    <x v="5"/>
    <x v="5"/>
    <s v="M00000343772"/>
    <d v="2008-04-24T00:00:00"/>
    <n v="0"/>
    <n v="168"/>
    <n v="2877"/>
    <n v="630"/>
    <x v="0"/>
    <s v="15"/>
    <s v="2100"/>
    <n v="15"/>
    <n v="1.37"/>
    <n v="9.1333333333333336E-2"/>
  </r>
  <r>
    <x v="0"/>
    <x v="5"/>
    <x v="5"/>
    <s v="M00000347119"/>
    <d v="2008-04-17T00:00:00"/>
    <n v="0"/>
    <n v="114.48"/>
    <n v="1960.47"/>
    <n v="429.3"/>
    <x v="0"/>
    <s v="15"/>
    <s v="1431"/>
    <n v="15"/>
    <n v="1.37"/>
    <n v="9.1333333333333336E-2"/>
  </r>
  <r>
    <x v="0"/>
    <x v="5"/>
    <x v="5"/>
    <s v="M00000351025"/>
    <d v="2008-05-08T00:00:00"/>
    <n v="0"/>
    <n v="72.64"/>
    <n v="1243.96"/>
    <n v="272.39999999999998"/>
    <x v="0"/>
    <s v="15"/>
    <s v="908"/>
    <n v="15"/>
    <n v="1.37"/>
    <n v="9.1333333333333336E-2"/>
  </r>
  <r>
    <x v="0"/>
    <x v="5"/>
    <x v="5"/>
    <s v="M00000366218"/>
    <d v="2008-06-19T00:00:00"/>
    <n v="0"/>
    <n v="24"/>
    <n v="411"/>
    <n v="90"/>
    <x v="0"/>
    <s v="15"/>
    <s v="300"/>
    <n v="15"/>
    <n v="1.37"/>
    <n v="9.1333333333333336E-2"/>
  </r>
  <r>
    <x v="0"/>
    <x v="5"/>
    <x v="5"/>
    <s v="M00000308713"/>
    <d v="2007-11-29T00:00:00"/>
    <n v="0"/>
    <n v="80.64"/>
    <n v="1380.98"/>
    <n v="302.39999999999998"/>
    <x v="0"/>
    <s v="15"/>
    <s v="1008"/>
    <n v="15"/>
    <n v="1.3700198412698412"/>
    <n v="9.1334656084656088E-2"/>
  </r>
  <r>
    <x v="0"/>
    <x v="5"/>
    <x v="5"/>
    <s v="M00000346954"/>
    <d v="2008-04-10T00:00:00"/>
    <n v="0"/>
    <n v="87.2"/>
    <n v="1295"/>
    <n v="327"/>
    <x v="0"/>
    <s v="13"/>
    <s v="1090"/>
    <n v="13"/>
    <n v="1.1880733944954129"/>
    <n v="9.1390261115031762E-2"/>
  </r>
  <r>
    <x v="0"/>
    <x v="5"/>
    <x v="5"/>
    <s v="M00000370541"/>
    <d v="2008-06-26T00:00:00"/>
    <n v="0"/>
    <n v="66.400000000000006"/>
    <n v="987"/>
    <n v="249"/>
    <x v="0"/>
    <s v="13"/>
    <s v="830"/>
    <n v="13"/>
    <n v="1.1891566265060241"/>
    <n v="9.1473586654309547E-2"/>
  </r>
  <r>
    <x v="0"/>
    <x v="5"/>
    <x v="5"/>
    <s v="M00000293488"/>
    <d v="2007-09-27T00:00:00"/>
    <n v="0"/>
    <n v="73.040000000000006"/>
    <n v="1086.01"/>
    <n v="273.89999999999998"/>
    <x v="0"/>
    <s v="13"/>
    <s v="913"/>
    <n v="13"/>
    <n v="1.1894961664841184"/>
    <n v="9.1499705114162957E-2"/>
  </r>
  <r>
    <x v="0"/>
    <x v="5"/>
    <x v="5"/>
    <s v="M00000326911"/>
    <d v="2008-01-31T00:00:00"/>
    <n v="0"/>
    <n v="84"/>
    <n v="1250"/>
    <n v="315"/>
    <x v="0"/>
    <s v="13"/>
    <s v="1050"/>
    <n v="13"/>
    <n v="1.1904761904761905"/>
    <n v="9.1575091575091569E-2"/>
  </r>
  <r>
    <x v="0"/>
    <x v="5"/>
    <x v="5"/>
    <s v="M00000339784"/>
    <d v="2008-04-30T00:00:00"/>
    <n v="0"/>
    <n v="102"/>
    <n v="1751.79"/>
    <n v="382.5"/>
    <x v="0"/>
    <s v="15"/>
    <s v="1275"/>
    <n v="15"/>
    <n v="1.3739529411764706"/>
    <n v="9.159686274509804E-2"/>
  </r>
  <r>
    <x v="0"/>
    <x v="5"/>
    <x v="5"/>
    <s v="M00000275830"/>
    <d v="2007-06-07T00:00:00"/>
    <n v="0"/>
    <n v="32"/>
    <n v="550"/>
    <n v="120"/>
    <x v="0"/>
    <s v="15"/>
    <s v="400"/>
    <n v="15"/>
    <n v="1.375"/>
    <n v="9.166666666666666E-2"/>
  </r>
  <r>
    <x v="0"/>
    <x v="5"/>
    <x v="5"/>
    <s v="M00000355564"/>
    <d v="2008-04-24T00:00:00"/>
    <n v="0"/>
    <n v="128"/>
    <n v="2200"/>
    <n v="480"/>
    <x v="0"/>
    <s v="15"/>
    <s v="1600"/>
    <n v="15"/>
    <n v="1.375"/>
    <n v="9.166666666666666E-2"/>
  </r>
  <r>
    <x v="0"/>
    <x v="5"/>
    <x v="5"/>
    <s v="M00000343930"/>
    <d v="2008-04-03T00:00:00"/>
    <n v="0"/>
    <n v="104.32"/>
    <n v="1793.2"/>
    <n v="391.2"/>
    <x v="0"/>
    <s v="15"/>
    <s v="1304"/>
    <n v="15"/>
    <n v="1.3751533742331288"/>
    <n v="9.1676891615541919E-2"/>
  </r>
  <r>
    <x v="0"/>
    <x v="5"/>
    <x v="5"/>
    <s v="M00000299163"/>
    <d v="2007-11-21T00:00:00"/>
    <n v="0"/>
    <n v="81.92"/>
    <n v="1409.6"/>
    <n v="307.2"/>
    <x v="0"/>
    <s v="15"/>
    <s v="1024"/>
    <n v="15"/>
    <n v="1.3765624999999999"/>
    <n v="9.1770833333333329E-2"/>
  </r>
  <r>
    <x v="0"/>
    <x v="5"/>
    <x v="5"/>
    <s v="M00000275776"/>
    <d v="2007-07-06T00:00:00"/>
    <n v="0"/>
    <n v="48"/>
    <n v="718.98"/>
    <n v="180"/>
    <x v="0"/>
    <s v="13"/>
    <s v="600"/>
    <n v="13"/>
    <n v="1.1982999999999999"/>
    <n v="9.2176923076923073E-2"/>
  </r>
  <r>
    <x v="0"/>
    <x v="5"/>
    <x v="5"/>
    <s v="M00000353566"/>
    <d v="2008-04-17T00:00:00"/>
    <n v="0"/>
    <n v="70.239999999999995"/>
    <n v="1053"/>
    <n v="263.39999999999998"/>
    <x v="0"/>
    <s v="13"/>
    <s v="878"/>
    <n v="13"/>
    <n v="1.1993166287015946"/>
    <n v="9.2255125284738046E-2"/>
  </r>
  <r>
    <x v="0"/>
    <x v="5"/>
    <x v="5"/>
    <s v="M00000286622"/>
    <d v="2007-08-23T00:00:00"/>
    <n v="0"/>
    <n v="151.44"/>
    <n v="2619.91"/>
    <n v="567.9"/>
    <x v="0"/>
    <s v="15"/>
    <s v="1893"/>
    <n v="15"/>
    <n v="1.3839989434759641"/>
    <n v="9.2266596231730932E-2"/>
  </r>
  <r>
    <x v="0"/>
    <x v="5"/>
    <x v="5"/>
    <s v="M00000293904"/>
    <d v="2007-11-21T00:00:00"/>
    <n v="0"/>
    <n v="80"/>
    <n v="1200"/>
    <n v="300"/>
    <x v="0"/>
    <s v="13"/>
    <s v="1000"/>
    <n v="13"/>
    <n v="1.2"/>
    <n v="9.2307692307692299E-2"/>
  </r>
  <r>
    <x v="0"/>
    <x v="5"/>
    <x v="5"/>
    <s v="M00000315194"/>
    <d v="2007-12-20T00:00:00"/>
    <n v="0"/>
    <n v="16"/>
    <n v="240"/>
    <n v="60"/>
    <x v="0"/>
    <s v="13"/>
    <s v="200"/>
    <n v="13"/>
    <n v="1.2"/>
    <n v="9.2307692307692299E-2"/>
  </r>
  <r>
    <x v="0"/>
    <x v="5"/>
    <x v="5"/>
    <s v="M00000355851"/>
    <d v="2008-04-24T00:00:00"/>
    <n v="0"/>
    <n v="65.599999999999994"/>
    <n v="984"/>
    <n v="246"/>
    <x v="0"/>
    <s v="13"/>
    <s v="820"/>
    <n v="13"/>
    <n v="1.2"/>
    <n v="9.2307692307692299E-2"/>
  </r>
  <r>
    <x v="0"/>
    <x v="5"/>
    <x v="5"/>
    <s v="M00000342898"/>
    <d v="2008-04-03T00:00:00"/>
    <n v="0"/>
    <n v="94.16"/>
    <n v="1197"/>
    <n v="353.1"/>
    <x v="0"/>
    <s v="11"/>
    <s v="1177"/>
    <n v="11"/>
    <n v="1.0169923534409515"/>
    <n v="9.2453850312813779E-2"/>
  </r>
  <r>
    <x v="0"/>
    <x v="5"/>
    <x v="5"/>
    <s v="M00000319170"/>
    <d v="2007-12-31T00:00:00"/>
    <n v="0"/>
    <n v="95.76"/>
    <n v="1660.61"/>
    <n v="359.1"/>
    <x v="0"/>
    <s v="15"/>
    <s v="1197"/>
    <n v="15"/>
    <n v="1.3873099415204677"/>
    <n v="9.2487329434697854E-2"/>
  </r>
  <r>
    <x v="0"/>
    <x v="5"/>
    <x v="5"/>
    <s v="M00000269788"/>
    <d v="2007-05-10T00:00:00"/>
    <n v="0"/>
    <n v="56.32"/>
    <n v="978.56"/>
    <n v="211.2"/>
    <x v="0"/>
    <s v="15"/>
    <s v="704"/>
    <n v="15"/>
    <n v="1.39"/>
    <n v="9.2666666666666661E-2"/>
  </r>
  <r>
    <x v="0"/>
    <x v="5"/>
    <x v="5"/>
    <s v="M00000282691"/>
    <d v="2007-08-09T00:00:00"/>
    <n v="0"/>
    <n v="116.64"/>
    <n v="2026.62"/>
    <n v="437.4"/>
    <x v="0"/>
    <s v="15"/>
    <s v="1458"/>
    <n v="15"/>
    <n v="1.39"/>
    <n v="9.2666666666666661E-2"/>
  </r>
  <r>
    <x v="0"/>
    <x v="5"/>
    <x v="5"/>
    <s v="M00000343860"/>
    <d v="2008-05-08T00:00:00"/>
    <n v="0"/>
    <n v="73.44"/>
    <n v="1276.02"/>
    <n v="275.39999999999998"/>
    <x v="0"/>
    <s v="15"/>
    <s v="918"/>
    <n v="15"/>
    <n v="1.39"/>
    <n v="9.2666666666666661E-2"/>
  </r>
  <r>
    <x v="0"/>
    <x v="5"/>
    <x v="5"/>
    <s v="M00000371838"/>
    <d v="2008-07-03T00:00:00"/>
    <n v="0"/>
    <n v="93.2"/>
    <n v="1619.35"/>
    <n v="349.5"/>
    <x v="0"/>
    <s v="15"/>
    <s v="1165"/>
    <n v="15"/>
    <n v="1.39"/>
    <n v="9.2666666666666661E-2"/>
  </r>
  <r>
    <x v="0"/>
    <x v="5"/>
    <x v="5"/>
    <s v="M00000269851"/>
    <d v="2007-07-26T00:00:00"/>
    <n v="0"/>
    <n v="65.12"/>
    <n v="1131.46"/>
    <n v="244.2"/>
    <x v="0"/>
    <s v="15"/>
    <s v="814"/>
    <n v="15"/>
    <n v="1.39"/>
    <n v="9.2666666666666675E-2"/>
  </r>
  <r>
    <x v="0"/>
    <x v="5"/>
    <x v="5"/>
    <s v="M00000369000"/>
    <d v="2008-07-03T00:00:00"/>
    <n v="0"/>
    <n v="95.68"/>
    <n v="1662.44"/>
    <n v="358.8"/>
    <x v="0"/>
    <s v="15"/>
    <s v="1196"/>
    <n v="15"/>
    <n v="1.39"/>
    <n v="9.2666666666666675E-2"/>
  </r>
  <r>
    <x v="0"/>
    <x v="5"/>
    <x v="5"/>
    <s v="M00000313291"/>
    <d v="2007-11-15T00:00:00"/>
    <n v="0"/>
    <n v="78.88"/>
    <n v="1188"/>
    <n v="295.8"/>
    <x v="0"/>
    <s v="13"/>
    <s v="986"/>
    <n v="13"/>
    <n v="1.2048681541582149"/>
    <n v="9.268216570447807E-2"/>
  </r>
  <r>
    <x v="0"/>
    <x v="5"/>
    <x v="5"/>
    <s v="M00000324265"/>
    <d v="2007-12-20T00:00:00"/>
    <n v="0"/>
    <n v="72.239999999999995"/>
    <n v="1088"/>
    <n v="270.89999999999998"/>
    <x v="0"/>
    <s v="13"/>
    <s v="903"/>
    <n v="13"/>
    <n v="1.2048726467331119"/>
    <n v="9.2682511287162456E-2"/>
  </r>
  <r>
    <x v="0"/>
    <x v="5"/>
    <x v="5"/>
    <s v="M00000323896"/>
    <d v="2008-01-24T00:00:00"/>
    <n v="0"/>
    <n v="74.16"/>
    <n v="947"/>
    <n v="278.10000000000002"/>
    <x v="0"/>
    <s v="11"/>
    <s v="927"/>
    <n v="11"/>
    <n v="1.0215749730312838"/>
    <n v="9.2870452093753067E-2"/>
  </r>
  <r>
    <x v="0"/>
    <x v="5"/>
    <x v="5"/>
    <s v="M00000329579"/>
    <d v="2008-02-07T00:00:00"/>
    <n v="0"/>
    <n v="104.16"/>
    <n v="1575"/>
    <n v="390.6"/>
    <x v="0"/>
    <s v="13"/>
    <s v="1302"/>
    <n v="13"/>
    <n v="1.2096774193548387"/>
    <n v="9.3052109181141443E-2"/>
  </r>
  <r>
    <x v="0"/>
    <x v="5"/>
    <x v="5"/>
    <s v="M00000321069"/>
    <d v="2007-12-13T00:00:00"/>
    <n v="0"/>
    <n v="46.56"/>
    <n v="596"/>
    <n v="174.6"/>
    <x v="0"/>
    <s v="11"/>
    <s v="582"/>
    <n v="11"/>
    <n v="1.0240549828178693"/>
    <n v="9.3095907528897209E-2"/>
  </r>
  <r>
    <x v="0"/>
    <x v="5"/>
    <x v="5"/>
    <s v="M00000314614"/>
    <d v="2008-02-21T00:00:00"/>
    <n v="0"/>
    <n v="71.36"/>
    <n v="1248.8"/>
    <n v="267.60000000000002"/>
    <x v="0"/>
    <s v="15"/>
    <s v="892"/>
    <n v="15"/>
    <n v="1.4"/>
    <n v="9.3333333333333324E-2"/>
  </r>
  <r>
    <x v="0"/>
    <x v="5"/>
    <x v="5"/>
    <s v="M00000318107"/>
    <d v="2008-01-24T00:00:00"/>
    <n v="0"/>
    <n v="68.72"/>
    <n v="884"/>
    <n v="257.7"/>
    <x v="0"/>
    <s v="11"/>
    <s v="859"/>
    <n v="11"/>
    <n v="1.0291036088474972"/>
    <n v="9.3554873531590657E-2"/>
  </r>
  <r>
    <x v="0"/>
    <x v="5"/>
    <x v="5"/>
    <s v="M00000342542"/>
    <d v="2008-02-29T00:00:00"/>
    <n v="0"/>
    <n v="84"/>
    <n v="1475"/>
    <n v="315"/>
    <x v="0"/>
    <s v="15"/>
    <s v="1050"/>
    <n v="15"/>
    <n v="1.4047619047619047"/>
    <n v="9.3650793650793637E-2"/>
  </r>
  <r>
    <x v="0"/>
    <x v="5"/>
    <x v="5"/>
    <s v="M00000315508"/>
    <d v="2007-11-21T00:00:00"/>
    <n v="0"/>
    <n v="50.56"/>
    <n v="888"/>
    <n v="189.6"/>
    <x v="0"/>
    <s v="15"/>
    <s v="632"/>
    <n v="15"/>
    <n v="1.4050632911392404"/>
    <n v="9.3670886075949367E-2"/>
  </r>
  <r>
    <x v="0"/>
    <x v="5"/>
    <x v="5"/>
    <s v="M00000366409"/>
    <d v="2008-07-03T00:00:00"/>
    <n v="0"/>
    <n v="98.8"/>
    <n v="1735.37"/>
    <n v="370.5"/>
    <x v="0"/>
    <s v="15"/>
    <s v="1235"/>
    <n v="15"/>
    <n v="1.4051578947368419"/>
    <n v="9.3677192982456123E-2"/>
  </r>
  <r>
    <x v="0"/>
    <x v="5"/>
    <x v="5"/>
    <s v="M00000269543"/>
    <d v="2007-05-24T00:00:00"/>
    <n v="0"/>
    <n v="68"/>
    <n v="1037"/>
    <n v="255"/>
    <x v="0"/>
    <s v="13"/>
    <s v="850"/>
    <n v="13"/>
    <n v="1.22"/>
    <n v="9.3846153846153843E-2"/>
  </r>
  <r>
    <x v="0"/>
    <x v="5"/>
    <x v="5"/>
    <s v="M00000373468"/>
    <d v="2008-07-10T00:00:00"/>
    <n v="0"/>
    <n v="28.16"/>
    <n v="695"/>
    <n v="105.6"/>
    <x v="0"/>
    <s v="21"/>
    <s v="352"/>
    <n v="21"/>
    <n v="1.9744318181818181"/>
    <n v="9.4020562770562768E-2"/>
  </r>
  <r>
    <x v="0"/>
    <x v="5"/>
    <x v="5"/>
    <s v="M00000277531"/>
    <d v="2007-06-14T00:00:00"/>
    <n v="0"/>
    <n v="47.36"/>
    <n v="724.02"/>
    <n v="177.6"/>
    <x v="0"/>
    <s v="13"/>
    <s v="592"/>
    <n v="13"/>
    <n v="1.2230067567567566"/>
    <n v="9.407744282744282E-2"/>
  </r>
  <r>
    <x v="0"/>
    <x v="5"/>
    <x v="5"/>
    <s v="M00000299860"/>
    <d v="2007-09-20T00:00:00"/>
    <n v="0"/>
    <n v="32"/>
    <n v="490"/>
    <n v="120"/>
    <x v="0"/>
    <s v="13"/>
    <s v="400"/>
    <n v="13"/>
    <n v="1.2250000000000001"/>
    <n v="9.4230769230769243E-2"/>
  </r>
  <r>
    <x v="0"/>
    <x v="5"/>
    <x v="5"/>
    <s v="M00000343624"/>
    <d v="2008-03-06T00:00:00"/>
    <n v="0"/>
    <n v="59.68"/>
    <n v="776"/>
    <n v="223.8"/>
    <x v="0"/>
    <s v="11"/>
    <s v="746"/>
    <n v="11"/>
    <n v="1.0402144772117963"/>
    <n v="9.456495247379966E-2"/>
  </r>
  <r>
    <x v="0"/>
    <x v="5"/>
    <x v="5"/>
    <s v="M00000355072"/>
    <d v="2008-05-15T00:00:00"/>
    <n v="0"/>
    <n v="94.24"/>
    <n v="1672.1"/>
    <n v="353.4"/>
    <x v="0"/>
    <s v="15"/>
    <s v="1178"/>
    <n v="15"/>
    <n v="1.4194397283531408"/>
    <n v="9.4629315223542718E-2"/>
  </r>
  <r>
    <x v="0"/>
    <x v="5"/>
    <x v="5"/>
    <s v="M00000291553"/>
    <d v="2007-08-16T00:00:00"/>
    <n v="0"/>
    <n v="146.63999999999999"/>
    <n v="2254.96"/>
    <n v="549.9"/>
    <x v="0"/>
    <s v="13"/>
    <s v="1833"/>
    <n v="13"/>
    <n v="1.2302018548827061"/>
    <n v="9.4630911914054316E-2"/>
  </r>
  <r>
    <x v="0"/>
    <x v="5"/>
    <x v="5"/>
    <s v="M00000277502"/>
    <d v="2007-06-14T00:00:00"/>
    <n v="0"/>
    <n v="133.12"/>
    <n v="2061.0300000000002"/>
    <n v="499.2"/>
    <x v="0"/>
    <s v="13"/>
    <s v="1664"/>
    <n v="13"/>
    <n v="1.2385997596153848"/>
    <n v="9.5276904585798836E-2"/>
  </r>
  <r>
    <x v="0"/>
    <x v="5"/>
    <x v="5"/>
    <s v="M00000306682"/>
    <d v="2007-11-21T00:00:00"/>
    <n v="0"/>
    <n v="68.8"/>
    <n v="1229.8"/>
    <n v="258"/>
    <x v="0"/>
    <s v="15"/>
    <s v="860"/>
    <n v="15"/>
    <n v="1.43"/>
    <n v="9.5333333333333325E-2"/>
  </r>
  <r>
    <x v="0"/>
    <x v="5"/>
    <x v="5"/>
    <s v="M00000310389"/>
    <d v="2007-12-20T00:00:00"/>
    <n v="0"/>
    <n v="93.28"/>
    <n v="1667.38"/>
    <n v="349.8"/>
    <x v="0"/>
    <s v="15"/>
    <s v="1166"/>
    <n v="15"/>
    <n v="1.43"/>
    <n v="9.5333333333333339E-2"/>
  </r>
  <r>
    <x v="0"/>
    <x v="5"/>
    <x v="5"/>
    <s v="M00000271472"/>
    <d v="2007-05-17T00:00:00"/>
    <n v="0"/>
    <n v="61.84"/>
    <n v="958.52"/>
    <n v="231.9"/>
    <x v="0"/>
    <s v="13"/>
    <s v="773"/>
    <n v="13"/>
    <n v="1.24"/>
    <n v="9.5384615384615387E-2"/>
  </r>
  <r>
    <x v="0"/>
    <x v="5"/>
    <x v="5"/>
    <s v="M00000302261"/>
    <d v="2007-10-04T00:00:00"/>
    <n v="0"/>
    <n v="79.040000000000006"/>
    <n v="1037"/>
    <n v="296.39999999999998"/>
    <x v="0"/>
    <s v="11"/>
    <s v="988"/>
    <n v="11"/>
    <n v="1.0495951417004048"/>
    <n v="9.5417740154582251E-2"/>
  </r>
  <r>
    <x v="0"/>
    <x v="5"/>
    <x v="5"/>
    <s v="M00000337087"/>
    <d v="2008-03-13T00:00:00"/>
    <n v="0"/>
    <n v="91.2"/>
    <n v="1198.23"/>
    <n v="342"/>
    <x v="0"/>
    <s v="11"/>
    <s v="1140"/>
    <n v="11"/>
    <n v="1.051078947368421"/>
    <n v="9.5552631578947361E-2"/>
  </r>
  <r>
    <x v="0"/>
    <x v="5"/>
    <x v="5"/>
    <s v="M00000300308"/>
    <d v="2007-09-20T00:00:00"/>
    <n v="0"/>
    <n v="70.16"/>
    <n v="1090"/>
    <n v="263.10000000000002"/>
    <x v="0"/>
    <s v="13"/>
    <s v="877"/>
    <n v="13"/>
    <n v="1.2428734321550741"/>
    <n v="9.5605648627313383E-2"/>
  </r>
  <r>
    <x v="0"/>
    <x v="5"/>
    <x v="5"/>
    <s v="M00000335079"/>
    <d v="2008-02-29T00:00:00"/>
    <n v="0"/>
    <n v="64"/>
    <n v="995"/>
    <n v="240"/>
    <x v="0"/>
    <s v="13"/>
    <s v="800"/>
    <n v="13"/>
    <n v="1.2437499999999999"/>
    <n v="9.5673076923076916E-2"/>
  </r>
  <r>
    <x v="0"/>
    <x v="5"/>
    <x v="5"/>
    <s v="M00000268953"/>
    <d v="2007-06-28T00:00:00"/>
    <n v="0"/>
    <n v="75.2"/>
    <n v="1175"/>
    <n v="282"/>
    <x v="0"/>
    <s v="13"/>
    <s v="940"/>
    <n v="13"/>
    <n v="1.25"/>
    <n v="9.6153846153846159E-2"/>
  </r>
  <r>
    <x v="0"/>
    <x v="5"/>
    <x v="5"/>
    <s v="M00000269871"/>
    <d v="2007-06-28T00:00:00"/>
    <n v="0"/>
    <n v="78.400000000000006"/>
    <n v="1225"/>
    <n v="294"/>
    <x v="0"/>
    <s v="13"/>
    <s v="980"/>
    <n v="13"/>
    <n v="1.25"/>
    <n v="9.6153846153846159E-2"/>
  </r>
  <r>
    <x v="0"/>
    <x v="5"/>
    <x v="5"/>
    <s v="M00000283608"/>
    <d v="2007-07-26T00:00:00"/>
    <n v="0"/>
    <n v="55.04"/>
    <n v="860"/>
    <n v="206.4"/>
    <x v="0"/>
    <s v="13"/>
    <s v="688"/>
    <n v="13"/>
    <n v="1.25"/>
    <n v="9.6153846153846159E-2"/>
  </r>
  <r>
    <x v="0"/>
    <x v="5"/>
    <x v="5"/>
    <s v="M00000285205"/>
    <d v="2007-11-09T00:00:00"/>
    <n v="0"/>
    <n v="80"/>
    <n v="1250"/>
    <n v="300"/>
    <x v="0"/>
    <s v="13"/>
    <s v="1000"/>
    <n v="13"/>
    <n v="1.25"/>
    <n v="9.6153846153846159E-2"/>
  </r>
  <r>
    <x v="0"/>
    <x v="5"/>
    <x v="5"/>
    <s v="M00000337115"/>
    <d v="2008-02-07T00:00:00"/>
    <n v="0"/>
    <n v="122.88"/>
    <n v="1920"/>
    <n v="460.8"/>
    <x v="0"/>
    <s v="13"/>
    <s v="1536"/>
    <n v="13"/>
    <n v="1.25"/>
    <n v="9.6153846153846159E-2"/>
  </r>
  <r>
    <x v="0"/>
    <x v="5"/>
    <x v="5"/>
    <s v="M00000271400"/>
    <d v="2007-05-17T00:00:00"/>
    <n v="0"/>
    <n v="42.4"/>
    <n v="561.79999999999995"/>
    <n v="159"/>
    <x v="0"/>
    <s v="11"/>
    <s v="530"/>
    <n v="11"/>
    <n v="1.06"/>
    <n v="9.6363636363636346E-2"/>
  </r>
  <r>
    <x v="0"/>
    <x v="5"/>
    <x v="5"/>
    <s v="M00000282257"/>
    <d v="2007-07-06T00:00:00"/>
    <n v="0"/>
    <n v="120"/>
    <n v="1590"/>
    <n v="450"/>
    <x v="0"/>
    <s v="11"/>
    <s v="1500"/>
    <n v="11"/>
    <n v="1.06"/>
    <n v="9.6363636363636374E-2"/>
  </r>
  <r>
    <x v="0"/>
    <x v="5"/>
    <x v="5"/>
    <s v="M00000303390"/>
    <d v="2007-11-09T00:00:00"/>
    <n v="0"/>
    <n v="131.19999999999999"/>
    <n v="2377.5"/>
    <n v="492"/>
    <x v="0"/>
    <s v="15"/>
    <s v="1640"/>
    <n v="15"/>
    <n v="1.4496951219512195"/>
    <n v="9.6646341463414637E-2"/>
  </r>
  <r>
    <x v="0"/>
    <x v="5"/>
    <x v="5"/>
    <s v="M00000271351"/>
    <d v="2007-05-17T00:00:00"/>
    <n v="0"/>
    <n v="89.76"/>
    <n v="1413.72"/>
    <n v="336.6"/>
    <x v="0"/>
    <s v="13"/>
    <s v="1122"/>
    <n v="13"/>
    <n v="1.26"/>
    <n v="9.6923076923076917E-2"/>
  </r>
  <r>
    <x v="0"/>
    <x v="5"/>
    <x v="5"/>
    <s v="M00000281378"/>
    <d v="2007-08-09T00:00:00"/>
    <n v="0"/>
    <n v="112.16"/>
    <n v="1497.06"/>
    <n v="420.6"/>
    <x v="0"/>
    <s v="11"/>
    <s v="1402"/>
    <n v="11"/>
    <n v="1.0678031383737518"/>
    <n v="9.7073012579431989E-2"/>
  </r>
  <r>
    <x v="0"/>
    <x v="5"/>
    <x v="5"/>
    <s v="M00000268945"/>
    <d v="2007-05-10T00:00:00"/>
    <n v="0"/>
    <n v="117.28"/>
    <n v="1568.62"/>
    <n v="439.8"/>
    <x v="0"/>
    <s v="11"/>
    <s v="1466"/>
    <n v="11"/>
    <n v="1.07"/>
    <n v="9.7272727272727261E-2"/>
  </r>
  <r>
    <x v="0"/>
    <x v="5"/>
    <x v="5"/>
    <s v="M00000327279"/>
    <d v="2007-12-31T00:00:00"/>
    <n v="0"/>
    <n v="72"/>
    <n v="1315"/>
    <n v="270"/>
    <x v="0"/>
    <s v="15"/>
    <s v="900"/>
    <n v="15"/>
    <n v="1.461111111111111"/>
    <n v="9.7407407407407401E-2"/>
  </r>
  <r>
    <x v="0"/>
    <x v="5"/>
    <x v="5"/>
    <s v="M00000279567"/>
    <d v="2007-06-28T00:00:00"/>
    <n v="0"/>
    <n v="72.319999999999993"/>
    <n v="1147.99"/>
    <n v="271.2"/>
    <x v="0"/>
    <s v="13"/>
    <s v="904"/>
    <n v="13"/>
    <n v="1.2699004424778761"/>
    <n v="9.7684649421375086E-2"/>
  </r>
  <r>
    <x v="0"/>
    <x v="5"/>
    <x v="5"/>
    <s v="M00000353076"/>
    <d v="2008-04-10T00:00:00"/>
    <n v="0"/>
    <n v="69.44"/>
    <n v="1102.5"/>
    <n v="260.39999999999998"/>
    <x v="0"/>
    <s v="13"/>
    <s v="868"/>
    <n v="13"/>
    <n v="1.2701612903225807"/>
    <n v="9.7704714640198517E-2"/>
  </r>
  <r>
    <x v="0"/>
    <x v="5"/>
    <x v="5"/>
    <s v="M00000346138"/>
    <d v="2008-04-03T00:00:00"/>
    <n v="0"/>
    <n v="56.88"/>
    <n v="1045.17"/>
    <n v="213.3"/>
    <x v="0"/>
    <s v="15"/>
    <s v="711"/>
    <n v="15"/>
    <n v="1.47"/>
    <n v="9.8000000000000018E-2"/>
  </r>
  <r>
    <x v="0"/>
    <x v="5"/>
    <x v="5"/>
    <s v="M00000325656"/>
    <d v="2007-12-27T00:00:00"/>
    <n v="0"/>
    <n v="58.48"/>
    <n v="935"/>
    <n v="219.3"/>
    <x v="0"/>
    <s v="13"/>
    <s v="731"/>
    <n v="13"/>
    <n v="1.2790697674418605"/>
    <n v="9.838998211091235E-2"/>
  </r>
  <r>
    <x v="0"/>
    <x v="5"/>
    <x v="5"/>
    <s v="M00000273248"/>
    <d v="2007-05-24T00:00:00"/>
    <n v="0"/>
    <n v="94.72"/>
    <n v="1515.05"/>
    <n v="355.2"/>
    <x v="0"/>
    <s v="13"/>
    <s v="1184"/>
    <n v="13"/>
    <n v="1.2796030405405405"/>
    <n v="9.8431003118503113E-2"/>
  </r>
  <r>
    <x v="0"/>
    <x v="5"/>
    <x v="5"/>
    <s v="M00000271797"/>
    <d v="2007-05-17T00:00:00"/>
    <n v="0"/>
    <n v="96"/>
    <n v="1536"/>
    <n v="360"/>
    <x v="0"/>
    <s v="13"/>
    <s v="1200"/>
    <n v="13"/>
    <n v="1.28"/>
    <n v="9.8461538461538461E-2"/>
  </r>
  <r>
    <x v="0"/>
    <x v="5"/>
    <x v="5"/>
    <s v="M00000364088"/>
    <d v="2008-05-29T00:00:00"/>
    <n v="0"/>
    <n v="123.2"/>
    <n v="1974"/>
    <n v="462"/>
    <x v="0"/>
    <s v="13"/>
    <s v="1540"/>
    <n v="13"/>
    <n v="1.2818181818181817"/>
    <n v="9.860139860139859E-2"/>
  </r>
  <r>
    <x v="0"/>
    <x v="5"/>
    <x v="5"/>
    <s v="M00000350935"/>
    <d v="2008-04-03T00:00:00"/>
    <n v="0"/>
    <n v="133.91999999999999"/>
    <n v="2154.73"/>
    <n v="502.2"/>
    <x v="0"/>
    <s v="13"/>
    <s v="1674"/>
    <n v="13"/>
    <n v="1.2871744324970131"/>
    <n v="9.9013417884385627E-2"/>
  </r>
  <r>
    <x v="0"/>
    <x v="5"/>
    <x v="5"/>
    <s v="M00000311373"/>
    <d v="2007-11-09T00:00:00"/>
    <n v="0"/>
    <n v="83.36"/>
    <n v="1342"/>
    <n v="312.60000000000002"/>
    <x v="0"/>
    <s v="13"/>
    <s v="1042"/>
    <n v="13"/>
    <n v="1.2879078694817658"/>
    <n v="9.9069836113981985E-2"/>
  </r>
  <r>
    <x v="0"/>
    <x v="5"/>
    <x v="5"/>
    <s v="M00000321764"/>
    <d v="2007-12-13T00:00:00"/>
    <n v="0"/>
    <n v="86.96"/>
    <n v="1185"/>
    <n v="326.10000000000002"/>
    <x v="0"/>
    <s v="11"/>
    <s v="1087"/>
    <n v="11"/>
    <n v="1.0901563937442502"/>
    <n v="9.9105126704022745E-2"/>
  </r>
  <r>
    <x v="0"/>
    <x v="5"/>
    <x v="5"/>
    <s v="M00000330785"/>
    <d v="2007-12-31T00:00:00"/>
    <n v="0"/>
    <n v="51.36"/>
    <n v="700"/>
    <n v="192.6"/>
    <x v="0"/>
    <s v="11"/>
    <s v="642"/>
    <n v="11"/>
    <n v="1.0903426791277258"/>
    <n v="9.912206173888416E-2"/>
  </r>
  <r>
    <x v="0"/>
    <x v="5"/>
    <x v="5"/>
    <s v="M00000311103"/>
    <d v="2007-11-09T00:00:00"/>
    <n v="0"/>
    <n v="57.28"/>
    <n v="781"/>
    <n v="214.8"/>
    <x v="0"/>
    <s v="11"/>
    <s v="716"/>
    <n v="11"/>
    <n v="1.0907821229050279"/>
    <n v="9.916201117318435E-2"/>
  </r>
  <r>
    <x v="0"/>
    <x v="5"/>
    <x v="5"/>
    <s v="M00000351457"/>
    <d v="2008-04-03T00:00:00"/>
    <n v="0"/>
    <n v="92.96"/>
    <n v="1730"/>
    <n v="348.6"/>
    <x v="0"/>
    <s v="15"/>
    <s v="1162"/>
    <n v="15"/>
    <n v="1.4888123924268502"/>
    <n v="9.925415949512334E-2"/>
  </r>
  <r>
    <x v="0"/>
    <x v="5"/>
    <x v="5"/>
    <s v="M00000349538"/>
    <d v="2008-04-24T00:00:00"/>
    <n v="0"/>
    <n v="86"/>
    <n v="1390"/>
    <n v="322.5"/>
    <x v="0"/>
    <s v="13"/>
    <s v="1075"/>
    <n v="13"/>
    <n v="1.2930232558139534"/>
    <n v="9.9463327370304111E-2"/>
  </r>
  <r>
    <x v="0"/>
    <x v="5"/>
    <x v="5"/>
    <s v="M00000341958"/>
    <d v="2008-02-29T00:00:00"/>
    <n v="0"/>
    <n v="144"/>
    <n v="2331"/>
    <n v="540"/>
    <x v="0"/>
    <s v="13"/>
    <s v="1800"/>
    <n v="13"/>
    <n v="1.2949999999999999"/>
    <n v="9.9615384615384606E-2"/>
  </r>
  <r>
    <x v="0"/>
    <x v="5"/>
    <x v="5"/>
    <s v="M00000364247"/>
    <d v="2008-05-29T00:00:00"/>
    <n v="0"/>
    <n v="90.32"/>
    <n v="1467"/>
    <n v="338.7"/>
    <x v="0"/>
    <s v="13"/>
    <s v="1129"/>
    <n v="13"/>
    <n v="1.2993799822852081"/>
    <n v="9.9952306329631396E-2"/>
  </r>
  <r>
    <x v="0"/>
    <x v="5"/>
    <x v="5"/>
    <s v="M00000296027"/>
    <d v="2007-09-28T00:00:00"/>
    <n v="0"/>
    <n v="113.28"/>
    <n v="1839.95"/>
    <n v="424.8"/>
    <x v="0"/>
    <s v="13"/>
    <s v="1416"/>
    <n v="13"/>
    <n v="1.2993997175141243"/>
    <n v="9.9953824424163409E-2"/>
  </r>
  <r>
    <x v="0"/>
    <x v="5"/>
    <x v="5"/>
    <s v="M00000280861"/>
    <d v="2007-06-28T00:00:00"/>
    <n v="0"/>
    <n v="65.92"/>
    <n v="1071.04"/>
    <n v="247.2"/>
    <x v="0"/>
    <s v="13"/>
    <s v="824"/>
    <n v="13"/>
    <n v="1.2998058252427185"/>
    <n v="9.9985063480209108E-2"/>
  </r>
  <r>
    <x v="0"/>
    <x v="5"/>
    <x v="5"/>
    <s v="M00000308300"/>
    <d v="2007-10-25T00:00:00"/>
    <n v="0"/>
    <n v="40"/>
    <n v="600"/>
    <n v="150"/>
    <x v="0"/>
    <s v="12"/>
    <s v="500"/>
    <n v="12"/>
    <n v="1.2"/>
    <n v="0.1"/>
  </r>
  <r>
    <x v="0"/>
    <x v="5"/>
    <x v="5"/>
    <s v="M00000272588"/>
    <d v="2007-05-17T00:00:00"/>
    <n v="0"/>
    <n v="60"/>
    <n v="825"/>
    <n v="225"/>
    <x v="0"/>
    <s v="11"/>
    <s v="750"/>
    <n v="11"/>
    <n v="1.1000000000000001"/>
    <n v="0.1"/>
  </r>
  <r>
    <x v="0"/>
    <x v="5"/>
    <x v="5"/>
    <s v="M00000291762"/>
    <d v="2007-08-16T00:00:00"/>
    <n v="0"/>
    <n v="44"/>
    <n v="825"/>
    <n v="165"/>
    <x v="0"/>
    <s v="15"/>
    <s v="550"/>
    <n v="15"/>
    <n v="1.5"/>
    <n v="0.1"/>
  </r>
  <r>
    <x v="0"/>
    <x v="5"/>
    <x v="5"/>
    <s v="M00000291784"/>
    <d v="2007-08-16T00:00:00"/>
    <n v="0"/>
    <n v="62.4"/>
    <n v="1170"/>
    <n v="234"/>
    <x v="0"/>
    <s v="15"/>
    <s v="780"/>
    <n v="15"/>
    <n v="1.5"/>
    <n v="0.1"/>
  </r>
  <r>
    <x v="0"/>
    <x v="5"/>
    <x v="5"/>
    <s v="M00000299437"/>
    <d v="2007-09-20T00:00:00"/>
    <n v="0"/>
    <n v="88"/>
    <n v="1650"/>
    <n v="330"/>
    <x v="0"/>
    <s v="15"/>
    <s v="1100"/>
    <n v="15"/>
    <n v="1.5"/>
    <n v="0.1"/>
  </r>
  <r>
    <x v="0"/>
    <x v="5"/>
    <x v="5"/>
    <s v="M00000336982"/>
    <d v="2008-02-07T00:00:00"/>
    <n v="0"/>
    <n v="112"/>
    <n v="2100"/>
    <n v="420"/>
    <x v="0"/>
    <s v="15"/>
    <s v="1400"/>
    <n v="15"/>
    <n v="1.5"/>
    <n v="0.1"/>
  </r>
  <r>
    <x v="0"/>
    <x v="5"/>
    <x v="5"/>
    <s v="M00000358124"/>
    <d v="2008-05-08T00:00:00"/>
    <n v="0"/>
    <n v="80"/>
    <n v="1500"/>
    <n v="300"/>
    <x v="0"/>
    <s v="15"/>
    <s v="1000"/>
    <n v="15"/>
    <n v="1.5"/>
    <n v="0.1"/>
  </r>
  <r>
    <x v="0"/>
    <x v="5"/>
    <x v="5"/>
    <s v="M00000362162"/>
    <d v="2008-07-10T00:00:00"/>
    <n v="0"/>
    <n v="70.400000000000006"/>
    <n v="1144"/>
    <n v="264"/>
    <x v="0"/>
    <s v="13"/>
    <s v="880"/>
    <n v="13"/>
    <n v="1.3"/>
    <n v="0.1"/>
  </r>
  <r>
    <x v="0"/>
    <x v="5"/>
    <x v="5"/>
    <s v="M00000368037"/>
    <d v="2008-06-19T00:00:00"/>
    <n v="0"/>
    <n v="30.08"/>
    <n v="564"/>
    <n v="112.8"/>
    <x v="0"/>
    <s v="15"/>
    <s v="376"/>
    <n v="15"/>
    <n v="1.5"/>
    <n v="0.1"/>
  </r>
  <r>
    <x v="0"/>
    <x v="5"/>
    <x v="5"/>
    <s v="M00000336965"/>
    <d v="2008-03-20T00:00:00"/>
    <n v="0"/>
    <n v="70.8"/>
    <n v="974"/>
    <n v="265.5"/>
    <x v="0"/>
    <s v="11"/>
    <s v="885"/>
    <n v="11"/>
    <n v="1.1005649717514123"/>
    <n v="0.10005136106831021"/>
  </r>
  <r>
    <x v="0"/>
    <x v="5"/>
    <x v="5"/>
    <s v="M00000293207"/>
    <d v="2007-08-23T00:00:00"/>
    <n v="0"/>
    <n v="57.12"/>
    <n v="928.99"/>
    <n v="214.2"/>
    <x v="0"/>
    <s v="13"/>
    <s v="714"/>
    <n v="13"/>
    <n v="1.3011064425770309"/>
    <n v="0.10008511096746392"/>
  </r>
  <r>
    <x v="0"/>
    <x v="5"/>
    <x v="5"/>
    <s v="M00000297101"/>
    <d v="2007-09-14T00:00:00"/>
    <n v="0"/>
    <n v="94.72"/>
    <n v="1549.97"/>
    <n v="355.2"/>
    <x v="0"/>
    <s v="13"/>
    <s v="1184"/>
    <n v="13"/>
    <n v="1.3090962837837838"/>
    <n v="0.10069971413721414"/>
  </r>
  <r>
    <x v="0"/>
    <x v="5"/>
    <x v="5"/>
    <s v="M00000281385"/>
    <d v="2007-07-12T00:00:00"/>
    <n v="0"/>
    <n v="32"/>
    <n v="525"/>
    <n v="120"/>
    <x v="0"/>
    <s v="13"/>
    <s v="400"/>
    <n v="13"/>
    <n v="1.3125"/>
    <n v="0.10096153846153846"/>
  </r>
  <r>
    <x v="0"/>
    <x v="5"/>
    <x v="5"/>
    <s v="M00000351521"/>
    <d v="2008-04-03T00:00:00"/>
    <n v="0"/>
    <n v="56"/>
    <n v="850"/>
    <n v="210"/>
    <x v="0"/>
    <s v="12"/>
    <s v="700"/>
    <n v="12"/>
    <n v="1.2142857142857142"/>
    <n v="0.10119047619047618"/>
  </r>
  <r>
    <x v="0"/>
    <x v="5"/>
    <x v="5"/>
    <s v="M00000308372"/>
    <d v="2007-10-25T00:00:00"/>
    <n v="0"/>
    <n v="120.96"/>
    <n v="1990"/>
    <n v="453.6"/>
    <x v="0"/>
    <s v="13"/>
    <s v="1512"/>
    <n v="13"/>
    <n v="1.3161375661375661"/>
    <n v="0.10124135124135124"/>
  </r>
  <r>
    <x v="0"/>
    <x v="5"/>
    <x v="5"/>
    <s v="M00000273573"/>
    <d v="2007-05-24T00:00:00"/>
    <n v="0"/>
    <n v="139.04"/>
    <n v="2293.9899999999998"/>
    <n v="521.4"/>
    <x v="0"/>
    <s v="13"/>
    <s v="1738"/>
    <n v="13"/>
    <n v="1.3199021864211737"/>
    <n v="0.10153093741701337"/>
  </r>
  <r>
    <x v="0"/>
    <x v="5"/>
    <x v="5"/>
    <s v="M00000323587"/>
    <d v="2007-12-20T00:00:00"/>
    <n v="0"/>
    <n v="85.76"/>
    <n v="1418"/>
    <n v="321.60000000000002"/>
    <x v="0"/>
    <s v="13"/>
    <s v="1072"/>
    <n v="13"/>
    <n v="1.3227611940298507"/>
    <n v="0.10175086107921928"/>
  </r>
  <r>
    <x v="0"/>
    <x v="5"/>
    <x v="5"/>
    <s v="M00000319005"/>
    <d v="2007-12-06T00:00:00"/>
    <n v="0"/>
    <n v="87.36"/>
    <n v="1445"/>
    <n v="327.60000000000002"/>
    <x v="0"/>
    <s v="13"/>
    <s v="1092"/>
    <n v="13"/>
    <n v="1.3232600732600732"/>
    <n v="0.10178923640462102"/>
  </r>
  <r>
    <x v="0"/>
    <x v="5"/>
    <x v="5"/>
    <s v="M00000277946"/>
    <d v="2007-06-21T00:00:00"/>
    <n v="0"/>
    <n v="112.64"/>
    <n v="1866.02"/>
    <n v="422.4"/>
    <x v="0"/>
    <s v="13"/>
    <s v="1408"/>
    <n v="13"/>
    <n v="1.3252982954545454"/>
    <n v="0.10194602272727273"/>
  </r>
  <r>
    <x v="0"/>
    <x v="5"/>
    <x v="5"/>
    <s v="M00000299040"/>
    <d v="2007-10-11T00:00:00"/>
    <n v="0"/>
    <n v="84.96"/>
    <n v="1624.86"/>
    <n v="318.60000000000002"/>
    <x v="0"/>
    <s v="15"/>
    <s v="1062"/>
    <n v="15"/>
    <n v="1.53"/>
    <n v="0.10199999999999999"/>
  </r>
  <r>
    <x v="0"/>
    <x v="5"/>
    <x v="5"/>
    <s v="M00000279463"/>
    <d v="2007-06-28T00:00:00"/>
    <n v="0"/>
    <n v="62.72"/>
    <n v="1039.98"/>
    <n v="235.2"/>
    <x v="0"/>
    <s v="13"/>
    <s v="784"/>
    <n v="13"/>
    <n v="1.3265051020408163"/>
    <n v="0.10203885400313971"/>
  </r>
  <r>
    <x v="0"/>
    <x v="5"/>
    <x v="5"/>
    <s v="M00000285727"/>
    <d v="2007-07-26T00:00:00"/>
    <n v="0"/>
    <n v="83.2"/>
    <n v="1387.05"/>
    <n v="312"/>
    <x v="0"/>
    <s v="13"/>
    <s v="1040"/>
    <n v="13"/>
    <n v="1.3337019230769229"/>
    <n v="0.10259245562130176"/>
  </r>
  <r>
    <x v="0"/>
    <x v="5"/>
    <x v="5"/>
    <s v="M00000269500"/>
    <d v="2007-05-17T00:00:00"/>
    <n v="0"/>
    <n v="83.84"/>
    <n v="1184.24"/>
    <n v="314.39999999999998"/>
    <x v="0"/>
    <s v="11"/>
    <s v="1048"/>
    <n v="11"/>
    <n v="1.1299999999999999"/>
    <n v="0.10272727272727274"/>
  </r>
  <r>
    <x v="0"/>
    <x v="5"/>
    <x v="5"/>
    <s v="M00000332305"/>
    <d v="2007-12-31T00:00:00"/>
    <n v="0"/>
    <n v="86.16"/>
    <n v="1440"/>
    <n v="323.10000000000002"/>
    <x v="0"/>
    <s v="13"/>
    <s v="1077"/>
    <n v="13"/>
    <n v="1.3370473537604457"/>
    <n v="0.10284979644311121"/>
  </r>
  <r>
    <x v="0"/>
    <x v="5"/>
    <x v="5"/>
    <s v="M00000269153"/>
    <d v="2007-05-10T00:00:00"/>
    <n v="0"/>
    <n v="76.8"/>
    <n v="1286.4000000000001"/>
    <n v="288"/>
    <x v="0"/>
    <s v="13"/>
    <s v="960"/>
    <n v="13"/>
    <n v="1.34"/>
    <n v="0.10307692307692308"/>
  </r>
  <r>
    <x v="0"/>
    <x v="5"/>
    <x v="5"/>
    <s v="M00000355832"/>
    <d v="2008-04-24T00:00:00"/>
    <n v="0"/>
    <n v="116"/>
    <n v="1945"/>
    <n v="435"/>
    <x v="0"/>
    <s v="13"/>
    <s v="1450"/>
    <n v="13"/>
    <n v="1.3413793103448275"/>
    <n v="0.10318302387267904"/>
  </r>
  <r>
    <x v="0"/>
    <x v="5"/>
    <x v="5"/>
    <s v="M00000326977"/>
    <d v="2007-12-31T00:00:00"/>
    <n v="0"/>
    <n v="86.4"/>
    <n v="1450"/>
    <n v="324"/>
    <x v="0"/>
    <s v="13"/>
    <s v="1080"/>
    <n v="13"/>
    <n v="1.3425925925925926"/>
    <n v="0.10327635327635327"/>
  </r>
  <r>
    <x v="0"/>
    <x v="5"/>
    <x v="5"/>
    <s v="M00000274938"/>
    <d v="2007-06-07T00:00:00"/>
    <n v="0"/>
    <n v="114.88"/>
    <n v="2225.8000000000002"/>
    <n v="430.8"/>
    <x v="0"/>
    <s v="15"/>
    <s v="1436"/>
    <n v="15"/>
    <n v="1.55"/>
    <n v="0.10333333333333333"/>
  </r>
  <r>
    <x v="0"/>
    <x v="5"/>
    <x v="5"/>
    <s v="M00000297990"/>
    <d v="2007-09-14T00:00:00"/>
    <n v="0"/>
    <n v="53.44"/>
    <n v="901"/>
    <n v="200.4"/>
    <x v="0"/>
    <s v="13"/>
    <s v="668"/>
    <n v="13"/>
    <n v="1.3488023952095809"/>
    <n v="0.103754030400737"/>
  </r>
  <r>
    <x v="0"/>
    <x v="5"/>
    <x v="5"/>
    <s v="M00000291240"/>
    <d v="2007-09-06T00:00:00"/>
    <n v="0"/>
    <n v="55.92"/>
    <n v="943.02"/>
    <n v="209.7"/>
    <x v="0"/>
    <s v="13"/>
    <s v="699"/>
    <n v="13"/>
    <n v="1.3490987124463518"/>
    <n v="0.10377682403433476"/>
  </r>
  <r>
    <x v="0"/>
    <x v="5"/>
    <x v="5"/>
    <s v="M00000277126"/>
    <d v="2007-06-14T00:00:00"/>
    <n v="0"/>
    <n v="88.88"/>
    <n v="1498.96"/>
    <n v="333.3"/>
    <x v="0"/>
    <s v="13"/>
    <s v="1111"/>
    <n v="13"/>
    <n v="1.3491989198919891"/>
    <n v="0.10378453229938378"/>
  </r>
  <r>
    <x v="0"/>
    <x v="5"/>
    <x v="5"/>
    <s v="M00000275508"/>
    <d v="2007-06-07T00:00:00"/>
    <n v="0"/>
    <n v="139.12"/>
    <n v="2346.9499999999998"/>
    <n v="521.70000000000005"/>
    <x v="0"/>
    <s v="13"/>
    <s v="1739"/>
    <n v="13"/>
    <n v="1.3495974698102358"/>
    <n v="0.10381518998540275"/>
  </r>
  <r>
    <x v="0"/>
    <x v="5"/>
    <x v="5"/>
    <s v="M00000292060"/>
    <d v="2007-08-16T00:00:00"/>
    <n v="0"/>
    <n v="68.64"/>
    <n v="1158.04"/>
    <n v="257.39999999999998"/>
    <x v="0"/>
    <s v="13"/>
    <s v="858"/>
    <n v="13"/>
    <n v="1.3496969696969696"/>
    <n v="0.10382284382284382"/>
  </r>
  <r>
    <x v="0"/>
    <x v="5"/>
    <x v="5"/>
    <s v="M00000291209"/>
    <d v="2007-08-16T00:00:00"/>
    <n v="0"/>
    <n v="87.36"/>
    <n v="1473.98"/>
    <n v="327.60000000000002"/>
    <x v="0"/>
    <s v="13"/>
    <s v="1092"/>
    <n v="13"/>
    <n v="1.3497985347985348"/>
    <n v="0.10383065652296422"/>
  </r>
  <r>
    <x v="0"/>
    <x v="5"/>
    <x v="5"/>
    <s v="M00000291318"/>
    <d v="2007-08-16T00:00:00"/>
    <n v="0"/>
    <n v="86"/>
    <n v="1451.25"/>
    <n v="322.5"/>
    <x v="0"/>
    <s v="13"/>
    <s v="1075"/>
    <n v="13"/>
    <n v="1.35"/>
    <n v="0.10384615384615385"/>
  </r>
  <r>
    <x v="0"/>
    <x v="5"/>
    <x v="5"/>
    <s v="M00000347935"/>
    <d v="2008-05-22T00:00:00"/>
    <n v="0"/>
    <n v="25.6"/>
    <n v="432"/>
    <n v="96"/>
    <x v="0"/>
    <s v="13"/>
    <s v="320"/>
    <n v="13"/>
    <n v="1.35"/>
    <n v="0.10384615384615385"/>
  </r>
  <r>
    <x v="0"/>
    <x v="5"/>
    <x v="5"/>
    <s v="M00000301853"/>
    <d v="2007-11-01T00:00:00"/>
    <n v="0"/>
    <n v="3.68"/>
    <n v="91"/>
    <n v="13.8"/>
    <x v="0"/>
    <s v="19"/>
    <s v="46"/>
    <n v="19"/>
    <n v="1.9782608695652173"/>
    <n v="0.10411899313501144"/>
  </r>
  <r>
    <x v="0"/>
    <x v="5"/>
    <x v="5"/>
    <s v="M00000359907"/>
    <d v="2008-05-15T00:00:00"/>
    <n v="0"/>
    <n v="69.680000000000007"/>
    <n v="1179"/>
    <n v="261.3"/>
    <x v="0"/>
    <s v="13"/>
    <s v="871"/>
    <n v="13"/>
    <n v="1.3536165327210103"/>
    <n v="0.10412434867084695"/>
  </r>
  <r>
    <x v="0"/>
    <x v="5"/>
    <x v="5"/>
    <s v="M00000367038"/>
    <d v="2008-06-26T00:00:00"/>
    <n v="0"/>
    <n v="100.96"/>
    <n v="1981.34"/>
    <n v="378.6"/>
    <x v="0"/>
    <s v="15"/>
    <s v="1262"/>
    <n v="15"/>
    <n v="1.57"/>
    <n v="0.10466666666666666"/>
  </r>
  <r>
    <x v="0"/>
    <x v="5"/>
    <x v="5"/>
    <s v="M00000351078"/>
    <d v="2008-05-08T00:00:00"/>
    <n v="0"/>
    <n v="92.64"/>
    <n v="1818.06"/>
    <n v="347.4"/>
    <x v="0"/>
    <s v="15"/>
    <s v="1158"/>
    <n v="15"/>
    <n v="1.57"/>
    <n v="0.10466666666666667"/>
  </r>
  <r>
    <x v="0"/>
    <x v="5"/>
    <x v="5"/>
    <s v="M00000306929"/>
    <d v="2007-12-20T00:00:00"/>
    <n v="0"/>
    <n v="117.36"/>
    <n v="2304.79"/>
    <n v="440.1"/>
    <x v="0"/>
    <s v="15"/>
    <s v="1467"/>
    <n v="15"/>
    <n v="1.5710906612133606"/>
    <n v="0.10473937741422404"/>
  </r>
  <r>
    <x v="0"/>
    <x v="5"/>
    <x v="5"/>
    <s v="M00000296426"/>
    <d v="2007-10-04T00:00:00"/>
    <n v="0"/>
    <n v="74.400000000000006"/>
    <n v="1267.96"/>
    <n v="279"/>
    <x v="0"/>
    <s v="13"/>
    <s v="930"/>
    <n v="13"/>
    <n v="1.3633978494623655"/>
    <n v="0.1048767576509512"/>
  </r>
  <r>
    <x v="0"/>
    <x v="5"/>
    <x v="5"/>
    <s v="M00000368640"/>
    <d v="2008-06-19T00:00:00"/>
    <n v="0"/>
    <n v="96.4"/>
    <n v="1896"/>
    <n v="361.5"/>
    <x v="0"/>
    <s v="15"/>
    <s v="1205"/>
    <n v="15"/>
    <n v="1.5734439834024896"/>
    <n v="0.10489626556016597"/>
  </r>
  <r>
    <x v="0"/>
    <x v="5"/>
    <x v="5"/>
    <s v="M00000280124"/>
    <d v="2007-08-16T00:00:00"/>
    <n v="0"/>
    <n v="80"/>
    <n v="1154"/>
    <n v="300"/>
    <x v="0"/>
    <s v="11"/>
    <s v="1000"/>
    <n v="11"/>
    <n v="1.1539999999999999"/>
    <n v="0.1049090909090909"/>
  </r>
  <r>
    <x v="0"/>
    <x v="5"/>
    <x v="5"/>
    <s v="M00000277944"/>
    <d v="2007-06-21T00:00:00"/>
    <n v="0"/>
    <n v="53.36"/>
    <n v="1049.99"/>
    <n v="200.1"/>
    <x v="0"/>
    <s v="15"/>
    <s v="667"/>
    <n v="15"/>
    <n v="1.5741979010494753"/>
    <n v="0.10494652673663168"/>
  </r>
  <r>
    <x v="0"/>
    <x v="5"/>
    <x v="5"/>
    <s v="M00000363789"/>
    <d v="2008-05-29T00:00:00"/>
    <n v="0"/>
    <n v="184.08"/>
    <n v="2657"/>
    <n v="690.3"/>
    <x v="0"/>
    <s v="11"/>
    <s v="2301"/>
    <n v="11"/>
    <n v="1.1547153411560191"/>
    <n v="0.10497412192327447"/>
  </r>
  <r>
    <x v="0"/>
    <x v="5"/>
    <x v="5"/>
    <s v="M00000287823"/>
    <d v="2007-08-23T00:00:00"/>
    <n v="0"/>
    <n v="216"/>
    <n v="4257.09"/>
    <n v="810"/>
    <x v="0"/>
    <s v="15"/>
    <s v="2700"/>
    <n v="15"/>
    <n v="1.5767"/>
    <n v="0.10511333333333334"/>
  </r>
  <r>
    <x v="0"/>
    <x v="5"/>
    <x v="5"/>
    <s v="M00000366135"/>
    <d v="2008-06-12T00:00:00"/>
    <n v="0"/>
    <n v="119.52"/>
    <n v="2356.2199999999998"/>
    <n v="448.2"/>
    <x v="0"/>
    <s v="15"/>
    <s v="1494"/>
    <n v="15"/>
    <n v="1.5771218206157964"/>
    <n v="0.10514145470771977"/>
  </r>
  <r>
    <x v="0"/>
    <x v="5"/>
    <x v="5"/>
    <s v="M00000277355"/>
    <d v="2007-08-09T00:00:00"/>
    <n v="0"/>
    <n v="78.8"/>
    <n v="1350.04"/>
    <n v="295.5"/>
    <x v="0"/>
    <s v="13"/>
    <s v="985"/>
    <n v="13"/>
    <n v="1.3705989847715736"/>
    <n v="0.10543069113627489"/>
  </r>
  <r>
    <x v="0"/>
    <x v="5"/>
    <x v="5"/>
    <s v="M00000355829"/>
    <d v="2008-05-15T00:00:00"/>
    <n v="0"/>
    <n v="80"/>
    <n v="1160"/>
    <n v="300"/>
    <x v="0"/>
    <s v="11"/>
    <s v="1000"/>
    <n v="11"/>
    <n v="1.1599999999999999"/>
    <n v="0.10545454545454545"/>
  </r>
  <r>
    <x v="0"/>
    <x v="5"/>
    <x v="5"/>
    <s v="M00000308297"/>
    <d v="2007-10-25T00:00:00"/>
    <n v="0"/>
    <n v="46.88"/>
    <n v="808"/>
    <n v="175.8"/>
    <x v="0"/>
    <s v="13"/>
    <s v="586"/>
    <n v="13"/>
    <n v="1.3788395904436861"/>
    <n v="0.10606458388028354"/>
  </r>
  <r>
    <x v="0"/>
    <x v="5"/>
    <x v="5"/>
    <s v="M00000300860"/>
    <d v="2007-09-27T00:00:00"/>
    <n v="0"/>
    <n v="50.88"/>
    <n v="877"/>
    <n v="190.8"/>
    <x v="0"/>
    <s v="13"/>
    <s v="636"/>
    <n v="13"/>
    <n v="1.378930817610063"/>
    <n v="0.10607160135462022"/>
  </r>
  <r>
    <x v="0"/>
    <x v="5"/>
    <x v="5"/>
    <s v="M00000276418"/>
    <d v="2007-06-14T00:00:00"/>
    <n v="0"/>
    <n v="92.24"/>
    <n v="1589.99"/>
    <n v="345.9"/>
    <x v="0"/>
    <s v="13"/>
    <s v="1153"/>
    <n v="13"/>
    <n v="1.3790026019080659"/>
    <n v="0.10607712322369738"/>
  </r>
  <r>
    <x v="0"/>
    <x v="5"/>
    <x v="5"/>
    <s v="M00000304068"/>
    <d v="2007-10-11T00:00:00"/>
    <n v="0"/>
    <n v="106.24"/>
    <n v="1832"/>
    <n v="398.4"/>
    <x v="0"/>
    <s v="13"/>
    <s v="1328"/>
    <n v="13"/>
    <n v="1.3795180722891567"/>
    <n v="0.10611677479147359"/>
  </r>
  <r>
    <x v="0"/>
    <x v="5"/>
    <x v="5"/>
    <s v="M00000325640"/>
    <d v="2007-12-27T00:00:00"/>
    <n v="0"/>
    <n v="70.400000000000006"/>
    <n v="1214"/>
    <n v="264"/>
    <x v="0"/>
    <s v="13"/>
    <s v="880"/>
    <n v="13"/>
    <n v="1.3795454545454546"/>
    <n v="0.10611888111888113"/>
  </r>
  <r>
    <x v="0"/>
    <x v="5"/>
    <x v="5"/>
    <s v="M00000327235"/>
    <d v="2007-12-31T00:00:00"/>
    <n v="0"/>
    <n v="61.92"/>
    <n v="1068"/>
    <n v="232.2"/>
    <x v="0"/>
    <s v="13"/>
    <s v="774"/>
    <n v="13"/>
    <n v="1.3798449612403101"/>
    <n v="0.10614192009540847"/>
  </r>
  <r>
    <x v="0"/>
    <x v="5"/>
    <x v="5"/>
    <s v="M00000277854"/>
    <d v="2007-07-06T00:00:00"/>
    <n v="0"/>
    <n v="66.319999999999993"/>
    <n v="1144.02"/>
    <n v="248.7"/>
    <x v="0"/>
    <s v="13"/>
    <s v="829"/>
    <n v="13"/>
    <n v="1.38"/>
    <n v="0.10615384615384614"/>
  </r>
  <r>
    <x v="0"/>
    <x v="5"/>
    <x v="5"/>
    <s v="M00000270811"/>
    <d v="2007-05-10T00:00:00"/>
    <n v="0"/>
    <n v="130.47999999999999"/>
    <n v="2250.7800000000002"/>
    <n v="489.3"/>
    <x v="0"/>
    <s v="13"/>
    <s v="1631"/>
    <n v="13"/>
    <n v="1.38"/>
    <n v="0.10615384615384617"/>
  </r>
  <r>
    <x v="0"/>
    <x v="5"/>
    <x v="5"/>
    <s v="M00000343723"/>
    <d v="2008-03-20T00:00:00"/>
    <n v="0"/>
    <n v="73.44"/>
    <n v="1267"/>
    <n v="275.39999999999998"/>
    <x v="0"/>
    <s v="13"/>
    <s v="918"/>
    <n v="13"/>
    <n v="1.3801742919389979"/>
    <n v="0.10616725322607676"/>
  </r>
  <r>
    <x v="0"/>
    <x v="5"/>
    <x v="5"/>
    <s v="M00000301618"/>
    <d v="2007-11-21T00:00:00"/>
    <n v="0"/>
    <n v="72"/>
    <n v="1150"/>
    <n v="270"/>
    <x v="0"/>
    <s v="12"/>
    <s v="900"/>
    <n v="12"/>
    <n v="1.2777777777777777"/>
    <n v="0.10648148148148147"/>
  </r>
  <r>
    <x v="0"/>
    <x v="5"/>
    <x v="5"/>
    <s v="M00000325080"/>
    <d v="2007-12-27T00:00:00"/>
    <n v="0"/>
    <n v="60"/>
    <n v="1040"/>
    <n v="225"/>
    <x v="0"/>
    <s v="13"/>
    <s v="750"/>
    <n v="13"/>
    <n v="1.3866666666666667"/>
    <n v="0.10666666666666667"/>
  </r>
  <r>
    <x v="0"/>
    <x v="5"/>
    <x v="5"/>
    <s v="M00000331886"/>
    <d v="2008-01-17T00:00:00"/>
    <n v="0"/>
    <n v="101.76"/>
    <n v="1764"/>
    <n v="381.6"/>
    <x v="0"/>
    <s v="13"/>
    <s v="1272"/>
    <n v="13"/>
    <n v="1.3867924528301887"/>
    <n v="0.10667634252539913"/>
  </r>
  <r>
    <x v="0"/>
    <x v="5"/>
    <x v="5"/>
    <s v="M00000291551"/>
    <d v="2007-08-16T00:00:00"/>
    <n v="0"/>
    <n v="111.36"/>
    <n v="1930.98"/>
    <n v="417.6"/>
    <x v="0"/>
    <s v="13"/>
    <s v="1392"/>
    <n v="13"/>
    <n v="1.3871982758620689"/>
    <n v="0.10670755968169761"/>
  </r>
  <r>
    <x v="0"/>
    <x v="5"/>
    <x v="5"/>
    <s v="M00000326067"/>
    <d v="2007-12-31T00:00:00"/>
    <n v="0"/>
    <n v="72.959999999999994"/>
    <n v="1266"/>
    <n v="273.60000000000002"/>
    <x v="0"/>
    <s v="13"/>
    <s v="912"/>
    <n v="13"/>
    <n v="1.388157894736842"/>
    <n v="0.10678137651821862"/>
  </r>
  <r>
    <x v="0"/>
    <x v="5"/>
    <x v="5"/>
    <s v="M00000373405"/>
    <d v="2008-07-10T00:00:00"/>
    <n v="0"/>
    <n v="43.2"/>
    <n v="750"/>
    <n v="162"/>
    <x v="0"/>
    <s v="13"/>
    <s v="540"/>
    <n v="13"/>
    <n v="1.3888888888888888"/>
    <n v="0.10683760683760683"/>
  </r>
  <r>
    <x v="0"/>
    <x v="5"/>
    <x v="5"/>
    <s v="M00000341597"/>
    <d v="2008-02-29T00:00:00"/>
    <n v="0"/>
    <n v="124.48"/>
    <n v="2170"/>
    <n v="466.8"/>
    <x v="0"/>
    <s v="13"/>
    <s v="1556"/>
    <n v="13"/>
    <n v="1.3946015424164524"/>
    <n v="0.10727704172434249"/>
  </r>
  <r>
    <x v="0"/>
    <x v="5"/>
    <x v="5"/>
    <s v="M00000339885"/>
    <d v="2008-02-14T00:00:00"/>
    <n v="0"/>
    <n v="77.84"/>
    <n v="1566"/>
    <n v="291.89999999999998"/>
    <x v="0"/>
    <s v="15"/>
    <s v="973"/>
    <n v="15"/>
    <n v="1.6094552929085304"/>
    <n v="0.10729701952723536"/>
  </r>
  <r>
    <x v="0"/>
    <x v="5"/>
    <x v="5"/>
    <s v="M00000357554"/>
    <d v="2008-04-30T00:00:00"/>
    <n v="0"/>
    <n v="71.680000000000007"/>
    <n v="1250"/>
    <n v="268.8"/>
    <x v="0"/>
    <s v="13"/>
    <s v="896"/>
    <n v="13"/>
    <n v="1.3950892857142858"/>
    <n v="0.10731456043956045"/>
  </r>
  <r>
    <x v="0"/>
    <x v="5"/>
    <x v="5"/>
    <s v="M00000281569"/>
    <d v="2007-07-06T00:00:00"/>
    <n v="0"/>
    <n v="38.880000000000003"/>
    <n v="680.01"/>
    <n v="145.80000000000001"/>
    <x v="0"/>
    <s v="13"/>
    <s v="486"/>
    <n v="13"/>
    <n v="1.3991975308641975"/>
    <n v="0.10763057929724597"/>
  </r>
  <r>
    <x v="0"/>
    <x v="5"/>
    <x v="5"/>
    <s v="M00000291207"/>
    <d v="2007-08-16T00:00:00"/>
    <n v="0"/>
    <n v="104.96"/>
    <n v="1836.01"/>
    <n v="393.6"/>
    <x v="0"/>
    <s v="13"/>
    <s v="1312"/>
    <n v="13"/>
    <n v="1.3993978658536586"/>
    <n v="0.10764598968105066"/>
  </r>
  <r>
    <x v="0"/>
    <x v="5"/>
    <x v="5"/>
    <s v="M00000315664"/>
    <d v="2007-12-31T00:00:00"/>
    <n v="0"/>
    <n v="124.88"/>
    <n v="2185"/>
    <n v="468.3"/>
    <x v="0"/>
    <s v="13"/>
    <s v="1561"/>
    <n v="13"/>
    <n v="1.3997437540038438"/>
    <n v="0.10767259646183414"/>
  </r>
  <r>
    <x v="0"/>
    <x v="5"/>
    <x v="5"/>
    <s v="M00000301534"/>
    <d v="2007-09-28T00:00:00"/>
    <n v="0"/>
    <n v="73.84"/>
    <n v="1292"/>
    <n v="276.89999999999998"/>
    <x v="0"/>
    <s v="13"/>
    <s v="923"/>
    <n v="13"/>
    <n v="1.3997833152762731"/>
    <n v="0.10767563963663639"/>
  </r>
  <r>
    <x v="0"/>
    <x v="5"/>
    <x v="5"/>
    <s v="M00000342692"/>
    <d v="2008-03-06T00:00:00"/>
    <n v="0"/>
    <n v="52"/>
    <n v="910"/>
    <n v="195"/>
    <x v="0"/>
    <s v="13"/>
    <s v="650"/>
    <n v="13"/>
    <n v="1.4"/>
    <n v="0.10769230769230768"/>
  </r>
  <r>
    <x v="0"/>
    <x v="5"/>
    <x v="5"/>
    <s v="M00000358349"/>
    <d v="2008-05-08T00:00:00"/>
    <n v="0"/>
    <n v="111.6"/>
    <n v="1953"/>
    <n v="418.5"/>
    <x v="0"/>
    <s v="13"/>
    <s v="1395"/>
    <n v="13"/>
    <n v="1.4"/>
    <n v="0.10769230769230768"/>
  </r>
  <r>
    <x v="0"/>
    <x v="5"/>
    <x v="5"/>
    <s v="M00000269694"/>
    <d v="2007-05-10T00:00:00"/>
    <n v="0"/>
    <n v="56.32"/>
    <n v="985.6"/>
    <n v="211.2"/>
    <x v="0"/>
    <s v="13"/>
    <s v="704"/>
    <n v="13"/>
    <n v="1.4"/>
    <n v="0.1076923076923077"/>
  </r>
  <r>
    <x v="0"/>
    <x v="5"/>
    <x v="5"/>
    <s v="M00000339902"/>
    <d v="2008-03-27T00:00:00"/>
    <n v="0"/>
    <n v="159.36000000000001"/>
    <n v="2796"/>
    <n v="597.6"/>
    <x v="0"/>
    <s v="13"/>
    <s v="1992"/>
    <n v="13"/>
    <n v="1.4036144578313252"/>
    <n v="0.10797034291010194"/>
  </r>
  <r>
    <x v="0"/>
    <x v="5"/>
    <x v="5"/>
    <s v="M00000351318"/>
    <d v="2008-04-03T00:00:00"/>
    <n v="0"/>
    <n v="80"/>
    <n v="1404.86"/>
    <n v="300"/>
    <x v="0"/>
    <s v="13"/>
    <s v="1000"/>
    <n v="13"/>
    <n v="1.40486"/>
    <n v="0.10806615384615384"/>
  </r>
  <r>
    <x v="0"/>
    <x v="5"/>
    <x v="5"/>
    <s v="M00000354896"/>
    <d v="2008-04-24T00:00:00"/>
    <n v="0"/>
    <n v="64.319999999999993"/>
    <n v="1132"/>
    <n v="241.2"/>
    <x v="0"/>
    <s v="13"/>
    <s v="804"/>
    <n v="13"/>
    <n v="1.407960199004975"/>
    <n v="0.10830463069269039"/>
  </r>
  <r>
    <x v="0"/>
    <x v="5"/>
    <x v="5"/>
    <s v="M00000293019"/>
    <d v="2007-08-23T00:00:00"/>
    <n v="0"/>
    <n v="73.52"/>
    <n v="1294.04"/>
    <n v="275.7"/>
    <x v="0"/>
    <s v="13"/>
    <s v="919"/>
    <n v="13"/>
    <n v="1.4080957562568008"/>
    <n v="0.10831505817360007"/>
  </r>
  <r>
    <x v="0"/>
    <x v="5"/>
    <x v="5"/>
    <s v="M00000308201"/>
    <d v="2007-10-25T00:00:00"/>
    <n v="0"/>
    <n v="70.400000000000006"/>
    <n v="1430"/>
    <n v="264"/>
    <x v="0"/>
    <s v="15"/>
    <s v="880"/>
    <n v="15"/>
    <n v="1.625"/>
    <n v="0.10833333333333334"/>
  </r>
  <r>
    <x v="0"/>
    <x v="5"/>
    <x v="5"/>
    <s v="M00000295131"/>
    <d v="2007-08-30T00:00:00"/>
    <n v="0"/>
    <n v="79.12"/>
    <n v="1394"/>
    <n v="296.7"/>
    <x v="0"/>
    <s v="13"/>
    <s v="989"/>
    <n v="13"/>
    <n v="1.4095045500505561"/>
    <n v="0.10842342692696585"/>
  </r>
  <r>
    <x v="0"/>
    <x v="5"/>
    <x v="5"/>
    <s v="M00000318278"/>
    <d v="2007-12-06T00:00:00"/>
    <n v="0"/>
    <n v="83.92"/>
    <n v="1484.42"/>
    <n v="314.7"/>
    <x v="0"/>
    <s v="13"/>
    <s v="1049"/>
    <n v="13"/>
    <n v="1.4150810295519543"/>
    <n v="0.10885238688861186"/>
  </r>
  <r>
    <x v="0"/>
    <x v="5"/>
    <x v="5"/>
    <s v="M00000357654"/>
    <d v="2008-05-15T00:00:00"/>
    <n v="0"/>
    <n v="50.88"/>
    <n v="900"/>
    <n v="190.8"/>
    <x v="0"/>
    <s v="13"/>
    <s v="636"/>
    <n v="13"/>
    <n v="1.4150943396226414"/>
    <n v="0.10885341074020319"/>
  </r>
  <r>
    <x v="0"/>
    <x v="5"/>
    <x v="5"/>
    <s v="M00000339840"/>
    <d v="2008-03-20T00:00:00"/>
    <n v="0"/>
    <n v="94.72"/>
    <n v="1678"/>
    <n v="355.2"/>
    <x v="0"/>
    <s v="13"/>
    <s v="1184"/>
    <n v="13"/>
    <n v="1.4172297297297298"/>
    <n v="0.10901767151767153"/>
  </r>
  <r>
    <x v="0"/>
    <x v="5"/>
    <x v="5"/>
    <s v="M00000350645"/>
    <d v="2008-04-03T00:00:00"/>
    <n v="0"/>
    <n v="80.319999999999993"/>
    <n v="1204"/>
    <n v="301.2"/>
    <x v="0"/>
    <s v="11"/>
    <s v="1004"/>
    <n v="11"/>
    <n v="1.1992031872509961"/>
    <n v="0.10901847156827237"/>
  </r>
  <r>
    <x v="0"/>
    <x v="5"/>
    <x v="5"/>
    <s v="M00000365581"/>
    <d v="2008-06-12T00:00:00"/>
    <n v="0"/>
    <n v="76.319999999999993"/>
    <n v="1354"/>
    <n v="286.2"/>
    <x v="0"/>
    <s v="13"/>
    <s v="954"/>
    <n v="13"/>
    <n v="1.4192872117400419"/>
    <n v="0.10917593936461861"/>
  </r>
  <r>
    <x v="0"/>
    <x v="5"/>
    <x v="5"/>
    <s v="M00000355873"/>
    <d v="2008-04-24T00:00:00"/>
    <n v="0"/>
    <n v="112.48"/>
    <n v="2000"/>
    <n v="421.8"/>
    <x v="0"/>
    <s v="13"/>
    <s v="1406"/>
    <n v="13"/>
    <n v="1.4224751066856329"/>
    <n v="0.10942116205274099"/>
  </r>
  <r>
    <x v="0"/>
    <x v="5"/>
    <x v="5"/>
    <s v="M00000359712"/>
    <d v="2008-05-22T00:00:00"/>
    <n v="0"/>
    <n v="105.44"/>
    <n v="1587"/>
    <n v="395.4"/>
    <x v="0"/>
    <s v="11"/>
    <s v="1318"/>
    <n v="11"/>
    <n v="1.2040971168437027"/>
    <n v="0.10946337425851843"/>
  </r>
  <r>
    <x v="0"/>
    <x v="5"/>
    <x v="5"/>
    <s v="M00000318348"/>
    <d v="2007-12-06T00:00:00"/>
    <n v="0"/>
    <n v="110.56"/>
    <n v="1967"/>
    <n v="414.6"/>
    <x v="0"/>
    <s v="13"/>
    <s v="1382"/>
    <n v="13"/>
    <n v="1.4232995658465992"/>
    <n v="0.10948458198819994"/>
  </r>
  <r>
    <x v="0"/>
    <x v="5"/>
    <x v="5"/>
    <s v="M00000374691"/>
    <d v="2008-07-10T00:00:00"/>
    <n v="0"/>
    <n v="112"/>
    <n v="1995"/>
    <n v="420"/>
    <x v="0"/>
    <s v="13"/>
    <s v="1400"/>
    <n v="13"/>
    <n v="1.425"/>
    <n v="0.10961538461538461"/>
  </r>
  <r>
    <x v="0"/>
    <x v="5"/>
    <x v="5"/>
    <s v="M00000327302"/>
    <d v="2007-12-31T00:00:00"/>
    <n v="0"/>
    <n v="70.72"/>
    <n v="1260"/>
    <n v="265.2"/>
    <x v="0"/>
    <s v="13"/>
    <s v="884"/>
    <n v="13"/>
    <n v="1.4253393665158371"/>
    <n v="0.10964148973198748"/>
  </r>
  <r>
    <x v="0"/>
    <x v="5"/>
    <x v="5"/>
    <s v="M00000296024"/>
    <d v="2007-09-06T00:00:00"/>
    <n v="0"/>
    <n v="78.16"/>
    <n v="1393.98"/>
    <n v="293.10000000000002"/>
    <x v="0"/>
    <s v="13"/>
    <s v="977"/>
    <n v="13"/>
    <n v="1.4267963152507677"/>
    <n v="0.10975356271159752"/>
  </r>
  <r>
    <x v="0"/>
    <x v="5"/>
    <x v="5"/>
    <s v="M00000313007"/>
    <d v="2007-12-31T00:00:00"/>
    <n v="0"/>
    <n v="83.6"/>
    <n v="1724.25"/>
    <n v="313.5"/>
    <x v="0"/>
    <s v="15"/>
    <s v="1045"/>
    <n v="15"/>
    <n v="1.65"/>
    <n v="0.11"/>
  </r>
  <r>
    <x v="0"/>
    <x v="5"/>
    <x v="5"/>
    <s v="M00000346165"/>
    <d v="2008-04-03T00:00:00"/>
    <n v="0"/>
    <n v="35.36"/>
    <n v="729.3"/>
    <n v="132.6"/>
    <x v="0"/>
    <s v="15"/>
    <s v="442"/>
    <n v="15"/>
    <n v="1.65"/>
    <n v="0.11"/>
  </r>
  <r>
    <x v="0"/>
    <x v="5"/>
    <x v="5"/>
    <s v="M00000363756"/>
    <d v="2008-06-26T00:00:00"/>
    <n v="0"/>
    <n v="58.72"/>
    <n v="1211.0999999999999"/>
    <n v="220.2"/>
    <x v="0"/>
    <s v="15"/>
    <s v="734"/>
    <n v="15"/>
    <n v="1.65"/>
    <n v="0.11"/>
  </r>
  <r>
    <x v="0"/>
    <x v="5"/>
    <x v="5"/>
    <s v="M00000355867"/>
    <d v="2008-05-29T00:00:00"/>
    <n v="0"/>
    <n v="56"/>
    <n v="1160"/>
    <n v="210"/>
    <x v="0"/>
    <s v="15"/>
    <s v="700"/>
    <n v="15"/>
    <n v="1.6571428571428573"/>
    <n v="0.11047619047619048"/>
  </r>
  <r>
    <x v="0"/>
    <x v="5"/>
    <x v="5"/>
    <s v="M00000272763"/>
    <d v="2007-05-24T00:00:00"/>
    <n v="0"/>
    <n v="120.4"/>
    <n v="2175.0300000000002"/>
    <n v="451.5"/>
    <x v="0"/>
    <s v="13"/>
    <s v="1505"/>
    <n v="13"/>
    <n v="1.4452026578073092"/>
    <n v="0.11116943521594685"/>
  </r>
  <r>
    <x v="0"/>
    <x v="5"/>
    <x v="5"/>
    <s v="M00000298054"/>
    <d v="2007-09-14T00:00:00"/>
    <n v="0"/>
    <n v="110.48"/>
    <n v="1996"/>
    <n v="414.3"/>
    <x v="0"/>
    <s v="13"/>
    <s v="1381"/>
    <n v="13"/>
    <n v="1.445329471397538"/>
    <n v="0.11117919010750292"/>
  </r>
  <r>
    <x v="0"/>
    <x v="5"/>
    <x v="5"/>
    <s v="M00000305383"/>
    <d v="2008-03-13T00:00:00"/>
    <n v="0"/>
    <n v="59.69"/>
    <n v="1384.43"/>
    <n v="248.7"/>
    <x v="0"/>
    <s v="15"/>
    <s v="829"/>
    <n v="15"/>
    <n v="1.67"/>
    <n v="0.11133333333333334"/>
  </r>
  <r>
    <x v="0"/>
    <x v="5"/>
    <x v="5"/>
    <s v="M00000301257"/>
    <d v="2007-09-27T00:00:00"/>
    <n v="0"/>
    <n v="102.32"/>
    <n v="1854"/>
    <n v="383.7"/>
    <x v="0"/>
    <s v="13"/>
    <s v="1279"/>
    <n v="13"/>
    <n v="1.4495699765441752"/>
    <n v="0.1115053828110904"/>
  </r>
  <r>
    <x v="0"/>
    <x v="5"/>
    <x v="5"/>
    <s v="M00000294393"/>
    <d v="2007-09-28T00:00:00"/>
    <n v="0"/>
    <n v="81.92"/>
    <n v="1485"/>
    <n v="307.2"/>
    <x v="0"/>
    <s v="13"/>
    <s v="1024"/>
    <n v="13"/>
    <n v="1.4501953125"/>
    <n v="0.11155348557692307"/>
  </r>
  <r>
    <x v="0"/>
    <x v="5"/>
    <x v="5"/>
    <s v="M00000313437"/>
    <d v="2007-11-15T00:00:00"/>
    <n v="0"/>
    <n v="77.12"/>
    <n v="1404.69"/>
    <n v="289.2"/>
    <x v="0"/>
    <s v="13"/>
    <s v="964"/>
    <n v="13"/>
    <n v="1.4571473029045643"/>
    <n v="0.11208825406958187"/>
  </r>
  <r>
    <x v="0"/>
    <x v="5"/>
    <x v="5"/>
    <s v="M00000369981"/>
    <d v="2008-06-26T00:00:00"/>
    <n v="0"/>
    <n v="157.36000000000001"/>
    <n v="2869"/>
    <n v="590.1"/>
    <x v="0"/>
    <s v="13"/>
    <s v="1967"/>
    <n v="13"/>
    <n v="1.4585663446873411"/>
    <n v="0.11219741112979548"/>
  </r>
  <r>
    <x v="0"/>
    <x v="5"/>
    <x v="5"/>
    <s v="M00000296624"/>
    <d v="2007-09-14T00:00:00"/>
    <n v="0"/>
    <n v="94.24"/>
    <n v="1985.05"/>
    <n v="353.4"/>
    <x v="0"/>
    <s v="15"/>
    <s v="1178"/>
    <n v="15"/>
    <n v="1.6851018675721561"/>
    <n v="0.1123401245048104"/>
  </r>
  <r>
    <x v="0"/>
    <x v="5"/>
    <x v="5"/>
    <s v="M00000300891"/>
    <d v="2007-09-28T00:00:00"/>
    <n v="0"/>
    <n v="55.6"/>
    <n v="1018.75"/>
    <n v="208.5"/>
    <x v="0"/>
    <s v="13"/>
    <s v="695"/>
    <n v="13"/>
    <n v="1.4658273381294964"/>
    <n v="0.11275594908688434"/>
  </r>
  <r>
    <x v="0"/>
    <x v="5"/>
    <x v="5"/>
    <s v="M00000349606"/>
    <d v="2008-05-22T00:00:00"/>
    <n v="0"/>
    <n v="67.040000000000006"/>
    <n v="1418.06"/>
    <n v="251.4"/>
    <x v="0"/>
    <s v="15"/>
    <s v="838"/>
    <n v="15"/>
    <n v="1.6921957040572793"/>
    <n v="0.11281304693715195"/>
  </r>
  <r>
    <x v="0"/>
    <x v="5"/>
    <x v="5"/>
    <s v="M00000319021"/>
    <d v="2007-12-31T00:00:00"/>
    <n v="0"/>
    <n v="73.599999999999994"/>
    <n v="1350"/>
    <n v="276"/>
    <x v="0"/>
    <s v="13"/>
    <s v="920"/>
    <n v="13"/>
    <n v="1.4673913043478262"/>
    <n v="0.11287625418060201"/>
  </r>
  <r>
    <x v="0"/>
    <x v="5"/>
    <x v="5"/>
    <s v="M00000299173"/>
    <d v="2007-09-20T00:00:00"/>
    <n v="0"/>
    <n v="63.76"/>
    <n v="1175"/>
    <n v="239.1"/>
    <x v="0"/>
    <s v="13"/>
    <s v="797"/>
    <n v="13"/>
    <n v="1.4742785445420326"/>
    <n v="0.11340604188784865"/>
  </r>
  <r>
    <x v="0"/>
    <x v="5"/>
    <x v="5"/>
    <s v="M00000273232"/>
    <d v="2007-05-31T00:00:00"/>
    <n v="0"/>
    <n v="9.6"/>
    <n v="150"/>
    <n v="36"/>
    <x v="0"/>
    <s v="11"/>
    <s v="120"/>
    <n v="11"/>
    <n v="1.25"/>
    <n v="0.11363636363636363"/>
  </r>
  <r>
    <x v="0"/>
    <x v="5"/>
    <x v="5"/>
    <s v="M00000335636"/>
    <d v="2008-01-31T00:00:00"/>
    <n v="0"/>
    <n v="78.239999999999995"/>
    <n v="1445"/>
    <n v="293.39999999999998"/>
    <x v="0"/>
    <s v="13"/>
    <s v="978"/>
    <n v="13"/>
    <n v="1.4775051124744376"/>
    <n v="0.11365423942111058"/>
  </r>
  <r>
    <x v="0"/>
    <x v="5"/>
    <x v="5"/>
    <s v="M00000312752"/>
    <d v="2007-11-15T00:00:00"/>
    <n v="0"/>
    <n v="27.2"/>
    <n v="580"/>
    <n v="102"/>
    <x v="0"/>
    <s v="15"/>
    <s v="340"/>
    <n v="15"/>
    <n v="1.7058823529411764"/>
    <n v="0.11372549019607843"/>
  </r>
  <r>
    <x v="0"/>
    <x v="5"/>
    <x v="5"/>
    <s v="M00000308378"/>
    <d v="2007-11-21T00:00:00"/>
    <n v="0"/>
    <n v="18.88"/>
    <n v="349"/>
    <n v="70.8"/>
    <x v="0"/>
    <s v="13"/>
    <s v="236"/>
    <n v="13"/>
    <n v="1.478813559322034"/>
    <n v="0.11375488917861799"/>
  </r>
  <r>
    <x v="0"/>
    <x v="5"/>
    <x v="5"/>
    <s v="M00000351370"/>
    <d v="2008-04-03T00:00:00"/>
    <n v="0"/>
    <n v="88.8"/>
    <n v="1642"/>
    <n v="333"/>
    <x v="0"/>
    <s v="13"/>
    <s v="1110"/>
    <n v="13"/>
    <n v="1.4792792792792793"/>
    <n v="0.11379071379071379"/>
  </r>
  <r>
    <x v="0"/>
    <x v="5"/>
    <x v="5"/>
    <s v="M00000342920"/>
    <d v="2008-03-20T00:00:00"/>
    <n v="0"/>
    <n v="108.4"/>
    <n v="2315"/>
    <n v="406.5"/>
    <x v="0"/>
    <s v="15"/>
    <s v="1355"/>
    <n v="15"/>
    <n v="1.7084870848708487"/>
    <n v="0.11389913899138991"/>
  </r>
  <r>
    <x v="0"/>
    <x v="5"/>
    <x v="5"/>
    <s v="M00000311948"/>
    <d v="2007-12-13T00:00:00"/>
    <n v="0"/>
    <n v="32"/>
    <n v="595"/>
    <n v="120"/>
    <x v="0"/>
    <s v="13"/>
    <s v="400"/>
    <n v="13"/>
    <n v="1.4875"/>
    <n v="0.11442307692307693"/>
  </r>
  <r>
    <x v="0"/>
    <x v="5"/>
    <x v="5"/>
    <s v="M00000297952"/>
    <d v="2007-10-18T00:00:00"/>
    <n v="0"/>
    <n v="82.4"/>
    <n v="1535.01"/>
    <n v="309"/>
    <x v="0"/>
    <s v="13"/>
    <s v="1030"/>
    <n v="13"/>
    <n v="1.4903009708737864"/>
    <n v="0.11463853622106049"/>
  </r>
  <r>
    <x v="0"/>
    <x v="5"/>
    <x v="5"/>
    <s v="M00000292654"/>
    <d v="2007-08-23T00:00:00"/>
    <n v="0"/>
    <n v="79.680000000000007"/>
    <n v="1485.04"/>
    <n v="298.8"/>
    <x v="0"/>
    <s v="13"/>
    <s v="996"/>
    <n v="13"/>
    <n v="1.491004016064257"/>
    <n v="0.11469261662032747"/>
  </r>
  <r>
    <x v="0"/>
    <x v="5"/>
    <x v="5"/>
    <s v="M00000341880"/>
    <d v="2008-02-29T00:00:00"/>
    <n v="0"/>
    <n v="106.24"/>
    <n v="1987"/>
    <n v="398.4"/>
    <x v="0"/>
    <s v="13"/>
    <s v="1328"/>
    <n v="13"/>
    <n v="1.4962349397590362"/>
    <n v="0.11509499536607971"/>
  </r>
  <r>
    <x v="0"/>
    <x v="5"/>
    <x v="5"/>
    <s v="M00000283274"/>
    <d v="2007-09-06T00:00:00"/>
    <n v="0"/>
    <n v="37.119999999999997"/>
    <n v="694.98"/>
    <n v="139.19999999999999"/>
    <x v="0"/>
    <s v="13"/>
    <s v="464"/>
    <n v="13"/>
    <n v="1.4978017241379311"/>
    <n v="0.11521551724137932"/>
  </r>
  <r>
    <x v="0"/>
    <x v="5"/>
    <x v="5"/>
    <s v="M00000269124"/>
    <d v="2007-05-10T00:00:00"/>
    <n v="0"/>
    <n v="145.6"/>
    <n v="2730"/>
    <n v="546"/>
    <x v="0"/>
    <s v="13"/>
    <s v="1820"/>
    <n v="13"/>
    <n v="1.5"/>
    <n v="0.11538461538461539"/>
  </r>
  <r>
    <x v="0"/>
    <x v="5"/>
    <x v="5"/>
    <s v="M00000296267"/>
    <d v="2007-09-06T00:00:00"/>
    <n v="0"/>
    <n v="71.680000000000007"/>
    <n v="1344"/>
    <n v="268.8"/>
    <x v="0"/>
    <s v="13"/>
    <s v="896"/>
    <n v="13"/>
    <n v="1.5"/>
    <n v="0.11538461538461539"/>
  </r>
  <r>
    <x v="0"/>
    <x v="5"/>
    <x v="5"/>
    <s v="M00000346987"/>
    <d v="2008-03-20T00:00:00"/>
    <n v="0"/>
    <n v="68"/>
    <n v="1275"/>
    <n v="255"/>
    <x v="0"/>
    <s v="13"/>
    <s v="850"/>
    <n v="13"/>
    <n v="1.5"/>
    <n v="0.11538461538461539"/>
  </r>
  <r>
    <x v="0"/>
    <x v="5"/>
    <x v="5"/>
    <s v="M00000347706"/>
    <d v="2008-03-20T00:00:00"/>
    <n v="0"/>
    <n v="72"/>
    <n v="1350"/>
    <n v="270"/>
    <x v="0"/>
    <s v="13"/>
    <s v="900"/>
    <n v="13"/>
    <n v="1.5"/>
    <n v="0.11538461538461539"/>
  </r>
  <r>
    <x v="0"/>
    <x v="5"/>
    <x v="5"/>
    <s v="M00000365598"/>
    <d v="2008-06-12T00:00:00"/>
    <n v="0"/>
    <n v="82"/>
    <n v="1538"/>
    <n v="307.5"/>
    <x v="0"/>
    <s v="13"/>
    <s v="1025"/>
    <n v="13"/>
    <n v="1.5004878048780488"/>
    <n v="0.11542213883677298"/>
  </r>
  <r>
    <x v="0"/>
    <x v="5"/>
    <x v="5"/>
    <s v="M00000334509"/>
    <d v="2008-02-07T00:00:00"/>
    <n v="0"/>
    <n v="104"/>
    <n v="1651"/>
    <n v="390"/>
    <x v="0"/>
    <s v="11"/>
    <s v="1300"/>
    <n v="11"/>
    <n v="1.27"/>
    <n v="0.11545454545454546"/>
  </r>
  <r>
    <x v="0"/>
    <x v="5"/>
    <x v="5"/>
    <s v="M00000316344"/>
    <d v="2007-11-30T00:00:00"/>
    <n v="0"/>
    <n v="111.28"/>
    <n v="2092"/>
    <n v="417.3"/>
    <x v="0"/>
    <s v="13"/>
    <s v="1391"/>
    <n v="13"/>
    <n v="1.5039539899352983"/>
    <n v="0.11568876845656141"/>
  </r>
  <r>
    <x v="0"/>
    <x v="5"/>
    <x v="5"/>
    <s v="M00000337172"/>
    <d v="2008-04-17T00:00:00"/>
    <n v="0"/>
    <n v="58.48"/>
    <n v="1100"/>
    <n v="219.3"/>
    <x v="0"/>
    <s v="13"/>
    <s v="731"/>
    <n v="13"/>
    <n v="1.5047879616963065"/>
    <n v="0.11575292013048512"/>
  </r>
  <r>
    <x v="0"/>
    <x v="5"/>
    <x v="5"/>
    <s v="M00000307162"/>
    <d v="2007-10-25T00:00:00"/>
    <n v="0"/>
    <n v="71.760000000000005"/>
    <n v="1350"/>
    <n v="269.10000000000002"/>
    <x v="0"/>
    <s v="13"/>
    <s v="897"/>
    <n v="13"/>
    <n v="1.5050167224080269"/>
    <n v="0.11577051710830975"/>
  </r>
  <r>
    <x v="0"/>
    <x v="5"/>
    <x v="5"/>
    <s v="M00000294501"/>
    <d v="2007-08-30T00:00:00"/>
    <n v="0"/>
    <n v="108.8"/>
    <n v="2051.9699999999998"/>
    <n v="408"/>
    <x v="0"/>
    <s v="13"/>
    <s v="1360"/>
    <n v="13"/>
    <n v="1.5088014705882351"/>
    <n v="0.11606165158371039"/>
  </r>
  <r>
    <x v="0"/>
    <x v="5"/>
    <x v="5"/>
    <s v="M00000279876"/>
    <d v="2007-06-28T00:00:00"/>
    <n v="0"/>
    <n v="99.36"/>
    <n v="1877.03"/>
    <n v="372.6"/>
    <x v="0"/>
    <s v="13"/>
    <s v="1242"/>
    <n v="13"/>
    <n v="1.5112962962962964"/>
    <n v="0.11625356125356126"/>
  </r>
  <r>
    <x v="0"/>
    <x v="5"/>
    <x v="5"/>
    <s v="M00000333297"/>
    <d v="2007-12-31T00:00:00"/>
    <n v="0"/>
    <n v="107.76"/>
    <n v="2349.4899999999998"/>
    <n v="404.1"/>
    <x v="0"/>
    <s v="15"/>
    <s v="1347"/>
    <n v="15"/>
    <n v="1.7442390497401632"/>
    <n v="0.11628260331601088"/>
  </r>
  <r>
    <x v="0"/>
    <x v="5"/>
    <x v="5"/>
    <s v="M00000305089"/>
    <d v="2007-10-18T00:00:00"/>
    <n v="0"/>
    <n v="89.76"/>
    <n v="1697"/>
    <n v="336.6"/>
    <x v="0"/>
    <s v="13"/>
    <s v="1122"/>
    <n v="13"/>
    <n v="1.5124777183600713"/>
    <n v="0.11634443987385164"/>
  </r>
  <r>
    <x v="0"/>
    <x v="5"/>
    <x v="5"/>
    <s v="M00000296130"/>
    <d v="2007-09-14T00:00:00"/>
    <n v="0"/>
    <n v="55.28"/>
    <n v="1049.01"/>
    <n v="207.3"/>
    <x v="0"/>
    <s v="13"/>
    <s v="691"/>
    <n v="13"/>
    <n v="1.5181041968162083"/>
    <n v="0.11677724590893911"/>
  </r>
  <r>
    <x v="0"/>
    <x v="5"/>
    <x v="5"/>
    <s v="M00000271137"/>
    <d v="2007-05-17T00:00:00"/>
    <n v="0"/>
    <n v="132"/>
    <n v="2508"/>
    <n v="495"/>
    <x v="0"/>
    <s v="13"/>
    <s v="1650"/>
    <n v="13"/>
    <n v="1.52"/>
    <n v="0.11692307692307692"/>
  </r>
  <r>
    <x v="0"/>
    <x v="5"/>
    <x v="5"/>
    <s v="M00000343417"/>
    <d v="2008-03-13T00:00:00"/>
    <n v="0"/>
    <n v="179.36"/>
    <n v="3436"/>
    <n v="672.6"/>
    <x v="0"/>
    <s v="13"/>
    <s v="2242"/>
    <n v="13"/>
    <n v="1.5325602140945584"/>
    <n v="0.11788924723804296"/>
  </r>
  <r>
    <x v="0"/>
    <x v="5"/>
    <x v="5"/>
    <s v="M00000374368"/>
    <d v="2008-07-10T00:00:00"/>
    <n v="0"/>
    <n v="103.6"/>
    <n v="1986"/>
    <n v="388.5"/>
    <x v="0"/>
    <s v="13"/>
    <s v="1295"/>
    <n v="13"/>
    <n v="1.5335907335907335"/>
    <n v="0.11796851796851796"/>
  </r>
  <r>
    <x v="0"/>
    <x v="5"/>
    <x v="5"/>
    <s v="M00000343418"/>
    <d v="2008-03-20T00:00:00"/>
    <n v="0"/>
    <n v="83.68"/>
    <n v="1605"/>
    <n v="313.8"/>
    <x v="0"/>
    <s v="13"/>
    <s v="1046"/>
    <n v="13"/>
    <n v="1.534416826003824"/>
    <n v="0.1180320635387557"/>
  </r>
  <r>
    <x v="0"/>
    <x v="5"/>
    <x v="5"/>
    <s v="M00000319761"/>
    <d v="2007-12-13T00:00:00"/>
    <n v="0"/>
    <n v="143.52000000000001"/>
    <n v="2760"/>
    <n v="538.20000000000005"/>
    <x v="0"/>
    <s v="13"/>
    <s v="1794"/>
    <n v="13"/>
    <n v="1.5384615384615385"/>
    <n v="0.1183431952662722"/>
  </r>
  <r>
    <x v="0"/>
    <x v="5"/>
    <x v="5"/>
    <s v="M00000297331"/>
    <d v="2007-09-14T00:00:00"/>
    <n v="0"/>
    <n v="76"/>
    <n v="1465"/>
    <n v="285"/>
    <x v="0"/>
    <s v="13"/>
    <s v="950"/>
    <n v="13"/>
    <n v="1.5421052631578946"/>
    <n v="0.11862348178137651"/>
  </r>
  <r>
    <x v="0"/>
    <x v="5"/>
    <x v="5"/>
    <s v="M00000322589"/>
    <d v="2007-12-31T00:00:00"/>
    <n v="0"/>
    <n v="56"/>
    <n v="1080"/>
    <n v="210"/>
    <x v="0"/>
    <s v="13"/>
    <s v="700"/>
    <n v="13"/>
    <n v="1.5428571428571429"/>
    <n v="0.11868131868131869"/>
  </r>
  <r>
    <x v="0"/>
    <x v="5"/>
    <x v="5"/>
    <s v="M00000353257"/>
    <d v="2008-04-17T00:00:00"/>
    <n v="0"/>
    <n v="71.760000000000005"/>
    <n v="1385"/>
    <n v="269.10000000000002"/>
    <x v="0"/>
    <s v="13"/>
    <s v="897"/>
    <n v="13"/>
    <n v="1.5440356744704571"/>
    <n v="0.11877197495926593"/>
  </r>
  <r>
    <x v="0"/>
    <x v="5"/>
    <x v="5"/>
    <s v="M00000291427"/>
    <d v="2007-08-16T00:00:00"/>
    <n v="0"/>
    <n v="70.16"/>
    <n v="1147.03"/>
    <n v="263.10000000000002"/>
    <x v="0"/>
    <s v="11"/>
    <s v="877"/>
    <n v="11"/>
    <n v="1.3079019384264539"/>
    <n v="0.11890017622058671"/>
  </r>
  <r>
    <x v="0"/>
    <x v="5"/>
    <x v="5"/>
    <s v="M00000300874"/>
    <d v="2007-11-09T00:00:00"/>
    <n v="0"/>
    <n v="115.28"/>
    <n v="1884.97"/>
    <n v="432.3"/>
    <x v="0"/>
    <s v="11"/>
    <s v="1441"/>
    <n v="11"/>
    <n v="1.3080985426786953"/>
    <n v="0.11891804933442685"/>
  </r>
  <r>
    <x v="0"/>
    <x v="5"/>
    <x v="5"/>
    <s v="M00000335141"/>
    <d v="2008-01-24T00:00:00"/>
    <n v="0"/>
    <n v="156.24"/>
    <n v="3024"/>
    <n v="585.9"/>
    <x v="0"/>
    <s v="13"/>
    <s v="1953"/>
    <n v="13"/>
    <n v="1.5483870967741935"/>
    <n v="0.11910669975186104"/>
  </r>
  <r>
    <x v="0"/>
    <x v="5"/>
    <x v="5"/>
    <s v="M00000373625"/>
    <d v="2008-07-10T00:00:00"/>
    <n v="0"/>
    <n v="37.6"/>
    <n v="728"/>
    <n v="141"/>
    <x v="0"/>
    <s v="13"/>
    <s v="470"/>
    <n v="13"/>
    <n v="1.548936170212766"/>
    <n v="0.11914893617021277"/>
  </r>
  <r>
    <x v="0"/>
    <x v="5"/>
    <x v="5"/>
    <s v="M00000311531"/>
    <d v="2007-11-09T00:00:00"/>
    <n v="0"/>
    <n v="133.44"/>
    <n v="2585"/>
    <n v="500.4"/>
    <x v="0"/>
    <s v="13"/>
    <s v="1668"/>
    <n v="13"/>
    <n v="1.5497601918465227"/>
    <n v="0.11921232244973251"/>
  </r>
  <r>
    <x v="0"/>
    <x v="5"/>
    <x v="5"/>
    <s v="M00000342363"/>
    <d v="2008-03-13T00:00:00"/>
    <n v="0"/>
    <n v="92.8"/>
    <n v="1798"/>
    <n v="348"/>
    <x v="0"/>
    <s v="13"/>
    <s v="1160"/>
    <n v="13"/>
    <n v="1.55"/>
    <n v="0.11923076923076924"/>
  </r>
  <r>
    <x v="0"/>
    <x v="5"/>
    <x v="5"/>
    <s v="M00000336990"/>
    <d v="2008-02-07T00:00:00"/>
    <n v="0"/>
    <n v="103.04"/>
    <n v="1997.32"/>
    <n v="386.4"/>
    <x v="0"/>
    <s v="13"/>
    <s v="1288"/>
    <n v="13"/>
    <n v="1.5507142857142857"/>
    <n v="0.11928571428571429"/>
  </r>
  <r>
    <x v="0"/>
    <x v="5"/>
    <x v="5"/>
    <s v="M00000352203"/>
    <d v="2008-06-26T00:00:00"/>
    <n v="0"/>
    <n v="61.6"/>
    <n v="1390"/>
    <n v="231"/>
    <x v="0"/>
    <s v="15"/>
    <s v="770"/>
    <n v="15"/>
    <n v="1.8051948051948052"/>
    <n v="0.12034632034632035"/>
  </r>
  <r>
    <x v="0"/>
    <x v="5"/>
    <x v="5"/>
    <s v="M00000339896"/>
    <d v="2008-02-29T00:00:00"/>
    <n v="0"/>
    <n v="95.68"/>
    <n v="2160"/>
    <n v="358.8"/>
    <x v="0"/>
    <s v="15"/>
    <s v="1196"/>
    <n v="15"/>
    <n v="1.806020066889632"/>
    <n v="0.12040133779264213"/>
  </r>
  <r>
    <x v="0"/>
    <x v="5"/>
    <x v="5"/>
    <s v="M00000352336"/>
    <d v="2008-04-10T00:00:00"/>
    <n v="0"/>
    <n v="176.88"/>
    <n v="3461"/>
    <n v="663.3"/>
    <x v="0"/>
    <s v="13"/>
    <s v="2211"/>
    <n v="13"/>
    <n v="1.5653550429669834"/>
    <n v="0.12041192638207564"/>
  </r>
  <r>
    <x v="0"/>
    <x v="5"/>
    <x v="5"/>
    <s v="M00000339922"/>
    <d v="2008-02-14T00:00:00"/>
    <n v="0"/>
    <n v="78.64"/>
    <n v="1776"/>
    <n v="294.89999999999998"/>
    <x v="0"/>
    <s v="15"/>
    <s v="983"/>
    <n v="15"/>
    <n v="1.8067141403865716"/>
    <n v="0.12044760935910477"/>
  </r>
  <r>
    <x v="0"/>
    <x v="5"/>
    <x v="5"/>
    <s v="M00000342508"/>
    <d v="2008-03-06T00:00:00"/>
    <n v="0"/>
    <n v="65.92"/>
    <n v="1296"/>
    <n v="247.2"/>
    <x v="0"/>
    <s v="13"/>
    <s v="824"/>
    <n v="13"/>
    <n v="1.5728155339805825"/>
    <n v="0.12098581030619865"/>
  </r>
  <r>
    <x v="0"/>
    <x v="5"/>
    <x v="5"/>
    <s v="M00000334344"/>
    <d v="2008-01-24T00:00:00"/>
    <n v="0"/>
    <n v="55.12"/>
    <n v="1084"/>
    <n v="206.7"/>
    <x v="0"/>
    <s v="13"/>
    <s v="689"/>
    <n v="13"/>
    <n v="1.5732946298984034"/>
    <n v="0.12102266383833872"/>
  </r>
  <r>
    <x v="0"/>
    <x v="5"/>
    <x v="5"/>
    <s v="M00000333806"/>
    <d v="2008-01-24T00:00:00"/>
    <n v="0"/>
    <n v="77.760000000000005"/>
    <n v="1530"/>
    <n v="291.60000000000002"/>
    <x v="0"/>
    <s v="13"/>
    <s v="972"/>
    <n v="13"/>
    <n v="1.5740740740740742"/>
    <n v="0.12108262108262109"/>
  </r>
  <r>
    <x v="0"/>
    <x v="5"/>
    <x v="5"/>
    <s v="M00000320540"/>
    <d v="2008-03-13T00:00:00"/>
    <n v="0"/>
    <n v="116.35"/>
    <n v="2544.75"/>
    <n v="484.8"/>
    <x v="0"/>
    <s v="13"/>
    <s v="1616"/>
    <n v="13"/>
    <n v="1.5747215346534653"/>
    <n v="0.12113242574257425"/>
  </r>
  <r>
    <x v="0"/>
    <x v="5"/>
    <x v="5"/>
    <s v="M00000279253"/>
    <d v="2007-06-21T00:00:00"/>
    <n v="0"/>
    <n v="85.68"/>
    <n v="1697"/>
    <n v="321.3"/>
    <x v="0"/>
    <s v="13"/>
    <s v="1071"/>
    <n v="13"/>
    <n v="1.584500466853408"/>
    <n v="0.121884651296416"/>
  </r>
  <r>
    <x v="0"/>
    <x v="5"/>
    <x v="5"/>
    <s v="M00000271332"/>
    <d v="2007-05-17T00:00:00"/>
    <n v="0"/>
    <n v="76.48"/>
    <n v="1290.5999999999999"/>
    <n v="286.8"/>
    <x v="0"/>
    <s v="11"/>
    <s v="956"/>
    <n v="11"/>
    <n v="1.35"/>
    <n v="0.12272727272727271"/>
  </r>
  <r>
    <x v="0"/>
    <x v="5"/>
    <x v="5"/>
    <s v="M00000306854"/>
    <d v="2007-11-09T00:00:00"/>
    <n v="0"/>
    <n v="110.08"/>
    <n v="2197"/>
    <n v="412.8"/>
    <x v="0"/>
    <s v="13"/>
    <s v="1376"/>
    <n v="13"/>
    <n v="1.5966569767441861"/>
    <n v="0.12281976744186046"/>
  </r>
  <r>
    <x v="0"/>
    <x v="5"/>
    <x v="5"/>
    <s v="M00000292564"/>
    <d v="2007-08-23T00:00:00"/>
    <n v="0"/>
    <n v="71.680000000000007"/>
    <n v="1435.03"/>
    <n v="268.8"/>
    <x v="0"/>
    <s v="13"/>
    <s v="896"/>
    <n v="13"/>
    <n v="1.6015959821428571"/>
    <n v="0.12319969093406594"/>
  </r>
  <r>
    <x v="0"/>
    <x v="5"/>
    <x v="5"/>
    <s v="M00000272923"/>
    <d v="2007-05-31T00:00:00"/>
    <n v="0"/>
    <n v="99.6"/>
    <n v="1695.94"/>
    <n v="373.5"/>
    <x v="0"/>
    <s v="11"/>
    <s v="1245"/>
    <n v="11"/>
    <n v="1.3622008032128514"/>
    <n v="0.12383643665571377"/>
  </r>
  <r>
    <x v="0"/>
    <x v="5"/>
    <x v="5"/>
    <s v="M00000327468"/>
    <d v="2008-01-17T00:00:00"/>
    <n v="0"/>
    <n v="78.400000000000006"/>
    <n v="1585"/>
    <n v="294"/>
    <x v="0"/>
    <s v="13"/>
    <s v="980"/>
    <n v="13"/>
    <n v="1.6173469387755102"/>
    <n v="0.12441130298273155"/>
  </r>
  <r>
    <x v="0"/>
    <x v="5"/>
    <x v="5"/>
    <s v="M00000271435"/>
    <d v="2007-12-31T00:00:00"/>
    <n v="0"/>
    <n v="99.6"/>
    <n v="1705.65"/>
    <n v="373.5"/>
    <x v="0"/>
    <s v="11"/>
    <s v="1245"/>
    <n v="11"/>
    <n v="1.37"/>
    <n v="0.12454545454545456"/>
  </r>
  <r>
    <x v="0"/>
    <x v="5"/>
    <x v="5"/>
    <s v="M00000343734"/>
    <d v="2008-03-06T00:00:00"/>
    <n v="0"/>
    <n v="78.64"/>
    <n v="1597"/>
    <n v="294.89999999999998"/>
    <x v="0"/>
    <s v="13"/>
    <s v="983"/>
    <n v="13"/>
    <n v="1.624618514750763"/>
    <n v="0.12497065498082792"/>
  </r>
  <r>
    <x v="0"/>
    <x v="5"/>
    <x v="5"/>
    <s v="M00000270870"/>
    <d v="2007-05-10T00:00:00"/>
    <n v="0"/>
    <n v="111.2"/>
    <n v="2780"/>
    <n v="417"/>
    <x v="0"/>
    <s v="16"/>
    <s v="1390"/>
    <n v="16"/>
    <n v="2"/>
    <n v="0.125"/>
  </r>
  <r>
    <x v="0"/>
    <x v="5"/>
    <x v="5"/>
    <s v="M00000310224"/>
    <d v="2007-11-09T00:00:00"/>
    <n v="0"/>
    <n v="64"/>
    <n v="1100"/>
    <n v="240"/>
    <x v="0"/>
    <s v="11"/>
    <s v="800"/>
    <n v="11"/>
    <n v="1.375"/>
    <n v="0.125"/>
  </r>
  <r>
    <x v="0"/>
    <x v="5"/>
    <x v="5"/>
    <s v="M00000356282"/>
    <d v="2008-04-30T00:00:00"/>
    <n v="0"/>
    <n v="81.680000000000007"/>
    <n v="1660"/>
    <n v="306.3"/>
    <x v="0"/>
    <s v="13"/>
    <s v="1021"/>
    <n v="13"/>
    <n v="1.6258570029382957"/>
    <n v="0.12506592330294583"/>
  </r>
  <r>
    <x v="0"/>
    <x v="5"/>
    <x v="5"/>
    <s v="M00000337109"/>
    <d v="2008-02-07T00:00:00"/>
    <n v="0"/>
    <n v="72.319999999999993"/>
    <n v="1696"/>
    <n v="271.2"/>
    <x v="0"/>
    <s v="15"/>
    <s v="904"/>
    <n v="15"/>
    <n v="1.8761061946902655"/>
    <n v="0.12507374631268436"/>
  </r>
  <r>
    <x v="0"/>
    <x v="5"/>
    <x v="5"/>
    <s v="M00000319922"/>
    <d v="2007-12-13T00:00:00"/>
    <n v="0"/>
    <n v="124.32"/>
    <n v="2527"/>
    <n v="466.2"/>
    <x v="0"/>
    <s v="13"/>
    <s v="1554"/>
    <n v="13"/>
    <n v="1.6261261261261262"/>
    <n v="0.1250866250866251"/>
  </r>
  <r>
    <x v="0"/>
    <x v="5"/>
    <x v="5"/>
    <s v="M00000294826"/>
    <d v="2007-09-20T00:00:00"/>
    <n v="0"/>
    <n v="71.36"/>
    <n v="1452.98"/>
    <n v="267.60000000000002"/>
    <x v="0"/>
    <s v="13"/>
    <s v="892"/>
    <n v="13"/>
    <n v="1.6289013452914798"/>
    <n v="0.12530010348395998"/>
  </r>
  <r>
    <x v="0"/>
    <x v="5"/>
    <x v="5"/>
    <s v="M00000319151"/>
    <d v="2007-12-06T00:00:00"/>
    <n v="0"/>
    <n v="16.8"/>
    <n v="399"/>
    <n v="63"/>
    <x v="0"/>
    <s v="15"/>
    <s v="210"/>
    <n v="15"/>
    <n v="1.9"/>
    <n v="0.12666666666666665"/>
  </r>
  <r>
    <x v="0"/>
    <x v="5"/>
    <x v="5"/>
    <s v="M00000364328"/>
    <d v="2008-06-26T00:00:00"/>
    <n v="0"/>
    <n v="52.8"/>
    <n v="1090"/>
    <n v="198"/>
    <x v="0"/>
    <s v="13"/>
    <s v="660"/>
    <n v="13"/>
    <n v="1.6515151515151516"/>
    <n v="0.12703962703962704"/>
  </r>
  <r>
    <x v="0"/>
    <x v="5"/>
    <x v="5"/>
    <s v="M00000313755"/>
    <d v="2007-12-31T00:00:00"/>
    <n v="0"/>
    <n v="106.72"/>
    <n v="2208"/>
    <n v="400.2"/>
    <x v="0"/>
    <s v="13"/>
    <s v="1334"/>
    <n v="13"/>
    <n v="1.6551724137931034"/>
    <n v="0.1273209549071618"/>
  </r>
  <r>
    <x v="0"/>
    <x v="5"/>
    <x v="5"/>
    <s v="M00000344931"/>
    <d v="2008-03-20T00:00:00"/>
    <n v="0"/>
    <n v="89.76"/>
    <n v="1860"/>
    <n v="336.6"/>
    <x v="0"/>
    <s v="13"/>
    <s v="1122"/>
    <n v="13"/>
    <n v="1.6577540106951871"/>
    <n v="0.12751953928424517"/>
  </r>
  <r>
    <x v="0"/>
    <x v="5"/>
    <x v="5"/>
    <s v="M00000353490"/>
    <d v="2008-04-17T00:00:00"/>
    <n v="0"/>
    <n v="101.12"/>
    <n v="2096"/>
    <n v="379.2"/>
    <x v="0"/>
    <s v="13"/>
    <s v="1264"/>
    <n v="13"/>
    <n v="1.6582278481012658"/>
    <n v="0.12755598831548198"/>
  </r>
  <r>
    <x v="0"/>
    <x v="5"/>
    <x v="5"/>
    <s v="M00000284181"/>
    <d v="2007-07-19T00:00:00"/>
    <n v="0"/>
    <n v="131.52000000000001"/>
    <n v="2739.07"/>
    <n v="493.2"/>
    <x v="0"/>
    <s v="13"/>
    <s v="1644"/>
    <n v="13"/>
    <n v="1.6661009732360099"/>
    <n v="0.12816161332584691"/>
  </r>
  <r>
    <x v="0"/>
    <x v="5"/>
    <x v="5"/>
    <s v="M00000360078"/>
    <d v="2008-05-15T00:00:00"/>
    <n v="0"/>
    <n v="76.8"/>
    <n v="1600"/>
    <n v="288"/>
    <x v="0"/>
    <s v="13"/>
    <s v="960"/>
    <n v="13"/>
    <n v="1.6666666666666667"/>
    <n v="0.12820512820512822"/>
  </r>
  <r>
    <x v="0"/>
    <x v="5"/>
    <x v="5"/>
    <s v="M00000360971"/>
    <d v="2008-05-15T00:00:00"/>
    <n v="0"/>
    <n v="66.959999999999994"/>
    <n v="1396"/>
    <n v="251.1"/>
    <x v="0"/>
    <s v="13"/>
    <s v="837"/>
    <n v="13"/>
    <n v="1.6678614097968936"/>
    <n v="0.12829703152283797"/>
  </r>
  <r>
    <x v="0"/>
    <x v="5"/>
    <x v="5"/>
    <s v="M00000337141"/>
    <d v="2008-03-13T00:00:00"/>
    <n v="0"/>
    <n v="131.76"/>
    <n v="2750"/>
    <n v="494.1"/>
    <x v="0"/>
    <s v="13"/>
    <s v="1647"/>
    <n v="13"/>
    <n v="1.6697024893746206"/>
    <n v="0.12843865302881696"/>
  </r>
  <r>
    <x v="0"/>
    <x v="5"/>
    <x v="5"/>
    <s v="M00000353213"/>
    <d v="2008-04-17T00:00:00"/>
    <n v="0"/>
    <n v="61.6"/>
    <n v="1288"/>
    <n v="231"/>
    <x v="0"/>
    <s v="13"/>
    <s v="770"/>
    <n v="13"/>
    <n v="1.6727272727272726"/>
    <n v="0.12867132867132866"/>
  </r>
  <r>
    <x v="0"/>
    <x v="5"/>
    <x v="5"/>
    <s v="M00000322976"/>
    <d v="2007-12-20T00:00:00"/>
    <n v="0"/>
    <n v="147.76"/>
    <n v="1905"/>
    <n v="554.1"/>
    <x v="0"/>
    <s v="8"/>
    <s v="1847"/>
    <n v="8"/>
    <n v="1.0314022739577693"/>
    <n v="0.12892528424472116"/>
  </r>
  <r>
    <x v="0"/>
    <x v="5"/>
    <x v="5"/>
    <s v="M00000348754"/>
    <d v="2008-03-27T00:00:00"/>
    <n v="0"/>
    <n v="49.44"/>
    <n v="1040"/>
    <n v="185.4"/>
    <x v="0"/>
    <s v="13"/>
    <s v="618"/>
    <n v="13"/>
    <n v="1.6828478964401294"/>
    <n v="0.12944983818770225"/>
  </r>
  <r>
    <x v="0"/>
    <x v="5"/>
    <x v="5"/>
    <s v="M00000291554"/>
    <d v="2007-08-16T00:00:00"/>
    <n v="0"/>
    <n v="46.72"/>
    <n v="983.98"/>
    <n v="175.2"/>
    <x v="0"/>
    <s v="13"/>
    <s v="584"/>
    <n v="13"/>
    <n v="1.6848972602739727"/>
    <n v="0.12960748155953636"/>
  </r>
  <r>
    <x v="0"/>
    <x v="5"/>
    <x v="5"/>
    <s v="M00000317497"/>
    <d v="2007-11-30T00:00:00"/>
    <n v="0"/>
    <n v="112"/>
    <n v="2735"/>
    <n v="420"/>
    <x v="0"/>
    <s v="15"/>
    <s v="1400"/>
    <n v="15"/>
    <n v="1.9535714285714285"/>
    <n v="0.13023809523809524"/>
  </r>
  <r>
    <x v="0"/>
    <x v="5"/>
    <x v="5"/>
    <s v="M00000310341"/>
    <d v="2007-11-09T00:00:00"/>
    <n v="0"/>
    <n v="76.56"/>
    <n v="1625"/>
    <n v="287.10000000000002"/>
    <x v="0"/>
    <s v="13"/>
    <s v="957"/>
    <n v="13"/>
    <n v="1.6980146290491118"/>
    <n v="0.13061650992685475"/>
  </r>
  <r>
    <x v="0"/>
    <x v="5"/>
    <x v="5"/>
    <s v="M00000338986"/>
    <d v="2008-02-14T00:00:00"/>
    <n v="0"/>
    <n v="72.8"/>
    <n v="1550"/>
    <n v="273"/>
    <x v="0"/>
    <s v="13"/>
    <s v="910"/>
    <n v="13"/>
    <n v="1.7032967032967032"/>
    <n v="0.13102282333051563"/>
  </r>
  <r>
    <x v="0"/>
    <x v="5"/>
    <x v="5"/>
    <s v="M00000279501"/>
    <d v="2007-06-28T00:00:00"/>
    <n v="0"/>
    <n v="63.2"/>
    <n v="1347.98"/>
    <n v="237"/>
    <x v="0"/>
    <s v="13"/>
    <s v="790"/>
    <n v="13"/>
    <n v="1.7063037974683544"/>
    <n v="0.13125413826679649"/>
  </r>
  <r>
    <x v="0"/>
    <x v="5"/>
    <x v="5"/>
    <s v="M00000353089"/>
    <d v="2008-04-10T00:00:00"/>
    <n v="0"/>
    <n v="130.24"/>
    <n v="2785"/>
    <n v="488.4"/>
    <x v="0"/>
    <s v="13"/>
    <s v="1628"/>
    <n v="13"/>
    <n v="1.7106879606879606"/>
    <n v="0.13159138159138159"/>
  </r>
  <r>
    <x v="0"/>
    <x v="5"/>
    <x v="5"/>
    <s v="M00000310344"/>
    <d v="2007-11-09T00:00:00"/>
    <n v="0"/>
    <n v="43.6"/>
    <n v="1080"/>
    <n v="163.5"/>
    <x v="0"/>
    <s v="15"/>
    <s v="545"/>
    <n v="15"/>
    <n v="1.9816513761467891"/>
    <n v="0.13211009174311927"/>
  </r>
  <r>
    <x v="0"/>
    <x v="5"/>
    <x v="5"/>
    <s v="M00000315217"/>
    <d v="2007-11-21T00:00:00"/>
    <n v="0"/>
    <n v="80.72"/>
    <n v="1737"/>
    <n v="302.7"/>
    <x v="0"/>
    <s v="13"/>
    <s v="1009"/>
    <n v="13"/>
    <n v="1.7215064420218038"/>
    <n v="0.13242357246321568"/>
  </r>
  <r>
    <x v="0"/>
    <x v="5"/>
    <x v="5"/>
    <s v="M00000270001"/>
    <d v="2007-05-10T00:00:00"/>
    <n v="0"/>
    <n v="127.52"/>
    <n v="2757.62"/>
    <n v="478.2"/>
    <x v="0"/>
    <s v="13"/>
    <s v="1594"/>
    <n v="13"/>
    <n v="1.73"/>
    <n v="0.13307692307692306"/>
  </r>
  <r>
    <x v="0"/>
    <x v="5"/>
    <x v="5"/>
    <s v="M00000321792"/>
    <d v="2007-12-13T00:00:00"/>
    <n v="0"/>
    <n v="37.6"/>
    <n v="695"/>
    <n v="141"/>
    <x v="0"/>
    <s v="11"/>
    <s v="470"/>
    <n v="11"/>
    <n v="1.4787234042553192"/>
    <n v="0.1344294003868472"/>
  </r>
  <r>
    <x v="0"/>
    <x v="5"/>
    <x v="5"/>
    <s v="M00000269998"/>
    <d v="2007-06-07T00:00:00"/>
    <n v="0"/>
    <n v="131.76"/>
    <n v="2882.25"/>
    <n v="494.1"/>
    <x v="0"/>
    <s v="13"/>
    <s v="1647"/>
    <n v="13"/>
    <n v="1.75"/>
    <n v="0.13461538461538461"/>
  </r>
  <r>
    <x v="0"/>
    <x v="5"/>
    <x v="5"/>
    <s v="M00000313171"/>
    <d v="2007-11-15T00:00:00"/>
    <n v="0"/>
    <n v="90.88"/>
    <n v="1988"/>
    <n v="340.8"/>
    <x v="0"/>
    <s v="13"/>
    <s v="1136"/>
    <n v="13"/>
    <n v="1.75"/>
    <n v="0.13461538461538461"/>
  </r>
  <r>
    <x v="0"/>
    <x v="5"/>
    <x v="5"/>
    <s v="M00000346702"/>
    <d v="2008-04-03T00:00:00"/>
    <n v="0"/>
    <n v="76"/>
    <n v="1663"/>
    <n v="285"/>
    <x v="0"/>
    <s v="13"/>
    <s v="950"/>
    <n v="13"/>
    <n v="1.7505263157894737"/>
    <n v="0.13465587044534413"/>
  </r>
  <r>
    <x v="0"/>
    <x v="5"/>
    <x v="5"/>
    <s v="M00000309945"/>
    <d v="2007-11-01T00:00:00"/>
    <n v="0"/>
    <n v="70"/>
    <n v="1532"/>
    <n v="262.5"/>
    <x v="0"/>
    <s v="13"/>
    <s v="875"/>
    <n v="13"/>
    <n v="1.7508571428571429"/>
    <n v="0.13468131868131869"/>
  </r>
  <r>
    <x v="0"/>
    <x v="5"/>
    <x v="5"/>
    <s v="M00000366880"/>
    <d v="2008-06-12T00:00:00"/>
    <n v="0"/>
    <n v="96"/>
    <n v="1780"/>
    <n v="360"/>
    <x v="0"/>
    <s v="11"/>
    <s v="1200"/>
    <n v="11"/>
    <n v="1.4833333333333334"/>
    <n v="0.13484848484848486"/>
  </r>
  <r>
    <x v="0"/>
    <x v="5"/>
    <x v="5"/>
    <s v="M00000310637"/>
    <d v="2007-11-09T00:00:00"/>
    <n v="0"/>
    <n v="12"/>
    <n v="263"/>
    <n v="45"/>
    <x v="0"/>
    <s v="13"/>
    <s v="150"/>
    <n v="13"/>
    <n v="1.7533333333333334"/>
    <n v="0.13487179487179488"/>
  </r>
  <r>
    <x v="0"/>
    <x v="5"/>
    <x v="5"/>
    <s v="M00000276265"/>
    <d v="2007-06-14T00:00:00"/>
    <n v="0"/>
    <n v="75.52"/>
    <n v="1687.02"/>
    <n v="283.2"/>
    <x v="0"/>
    <s v="13"/>
    <s v="944"/>
    <n v="13"/>
    <n v="1.7870974576271186"/>
    <n v="0.13746903520208603"/>
  </r>
  <r>
    <x v="0"/>
    <x v="5"/>
    <x v="5"/>
    <s v="M00000326105"/>
    <d v="2007-12-31T00:00:00"/>
    <n v="0"/>
    <n v="53.12"/>
    <n v="1187"/>
    <n v="199.2"/>
    <x v="0"/>
    <s v="13"/>
    <s v="664"/>
    <n v="13"/>
    <n v="1.7876506024096386"/>
    <n v="0.13751158480074144"/>
  </r>
  <r>
    <x v="0"/>
    <x v="5"/>
    <x v="5"/>
    <s v="M00000298938"/>
    <d v="2007-09-14T00:00:00"/>
    <n v="0"/>
    <n v="134.96"/>
    <n v="3037"/>
    <n v="506.1"/>
    <x v="0"/>
    <s v="13"/>
    <s v="1687"/>
    <n v="13"/>
    <n v="1.8002371072910492"/>
    <n v="0.13847977748392687"/>
  </r>
  <r>
    <x v="0"/>
    <x v="5"/>
    <x v="5"/>
    <s v="M00000305251"/>
    <d v="2007-11-21T00:00:00"/>
    <n v="0"/>
    <n v="9.44"/>
    <n v="339"/>
    <n v="35.4"/>
    <x v="0"/>
    <s v="13"/>
    <s v="188"/>
    <n v="13"/>
    <n v="1.803191489361702"/>
    <n v="0.13870703764320785"/>
  </r>
  <r>
    <x v="0"/>
    <x v="5"/>
    <x v="5"/>
    <s v="M00000359174"/>
    <d v="2008-06-05T00:00:00"/>
    <n v="0"/>
    <n v="68"/>
    <n v="1533.14"/>
    <n v="255"/>
    <x v="0"/>
    <s v="13"/>
    <s v="850"/>
    <n v="13"/>
    <n v="1.8036941176470589"/>
    <n v="0.13874570135746606"/>
  </r>
  <r>
    <x v="0"/>
    <x v="5"/>
    <x v="5"/>
    <s v="M00000353315"/>
    <d v="2008-05-08T00:00:00"/>
    <n v="0"/>
    <n v="62.16"/>
    <n v="1404"/>
    <n v="233.1"/>
    <x v="0"/>
    <s v="13"/>
    <s v="777"/>
    <n v="13"/>
    <n v="1.8069498069498069"/>
    <n v="0.138996138996139"/>
  </r>
  <r>
    <x v="0"/>
    <x v="5"/>
    <x v="5"/>
    <s v="M00000343684"/>
    <d v="2008-03-06T00:00:00"/>
    <n v="0"/>
    <n v="86.32"/>
    <n v="1950"/>
    <n v="323.7"/>
    <x v="0"/>
    <s v="13"/>
    <s v="1079"/>
    <n v="13"/>
    <n v="1.8072289156626506"/>
    <n v="0.13901760889712697"/>
  </r>
  <r>
    <x v="0"/>
    <x v="5"/>
    <x v="5"/>
    <s v="M00000303218"/>
    <d v="2007-10-11T00:00:00"/>
    <n v="0"/>
    <n v="10.4"/>
    <n v="200"/>
    <n v="39"/>
    <x v="0"/>
    <s v="11"/>
    <s v="130"/>
    <n v="11"/>
    <n v="1.5384615384615385"/>
    <n v="0.13986013986013987"/>
  </r>
  <r>
    <x v="0"/>
    <x v="5"/>
    <x v="5"/>
    <s v="M00000309044"/>
    <d v="2007-11-09T00:00:00"/>
    <n v="0"/>
    <n v="105.28"/>
    <n v="2396"/>
    <n v="394.8"/>
    <x v="0"/>
    <s v="13"/>
    <s v="1316"/>
    <n v="13"/>
    <n v="1.8206686930091185"/>
    <n v="0.14005143792377833"/>
  </r>
  <r>
    <x v="0"/>
    <x v="5"/>
    <x v="5"/>
    <s v="M00000332183"/>
    <d v="2007-12-31T00:00:00"/>
    <n v="0"/>
    <n v="39.36"/>
    <n v="896"/>
    <n v="147.6"/>
    <x v="0"/>
    <s v="13"/>
    <s v="492"/>
    <n v="13"/>
    <n v="1.8211382113821137"/>
    <n v="0.14008755472170106"/>
  </r>
  <r>
    <x v="0"/>
    <x v="5"/>
    <x v="5"/>
    <s v="M00000316327"/>
    <d v="2007-11-29T00:00:00"/>
    <n v="0"/>
    <n v="48"/>
    <n v="1275"/>
    <n v="180"/>
    <x v="0"/>
    <s v="15"/>
    <s v="600"/>
    <n v="15"/>
    <n v="2.125"/>
    <n v="0.14166666666666666"/>
  </r>
  <r>
    <x v="0"/>
    <x v="5"/>
    <x v="5"/>
    <s v="M00000331528"/>
    <d v="2007-12-31T00:00:00"/>
    <n v="0"/>
    <n v="65.2"/>
    <n v="1507"/>
    <n v="244.5"/>
    <x v="0"/>
    <s v="13"/>
    <s v="815"/>
    <n v="13"/>
    <n v="1.849079754601227"/>
    <n v="0.14223690420009438"/>
  </r>
  <r>
    <x v="0"/>
    <x v="5"/>
    <x v="5"/>
    <s v="M00000322724"/>
    <d v="2007-12-20T00:00:00"/>
    <n v="0"/>
    <n v="80"/>
    <n v="1850"/>
    <n v="300"/>
    <x v="0"/>
    <s v="13"/>
    <s v="1000"/>
    <n v="13"/>
    <n v="1.85"/>
    <n v="0.1423076923076923"/>
  </r>
  <r>
    <x v="0"/>
    <x v="5"/>
    <x v="5"/>
    <s v="M00000354884"/>
    <d v="2008-04-24T00:00:00"/>
    <n v="0"/>
    <n v="140.4"/>
    <n v="3251"/>
    <n v="526.5"/>
    <x v="0"/>
    <s v="13"/>
    <s v="1755"/>
    <n v="13"/>
    <n v="1.8524216524216524"/>
    <n v="0.14249397326320404"/>
  </r>
  <r>
    <x v="0"/>
    <x v="5"/>
    <x v="5"/>
    <s v="M00000346808"/>
    <d v="2008-04-17T00:00:00"/>
    <n v="0"/>
    <n v="20"/>
    <n v="480"/>
    <n v="75"/>
    <x v="0"/>
    <s v="13"/>
    <s v="250"/>
    <n v="13"/>
    <n v="1.92"/>
    <n v="0.14769230769230768"/>
  </r>
  <r>
    <x v="0"/>
    <x v="5"/>
    <x v="5"/>
    <s v="M00000367062"/>
    <d v="2008-06-12T00:00:00"/>
    <n v="0"/>
    <n v="74.239999999999995"/>
    <n v="1782"/>
    <n v="278.39999999999998"/>
    <x v="0"/>
    <s v="13"/>
    <s v="928"/>
    <n v="13"/>
    <n v="1.9202586206896552"/>
    <n v="0.14771220159151194"/>
  </r>
  <r>
    <x v="0"/>
    <x v="5"/>
    <x v="5"/>
    <s v="M00000339046"/>
    <d v="2008-02-29T00:00:00"/>
    <n v="0"/>
    <n v="115.2"/>
    <n v="2768"/>
    <n v="432"/>
    <x v="0"/>
    <s v="13"/>
    <s v="1440"/>
    <n v="13"/>
    <n v="1.9222222222222223"/>
    <n v="0.14786324786324787"/>
  </r>
  <r>
    <x v="0"/>
    <x v="5"/>
    <x v="5"/>
    <s v="M00000269914"/>
    <d v="2007-08-02T00:00:00"/>
    <n v="0"/>
    <n v="32"/>
    <n v="780"/>
    <n v="120"/>
    <x v="0"/>
    <s v="13"/>
    <s v="400"/>
    <n v="13"/>
    <n v="1.95"/>
    <n v="0.15"/>
  </r>
  <r>
    <x v="0"/>
    <x v="5"/>
    <x v="5"/>
    <s v="M00000271386"/>
    <d v="2007-08-09T00:00:00"/>
    <n v="0"/>
    <n v="102.96"/>
    <n v="2895.75"/>
    <n v="386.1"/>
    <x v="0"/>
    <s v="15"/>
    <s v="1287"/>
    <n v="15"/>
    <n v="2.25"/>
    <n v="0.15"/>
  </r>
  <r>
    <x v="0"/>
    <x v="5"/>
    <x v="5"/>
    <s v="M00000359073"/>
    <d v="2008-05-08T00:00:00"/>
    <n v="0"/>
    <n v="61.12"/>
    <n v="1490"/>
    <n v="229.2"/>
    <x v="0"/>
    <s v="13"/>
    <s v="764"/>
    <n v="13"/>
    <n v="1.950261780104712"/>
    <n v="0.1500201369311317"/>
  </r>
  <r>
    <x v="0"/>
    <x v="5"/>
    <x v="5"/>
    <s v="M00000367351"/>
    <d v="2008-06-12T00:00:00"/>
    <n v="0"/>
    <n v="89.6"/>
    <n v="2188"/>
    <n v="336"/>
    <x v="0"/>
    <s v="13"/>
    <s v="1120"/>
    <n v="13"/>
    <n v="1.9535714285714285"/>
    <n v="0.15027472527472527"/>
  </r>
  <r>
    <x v="0"/>
    <x v="5"/>
    <x v="5"/>
    <s v="M00000346274"/>
    <d v="2008-03-13T00:00:00"/>
    <n v="0"/>
    <n v="73.12"/>
    <n v="1800"/>
    <n v="274.2"/>
    <x v="0"/>
    <s v="13"/>
    <s v="914"/>
    <n v="13"/>
    <n v="1.9693654266958425"/>
    <n v="0.15148964820737248"/>
  </r>
  <r>
    <x v="0"/>
    <x v="5"/>
    <x v="5"/>
    <s v="M00000285080"/>
    <d v="2007-07-19T00:00:00"/>
    <n v="0"/>
    <n v="98.8"/>
    <n v="2074.06"/>
    <n v="370.5"/>
    <x v="0"/>
    <s v="11"/>
    <s v="1235"/>
    <n v="11"/>
    <n v="1.6794008097165991"/>
    <n v="0.15267280088332719"/>
  </r>
  <r>
    <x v="0"/>
    <x v="5"/>
    <x v="5"/>
    <s v="M00000356659"/>
    <d v="2008-04-30T00:00:00"/>
    <n v="0"/>
    <n v="108.8"/>
    <n v="2730"/>
    <n v="408"/>
    <x v="0"/>
    <s v="13"/>
    <s v="1360"/>
    <n v="13"/>
    <n v="2.0073529411764706"/>
    <n v="0.15441176470588236"/>
  </r>
  <r>
    <x v="0"/>
    <x v="5"/>
    <x v="5"/>
    <s v="M00000356112"/>
    <d v="2008-04-30T00:00:00"/>
    <n v="0"/>
    <n v="250.72"/>
    <n v="5348.2"/>
    <n v="940.2"/>
    <x v="0"/>
    <s v="11"/>
    <s v="3134"/>
    <n v="11"/>
    <n v="1.706509253350351"/>
    <n v="0.15513720485003191"/>
  </r>
  <r>
    <x v="0"/>
    <x v="5"/>
    <x v="5"/>
    <s v="M00000350612"/>
    <d v="2008-04-30T00:00:00"/>
    <n v="0"/>
    <n v="47.36"/>
    <n v="1224"/>
    <n v="177.6"/>
    <x v="0"/>
    <s v="13"/>
    <s v="592"/>
    <n v="13"/>
    <n v="2.0675675675675675"/>
    <n v="0.15904365904365905"/>
  </r>
  <r>
    <x v="0"/>
    <x v="5"/>
    <x v="5"/>
    <s v="M00000283784"/>
    <d v="2007-07-12T00:00:00"/>
    <n v="0"/>
    <n v="80.64"/>
    <n v="2105.0100000000002"/>
    <n v="302.39999999999998"/>
    <x v="0"/>
    <s v="13"/>
    <s v="1008"/>
    <n v="13"/>
    <n v="2.0883035714285718"/>
    <n v="0.16063873626373629"/>
  </r>
  <r>
    <x v="0"/>
    <x v="5"/>
    <x v="5"/>
    <s v="M00000310429"/>
    <d v="2007-11-29T00:00:00"/>
    <n v="0"/>
    <n v="77.92"/>
    <n v="2046"/>
    <n v="292.2"/>
    <x v="0"/>
    <s v="13"/>
    <s v="974"/>
    <n v="13"/>
    <n v="2.1006160164271046"/>
    <n v="0.16158584741746959"/>
  </r>
  <r>
    <x v="0"/>
    <x v="5"/>
    <x v="5"/>
    <s v="M00000315618"/>
    <d v="2007-11-21T00:00:00"/>
    <n v="0"/>
    <n v="84"/>
    <n v="3568"/>
    <n v="315"/>
    <x v="0"/>
    <s v="21"/>
    <s v="1050"/>
    <n v="21"/>
    <n v="3.3980952380952383"/>
    <n v="0.16181405895691611"/>
  </r>
  <r>
    <x v="0"/>
    <x v="5"/>
    <x v="5"/>
    <s v="M00000287171"/>
    <d v="2007-08-30T00:00:00"/>
    <n v="0"/>
    <n v="99.84"/>
    <n v="2221.94"/>
    <n v="374.4"/>
    <x v="0"/>
    <s v="11"/>
    <s v="1248"/>
    <n v="11"/>
    <n v="1.780400641025641"/>
    <n v="0.16185460372960372"/>
  </r>
  <r>
    <x v="0"/>
    <x v="5"/>
    <x v="5"/>
    <s v="M00000310551"/>
    <d v="2007-11-09T00:00:00"/>
    <n v="0"/>
    <n v="76.56"/>
    <n v="2016"/>
    <n v="287.10000000000002"/>
    <x v="0"/>
    <s v="13"/>
    <s v="957"/>
    <n v="13"/>
    <n v="2.1065830721003134"/>
    <n v="0.16204485170002411"/>
  </r>
  <r>
    <x v="0"/>
    <x v="5"/>
    <x v="5"/>
    <s v="M00000321658"/>
    <d v="2007-12-13T00:00:00"/>
    <n v="0"/>
    <n v="124.32"/>
    <n v="3276"/>
    <n v="466.2"/>
    <x v="0"/>
    <s v="13"/>
    <s v="1554"/>
    <n v="13"/>
    <n v="2.1081081081081079"/>
    <n v="0.16216216216216214"/>
  </r>
  <r>
    <x v="0"/>
    <x v="5"/>
    <x v="5"/>
    <s v="M00000334401"/>
    <d v="2008-01-24T00:00:00"/>
    <n v="0"/>
    <n v="67.760000000000005"/>
    <n v="2064"/>
    <n v="254.1"/>
    <x v="0"/>
    <s v="15"/>
    <s v="847"/>
    <n v="15"/>
    <n v="2.4368358913813459"/>
    <n v="0.16245572609208972"/>
  </r>
  <r>
    <x v="0"/>
    <x v="5"/>
    <x v="5"/>
    <s v="M00000335119"/>
    <d v="2008-01-31T00:00:00"/>
    <n v="0"/>
    <n v="100.4"/>
    <n v="2269.15"/>
    <n v="376.5"/>
    <x v="0"/>
    <s v="11"/>
    <s v="1255"/>
    <n v="11"/>
    <n v="1.8080876494023905"/>
    <n v="0.16437160449112642"/>
  </r>
  <r>
    <x v="0"/>
    <x v="5"/>
    <x v="5"/>
    <s v="M00000340442"/>
    <d v="2008-02-21T00:00:00"/>
    <n v="0"/>
    <n v="59.6"/>
    <n v="1352"/>
    <n v="223.5"/>
    <x v="0"/>
    <s v="11"/>
    <s v="745"/>
    <n v="11"/>
    <n v="1.8147651006711409"/>
    <n v="0.16497864551555827"/>
  </r>
  <r>
    <x v="0"/>
    <x v="5"/>
    <x v="5"/>
    <s v="M00000353701"/>
    <d v="2008-04-17T00:00:00"/>
    <n v="0"/>
    <n v="43.2"/>
    <n v="1176"/>
    <n v="162"/>
    <x v="0"/>
    <s v="13"/>
    <s v="540"/>
    <n v="13"/>
    <n v="2.1777777777777776"/>
    <n v="0.16752136752136751"/>
  </r>
  <r>
    <x v="0"/>
    <x v="5"/>
    <x v="5"/>
    <s v="M00000350831"/>
    <d v="2008-04-03T00:00:00"/>
    <n v="0"/>
    <n v="104"/>
    <n v="2396"/>
    <n v="390"/>
    <x v="0"/>
    <s v="11"/>
    <s v="1300"/>
    <n v="11"/>
    <n v="1.8430769230769231"/>
    <n v="0.16755244755244755"/>
  </r>
  <r>
    <x v="0"/>
    <x v="5"/>
    <x v="5"/>
    <s v="M00000368131"/>
    <d v="2008-06-19T00:00:00"/>
    <n v="0"/>
    <n v="92.8"/>
    <n v="2556"/>
    <n v="348"/>
    <x v="0"/>
    <s v="13"/>
    <s v="1160"/>
    <n v="13"/>
    <n v="2.203448275862069"/>
    <n v="0.16949602122015917"/>
  </r>
  <r>
    <x v="0"/>
    <x v="5"/>
    <x v="5"/>
    <s v="M00000340707"/>
    <d v="2008-02-21T00:00:00"/>
    <n v="0"/>
    <n v="64"/>
    <n v="1768"/>
    <n v="240"/>
    <x v="0"/>
    <s v="13"/>
    <s v="800"/>
    <n v="13"/>
    <n v="2.21"/>
    <n v="0.17"/>
  </r>
  <r>
    <x v="0"/>
    <x v="5"/>
    <x v="5"/>
    <s v="M00000362664"/>
    <d v="2008-05-29T00:00:00"/>
    <n v="0"/>
    <n v="100.8"/>
    <n v="2790"/>
    <n v="378"/>
    <x v="0"/>
    <s v="13"/>
    <s v="1260"/>
    <n v="13"/>
    <n v="2.2142857142857144"/>
    <n v="0.17032967032967034"/>
  </r>
  <r>
    <x v="0"/>
    <x v="5"/>
    <x v="5"/>
    <s v="M00000320666"/>
    <d v="2007-12-13T00:00:00"/>
    <n v="0"/>
    <n v="48"/>
    <n v="1330"/>
    <n v="180"/>
    <x v="0"/>
    <s v="13"/>
    <s v="600"/>
    <n v="13"/>
    <n v="2.2166666666666668"/>
    <n v="0.17051282051282052"/>
  </r>
  <r>
    <x v="0"/>
    <x v="5"/>
    <x v="5"/>
    <s v="M00000359507"/>
    <d v="2008-05-15T00:00:00"/>
    <n v="0"/>
    <n v="16"/>
    <n v="450"/>
    <n v="60"/>
    <x v="0"/>
    <s v="13"/>
    <s v="200"/>
    <n v="13"/>
    <n v="2.25"/>
    <n v="0.17307692307692307"/>
  </r>
  <r>
    <x v="0"/>
    <x v="5"/>
    <x v="5"/>
    <s v="M00000323914"/>
    <d v="2008-02-21T00:00:00"/>
    <n v="0"/>
    <n v="174.4"/>
    <n v="5040"/>
    <n v="654"/>
    <x v="0"/>
    <s v="13"/>
    <s v="2180"/>
    <n v="13"/>
    <n v="2.3119266055045871"/>
    <n v="0.17784050811573746"/>
  </r>
  <r>
    <x v="0"/>
    <x v="5"/>
    <x v="5"/>
    <s v="M00000334931"/>
    <d v="2008-01-24T00:00:00"/>
    <n v="0"/>
    <n v="74.88"/>
    <n v="2196"/>
    <n v="280.8"/>
    <x v="0"/>
    <s v="13"/>
    <s v="936"/>
    <n v="13"/>
    <n v="2.3461538461538463"/>
    <n v="0.18047337278106509"/>
  </r>
  <r>
    <x v="0"/>
    <x v="5"/>
    <x v="5"/>
    <s v="M00000282183"/>
    <d v="2007-08-02T00:00:00"/>
    <n v="0"/>
    <n v="110.72"/>
    <n v="3247.97"/>
    <n v="415.2"/>
    <x v="0"/>
    <s v="13"/>
    <s v="1384"/>
    <n v="13"/>
    <n v="2.3467991329479769"/>
    <n v="0.18052301022676745"/>
  </r>
  <r>
    <x v="0"/>
    <x v="5"/>
    <x v="5"/>
    <s v="M00000359433"/>
    <d v="2008-05-29T00:00:00"/>
    <n v="0"/>
    <n v="76"/>
    <n v="2250"/>
    <n v="285"/>
    <x v="0"/>
    <s v="13"/>
    <s v="950"/>
    <n v="13"/>
    <n v="2.3684210526315788"/>
    <n v="0.18218623481781376"/>
  </r>
  <r>
    <x v="0"/>
    <x v="5"/>
    <x v="5"/>
    <s v="M00000301166"/>
    <d v="2007-10-11T00:00:00"/>
    <n v="0"/>
    <n v="81.599999999999994"/>
    <n v="2428"/>
    <n v="306"/>
    <x v="0"/>
    <s v="13"/>
    <s v="1020"/>
    <n v="13"/>
    <n v="2.3803921568627451"/>
    <n v="0.18310708898944192"/>
  </r>
  <r>
    <x v="0"/>
    <x v="5"/>
    <x v="5"/>
    <s v="M00000341197"/>
    <d v="2008-02-29T00:00:00"/>
    <n v="0"/>
    <n v="120.88"/>
    <n v="3636"/>
    <n v="453.3"/>
    <x v="0"/>
    <s v="13"/>
    <s v="1511"/>
    <n v="13"/>
    <n v="2.4063534083388483"/>
    <n v="0.18510410833375757"/>
  </r>
  <r>
    <x v="0"/>
    <x v="5"/>
    <x v="5"/>
    <s v="M00000333096"/>
    <d v="2007-12-31T00:00:00"/>
    <n v="0"/>
    <n v="64"/>
    <n v="1938"/>
    <n v="240"/>
    <x v="0"/>
    <s v="13"/>
    <s v="800"/>
    <n v="13"/>
    <n v="2.4224999999999999"/>
    <n v="0.18634615384615383"/>
  </r>
  <r>
    <x v="0"/>
    <x v="5"/>
    <x v="5"/>
    <s v="M00000337006"/>
    <d v="2008-02-07T00:00:00"/>
    <n v="0"/>
    <n v="157.68"/>
    <n v="4892.8999999999996"/>
    <n v="591.29999999999995"/>
    <x v="0"/>
    <s v="13"/>
    <s v="1971"/>
    <n v="13"/>
    <n v="2.4824454591577876"/>
    <n v="0.19095734301213751"/>
  </r>
  <r>
    <x v="0"/>
    <x v="5"/>
    <x v="5"/>
    <s v="M00000305599"/>
    <d v="2007-10-18T00:00:00"/>
    <n v="0"/>
    <n v="108"/>
    <n v="3910"/>
    <n v="405"/>
    <x v="0"/>
    <s v="15"/>
    <s v="1350"/>
    <n v="15"/>
    <n v="2.8962962962962964"/>
    <n v="0.19308641975308644"/>
  </r>
  <r>
    <x v="0"/>
    <x v="5"/>
    <x v="5"/>
    <s v="M00000285663"/>
    <d v="2007-07-19T00:00:00"/>
    <n v="0"/>
    <n v="24"/>
    <n v="879"/>
    <n v="90"/>
    <x v="0"/>
    <s v="15"/>
    <s v="300"/>
    <n v="15"/>
    <n v="2.93"/>
    <n v="0.19533333333333333"/>
  </r>
  <r>
    <x v="0"/>
    <x v="5"/>
    <x v="5"/>
    <s v="M00000326887"/>
    <d v="2007-12-31T00:00:00"/>
    <n v="0"/>
    <n v="78.239999999999995"/>
    <n v="2521"/>
    <n v="293.39999999999998"/>
    <x v="0"/>
    <s v="13"/>
    <s v="978"/>
    <n v="13"/>
    <n v="2.5777096114519429"/>
    <n v="0.19828535472707254"/>
  </r>
  <r>
    <x v="0"/>
    <x v="5"/>
    <x v="5"/>
    <s v="M00000326887"/>
    <d v="2008-03-27T00:00:00"/>
    <n v="0"/>
    <n v="-70.42"/>
    <n v="2521"/>
    <n v="293.39999999999998"/>
    <x v="0"/>
    <s v="13"/>
    <s v="978"/>
    <n v="13"/>
    <n v="2.5777096114519429"/>
    <n v="0.19828535472707254"/>
  </r>
  <r>
    <x v="0"/>
    <x v="5"/>
    <x v="5"/>
    <s v="M00000350317"/>
    <d v="2008-03-27T00:00:00"/>
    <n v="0"/>
    <n v="78.239999999999995"/>
    <n v="2521"/>
    <n v="293.39999999999998"/>
    <x v="0"/>
    <s v="13"/>
    <s v="978"/>
    <n v="13"/>
    <n v="2.5777096114519429"/>
    <n v="0.19828535472707254"/>
  </r>
  <r>
    <x v="0"/>
    <x v="5"/>
    <x v="5"/>
    <s v="M00000350317"/>
    <d v="2008-04-10T00:00:00"/>
    <n v="0"/>
    <n v="-78.239999999999995"/>
    <n v="2521"/>
    <n v="293.39999999999998"/>
    <x v="0"/>
    <s v="13"/>
    <s v="978"/>
    <n v="13"/>
    <n v="2.5777096114519429"/>
    <n v="0.19828535472707254"/>
  </r>
  <r>
    <x v="0"/>
    <x v="5"/>
    <x v="5"/>
    <s v="M00000352953"/>
    <d v="2008-04-17T00:00:00"/>
    <n v="0"/>
    <n v="78.239999999999995"/>
    <n v="2521"/>
    <n v="293.39999999999998"/>
    <x v="0"/>
    <s v="13"/>
    <s v="978"/>
    <n v="13"/>
    <n v="2.5777096114519429"/>
    <n v="0.19828535472707254"/>
  </r>
  <r>
    <x v="0"/>
    <x v="5"/>
    <x v="5"/>
    <s v="M00000338658"/>
    <d v="2008-02-14T00:00:00"/>
    <n v="0"/>
    <n v="64"/>
    <n v="1748"/>
    <n v="240"/>
    <x v="0"/>
    <s v="11"/>
    <s v="800"/>
    <n v="11"/>
    <n v="2.1850000000000001"/>
    <n v="0.19863636363636364"/>
  </r>
  <r>
    <x v="0"/>
    <x v="5"/>
    <x v="5"/>
    <s v="M00000340839"/>
    <d v="2008-02-21T00:00:00"/>
    <n v="0"/>
    <n v="69.599999999999994"/>
    <n v="2259"/>
    <n v="261"/>
    <x v="0"/>
    <s v="13"/>
    <s v="870"/>
    <n v="13"/>
    <n v="2.5965517241379312"/>
    <n v="0.19973474801061009"/>
  </r>
  <r>
    <x v="0"/>
    <x v="5"/>
    <x v="5"/>
    <s v="M00000370972"/>
    <d v="2008-07-10T00:00:00"/>
    <n v="0"/>
    <n v="54.4"/>
    <n v="1776"/>
    <n v="204"/>
    <x v="0"/>
    <s v="13"/>
    <s v="680"/>
    <n v="13"/>
    <n v="2.611764705882353"/>
    <n v="0.20090497737556562"/>
  </r>
  <r>
    <x v="0"/>
    <x v="5"/>
    <x v="5"/>
    <s v="M00000338677"/>
    <d v="2008-03-06T00:00:00"/>
    <n v="0"/>
    <n v="135.04"/>
    <n v="4495"/>
    <n v="506.4"/>
    <x v="0"/>
    <s v="13"/>
    <s v="1688"/>
    <n v="13"/>
    <n v="2.6629146919431279"/>
    <n v="0.20483959168793292"/>
  </r>
  <r>
    <x v="0"/>
    <x v="5"/>
    <x v="5"/>
    <s v="M00000314647"/>
    <d v="2007-11-21T00:00:00"/>
    <n v="0"/>
    <n v="86.4"/>
    <n v="2890"/>
    <n v="324"/>
    <x v="0"/>
    <s v="13"/>
    <s v="1080"/>
    <n v="13"/>
    <n v="2.675925925925926"/>
    <n v="0.20584045584045585"/>
  </r>
  <r>
    <x v="0"/>
    <x v="5"/>
    <x v="5"/>
    <s v="M00000341948"/>
    <d v="2008-02-29T00:00:00"/>
    <n v="0"/>
    <n v="65.28"/>
    <n v="2300"/>
    <n v="244.8"/>
    <x v="0"/>
    <s v="13"/>
    <s v="816"/>
    <n v="13"/>
    <n v="2.8186274509803924"/>
    <n v="0.21681749622926094"/>
  </r>
  <r>
    <x v="0"/>
    <x v="5"/>
    <x v="5"/>
    <s v="M00000349713"/>
    <d v="2008-05-15T00:00:00"/>
    <n v="0"/>
    <n v="72"/>
    <n v="2585"/>
    <n v="270"/>
    <x v="0"/>
    <s v="13"/>
    <s v="900"/>
    <n v="13"/>
    <n v="2.8722222222222222"/>
    <n v="0.22094017094017093"/>
  </r>
  <r>
    <x v="0"/>
    <x v="5"/>
    <x v="5"/>
    <s v="M00000337103"/>
    <d v="2008-02-07T00:00:00"/>
    <n v="0"/>
    <n v="121.6"/>
    <n v="4411"/>
    <n v="456"/>
    <x v="0"/>
    <s v="13"/>
    <s v="1520"/>
    <n v="13"/>
    <n v="2.9019736842105264"/>
    <n v="0.22322874493927125"/>
  </r>
  <r>
    <x v="0"/>
    <x v="5"/>
    <x v="5"/>
    <s v="M00000280790"/>
    <d v="2007-06-28T00:00:00"/>
    <n v="0"/>
    <n v="79.44"/>
    <n v="3187.03"/>
    <n v="297.89999999999998"/>
    <x v="0"/>
    <s v="14"/>
    <s v="993"/>
    <n v="14"/>
    <n v="3.2094964753272914"/>
    <n v="0.22924974823766367"/>
  </r>
  <r>
    <x v="0"/>
    <x v="5"/>
    <x v="5"/>
    <s v="M00000340829"/>
    <d v="2008-02-21T00:00:00"/>
    <n v="0"/>
    <n v="65.599999999999994"/>
    <n v="2450"/>
    <n v="246"/>
    <x v="0"/>
    <s v="13"/>
    <s v="820"/>
    <n v="13"/>
    <n v="2.9878048780487805"/>
    <n v="0.22983114446529079"/>
  </r>
  <r>
    <x v="0"/>
    <x v="5"/>
    <x v="5"/>
    <s v="M00000336987"/>
    <d v="2008-02-07T00:00:00"/>
    <n v="0"/>
    <n v="79.599999999999994"/>
    <n v="3287"/>
    <n v="298.5"/>
    <x v="0"/>
    <s v="14"/>
    <s v="995"/>
    <n v="14"/>
    <n v="3.3035175879396985"/>
    <n v="0.23596554199569275"/>
  </r>
  <r>
    <x v="0"/>
    <x v="5"/>
    <x v="5"/>
    <s v="M00000286339"/>
    <d v="2007-09-06T00:00:00"/>
    <n v="0"/>
    <n v="67.680000000000007"/>
    <n v="2986.97"/>
    <n v="253.8"/>
    <x v="0"/>
    <s v="14"/>
    <s v="846"/>
    <n v="14"/>
    <n v="3.5306973995271864"/>
    <n v="0.25219267139479901"/>
  </r>
  <r>
    <x v="0"/>
    <x v="5"/>
    <x v="5"/>
    <s v="M00000269519"/>
    <d v="2007-05-17T00:00:00"/>
    <n v="0"/>
    <n v="55.04"/>
    <n v="1988.32"/>
    <n v="206.4"/>
    <x v="0"/>
    <s v="11"/>
    <s v="688"/>
    <n v="11"/>
    <n v="2.89"/>
    <n v="0.26272727272727275"/>
  </r>
  <r>
    <x v="0"/>
    <x v="5"/>
    <x v="5"/>
    <s v="M00000312564"/>
    <d v="2007-11-15T00:00:00"/>
    <n v="0"/>
    <n v="64"/>
    <n v="3335"/>
    <n v="240"/>
    <x v="0"/>
    <s v="15"/>
    <s v="800"/>
    <n v="15"/>
    <n v="4.1687500000000002"/>
    <n v="0.2779166666666667"/>
  </r>
  <r>
    <x v="0"/>
    <x v="5"/>
    <x v="5"/>
    <s v="M00000324411"/>
    <d v="2007-12-20T00:00:00"/>
    <n v="0"/>
    <n v="79.040000000000006"/>
    <n v="3875"/>
    <n v="296.39999999999998"/>
    <x v="0"/>
    <s v="13"/>
    <s v="988"/>
    <n v="13"/>
    <n v="3.9220647773279351"/>
    <n v="0.30169729056368733"/>
  </r>
  <r>
    <x v="0"/>
    <x v="5"/>
    <x v="5"/>
    <s v="M00000365325"/>
    <d v="2008-06-12T00:00:00"/>
    <n v="0"/>
    <n v="11.92"/>
    <n v="668"/>
    <n v="44.7"/>
    <x v="0"/>
    <s v="13"/>
    <s v="149"/>
    <n v="13"/>
    <n v="4.4832214765100673"/>
    <n v="0.34486319050077441"/>
  </r>
  <r>
    <x v="0"/>
    <x v="5"/>
    <x v="5"/>
    <s v="M00000282720"/>
    <d v="2007-08-23T00:00:00"/>
    <n v="0"/>
    <n v="3.84"/>
    <n v="437"/>
    <n v="14.4"/>
    <x v="0"/>
    <s v="25"/>
    <s v="48"/>
    <n v="25"/>
    <n v="9.1041666666666661"/>
    <n v="0.36416666666666664"/>
  </r>
  <r>
    <x v="0"/>
    <x v="5"/>
    <x v="5"/>
    <s v="M00000333459"/>
    <d v="2008-01-24T00:00:00"/>
    <n v="0"/>
    <n v="8"/>
    <n v="414"/>
    <n v="30"/>
    <x v="0"/>
    <s v="11"/>
    <s v="100"/>
    <n v="11"/>
    <n v="4.1399999999999997"/>
    <n v="0.37636363636363634"/>
  </r>
  <r>
    <x v="0"/>
    <x v="5"/>
    <x v="5"/>
    <s v="M00000313300"/>
    <d v="2007-11-15T00:00:00"/>
    <n v="0"/>
    <n v="14.24"/>
    <n v="1045"/>
    <n v="53.4"/>
    <x v="0"/>
    <s v="15"/>
    <s v="178"/>
    <n v="15"/>
    <n v="5.8707865168539328"/>
    <n v="0.39138576779026218"/>
  </r>
  <r>
    <x v="0"/>
    <x v="5"/>
    <x v="5"/>
    <s v="M00000366157"/>
    <d v="2008-06-12T00:00:00"/>
    <n v="0"/>
    <n v="10.96"/>
    <n v="726"/>
    <n v="41.1"/>
    <x v="0"/>
    <s v="13"/>
    <s v="137"/>
    <n v="13"/>
    <n v="5.2992700729927007"/>
    <n v="0.40763615946097698"/>
  </r>
  <r>
    <x v="0"/>
    <x v="5"/>
    <x v="5"/>
    <s v="M00000320690"/>
    <d v="2007-12-13T00:00:00"/>
    <n v="0"/>
    <n v="8"/>
    <n v="1000"/>
    <n v="30"/>
    <x v="0"/>
    <s v="11"/>
    <s v="100"/>
    <n v="11"/>
    <n v="10"/>
    <n v="0.90909090909090906"/>
  </r>
  <r>
    <x v="0"/>
    <x v="5"/>
    <x v="5"/>
    <s v="M00000345138"/>
    <d v="2008-05-08T00:00:00"/>
    <n v="0"/>
    <n v="62.72"/>
    <n v="17074.080000000002"/>
    <n v="235.2"/>
    <x v="0"/>
    <s v="15"/>
    <s v="784"/>
    <n v="15"/>
    <n v="21.778163265306123"/>
    <n v="1.451877551020408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4" dataOnRows="1" applyNumberFormats="0" applyBorderFormats="0" applyFontFormats="0" applyPatternFormats="0" applyAlignmentFormats="0" applyWidthHeightFormats="1" dataCaption="Data" updatedVersion="2" showMemberPropertyTips="0" useAutoFormatting="1" itemPrintTitles="1" createdVersion="1" indent="0" compact="0" compactData="0" gridDropZones="1">
  <location ref="AA1:AC29" firstHeaderRow="1" firstDataRow="1" firstDataCol="2"/>
  <pivotFields count="15">
    <pivotField compact="0" outline="0" subtotalTop="0" showAll="0" includeNewItemsInFilter="1"/>
    <pivotField compact="0" outline="0" subtotalTop="0" showAll="0" includeNewItemsInFilter="1"/>
    <pivotField axis="axisRow" compact="0" outline="0" subtotalTop="0" showAll="0" includeNewItemsInFilter="1">
      <items count="7">
        <item x="0"/>
        <item x="1"/>
        <item x="2"/>
        <item x="3"/>
        <item x="4"/>
        <item x="5"/>
        <item t="default"/>
      </items>
    </pivotField>
    <pivotField compact="0" outline="0" subtotalTop="0" showAll="0" includeNewItemsInFilter="1"/>
    <pivotField compact="0" numFmtId="174" outline="0" subtotalTop="0" showAll="0" includeNewItemsInFilter="1"/>
    <pivotField compact="0" outline="0" subtotalTop="0" showAll="0" includeNewItemsInFilter="1"/>
    <pivotField compact="0" outline="0" subtotalTop="0" showAll="0" includeNewItemsInFilter="1"/>
    <pivotField compact="0" numFmtId="173" outline="0" subtotalTop="0" showAll="0" includeNewItemsInFilter="1"/>
    <pivotField compact="0" numFmtId="173"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numFmtId="44" outline="0" subtotalTop="0" showAll="0" includeNewItemsInFilter="1"/>
    <pivotField dataField="1" compact="0" numFmtId="44" outline="0" subtotalTop="0" showAll="0" includeNewItemsInFilter="1"/>
  </pivotFields>
  <rowFields count="2">
    <field x="2"/>
    <field x="-2"/>
  </rowFields>
  <rowItems count="28">
    <i>
      <x/>
      <x/>
    </i>
    <i r="1" i="1">
      <x v="1"/>
    </i>
    <i r="1" i="2">
      <x v="2"/>
    </i>
    <i r="1" i="3">
      <x v="3"/>
    </i>
    <i>
      <x v="1"/>
      <x/>
    </i>
    <i r="1" i="1">
      <x v="1"/>
    </i>
    <i r="1" i="2">
      <x v="2"/>
    </i>
    <i r="1" i="3">
      <x v="3"/>
    </i>
    <i>
      <x v="2"/>
      <x/>
    </i>
    <i r="1" i="1">
      <x v="1"/>
    </i>
    <i r="1" i="2">
      <x v="2"/>
    </i>
    <i r="1" i="3">
      <x v="3"/>
    </i>
    <i>
      <x v="3"/>
      <x/>
    </i>
    <i r="1" i="1">
      <x v="1"/>
    </i>
    <i r="1" i="2">
      <x v="2"/>
    </i>
    <i r="1" i="3">
      <x v="3"/>
    </i>
    <i>
      <x v="4"/>
      <x/>
    </i>
    <i r="1" i="1">
      <x v="1"/>
    </i>
    <i r="1" i="2">
      <x v="2"/>
    </i>
    <i r="1" i="3">
      <x v="3"/>
    </i>
    <i>
      <x v="5"/>
      <x/>
    </i>
    <i r="1" i="1">
      <x v="1"/>
    </i>
    <i r="1" i="2">
      <x v="2"/>
    </i>
    <i r="1" i="3">
      <x v="3"/>
    </i>
    <i t="grand">
      <x/>
    </i>
    <i t="grand" i="1">
      <x/>
    </i>
    <i t="grand" i="2">
      <x/>
    </i>
    <i t="grand" i="3">
      <x/>
    </i>
  </rowItems>
  <colItems count="1">
    <i/>
  </colItems>
  <dataFields count="4">
    <dataField name="Count of Delta R" fld="12" subtotal="count" baseField="0" baseItem="0"/>
    <dataField name="Average of Delta R" fld="12" subtotal="average" baseField="0" baseItem="0"/>
    <dataField name="Average of Delta $/SF" fld="13" subtotal="average" baseField="0" baseItem="0"/>
    <dataField name="Average of Delta $/SF/R" fld="14" subtotal="average" baseField="0" baseItem="0"/>
  </dataFields>
  <formats count="7">
    <format dxfId="6">
      <pivotArea outline="0" fieldPosition="0">
        <references count="2">
          <reference field="4294967294" count="2" selected="0">
            <x v="0"/>
            <x v="1"/>
          </reference>
          <reference field="2" count="1" selected="0">
            <x v="0"/>
          </reference>
        </references>
      </pivotArea>
    </format>
    <format dxfId="5">
      <pivotArea outline="0" fieldPosition="0">
        <references count="2">
          <reference field="4294967294" count="2" selected="0">
            <x v="2"/>
            <x v="3"/>
          </reference>
          <reference field="2" count="1" selected="0">
            <x v="0"/>
          </reference>
        </references>
      </pivotArea>
    </format>
    <format dxfId="4">
      <pivotArea outline="0" fieldPosition="0">
        <references count="2">
          <reference field="4294967294" count="1" selected="0">
            <x v="0"/>
          </reference>
          <reference field="2" count="1" selected="0">
            <x v="1"/>
          </reference>
        </references>
      </pivotArea>
    </format>
    <format dxfId="3">
      <pivotArea outline="0" fieldPosition="0">
        <references count="2">
          <reference field="4294967294" count="1" selected="0">
            <x v="0"/>
          </reference>
          <reference field="2" count="1" selected="0">
            <x v="2"/>
          </reference>
        </references>
      </pivotArea>
    </format>
    <format dxfId="2">
      <pivotArea outline="0" fieldPosition="0">
        <references count="2">
          <reference field="4294967294" count="1" selected="0">
            <x v="0"/>
          </reference>
          <reference field="2" count="1" selected="0">
            <x v="3"/>
          </reference>
        </references>
      </pivotArea>
    </format>
    <format dxfId="1">
      <pivotArea outline="0" fieldPosition="0">
        <references count="2">
          <reference field="4294967294" count="1" selected="0">
            <x v="0"/>
          </reference>
          <reference field="2" count="1" selected="0">
            <x v="4"/>
          </reference>
        </references>
      </pivotArea>
    </format>
    <format dxfId="0">
      <pivotArea outline="0" fieldPosition="0">
        <references count="2">
          <reference field="4294967294" count="1" selected="0">
            <x v="0"/>
          </reference>
          <reference field="2" count="1" selected="0">
            <x v="5"/>
          </reference>
        </references>
      </pivotArea>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hyperlink" Target="Res%20Wx/ManufacturedHomesWxSEEMWorkbookRuns12111.xlsm"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dimension ref="C1:F27"/>
  <sheetViews>
    <sheetView topLeftCell="B1" workbookViewId="0">
      <selection activeCell="E9" sqref="E9"/>
    </sheetView>
  </sheetViews>
  <sheetFormatPr defaultRowHeight="15"/>
  <cols>
    <col min="1" max="1" width="4" style="92" customWidth="1"/>
    <col min="2" max="2" width="4.28515625" style="92" customWidth="1"/>
    <col min="3" max="3" width="28.140625" style="92" customWidth="1"/>
    <col min="4" max="4" width="74.42578125" style="92" customWidth="1"/>
    <col min="5" max="5" width="44.7109375" style="92" customWidth="1"/>
    <col min="6" max="6" width="31.5703125" style="92" customWidth="1"/>
    <col min="7" max="16384" width="9.140625" style="92"/>
  </cols>
  <sheetData>
    <row r="1" spans="3:6" ht="15.75" thickBot="1"/>
    <row r="2" spans="3:6" ht="19.5" thickBot="1">
      <c r="C2" s="93" t="s">
        <v>194</v>
      </c>
      <c r="D2" s="94" t="s">
        <v>193</v>
      </c>
      <c r="E2" s="94"/>
      <c r="F2" s="95"/>
    </row>
    <row r="3" spans="3:6">
      <c r="C3" s="96" t="s">
        <v>182</v>
      </c>
      <c r="D3" s="96" t="s">
        <v>183</v>
      </c>
      <c r="E3" s="96" t="s">
        <v>184</v>
      </c>
      <c r="F3" s="96" t="s">
        <v>195</v>
      </c>
    </row>
    <row r="4" spans="3:6" ht="30">
      <c r="C4" s="97" t="s">
        <v>185</v>
      </c>
      <c r="D4" s="98" t="s">
        <v>198</v>
      </c>
      <c r="E4" s="99"/>
      <c r="F4" s="100" t="s">
        <v>206</v>
      </c>
    </row>
    <row r="5" spans="3:6" ht="45">
      <c r="C5" s="97" t="s">
        <v>186</v>
      </c>
      <c r="D5" s="101" t="s">
        <v>207</v>
      </c>
      <c r="E5" s="99"/>
      <c r="F5" s="103" t="s">
        <v>6428</v>
      </c>
    </row>
    <row r="6" spans="3:6">
      <c r="C6" s="97" t="s">
        <v>187</v>
      </c>
      <c r="D6" s="101" t="s">
        <v>588</v>
      </c>
      <c r="E6" s="101"/>
      <c r="F6" s="100"/>
    </row>
    <row r="7" spans="3:6">
      <c r="C7" s="97" t="s">
        <v>188</v>
      </c>
      <c r="D7" s="101" t="s">
        <v>200</v>
      </c>
      <c r="E7" s="101"/>
      <c r="F7" s="102"/>
    </row>
    <row r="8" spans="3:6">
      <c r="C8" s="97" t="s">
        <v>196</v>
      </c>
      <c r="D8" s="101" t="s">
        <v>199</v>
      </c>
      <c r="F8" s="100"/>
    </row>
    <row r="9" spans="3:6">
      <c r="C9" s="97" t="s">
        <v>189</v>
      </c>
      <c r="D9" s="101" t="s">
        <v>587</v>
      </c>
      <c r="E9" s="103"/>
      <c r="F9" s="100"/>
    </row>
    <row r="10" spans="3:6" ht="30">
      <c r="C10" s="97" t="s">
        <v>190</v>
      </c>
      <c r="D10" s="101" t="s">
        <v>201</v>
      </c>
      <c r="E10" s="99" t="s">
        <v>6425</v>
      </c>
      <c r="F10" s="100" t="s">
        <v>237</v>
      </c>
    </row>
    <row r="11" spans="3:6">
      <c r="C11" s="97" t="s">
        <v>191</v>
      </c>
      <c r="D11" s="101" t="s">
        <v>202</v>
      </c>
      <c r="E11" s="103" t="s">
        <v>6426</v>
      </c>
      <c r="F11" s="100"/>
    </row>
    <row r="12" spans="3:6">
      <c r="C12" s="97" t="s">
        <v>192</v>
      </c>
      <c r="D12" s="104" t="s">
        <v>6427</v>
      </c>
      <c r="E12" s="105"/>
      <c r="F12" s="100"/>
    </row>
    <row r="13" spans="3:6">
      <c r="C13" s="97" t="s">
        <v>197</v>
      </c>
      <c r="D13" s="104" t="s">
        <v>203</v>
      </c>
      <c r="E13" s="103" t="s">
        <v>204</v>
      </c>
      <c r="F13" s="100" t="s">
        <v>205</v>
      </c>
    </row>
    <row r="21" spans="3:3">
      <c r="C21" s="106"/>
    </row>
    <row r="22" spans="3:3">
      <c r="C22" s="106"/>
    </row>
    <row r="23" spans="3:3">
      <c r="C23" s="106"/>
    </row>
    <row r="24" spans="3:3">
      <c r="C24" s="106"/>
    </row>
    <row r="25" spans="3:3">
      <c r="C25" s="106"/>
    </row>
    <row r="26" spans="3:3">
      <c r="C26" s="106"/>
    </row>
    <row r="27" spans="3:3">
      <c r="C27" s="106"/>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DB214"/>
  <sheetViews>
    <sheetView topLeftCell="C59" workbookViewId="0">
      <selection activeCell="I79" sqref="I79"/>
    </sheetView>
  </sheetViews>
  <sheetFormatPr defaultRowHeight="12.75"/>
  <cols>
    <col min="2" max="2" width="86.140625" customWidth="1"/>
    <col min="3" max="3" width="94.28515625" bestFit="1" customWidth="1"/>
  </cols>
  <sheetData>
    <row r="1" spans="1:106" s="7" customFormat="1">
      <c r="B1" s="1" t="s">
        <v>0</v>
      </c>
      <c r="C1" s="2" t="s">
        <v>239</v>
      </c>
      <c r="D1" s="2"/>
      <c r="E1" s="2"/>
      <c r="F1" s="2"/>
      <c r="G1" s="2"/>
      <c r="H1" s="2"/>
      <c r="I1" s="2"/>
      <c r="J1" s="3"/>
      <c r="K1" s="3"/>
      <c r="L1" s="3"/>
      <c r="M1" s="3"/>
      <c r="N1" s="3"/>
      <c r="O1" s="4"/>
      <c r="P1" s="4"/>
      <c r="Q1" s="4"/>
      <c r="R1" s="4"/>
      <c r="S1" s="4"/>
      <c r="T1" s="2"/>
      <c r="U1" s="2"/>
      <c r="V1" s="2"/>
      <c r="W1" s="4"/>
      <c r="X1" s="2"/>
      <c r="Y1" s="2"/>
      <c r="Z1" s="2"/>
      <c r="AA1" s="2"/>
      <c r="AB1" s="2"/>
      <c r="AC1" s="2"/>
      <c r="AD1" s="2"/>
      <c r="AE1" s="2"/>
      <c r="AF1" s="2"/>
      <c r="AG1" s="2"/>
      <c r="AH1" s="2"/>
      <c r="AI1" s="2"/>
      <c r="AJ1" s="2"/>
      <c r="AK1" s="2"/>
      <c r="AL1" s="2"/>
      <c r="AM1" s="2"/>
      <c r="AN1" s="2"/>
      <c r="AO1" s="2"/>
      <c r="AP1" s="2"/>
      <c r="AQ1" s="5"/>
      <c r="AR1" s="2"/>
      <c r="AS1" s="2"/>
      <c r="AT1" s="2"/>
      <c r="AU1" s="2"/>
      <c r="AV1" s="2"/>
      <c r="AW1" s="5"/>
      <c r="AX1" s="2"/>
      <c r="AY1" s="2"/>
      <c r="AZ1" s="2"/>
      <c r="BA1" s="2"/>
      <c r="BB1" s="2"/>
      <c r="BC1" s="2"/>
      <c r="BD1" s="2"/>
      <c r="BE1" s="2"/>
      <c r="BF1" s="2"/>
      <c r="BG1" s="2"/>
      <c r="BH1" s="2"/>
      <c r="BI1" s="2"/>
      <c r="BJ1" s="2"/>
      <c r="BK1" s="2"/>
      <c r="BL1" s="2"/>
      <c r="BM1" s="2"/>
      <c r="BN1" s="6"/>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5"/>
      <c r="CR1" s="2"/>
      <c r="CS1" s="2"/>
      <c r="CT1" s="2"/>
      <c r="CU1" s="2"/>
      <c r="CV1" s="2"/>
      <c r="CW1" s="2"/>
      <c r="CX1" s="2"/>
      <c r="CY1" s="2"/>
      <c r="CZ1" s="2"/>
      <c r="DA1" s="2"/>
      <c r="DB1" s="2"/>
    </row>
    <row r="2" spans="1:106" s="7" customFormat="1">
      <c r="B2" s="8" t="s">
        <v>240</v>
      </c>
      <c r="C2" s="2"/>
      <c r="D2" s="2"/>
      <c r="E2" s="2"/>
      <c r="F2" s="2"/>
      <c r="G2" s="2"/>
      <c r="H2" s="2"/>
      <c r="I2" s="2"/>
      <c r="J2" s="3"/>
      <c r="K2" s="3"/>
      <c r="L2" s="3"/>
      <c r="M2" s="3"/>
      <c r="N2" s="3"/>
      <c r="O2" s="4"/>
      <c r="P2" s="4"/>
      <c r="Q2" s="4"/>
      <c r="R2" s="4"/>
      <c r="S2" s="4"/>
      <c r="T2" s="2"/>
      <c r="U2" s="2"/>
      <c r="V2" s="2"/>
      <c r="W2" s="4"/>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5"/>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row>
    <row r="3" spans="1:106" s="7" customFormat="1">
      <c r="B3" s="8" t="s">
        <v>1</v>
      </c>
      <c r="D3" s="8">
        <v>2012</v>
      </c>
      <c r="K3" s="9"/>
      <c r="L3" s="10"/>
      <c r="CP3" s="10"/>
      <c r="CQ3" s="10"/>
    </row>
    <row r="4" spans="1:106" s="7" customFormat="1"/>
    <row r="5" spans="1:106" s="7" customFormat="1">
      <c r="A5" s="7">
        <v>0</v>
      </c>
      <c r="B5" s="11">
        <v>1</v>
      </c>
      <c r="C5" s="11">
        <v>2</v>
      </c>
      <c r="D5" s="11">
        <v>3</v>
      </c>
      <c r="E5" s="11">
        <v>4</v>
      </c>
      <c r="F5" s="7">
        <v>5</v>
      </c>
      <c r="G5" s="11">
        <v>6</v>
      </c>
      <c r="H5" s="11">
        <v>7</v>
      </c>
      <c r="I5" s="11">
        <v>8</v>
      </c>
      <c r="J5" s="11">
        <v>9</v>
      </c>
      <c r="K5" s="11">
        <v>10</v>
      </c>
      <c r="L5" s="7">
        <v>11</v>
      </c>
      <c r="M5" s="11">
        <v>12</v>
      </c>
      <c r="N5" s="11">
        <v>13</v>
      </c>
      <c r="O5" s="11">
        <v>14</v>
      </c>
      <c r="P5" s="11">
        <v>15</v>
      </c>
      <c r="Q5" s="11">
        <v>16</v>
      </c>
      <c r="R5" s="11"/>
      <c r="S5" s="11"/>
      <c r="T5" s="11"/>
      <c r="V5" s="11"/>
      <c r="W5" s="11"/>
      <c r="X5" s="11"/>
      <c r="Y5" s="11"/>
      <c r="AA5" s="11"/>
      <c r="AB5" s="11"/>
      <c r="AC5" s="11"/>
      <c r="AD5" s="11"/>
      <c r="AF5" s="11"/>
      <c r="AG5" s="11"/>
      <c r="AH5" s="11"/>
      <c r="AI5" s="11"/>
      <c r="AK5" s="11"/>
      <c r="AL5" s="11"/>
      <c r="AM5" s="11"/>
      <c r="AN5" s="11"/>
      <c r="AP5" s="11"/>
      <c r="AQ5" s="11"/>
      <c r="AR5" s="11"/>
      <c r="AS5" s="11"/>
      <c r="AU5" s="11"/>
      <c r="AV5" s="11"/>
      <c r="AW5" s="11"/>
      <c r="AX5" s="11"/>
      <c r="AZ5" s="11"/>
      <c r="BA5" s="11"/>
      <c r="BB5" s="11"/>
      <c r="BC5" s="11"/>
      <c r="BE5" s="11"/>
      <c r="BF5" s="11"/>
      <c r="BG5" s="11"/>
      <c r="BH5" s="11"/>
      <c r="BJ5" s="11"/>
      <c r="BK5" s="11"/>
      <c r="BL5" s="11"/>
      <c r="BM5" s="11"/>
      <c r="BO5" s="11"/>
      <c r="BP5" s="11"/>
      <c r="BQ5" s="11"/>
      <c r="BR5" s="11"/>
      <c r="BT5" s="11"/>
      <c r="BU5" s="11"/>
      <c r="BV5" s="11"/>
      <c r="BW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row>
    <row r="6" spans="1:106" s="7" customFormat="1">
      <c r="B6" s="12" t="s">
        <v>2</v>
      </c>
      <c r="C6" s="13"/>
      <c r="D6" s="13"/>
      <c r="E6" s="13"/>
      <c r="F6" s="13"/>
      <c r="G6" s="13"/>
      <c r="H6" s="14"/>
      <c r="I6" s="15"/>
      <c r="J6" s="399" t="s">
        <v>3</v>
      </c>
      <c r="K6" s="400"/>
      <c r="L6" s="400"/>
      <c r="M6" s="400"/>
      <c r="N6" s="400"/>
      <c r="O6" s="401"/>
      <c r="P6" s="402" t="s">
        <v>4</v>
      </c>
      <c r="Q6" s="403"/>
      <c r="R6" s="16"/>
      <c r="S6" s="17"/>
      <c r="T6" s="17"/>
      <c r="U6" s="17"/>
      <c r="V6" s="17"/>
      <c r="W6" s="17"/>
      <c r="X6" s="17"/>
      <c r="Y6" s="18"/>
      <c r="Z6" s="19"/>
      <c r="AA6" s="17"/>
      <c r="AB6" s="17"/>
      <c r="AC6" s="17"/>
      <c r="AD6" s="17"/>
      <c r="AE6" s="17"/>
      <c r="AF6" s="20"/>
      <c r="AG6" s="20"/>
      <c r="AH6" s="20"/>
      <c r="AI6" s="20"/>
      <c r="AJ6" s="20"/>
      <c r="AK6" s="20"/>
      <c r="AL6" s="20"/>
      <c r="AM6" s="20"/>
      <c r="AN6" s="20"/>
      <c r="AO6" s="20"/>
      <c r="AP6" s="20"/>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row>
    <row r="7" spans="1:106" s="7" customFormat="1" ht="38.25">
      <c r="B7" s="21" t="s">
        <v>5</v>
      </c>
      <c r="C7" s="21" t="s">
        <v>6</v>
      </c>
      <c r="D7" s="21" t="s">
        <v>7</v>
      </c>
      <c r="E7" s="21" t="s">
        <v>8</v>
      </c>
      <c r="F7" s="21" t="s">
        <v>9</v>
      </c>
      <c r="G7" s="21" t="s">
        <v>10</v>
      </c>
      <c r="H7" s="22" t="s">
        <v>11</v>
      </c>
      <c r="I7" s="23" t="s">
        <v>12</v>
      </c>
      <c r="J7" s="23" t="s">
        <v>13</v>
      </c>
      <c r="K7" s="23" t="s">
        <v>14</v>
      </c>
      <c r="L7" s="23" t="s">
        <v>15</v>
      </c>
      <c r="M7" s="23" t="s">
        <v>16</v>
      </c>
      <c r="N7" s="23" t="s">
        <v>17</v>
      </c>
      <c r="O7" s="23" t="s">
        <v>18</v>
      </c>
      <c r="P7" s="24" t="s">
        <v>19</v>
      </c>
      <c r="Q7" s="23" t="s">
        <v>11</v>
      </c>
      <c r="R7" s="25"/>
      <c r="S7" s="25"/>
      <c r="T7" s="25"/>
      <c r="U7" s="25"/>
      <c r="V7" s="25"/>
      <c r="W7" s="25"/>
      <c r="X7" s="25"/>
      <c r="Y7" s="25"/>
      <c r="Z7" s="25"/>
      <c r="AA7" s="25"/>
      <c r="AB7" s="25"/>
      <c r="AC7" s="25"/>
      <c r="AD7" s="25"/>
      <c r="AE7" s="25"/>
      <c r="AF7" s="20"/>
      <c r="AG7" s="20"/>
      <c r="AH7" s="20"/>
      <c r="AI7" s="20"/>
      <c r="AJ7" s="20"/>
      <c r="AK7" s="20"/>
      <c r="AL7" s="20"/>
      <c r="AM7" s="20"/>
      <c r="AN7" s="20"/>
      <c r="AO7" s="20"/>
      <c r="AP7" s="20"/>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row>
    <row r="8" spans="1:106">
      <c r="B8" s="90" t="str">
        <f>CONCATENATE("Manuf Homes Wx"," - ",C8)</f>
        <v>Manuf Homes Wx - Attic R0 - R30 + HZ1 + Electric FAF</v>
      </c>
      <c r="C8" t="str">
        <f>SEEMsavings!D3</f>
        <v>Attic R0 - R30 + HZ1 + Electric FAF</v>
      </c>
      <c r="D8" s="309">
        <f>VLOOKUP($C8,SEEMsavings!$D$3:$E$74,2,FALSE)</f>
        <v>0.30705170082395566</v>
      </c>
      <c r="E8" s="87">
        <v>25</v>
      </c>
      <c r="F8" s="386">
        <f>Costs!$X$38</f>
        <v>2.1</v>
      </c>
      <c r="G8" s="87">
        <v>0</v>
      </c>
      <c r="H8" s="86" t="s">
        <v>238</v>
      </c>
      <c r="I8" s="309">
        <f>VLOOKUP($C8,SEEMsavings!$D$3:$F$74,3,FALSE)</f>
        <v>2.1551885940561174E-3</v>
      </c>
      <c r="J8" s="85"/>
      <c r="K8" s="85"/>
      <c r="L8" s="264"/>
      <c r="M8" s="85"/>
      <c r="N8" s="85"/>
      <c r="O8" s="85"/>
      <c r="P8" s="85"/>
      <c r="Q8" s="88"/>
    </row>
    <row r="9" spans="1:106">
      <c r="B9" s="90" t="str">
        <f t="shared" ref="B9:B72" si="0">CONCATENATE("Manuf Homes Wx"," - ",C9)</f>
        <v>Manuf Homes Wx - Attic R0 - R22 + HZ1 + Electric FAF</v>
      </c>
      <c r="C9" t="str">
        <f>SEEMsavings!D4</f>
        <v>Attic R0 - R22 + HZ1 + Electric FAF</v>
      </c>
      <c r="D9" s="309">
        <f>VLOOKUP($C9,SEEMsavings!$D$3:$E$74,2,FALSE)</f>
        <v>0.60444823586633523</v>
      </c>
      <c r="E9" s="87">
        <v>25</v>
      </c>
      <c r="F9" s="386">
        <f>Costs!$X$38</f>
        <v>2.1</v>
      </c>
      <c r="G9" s="87">
        <v>0</v>
      </c>
      <c r="H9" s="86" t="s">
        <v>238</v>
      </c>
      <c r="I9" s="89">
        <f>VLOOKUP($C9,SEEMsavings!$D$3:$F$74,3,FALSE)</f>
        <v>4.2426078088502565E-3</v>
      </c>
      <c r="J9" s="85"/>
      <c r="K9" s="85"/>
      <c r="L9" s="264"/>
      <c r="M9" s="85"/>
      <c r="N9" s="85"/>
      <c r="O9" s="85"/>
      <c r="P9" s="85"/>
      <c r="Q9" s="88"/>
    </row>
    <row r="10" spans="1:106">
      <c r="B10" s="90" t="str">
        <f t="shared" si="0"/>
        <v>Manuf Homes Wx - Attic R11 - R30 + HZ1 + Electric FAF</v>
      </c>
      <c r="C10" t="str">
        <f>SEEMsavings!D5</f>
        <v>Attic R11 - R30 + HZ1 + Electric FAF</v>
      </c>
      <c r="D10" s="309">
        <f>VLOOKUP($C10,SEEMsavings!$D$3:$E$74,2,FALSE)</f>
        <v>0.11481209624260288</v>
      </c>
      <c r="E10" s="87">
        <v>25</v>
      </c>
      <c r="F10" s="386">
        <f>Costs!$X$38</f>
        <v>2.1</v>
      </c>
      <c r="G10" s="87">
        <v>0</v>
      </c>
      <c r="H10" s="86" t="s">
        <v>238</v>
      </c>
      <c r="I10" s="89">
        <f>VLOOKUP($C10,SEEMsavings!$D$3:$F$74,3,FALSE)</f>
        <v>8.0586337616022111E-4</v>
      </c>
      <c r="J10" s="85"/>
      <c r="K10" s="85"/>
      <c r="L10" s="264"/>
      <c r="M10" s="85"/>
      <c r="N10" s="85"/>
      <c r="O10" s="85"/>
      <c r="P10" s="85"/>
      <c r="Q10" s="85"/>
    </row>
    <row r="11" spans="1:106">
      <c r="B11" s="90" t="str">
        <f t="shared" si="0"/>
        <v>Manuf Homes Wx - Floor R0 - R22 + HZ1 + Electric FAF</v>
      </c>
      <c r="C11" t="str">
        <f>SEEMsavings!D6</f>
        <v>Floor R0 - R22 + HZ1 + Electric FAF</v>
      </c>
      <c r="D11" s="309">
        <f>VLOOKUP($C11,SEEMsavings!$D$3:$E$74,2,FALSE)</f>
        <v>0.47849068870328615</v>
      </c>
      <c r="E11" s="87">
        <v>25</v>
      </c>
      <c r="F11" s="387">
        <f>Costs!$X$39</f>
        <v>3.3</v>
      </c>
      <c r="G11" s="87">
        <v>0</v>
      </c>
      <c r="H11" s="86" t="s">
        <v>238</v>
      </c>
      <c r="I11" s="89">
        <f>VLOOKUP($C11,SEEMsavings!$D$3:$F$74,3,FALSE)</f>
        <v>3.3585147774401226E-3</v>
      </c>
      <c r="J11" s="85"/>
      <c r="K11" s="85"/>
      <c r="L11" s="264"/>
      <c r="M11" s="85"/>
      <c r="N11" s="85"/>
      <c r="O11" s="85"/>
      <c r="P11" s="85"/>
      <c r="Q11" s="85"/>
    </row>
    <row r="12" spans="1:106">
      <c r="B12" s="90" t="str">
        <f t="shared" si="0"/>
        <v>Manuf Homes Wx - Floor R11 - R22 + HZ1 + Electric FAF</v>
      </c>
      <c r="C12" t="str">
        <f>SEEMsavings!D7</f>
        <v>Floor R11 - R22 + HZ1 + Electric FAF</v>
      </c>
      <c r="D12" s="309">
        <f>VLOOKUP($C12,SEEMsavings!$D$3:$E$74,2,FALSE)</f>
        <v>0.19656048128483242</v>
      </c>
      <c r="E12" s="87">
        <v>25</v>
      </c>
      <c r="F12" s="387">
        <f>Costs!$X$39</f>
        <v>3.3</v>
      </c>
      <c r="G12" s="87">
        <v>0</v>
      </c>
      <c r="H12" s="86" t="s">
        <v>238</v>
      </c>
      <c r="I12" s="89">
        <f>VLOOKUP($C12,SEEMsavings!$D$3:$F$74,3,FALSE)</f>
        <v>1.3796533488349952E-3</v>
      </c>
      <c r="J12" s="85"/>
      <c r="K12" s="85"/>
      <c r="L12" s="264"/>
      <c r="M12" s="85"/>
      <c r="N12" s="85"/>
      <c r="O12" s="85"/>
      <c r="P12" s="85"/>
      <c r="Q12" s="85"/>
    </row>
    <row r="13" spans="1:106" ht="25.5">
      <c r="B13" s="90" t="str">
        <f t="shared" si="0"/>
        <v>Manuf Homes Wx - WINDOW CL30 Prime Window Replacement of Double Pane Base + HZ1 + Electric FAF</v>
      </c>
      <c r="C13" t="str">
        <f>SEEMsavings!D8</f>
        <v>WINDOW CL30 Prime Window Replacement of Double Pane Base + HZ1 + Electric FAF</v>
      </c>
      <c r="D13" s="309">
        <f>VLOOKUP($C13,SEEMsavings!$D$3:$E$74,2,FALSE)</f>
        <v>3.0053085664652537</v>
      </c>
      <c r="E13" s="87">
        <v>25</v>
      </c>
      <c r="F13" s="142">
        <f>VLOOKUP(LEFT($C13,FIND(" + ",$C13)-1),Costs!$B$2:$C$21,2,FALSE)</f>
        <v>20.605937224457286</v>
      </c>
      <c r="G13" s="87">
        <v>0</v>
      </c>
      <c r="H13" s="86" t="s">
        <v>238</v>
      </c>
      <c r="I13" s="89">
        <f>VLOOKUP($C13,SEEMsavings!$D$3:$F$74,3,FALSE)</f>
        <v>2.1094189436776874E-2</v>
      </c>
      <c r="J13" s="85"/>
      <c r="K13" s="85"/>
      <c r="L13" s="264"/>
      <c r="M13" s="85"/>
      <c r="N13" s="85"/>
      <c r="O13" s="85"/>
      <c r="P13" s="85"/>
      <c r="Q13" s="85"/>
    </row>
    <row r="14" spans="1:106" ht="25.5">
      <c r="B14" s="90" t="str">
        <f t="shared" si="0"/>
        <v>Manuf Homes Wx - WINDOW CL30 Prime Window Replacement of Single Pane Base + HZ1 + Electric FAF</v>
      </c>
      <c r="C14" t="str">
        <f>SEEMsavings!D9</f>
        <v>WINDOW CL30 Prime Window Replacement of Single Pane Base + HZ1 + Electric FAF</v>
      </c>
      <c r="D14" s="309">
        <f>VLOOKUP($C14,SEEMsavings!$D$3:$E$74,2,FALSE)</f>
        <v>8.4961858733485727</v>
      </c>
      <c r="E14" s="87">
        <v>25</v>
      </c>
      <c r="F14" s="142">
        <f>VLOOKUP(LEFT($C14,FIND(" + ",$C14)-1),Costs!$B$2:$C$21,2,FALSE)</f>
        <v>20.605937224457286</v>
      </c>
      <c r="G14" s="87">
        <v>0</v>
      </c>
      <c r="H14" s="86" t="s">
        <v>238</v>
      </c>
      <c r="I14" s="89">
        <f>VLOOKUP($C14,SEEMsavings!$D$3:$F$74,3,FALSE)</f>
        <v>5.9634526817748744E-2</v>
      </c>
      <c r="J14" s="85"/>
      <c r="K14" s="85"/>
      <c r="L14" s="264"/>
      <c r="M14" s="85"/>
      <c r="N14" s="85"/>
      <c r="O14" s="85"/>
      <c r="P14" s="85"/>
      <c r="Q14" s="85"/>
    </row>
    <row r="15" spans="1:106" ht="25.5">
      <c r="B15" s="90" t="str">
        <f t="shared" si="0"/>
        <v>Manuf Homes Wx - WINDOW CL22 Prime Window Replacement of Double Pane Base + HZ1 + Electric FAF</v>
      </c>
      <c r="C15" t="str">
        <f>SEEMsavings!D10</f>
        <v>WINDOW CL22 Prime Window Replacement of Double Pane Base + HZ1 + Electric FAF</v>
      </c>
      <c r="D15" s="309">
        <f>VLOOKUP($C15,SEEMsavings!$D$3:$E$74,2,FALSE)</f>
        <v>3.3441530333554272</v>
      </c>
      <c r="E15" s="87">
        <v>25</v>
      </c>
      <c r="F15" s="142">
        <f>VLOOKUP(LEFT($C15,FIND(" + ",$C15)-1),Costs!$B$2:$C$21,2,FALSE)</f>
        <v>21.965937224457285</v>
      </c>
      <c r="G15" s="87">
        <v>0</v>
      </c>
      <c r="H15" s="86" t="s">
        <v>238</v>
      </c>
      <c r="I15" s="89">
        <f>VLOOKUP($C15,SEEMsavings!$D$3:$F$74,3,FALSE)</f>
        <v>2.3472530700613149E-2</v>
      </c>
      <c r="J15" s="85"/>
      <c r="K15" s="85"/>
      <c r="L15" s="264"/>
      <c r="M15" s="85"/>
      <c r="N15" s="85"/>
      <c r="O15" s="85"/>
      <c r="P15" s="85"/>
      <c r="Q15" s="85"/>
    </row>
    <row r="16" spans="1:106" ht="25.5">
      <c r="B16" s="90" t="str">
        <f t="shared" si="0"/>
        <v>Manuf Homes Wx - WINDOW CL22 Prime Window Replacement of Single Pane Base + HZ1 + Electric FAF</v>
      </c>
      <c r="C16" t="str">
        <f>SEEMsavings!D11</f>
        <v>WINDOW CL22 Prime Window Replacement of Single Pane Base + HZ1 + Electric FAF</v>
      </c>
      <c r="D16" s="309">
        <f>VLOOKUP($C16,SEEMsavings!$D$3:$E$74,2,FALSE)</f>
        <v>8.7315853912790988</v>
      </c>
      <c r="E16" s="87">
        <v>25</v>
      </c>
      <c r="F16" s="142">
        <f>VLOOKUP(LEFT($C16,FIND(" + ",$C16)-1),Costs!$B$2:$C$21,2,FALSE)</f>
        <v>21.965937224457285</v>
      </c>
      <c r="G16" s="87">
        <v>0</v>
      </c>
      <c r="H16" s="86" t="s">
        <v>238</v>
      </c>
      <c r="I16" s="89">
        <f>VLOOKUP($C16,SEEMsavings!$D$3:$F$74,3,FALSE)</f>
        <v>6.1286790442176768E-2</v>
      </c>
      <c r="J16" s="27"/>
      <c r="K16" s="27"/>
      <c r="L16" s="264"/>
      <c r="M16" s="27"/>
      <c r="N16" s="27"/>
      <c r="O16" s="27"/>
      <c r="P16" s="27"/>
      <c r="Q16" s="27"/>
    </row>
    <row r="17" spans="2:17">
      <c r="B17" s="90" t="str">
        <f t="shared" si="0"/>
        <v>Manuf Homes Wx - Window U35-U30 + HZ1 + Electric FAF</v>
      </c>
      <c r="C17" t="str">
        <f>SEEMsavings!D12</f>
        <v>Window U35-U30 + HZ1 + Electric FAF</v>
      </c>
      <c r="D17" s="309">
        <f>VLOOKUP($C17,SEEMsavings!$D$3:$E$74,2,FALSE)</f>
        <v>0.22149540967711071</v>
      </c>
      <c r="E17" s="87">
        <v>25</v>
      </c>
      <c r="F17" s="142">
        <f>VLOOKUP(LEFT($C17,FIND(" + ",$C17)-1),Costs!$B$2:$C$21,2,FALSE)</f>
        <v>0.89355377781611622</v>
      </c>
      <c r="G17" s="87">
        <v>0</v>
      </c>
      <c r="H17" s="86" t="s">
        <v>238</v>
      </c>
      <c r="I17" s="89">
        <f>VLOOKUP($C17,SEEMsavings!$D$3:$F$74,3,FALSE)</f>
        <v>1.554671018890032E-3</v>
      </c>
      <c r="J17" s="27"/>
      <c r="K17" s="27"/>
      <c r="L17" s="27"/>
      <c r="M17" s="27"/>
      <c r="N17" s="27"/>
      <c r="O17" s="27"/>
      <c r="P17" s="27"/>
      <c r="Q17" s="27"/>
    </row>
    <row r="18" spans="2:17">
      <c r="B18" s="90" t="str">
        <f t="shared" si="0"/>
        <v>Manuf Homes Wx - Window U35-U22 + HZ1 + Electric FAF</v>
      </c>
      <c r="C18" t="str">
        <f>SEEMsavings!D13</f>
        <v>Window U35-U22 + HZ1 + Electric FAF</v>
      </c>
      <c r="D18" s="309">
        <f>VLOOKUP($C18,SEEMsavings!$D$3:$E$74,2,FALSE)</f>
        <v>0.38248775461080703</v>
      </c>
      <c r="E18" s="87">
        <v>25</v>
      </c>
      <c r="F18" s="142">
        <f>VLOOKUP(LEFT($C18,FIND(" + ",$C18)-1),Costs!$B$2:$C$21,2,FALSE)</f>
        <v>2.2535537778161165</v>
      </c>
      <c r="G18" s="87">
        <v>0</v>
      </c>
      <c r="H18" s="86" t="s">
        <v>238</v>
      </c>
      <c r="I18" s="89">
        <f>VLOOKUP($C18,SEEMsavings!$D$3:$F$74,3,FALSE)</f>
        <v>2.6846724635991117E-3</v>
      </c>
      <c r="J18" s="27"/>
      <c r="K18" s="27"/>
      <c r="L18" s="27"/>
      <c r="M18" s="27"/>
      <c r="N18" s="27"/>
      <c r="O18" s="27"/>
      <c r="P18" s="27"/>
      <c r="Q18" s="27"/>
    </row>
    <row r="19" spans="2:17" s="258" customFormat="1">
      <c r="B19" s="259" t="str">
        <f t="shared" si="0"/>
        <v>Manuf Homes Wx - Infiltration + HZ1 + Electric FAF</v>
      </c>
      <c r="C19" s="258" t="str">
        <f>SEEMsavings!D14</f>
        <v>Infiltration + HZ1 + Electric FAF</v>
      </c>
      <c r="D19" s="316">
        <f>VLOOKUP($C19,SEEMsavings!$D$3:$E$74,2,FALSE)</f>
        <v>0.23632999530764776</v>
      </c>
      <c r="E19" s="261">
        <v>25</v>
      </c>
      <c r="F19" s="388">
        <f>Costs!$X$40</f>
        <v>3.1</v>
      </c>
      <c r="G19" s="261">
        <v>0</v>
      </c>
      <c r="H19" s="263" t="s">
        <v>238</v>
      </c>
      <c r="I19" s="262">
        <f>VLOOKUP($C19,SEEMsavings!$D$3:$F$74,3,FALSE)</f>
        <v>1.6587946230345084E-3</v>
      </c>
      <c r="J19" s="135"/>
      <c r="K19" s="135"/>
      <c r="L19" s="135"/>
      <c r="M19" s="135"/>
      <c r="N19" s="135"/>
      <c r="O19" s="135"/>
      <c r="P19" s="135"/>
      <c r="Q19" s="135"/>
    </row>
    <row r="20" spans="2:17">
      <c r="B20" s="90" t="str">
        <f t="shared" si="0"/>
        <v>Manuf Homes Wx - Attic R0 - R30 + HZ2 + Electric FAF</v>
      </c>
      <c r="C20" t="str">
        <f>SEEMsavings!D15</f>
        <v>Attic R0 - R30 + HZ2 + Electric FAF</v>
      </c>
      <c r="D20" s="309">
        <f>VLOOKUP($C20,SEEMsavings!$D$3:$E$74,2,FALSE)</f>
        <v>0.7744286361389523</v>
      </c>
      <c r="E20" s="87">
        <v>25</v>
      </c>
      <c r="F20" s="386">
        <f>Costs!$X$38</f>
        <v>2.1</v>
      </c>
      <c r="G20" s="87">
        <v>0</v>
      </c>
      <c r="H20" s="86" t="s">
        <v>238</v>
      </c>
      <c r="I20" s="89">
        <f>VLOOKUP($C20,SEEMsavings!$D$3:$F$74,3,FALSE)</f>
        <v>1.2333605195860161E-2</v>
      </c>
      <c r="J20" s="27"/>
      <c r="K20" s="27"/>
      <c r="L20" s="27"/>
      <c r="M20" s="27"/>
      <c r="N20" s="27"/>
      <c r="O20" s="27"/>
      <c r="P20" s="27"/>
      <c r="Q20" s="27"/>
    </row>
    <row r="21" spans="2:17">
      <c r="B21" s="90" t="str">
        <f t="shared" si="0"/>
        <v>Manuf Homes Wx - Attic R0 - R22 + HZ2 + Electric FAF</v>
      </c>
      <c r="C21" t="str">
        <f>SEEMsavings!D16</f>
        <v>Attic R0 - R22 + HZ2 + Electric FAF</v>
      </c>
      <c r="D21" s="309">
        <f>VLOOKUP($C21,SEEMsavings!$D$3:$E$74,2,FALSE)</f>
        <v>0.9331100828406077</v>
      </c>
      <c r="E21" s="87">
        <v>25</v>
      </c>
      <c r="F21" s="386">
        <f>Costs!$X$38</f>
        <v>2.1</v>
      </c>
      <c r="G21" s="87">
        <v>0</v>
      </c>
      <c r="H21" s="86" t="s">
        <v>238</v>
      </c>
      <c r="I21" s="89">
        <f>VLOOKUP($C21,SEEMsavings!$D$3:$F$74,3,FALSE)</f>
        <v>1.4860777131654882E-2</v>
      </c>
      <c r="J21" s="27"/>
      <c r="K21" s="27"/>
      <c r="L21" s="27"/>
      <c r="M21" s="27"/>
      <c r="N21" s="27"/>
      <c r="O21" s="27"/>
      <c r="P21" s="27"/>
      <c r="Q21" s="27"/>
    </row>
    <row r="22" spans="2:17">
      <c r="B22" s="90" t="str">
        <f t="shared" si="0"/>
        <v>Manuf Homes Wx - Attic R11 - R30 + HZ2 + Electric FAF</v>
      </c>
      <c r="C22" t="str">
        <f>SEEMsavings!D17</f>
        <v>Attic R11 - R30 + HZ2 + Electric FAF</v>
      </c>
      <c r="D22" s="309">
        <f>VLOOKUP($C22,SEEMsavings!$D$3:$E$74,2,FALSE)</f>
        <v>0.33468675440596829</v>
      </c>
      <c r="E22" s="87">
        <v>25</v>
      </c>
      <c r="F22" s="386">
        <f>Costs!$X$38</f>
        <v>2.1</v>
      </c>
      <c r="G22" s="87">
        <v>0</v>
      </c>
      <c r="H22" s="86" t="s">
        <v>238</v>
      </c>
      <c r="I22" s="89">
        <f>VLOOKUP($C22,SEEMsavings!$D$3:$F$74,3,FALSE)</f>
        <v>5.3302449063703985E-3</v>
      </c>
      <c r="J22" s="27"/>
      <c r="K22" s="27"/>
      <c r="L22" s="27"/>
      <c r="M22" s="27"/>
      <c r="N22" s="27"/>
      <c r="O22" s="27"/>
      <c r="P22" s="27"/>
      <c r="Q22" s="27"/>
    </row>
    <row r="23" spans="2:17">
      <c r="B23" s="90" t="str">
        <f t="shared" si="0"/>
        <v>Manuf Homes Wx - Floor R0 - R22 + HZ2 + Electric FAF</v>
      </c>
      <c r="C23" t="str">
        <f>SEEMsavings!D18</f>
        <v>Floor R0 - R22 + HZ2 + Electric FAF</v>
      </c>
      <c r="D23" s="309">
        <f>VLOOKUP($C23,SEEMsavings!$D$3:$E$74,2,FALSE)</f>
        <v>0.87892894056879856</v>
      </c>
      <c r="E23" s="87">
        <v>25</v>
      </c>
      <c r="F23" s="387">
        <f>Costs!$X$39</f>
        <v>3.3</v>
      </c>
      <c r="G23" s="87">
        <v>0</v>
      </c>
      <c r="H23" s="86" t="s">
        <v>238</v>
      </c>
      <c r="I23" s="89">
        <f>VLOOKUP($C23,SEEMsavings!$D$3:$F$74,3,FALSE)</f>
        <v>1.3997884430304253E-2</v>
      </c>
      <c r="J23" s="27"/>
      <c r="K23" s="27"/>
      <c r="L23" s="27"/>
      <c r="M23" s="27"/>
      <c r="N23" s="27"/>
      <c r="O23" s="27"/>
      <c r="P23" s="27"/>
      <c r="Q23" s="27"/>
    </row>
    <row r="24" spans="2:17">
      <c r="B24" s="90" t="str">
        <f t="shared" si="0"/>
        <v>Manuf Homes Wx - Floor R11 - R22 + HZ2 + Electric FAF</v>
      </c>
      <c r="C24" t="str">
        <f>SEEMsavings!D19</f>
        <v>Floor R11 - R22 + HZ2 + Electric FAF</v>
      </c>
      <c r="D24" s="309">
        <f>VLOOKUP($C24,SEEMsavings!$D$3:$E$74,2,FALSE)</f>
        <v>0.37884048028244466</v>
      </c>
      <c r="E24" s="87">
        <v>25</v>
      </c>
      <c r="F24" s="387">
        <f>Costs!$X$39</f>
        <v>3.3</v>
      </c>
      <c r="G24" s="87">
        <v>0</v>
      </c>
      <c r="H24" s="86" t="s">
        <v>238</v>
      </c>
      <c r="I24" s="89">
        <f>VLOOKUP($C24,SEEMsavings!$D$3:$F$74,3,FALSE)</f>
        <v>6.0334402654699318E-3</v>
      </c>
      <c r="J24" s="27"/>
      <c r="K24" s="27"/>
      <c r="L24" s="27"/>
      <c r="M24" s="27"/>
      <c r="N24" s="27"/>
      <c r="O24" s="27"/>
      <c r="P24" s="27"/>
      <c r="Q24" s="27"/>
    </row>
    <row r="25" spans="2:17" ht="25.5">
      <c r="B25" s="90" t="str">
        <f t="shared" si="0"/>
        <v>Manuf Homes Wx - WINDOW CL30 Prime Window Replacement of Double Pane Base + HZ2 + Electric FAF</v>
      </c>
      <c r="C25" t="str">
        <f>SEEMsavings!D20</f>
        <v>WINDOW CL30 Prime Window Replacement of Double Pane Base + HZ2 + Electric FAF</v>
      </c>
      <c r="D25" s="309">
        <f>VLOOKUP($C25,SEEMsavings!$D$3:$E$74,2,FALSE)</f>
        <v>8.7576321635195828</v>
      </c>
      <c r="E25" s="87">
        <v>25</v>
      </c>
      <c r="F25" s="142">
        <f>VLOOKUP(LEFT($C25,FIND(" + ",$C25)-1),Costs!$B$2:$C$21,2,FALSE)</f>
        <v>20.605937224457286</v>
      </c>
      <c r="G25" s="87">
        <v>0</v>
      </c>
      <c r="H25" s="86" t="s">
        <v>238</v>
      </c>
      <c r="I25" s="89">
        <f>VLOOKUP($C25,SEEMsavings!$D$3:$F$74,3,FALSE)</f>
        <v>0.13947466882673085</v>
      </c>
      <c r="J25" s="27"/>
      <c r="K25" s="27"/>
      <c r="L25" s="27"/>
      <c r="M25" s="27"/>
      <c r="N25" s="27"/>
      <c r="O25" s="27"/>
      <c r="P25" s="27"/>
      <c r="Q25" s="27"/>
    </row>
    <row r="26" spans="2:17" ht="25.5">
      <c r="B26" s="90" t="str">
        <f t="shared" si="0"/>
        <v>Manuf Homes Wx - WINDOW CL30 Prime Window Replacement of Single Pane Base + HZ2 + Electric FAF</v>
      </c>
      <c r="C26" t="str">
        <f>SEEMsavings!D21</f>
        <v>WINDOW CL30 Prime Window Replacement of Single Pane Base + HZ2 + Electric FAF</v>
      </c>
      <c r="D26" s="309">
        <f>VLOOKUP($C26,SEEMsavings!$D$3:$E$74,2,FALSE)</f>
        <v>13.680374182755711</v>
      </c>
      <c r="E26" s="87">
        <v>25</v>
      </c>
      <c r="F26" s="142">
        <f>VLOOKUP(LEFT($C26,FIND(" + ",$C26)-1),Costs!$B$2:$C$21,2,FALSE)</f>
        <v>20.605937224457286</v>
      </c>
      <c r="G26" s="87">
        <v>0</v>
      </c>
      <c r="H26" s="86" t="s">
        <v>238</v>
      </c>
      <c r="I26" s="89">
        <f>VLOOKUP($C26,SEEMsavings!$D$3:$F$74,3,FALSE)</f>
        <v>0.21787460616509641</v>
      </c>
      <c r="J26" s="27"/>
      <c r="K26" s="27"/>
      <c r="L26" s="27"/>
      <c r="M26" s="27"/>
      <c r="N26" s="27"/>
      <c r="O26" s="27"/>
      <c r="P26" s="27"/>
      <c r="Q26" s="27"/>
    </row>
    <row r="27" spans="2:17" ht="25.5">
      <c r="B27" s="90" t="str">
        <f t="shared" si="0"/>
        <v>Manuf Homes Wx - WINDOW CL22 Prime Window Replacement of Double Pane Base + HZ2 + Electric FAF</v>
      </c>
      <c r="C27" t="str">
        <f>SEEMsavings!D22</f>
        <v>WINDOW CL22 Prime Window Replacement of Double Pane Base + HZ2 + Electric FAF</v>
      </c>
      <c r="D27" s="309">
        <f>VLOOKUP($C27,SEEMsavings!$D$3:$E$74,2,FALSE)</f>
        <v>9.0282040315934911</v>
      </c>
      <c r="E27" s="87">
        <v>25</v>
      </c>
      <c r="F27" s="142">
        <f>VLOOKUP(LEFT($C27,FIND(" + ",$C27)-1),Costs!$B$2:$C$21,2,FALSE)</f>
        <v>21.965937224457285</v>
      </c>
      <c r="G27" s="87">
        <v>0</v>
      </c>
      <c r="H27" s="86" t="s">
        <v>238</v>
      </c>
      <c r="I27" s="89">
        <f>VLOOKUP($C27,SEEMsavings!$D$3:$F$74,3,FALSE)</f>
        <v>0.14378381552172881</v>
      </c>
      <c r="J27" s="27"/>
      <c r="K27" s="27"/>
      <c r="L27" s="27"/>
      <c r="M27" s="27"/>
      <c r="N27" s="27"/>
      <c r="O27" s="27"/>
      <c r="P27" s="27"/>
      <c r="Q27" s="27"/>
    </row>
    <row r="28" spans="2:17" ht="25.5">
      <c r="B28" s="90" t="str">
        <f t="shared" si="0"/>
        <v>Manuf Homes Wx - WINDOW CL22 Prime Window Replacement of Single Pane Base + HZ2 + Electric FAF</v>
      </c>
      <c r="C28" t="str">
        <f>SEEMsavings!D23</f>
        <v>WINDOW CL22 Prime Window Replacement of Single Pane Base + HZ2 + Electric FAF</v>
      </c>
      <c r="D28" s="309">
        <f>VLOOKUP($C28,SEEMsavings!$D$3:$E$74,2,FALSE)</f>
        <v>14.284040241190263</v>
      </c>
      <c r="E28" s="87">
        <v>25</v>
      </c>
      <c r="F28" s="142">
        <f>VLOOKUP(LEFT($C28,FIND(" + ",$C28)-1),Costs!$B$2:$C$21,2,FALSE)</f>
        <v>21.965937224457285</v>
      </c>
      <c r="G28" s="87">
        <v>0</v>
      </c>
      <c r="H28" s="86" t="s">
        <v>238</v>
      </c>
      <c r="I28" s="89">
        <f>VLOOKUP($C28,SEEMsavings!$D$3:$F$74,3,FALSE)</f>
        <v>0.22748863447891637</v>
      </c>
      <c r="J28" s="27"/>
      <c r="K28" s="27"/>
      <c r="L28" s="27"/>
      <c r="M28" s="27"/>
      <c r="N28" s="27"/>
      <c r="O28" s="27"/>
      <c r="P28" s="27"/>
      <c r="Q28" s="27"/>
    </row>
    <row r="29" spans="2:17">
      <c r="B29" s="90" t="str">
        <f t="shared" si="0"/>
        <v>Manuf Homes Wx - Window U35-U30 + HZ2 + Electric FAF</v>
      </c>
      <c r="C29" t="str">
        <f>SEEMsavings!D24</f>
        <v>Window U35-U30 + HZ2 + Electric FAF</v>
      </c>
      <c r="D29" s="309">
        <f>VLOOKUP($C29,SEEMsavings!$D$3:$E$74,2,FALSE)</f>
        <v>0.35388817871987621</v>
      </c>
      <c r="E29" s="87">
        <v>25</v>
      </c>
      <c r="F29" s="142">
        <f>VLOOKUP(LEFT($C29,FIND(" + ",$C29)-1),Costs!$B$2:$C$21,2,FALSE)</f>
        <v>0.89355377781611622</v>
      </c>
      <c r="G29" s="87">
        <v>0</v>
      </c>
      <c r="H29" s="86" t="s">
        <v>238</v>
      </c>
      <c r="I29" s="89">
        <f>VLOOKUP($C29,SEEMsavings!$D$3:$F$74,3,FALSE)</f>
        <v>5.6360481471527217E-3</v>
      </c>
      <c r="J29" s="27"/>
      <c r="K29" s="27"/>
      <c r="L29" s="27"/>
      <c r="M29" s="27"/>
      <c r="N29" s="27"/>
      <c r="O29" s="27"/>
      <c r="P29" s="27"/>
      <c r="Q29" s="27"/>
    </row>
    <row r="30" spans="2:17">
      <c r="B30" s="90" t="str">
        <f t="shared" si="0"/>
        <v>Manuf Homes Wx - Window U35-U22 + HZ2 + Electric FAF</v>
      </c>
      <c r="C30" t="str">
        <f>SEEMsavings!D25</f>
        <v>Window U35-U22 + HZ2 + Electric FAF</v>
      </c>
      <c r="D30" s="309">
        <f>VLOOKUP($C30,SEEMsavings!$D$3:$E$74,2,FALSE)</f>
        <v>0.6093425767837457</v>
      </c>
      <c r="E30" s="87">
        <v>25</v>
      </c>
      <c r="F30" s="142">
        <f>VLOOKUP(LEFT($C30,FIND(" + ",$C30)-1),Costs!$B$2:$C$21,2,FALSE)</f>
        <v>2.2535537778161165</v>
      </c>
      <c r="G30" s="87">
        <v>0</v>
      </c>
      <c r="H30" s="86" t="s">
        <v>238</v>
      </c>
      <c r="I30" s="89">
        <f>VLOOKUP($C30,SEEMsavings!$D$3:$F$74,3,FALSE)</f>
        <v>9.7044329462661599E-3</v>
      </c>
      <c r="J30" s="27"/>
      <c r="K30" s="27"/>
      <c r="L30" s="27"/>
      <c r="M30" s="27"/>
      <c r="N30" s="27"/>
      <c r="O30" s="27"/>
      <c r="P30" s="27"/>
      <c r="Q30" s="27"/>
    </row>
    <row r="31" spans="2:17" s="258" customFormat="1">
      <c r="B31" s="259" t="str">
        <f t="shared" si="0"/>
        <v>Manuf Homes Wx - Infiltration + HZ2 + Electric FAF</v>
      </c>
      <c r="C31" s="258" t="str">
        <f>SEEMsavings!D26</f>
        <v>Infiltration + HZ2 + Electric FAF</v>
      </c>
      <c r="D31" s="316">
        <f>VLOOKUP($C31,SEEMsavings!$D$3:$E$74,2,FALSE)</f>
        <v>0.47551208817351309</v>
      </c>
      <c r="E31" s="261">
        <v>25</v>
      </c>
      <c r="F31" s="388">
        <f>Costs!$X$40</f>
        <v>3.1</v>
      </c>
      <c r="G31" s="261">
        <v>0</v>
      </c>
      <c r="H31" s="263" t="s">
        <v>238</v>
      </c>
      <c r="I31" s="262">
        <f>VLOOKUP($C31,SEEMsavings!$D$3:$F$74,3,FALSE)</f>
        <v>7.5730391255042174E-3</v>
      </c>
      <c r="J31" s="135"/>
      <c r="K31" s="135"/>
      <c r="L31" s="135"/>
      <c r="M31" s="135"/>
      <c r="N31" s="135"/>
      <c r="O31" s="135"/>
      <c r="P31" s="135"/>
      <c r="Q31" s="135"/>
    </row>
    <row r="32" spans="2:17">
      <c r="B32" s="90" t="str">
        <f t="shared" si="0"/>
        <v>Manuf Homes Wx - Attic R0 - R30 + HZ3 + Electric FAF</v>
      </c>
      <c r="C32" t="str">
        <f>SEEMsavings!D27</f>
        <v>Attic R0 - R30 + HZ3 + Electric FAF</v>
      </c>
      <c r="D32" s="309">
        <f>VLOOKUP($C32,SEEMsavings!$D$3:$E$74,2,FALSE)</f>
        <v>1.0922990121771836</v>
      </c>
      <c r="E32" s="87">
        <v>25</v>
      </c>
      <c r="F32" s="386">
        <f>Costs!$X$38</f>
        <v>2.1</v>
      </c>
      <c r="G32" s="87">
        <v>0</v>
      </c>
      <c r="H32" s="86" t="s">
        <v>238</v>
      </c>
      <c r="I32" s="89">
        <f>VLOOKUP($C32,SEEMsavings!$D$3:$F$74,3,FALSE)</f>
        <v>1.7396031271762293E-2</v>
      </c>
      <c r="J32" s="27"/>
      <c r="K32" s="27"/>
      <c r="L32" s="27"/>
      <c r="M32" s="27"/>
      <c r="N32" s="27"/>
      <c r="O32" s="27"/>
      <c r="P32" s="27"/>
      <c r="Q32" s="27"/>
    </row>
    <row r="33" spans="2:17">
      <c r="B33" s="90" t="str">
        <f t="shared" si="0"/>
        <v>Manuf Homes Wx - Attic R0 - R22 + HZ3 + Electric FAF</v>
      </c>
      <c r="C33" t="str">
        <f>SEEMsavings!D28</f>
        <v>Attic R0 - R22 + HZ3 + Electric FAF</v>
      </c>
      <c r="D33" s="309">
        <f>VLOOKUP($C33,SEEMsavings!$D$3:$E$74,2,FALSE)</f>
        <v>1.1365546200975047</v>
      </c>
      <c r="E33" s="87">
        <v>25</v>
      </c>
      <c r="F33" s="386">
        <f>Costs!$X$38</f>
        <v>2.1</v>
      </c>
      <c r="G33" s="87">
        <v>0</v>
      </c>
      <c r="H33" s="86" t="s">
        <v>238</v>
      </c>
      <c r="I33" s="89">
        <f>VLOOKUP($C33,SEEMsavings!$D$3:$F$74,3,FALSE)</f>
        <v>1.8100849211493131E-2</v>
      </c>
      <c r="J33" s="27"/>
      <c r="K33" s="27"/>
      <c r="L33" s="27"/>
      <c r="M33" s="27"/>
      <c r="N33" s="27"/>
      <c r="O33" s="27"/>
      <c r="P33" s="27"/>
      <c r="Q33" s="27"/>
    </row>
    <row r="34" spans="2:17">
      <c r="B34" s="90" t="str">
        <f t="shared" si="0"/>
        <v>Manuf Homes Wx - Attic R11 - R30 + HZ3 + Electric FAF</v>
      </c>
      <c r="C34" t="str">
        <f>SEEMsavings!D29</f>
        <v>Attic R11 - R30 + HZ3 + Electric FAF</v>
      </c>
      <c r="D34" s="309">
        <f>VLOOKUP($C34,SEEMsavings!$D$3:$E$74,2,FALSE)</f>
        <v>0.4310778855999568</v>
      </c>
      <c r="E34" s="87">
        <v>25</v>
      </c>
      <c r="F34" s="386">
        <f>Costs!$X$38</f>
        <v>2.1</v>
      </c>
      <c r="G34" s="87">
        <v>0</v>
      </c>
      <c r="H34" s="86" t="s">
        <v>238</v>
      </c>
      <c r="I34" s="89">
        <f>VLOOKUP($C34,SEEMsavings!$D$3:$F$74,3,FALSE)</f>
        <v>6.8653768747028625E-3</v>
      </c>
      <c r="J34" s="27"/>
      <c r="K34" s="27"/>
      <c r="L34" s="27"/>
      <c r="M34" s="27"/>
      <c r="N34" s="27"/>
      <c r="O34" s="27"/>
      <c r="P34" s="27"/>
      <c r="Q34" s="27"/>
    </row>
    <row r="35" spans="2:17">
      <c r="B35" s="90" t="str">
        <f t="shared" si="0"/>
        <v>Manuf Homes Wx - Floor R0 - R22 + HZ3 + Electric FAF</v>
      </c>
      <c r="C35" t="str">
        <f>SEEMsavings!D30</f>
        <v>Floor R0 - R22 + HZ3 + Electric FAF</v>
      </c>
      <c r="D35" s="309">
        <f>VLOOKUP($C35,SEEMsavings!$D$3:$E$74,2,FALSE)</f>
        <v>1.1543188954975354</v>
      </c>
      <c r="E35" s="87">
        <v>25</v>
      </c>
      <c r="F35" s="387">
        <f>Costs!$X$39</f>
        <v>3.3</v>
      </c>
      <c r="G35" s="87">
        <v>0</v>
      </c>
      <c r="H35" s="86" t="s">
        <v>238</v>
      </c>
      <c r="I35" s="89">
        <f>VLOOKUP($C35,SEEMsavings!$D$3:$F$74,3,FALSE)</f>
        <v>1.8383764317095187E-2</v>
      </c>
      <c r="J35" s="27"/>
      <c r="K35" s="27"/>
      <c r="L35" s="27"/>
      <c r="M35" s="27"/>
      <c r="N35" s="27"/>
      <c r="O35" s="27"/>
      <c r="P35" s="27"/>
      <c r="Q35" s="27"/>
    </row>
    <row r="36" spans="2:17">
      <c r="B36" s="90" t="str">
        <f t="shared" si="0"/>
        <v>Manuf Homes Wx - Floor R11 - R22 + HZ3 + Electric FAF</v>
      </c>
      <c r="C36" t="str">
        <f>SEEMsavings!D31</f>
        <v>Floor R11 - R22 + HZ3 + Electric FAF</v>
      </c>
      <c r="D36" s="309">
        <f>VLOOKUP($C36,SEEMsavings!$D$3:$E$74,2,FALSE)</f>
        <v>0.53756219623924073</v>
      </c>
      <c r="E36" s="87">
        <v>25</v>
      </c>
      <c r="F36" s="387">
        <f>Costs!$X$39</f>
        <v>3.3</v>
      </c>
      <c r="G36" s="87">
        <v>0</v>
      </c>
      <c r="H36" s="86" t="s">
        <v>238</v>
      </c>
      <c r="I36" s="89">
        <f>VLOOKUP($C36,SEEMsavings!$D$3:$F$74,3,FALSE)</f>
        <v>8.5612535322682638E-3</v>
      </c>
      <c r="J36" s="27"/>
      <c r="K36" s="27"/>
      <c r="L36" s="27"/>
      <c r="M36" s="27"/>
      <c r="N36" s="27"/>
      <c r="O36" s="27"/>
      <c r="P36" s="27"/>
      <c r="Q36" s="27"/>
    </row>
    <row r="37" spans="2:17" ht="25.5">
      <c r="B37" s="90" t="str">
        <f t="shared" si="0"/>
        <v>Manuf Homes Wx - WINDOW CL30 Prime Window Replacement of Double Pane Base + HZ3 + Electric FAF</v>
      </c>
      <c r="C37" t="str">
        <f>SEEMsavings!D32</f>
        <v>WINDOW CL30 Prime Window Replacement of Double Pane Base + HZ3 + Electric FAF</v>
      </c>
      <c r="D37" s="309">
        <f>VLOOKUP($C37,SEEMsavings!$D$3:$E$74,2,FALSE)</f>
        <v>13.677064983730705</v>
      </c>
      <c r="E37" s="87">
        <v>25</v>
      </c>
      <c r="F37" s="142">
        <f>VLOOKUP(LEFT($C37,FIND(" + ",$C37)-1),Costs!$B$2:$C$21,2,FALSE)</f>
        <v>20.605937224457286</v>
      </c>
      <c r="G37" s="87">
        <v>0</v>
      </c>
      <c r="H37" s="86" t="s">
        <v>238</v>
      </c>
      <c r="I37" s="89">
        <f>VLOOKUP($C37,SEEMsavings!$D$3:$F$74,3,FALSE)</f>
        <v>0.21782190362752962</v>
      </c>
      <c r="J37" s="27"/>
      <c r="K37" s="27"/>
      <c r="L37" s="27"/>
      <c r="M37" s="27"/>
      <c r="N37" s="27"/>
      <c r="O37" s="27"/>
      <c r="P37" s="27"/>
      <c r="Q37" s="27"/>
    </row>
    <row r="38" spans="2:17" ht="25.5">
      <c r="B38" s="90" t="str">
        <f t="shared" si="0"/>
        <v>Manuf Homes Wx - WINDOW CL30 Prime Window Replacement of Single Pane Base + HZ3 + Electric FAF</v>
      </c>
      <c r="C38" t="str">
        <f>SEEMsavings!D33</f>
        <v>WINDOW CL30 Prime Window Replacement of Single Pane Base + HZ3 + Electric FAF</v>
      </c>
      <c r="D38" s="309">
        <f>VLOOKUP($C38,SEEMsavings!$D$3:$E$74,2,FALSE)</f>
        <v>17.155775373226007</v>
      </c>
      <c r="E38" s="87">
        <v>25</v>
      </c>
      <c r="F38" s="142">
        <f>VLOOKUP(LEFT($C38,FIND(" + ",$C38)-1),Costs!$B$2:$C$21,2,FALSE)</f>
        <v>20.605937224457286</v>
      </c>
      <c r="G38" s="87">
        <v>0</v>
      </c>
      <c r="H38" s="86" t="s">
        <v>238</v>
      </c>
      <c r="I38" s="89">
        <f>VLOOKUP($C38,SEEMsavings!$D$3:$F$74,3,FALSE)</f>
        <v>0.27322409116630975</v>
      </c>
      <c r="J38" s="27"/>
      <c r="K38" s="27"/>
      <c r="L38" s="27"/>
      <c r="M38" s="27"/>
      <c r="N38" s="27"/>
      <c r="O38" s="27"/>
      <c r="P38" s="27"/>
      <c r="Q38" s="27"/>
    </row>
    <row r="39" spans="2:17" ht="25.5">
      <c r="B39" s="90" t="str">
        <f t="shared" si="0"/>
        <v>Manuf Homes Wx - WINDOW CL22 Prime Window Replacement of Double Pane Base + HZ3 + Electric FAF</v>
      </c>
      <c r="C39" t="str">
        <f>SEEMsavings!D34</f>
        <v>WINDOW CL22 Prime Window Replacement of Double Pane Base + HZ3 + Electric FAF</v>
      </c>
      <c r="D39" s="309">
        <f>VLOOKUP($C39,SEEMsavings!$D$3:$E$74,2,FALSE)</f>
        <v>14.23840231057979</v>
      </c>
      <c r="E39" s="87">
        <v>25</v>
      </c>
      <c r="F39" s="142">
        <f>VLOOKUP(LEFT($C39,FIND(" + ",$C39)-1),Costs!$B$2:$C$21,2,FALSE)</f>
        <v>21.965937224457285</v>
      </c>
      <c r="G39" s="87">
        <v>0</v>
      </c>
      <c r="H39" s="86" t="s">
        <v>238</v>
      </c>
      <c r="I39" s="89">
        <f>VLOOKUP($C39,SEEMsavings!$D$3:$F$74,3,FALSE)</f>
        <v>0.22676180157031936</v>
      </c>
      <c r="J39" s="27"/>
      <c r="K39" s="27"/>
      <c r="L39" s="27"/>
      <c r="M39" s="27"/>
      <c r="N39" s="27"/>
      <c r="O39" s="27"/>
      <c r="P39" s="27"/>
      <c r="Q39" s="27"/>
    </row>
    <row r="40" spans="2:17" ht="25.5">
      <c r="B40" s="90" t="str">
        <f t="shared" si="0"/>
        <v>Manuf Homes Wx - WINDOW CL22 Prime Window Replacement of Single Pane Base + HZ3 + Electric FAF</v>
      </c>
      <c r="C40" t="str">
        <f>SEEMsavings!D35</f>
        <v>WINDOW CL22 Prime Window Replacement of Single Pane Base + HZ3 + Electric FAF</v>
      </c>
      <c r="D40" s="309">
        <f>VLOOKUP($C40,SEEMsavings!$D$3:$E$74,2,FALSE)</f>
        <v>18.117306205690848</v>
      </c>
      <c r="E40" s="87">
        <v>25</v>
      </c>
      <c r="F40" s="142">
        <f>VLOOKUP(LEFT($C40,FIND(" + ",$C40)-1),Costs!$B$2:$C$21,2,FALSE)</f>
        <v>21.965937224457285</v>
      </c>
      <c r="G40" s="87">
        <v>0</v>
      </c>
      <c r="H40" s="86" t="s">
        <v>238</v>
      </c>
      <c r="I40" s="89">
        <f>VLOOKUP($C40,SEEMsavings!$D$3:$F$74,3,FALSE)</f>
        <v>0.28853749916526228</v>
      </c>
      <c r="J40" s="27"/>
      <c r="K40" s="27"/>
      <c r="L40" s="27"/>
      <c r="M40" s="27"/>
      <c r="N40" s="27"/>
      <c r="O40" s="27"/>
      <c r="P40" s="27"/>
      <c r="Q40" s="27"/>
    </row>
    <row r="41" spans="2:17">
      <c r="B41" s="90" t="str">
        <f t="shared" si="0"/>
        <v>Manuf Homes Wx - Window U35-U30 + HZ3 + Electric FAF</v>
      </c>
      <c r="C41" t="str">
        <f>SEEMsavings!D36</f>
        <v>Window U35-U30 + HZ3 + Electric FAF</v>
      </c>
      <c r="D41" s="309">
        <f>VLOOKUP($C41,SEEMsavings!$D$3:$E$74,2,FALSE)</f>
        <v>0.47476264614749397</v>
      </c>
      <c r="E41" s="87">
        <v>25</v>
      </c>
      <c r="F41" s="142">
        <f>VLOOKUP(LEFT($C41,FIND(" + ",$C41)-1),Costs!$B$2:$C$21,2,FALSE)</f>
        <v>0.89355377781611622</v>
      </c>
      <c r="G41" s="87">
        <v>0</v>
      </c>
      <c r="H41" s="86" t="s">
        <v>238</v>
      </c>
      <c r="I41" s="89">
        <f>VLOOKUP($C41,SEEMsavings!$D$3:$F$74,3,FALSE)</f>
        <v>7.5611034588271911E-3</v>
      </c>
      <c r="J41" s="27"/>
      <c r="K41" s="27"/>
      <c r="L41" s="27"/>
      <c r="M41" s="27"/>
      <c r="N41" s="27"/>
      <c r="O41" s="27"/>
      <c r="P41" s="27"/>
      <c r="Q41" s="27"/>
    </row>
    <row r="42" spans="2:17">
      <c r="B42" s="90" t="str">
        <f t="shared" si="0"/>
        <v>Manuf Homes Wx - Window U35-U22 + HZ3 + Electric FAF</v>
      </c>
      <c r="C42" t="str">
        <f>SEEMsavings!D37</f>
        <v>Window U35-U22 + HZ3 + Electric FAF</v>
      </c>
      <c r="D42" s="309">
        <f>VLOOKUP($C42,SEEMsavings!$D$3:$E$74,2,FALSE)</f>
        <v>0.83423574930391853</v>
      </c>
      <c r="E42" s="87">
        <v>25</v>
      </c>
      <c r="F42" s="142">
        <f>VLOOKUP(LEFT($C42,FIND(" + ",$C42)-1),Costs!$B$2:$C$21,2,FALSE)</f>
        <v>2.2535537778161165</v>
      </c>
      <c r="G42" s="87">
        <v>0</v>
      </c>
      <c r="H42" s="86" t="s">
        <v>238</v>
      </c>
      <c r="I42" s="89">
        <f>VLOOKUP($C42,SEEMsavings!$D$3:$F$74,3,FALSE)</f>
        <v>1.3286097507299519E-2</v>
      </c>
      <c r="J42" s="27"/>
      <c r="K42" s="27"/>
      <c r="L42" s="27"/>
      <c r="M42" s="27"/>
      <c r="N42" s="27"/>
      <c r="O42" s="27"/>
      <c r="P42" s="27"/>
      <c r="Q42" s="27"/>
    </row>
    <row r="43" spans="2:17" s="258" customFormat="1">
      <c r="B43" s="259" t="str">
        <f t="shared" si="0"/>
        <v>Manuf Homes Wx - Infiltration + HZ3 + Electric FAF</v>
      </c>
      <c r="C43" s="258" t="str">
        <f>SEEMsavings!D38</f>
        <v>Infiltration + HZ3 + Electric FAF</v>
      </c>
      <c r="D43" s="316">
        <f>VLOOKUP($C43,SEEMsavings!$D$3:$E$74,2,FALSE)</f>
        <v>0.55877883449357257</v>
      </c>
      <c r="E43" s="261">
        <v>25</v>
      </c>
      <c r="F43" s="388">
        <f>Costs!$X$40</f>
        <v>3.1</v>
      </c>
      <c r="G43" s="261">
        <v>0</v>
      </c>
      <c r="H43" s="263" t="s">
        <v>238</v>
      </c>
      <c r="I43" s="262">
        <f>VLOOKUP($C43,SEEMsavings!$D$3:$F$74,3,FALSE)</f>
        <v>8.8991512127013523E-3</v>
      </c>
      <c r="J43" s="135"/>
      <c r="K43" s="135"/>
      <c r="L43" s="135"/>
      <c r="M43" s="135"/>
      <c r="N43" s="135"/>
      <c r="O43" s="135"/>
      <c r="P43" s="135"/>
      <c r="Q43" s="135"/>
    </row>
    <row r="44" spans="2:17">
      <c r="B44" s="90" t="str">
        <f t="shared" si="0"/>
        <v>Manuf Homes Wx - Attic R0 - R30 + HZ1 + Heat Pump</v>
      </c>
      <c r="C44" t="str">
        <f>SEEMsavings!D39</f>
        <v>Attic R0 - R30 + HZ1 + Heat Pump</v>
      </c>
      <c r="D44" s="309">
        <f>VLOOKUP($C44,SEEMsavings!$D$3:$E$74,2,FALSE)</f>
        <v>0.26414227285875647</v>
      </c>
      <c r="E44" s="87">
        <v>25</v>
      </c>
      <c r="F44" s="386">
        <f>Costs!$X$38</f>
        <v>2.1</v>
      </c>
      <c r="G44" s="87">
        <v>0</v>
      </c>
      <c r="H44" s="86" t="s">
        <v>238</v>
      </c>
      <c r="I44" s="89">
        <f>VLOOKUP($C44,SEEMsavings!$D$3:$F$74,3,FALSE)</f>
        <v>1.8540083384838118E-3</v>
      </c>
      <c r="J44" s="27"/>
      <c r="K44" s="27"/>
      <c r="L44" s="27"/>
      <c r="M44" s="27"/>
      <c r="N44" s="27"/>
      <c r="O44" s="27"/>
      <c r="P44" s="27"/>
      <c r="Q44" s="27"/>
    </row>
    <row r="45" spans="2:17">
      <c r="B45" s="90" t="str">
        <f t="shared" si="0"/>
        <v>Manuf Homes Wx - Attic R0 - R22 + HZ1 + Heat Pump</v>
      </c>
      <c r="C45" t="str">
        <f>SEEMsavings!D40</f>
        <v>Attic R0 - R22 + HZ1 + Heat Pump</v>
      </c>
      <c r="D45" s="309">
        <f>VLOOKUP($C45,SEEMsavings!$D$3:$E$74,2,FALSE)</f>
        <v>0.2621751812904406</v>
      </c>
      <c r="E45" s="87">
        <v>25</v>
      </c>
      <c r="F45" s="386">
        <f>Costs!$X$38</f>
        <v>2.1</v>
      </c>
      <c r="G45" s="87">
        <v>0</v>
      </c>
      <c r="H45" s="86" t="s">
        <v>238</v>
      </c>
      <c r="I45" s="89">
        <f>VLOOKUP($C45,SEEMsavings!$D$3:$F$74,3,FALSE)</f>
        <v>1.8402013694941528E-3</v>
      </c>
      <c r="J45" s="27"/>
      <c r="K45" s="27"/>
      <c r="L45" s="27"/>
      <c r="M45" s="27"/>
      <c r="N45" s="27"/>
      <c r="O45" s="27"/>
      <c r="P45" s="27"/>
      <c r="Q45" s="27"/>
    </row>
    <row r="46" spans="2:17">
      <c r="B46" s="90" t="str">
        <f t="shared" si="0"/>
        <v>Manuf Homes Wx - Attic R11 - R30 + HZ1 + Heat Pump</v>
      </c>
      <c r="C46" t="str">
        <f>SEEMsavings!D41</f>
        <v>Attic R11 - R30 + HZ1 + Heat Pump</v>
      </c>
      <c r="D46" s="309">
        <f>VLOOKUP($C46,SEEMsavings!$D$3:$E$74,2,FALSE)</f>
        <v>0.10420488558578286</v>
      </c>
      <c r="E46" s="87">
        <v>25</v>
      </c>
      <c r="F46" s="386">
        <f>Costs!$X$38</f>
        <v>2.1</v>
      </c>
      <c r="G46" s="87">
        <v>0</v>
      </c>
      <c r="H46" s="86" t="s">
        <v>238</v>
      </c>
      <c r="I46" s="89">
        <f>VLOOKUP($C46,SEEMsavings!$D$3:$F$74,3,FALSE)</f>
        <v>7.3141161653477609E-4</v>
      </c>
      <c r="J46" s="27"/>
      <c r="K46" s="27"/>
      <c r="L46" s="27"/>
      <c r="M46" s="27"/>
      <c r="N46" s="27"/>
      <c r="O46" s="27"/>
      <c r="P46" s="27"/>
      <c r="Q46" s="27"/>
    </row>
    <row r="47" spans="2:17">
      <c r="B47" s="90" t="str">
        <f t="shared" si="0"/>
        <v>Manuf Homes Wx - Floor R0 - R22 + HZ1 + Heat Pump</v>
      </c>
      <c r="C47" t="str">
        <f>SEEMsavings!D42</f>
        <v>Floor R0 - R22 + HZ1 + Heat Pump</v>
      </c>
      <c r="D47" s="309">
        <f>VLOOKUP($C47,SEEMsavings!$D$3:$E$74,2,FALSE)</f>
        <v>0.22701205883517456</v>
      </c>
      <c r="E47" s="87">
        <v>25</v>
      </c>
      <c r="F47" s="387">
        <f>Costs!$X$39</f>
        <v>3.3</v>
      </c>
      <c r="G47" s="87">
        <v>0</v>
      </c>
      <c r="H47" s="86" t="s">
        <v>238</v>
      </c>
      <c r="I47" s="89">
        <f>VLOOKUP($C47,SEEMsavings!$D$3:$F$74,3,FALSE)</f>
        <v>1.5933922482822265E-3</v>
      </c>
      <c r="J47" s="27"/>
      <c r="K47" s="27"/>
      <c r="L47" s="27"/>
      <c r="M47" s="27"/>
      <c r="N47" s="27"/>
      <c r="O47" s="27"/>
      <c r="P47" s="27"/>
      <c r="Q47" s="27"/>
    </row>
    <row r="48" spans="2:17">
      <c r="B48" s="90" t="str">
        <f t="shared" si="0"/>
        <v>Manuf Homes Wx - Floor R11 - R22 + HZ1 + Heat Pump</v>
      </c>
      <c r="C48" t="str">
        <f>SEEMsavings!D43</f>
        <v>Floor R11 - R22 + HZ1 + Heat Pump</v>
      </c>
      <c r="D48" s="309">
        <f>VLOOKUP($C48,SEEMsavings!$D$3:$E$74,2,FALSE)</f>
        <v>0.11626329716863983</v>
      </c>
      <c r="E48" s="87">
        <v>25</v>
      </c>
      <c r="F48" s="387">
        <f>Costs!$X$39</f>
        <v>3.3</v>
      </c>
      <c r="G48" s="87">
        <v>0</v>
      </c>
      <c r="H48" s="86" t="s">
        <v>238</v>
      </c>
      <c r="I48" s="89">
        <f>VLOOKUP($C48,SEEMsavings!$D$3:$F$74,3,FALSE)</f>
        <v>8.1604932098672939E-4</v>
      </c>
      <c r="J48" s="27"/>
      <c r="K48" s="27"/>
      <c r="L48" s="27"/>
      <c r="M48" s="27"/>
      <c r="N48" s="27"/>
      <c r="O48" s="27"/>
      <c r="P48" s="27"/>
      <c r="Q48" s="27"/>
    </row>
    <row r="49" spans="2:17" ht="25.5">
      <c r="B49" s="90" t="str">
        <f t="shared" si="0"/>
        <v>Manuf Homes Wx - WINDOW CL30 Prime Window Replacement of Double Pane Base + HZ1 + Heat Pump</v>
      </c>
      <c r="C49" t="str">
        <f>SEEMsavings!D44</f>
        <v>WINDOW CL30 Prime Window Replacement of Double Pane Base + HZ1 + Heat Pump</v>
      </c>
      <c r="D49" s="309">
        <f>VLOOKUP($C49,SEEMsavings!$D$3:$E$74,2,FALSE)</f>
        <v>1.2963867030076783</v>
      </c>
      <c r="E49" s="87">
        <v>25</v>
      </c>
      <c r="F49" s="142">
        <f>VLOOKUP(LEFT($C49,FIND(" + ",$C49)-1),Costs!$B$2:$C$21,2,FALSE)</f>
        <v>20.605937224457286</v>
      </c>
      <c r="G49" s="87">
        <v>0</v>
      </c>
      <c r="H49" s="86" t="s">
        <v>238</v>
      </c>
      <c r="I49" s="89">
        <f>VLOOKUP($C49,SEEMsavings!$D$3:$F$74,3,FALSE)</f>
        <v>9.0993074726853466E-3</v>
      </c>
      <c r="J49" s="27"/>
      <c r="K49" s="27"/>
      <c r="L49" s="27"/>
      <c r="M49" s="27"/>
      <c r="N49" s="27"/>
      <c r="O49" s="27"/>
      <c r="P49" s="27"/>
      <c r="Q49" s="27"/>
    </row>
    <row r="50" spans="2:17" ht="25.5">
      <c r="B50" s="90" t="str">
        <f t="shared" si="0"/>
        <v>Manuf Homes Wx - WINDOW CL30 Prime Window Replacement of Single Pane Base + HZ1 + Heat Pump</v>
      </c>
      <c r="C50" t="str">
        <f>SEEMsavings!D45</f>
        <v>WINDOW CL30 Prime Window Replacement of Single Pane Base + HZ1 + Heat Pump</v>
      </c>
      <c r="D50" s="309">
        <f>VLOOKUP($C50,SEEMsavings!$D$3:$E$74,2,FALSE)</f>
        <v>3.6649622322959936</v>
      </c>
      <c r="E50" s="87">
        <v>25</v>
      </c>
      <c r="F50" s="142">
        <f>VLOOKUP(LEFT($C50,FIND(" + ",$C50)-1),Costs!$B$2:$C$21,2,FALSE)</f>
        <v>20.605937224457286</v>
      </c>
      <c r="G50" s="87">
        <v>0</v>
      </c>
      <c r="H50" s="86" t="s">
        <v>238</v>
      </c>
      <c r="I50" s="89">
        <f>VLOOKUP($C50,SEEMsavings!$D$3:$F$74,3,FALSE)</f>
        <v>2.5724282847139752E-2</v>
      </c>
      <c r="J50" s="27"/>
      <c r="K50" s="27"/>
      <c r="L50" s="27"/>
      <c r="M50" s="27"/>
      <c r="N50" s="27"/>
      <c r="O50" s="27"/>
      <c r="P50" s="27"/>
      <c r="Q50" s="27"/>
    </row>
    <row r="51" spans="2:17" ht="25.5">
      <c r="B51" s="90" t="str">
        <f t="shared" si="0"/>
        <v>Manuf Homes Wx - WINDOW CL22 Prime Window Replacement of Double Pane Base + HZ1 + Heat Pump</v>
      </c>
      <c r="C51" t="str">
        <f>SEEMsavings!D46</f>
        <v>WINDOW CL22 Prime Window Replacement of Double Pane Base + HZ1 + Heat Pump</v>
      </c>
      <c r="D51" s="309">
        <f>VLOOKUP($C51,SEEMsavings!$D$3:$E$74,2,FALSE)</f>
        <v>10.183768276204923</v>
      </c>
      <c r="E51" s="87">
        <v>25</v>
      </c>
      <c r="F51" s="142">
        <f>VLOOKUP(LEFT($C51,FIND(" + ",$C51)-1),Costs!$B$2:$C$21,2,FALSE)</f>
        <v>21.965937224457285</v>
      </c>
      <c r="G51" s="87">
        <v>0</v>
      </c>
      <c r="H51" s="86" t="s">
        <v>238</v>
      </c>
      <c r="I51" s="89">
        <f>VLOOKUP($C51,SEEMsavings!$D$3:$F$74,3,FALSE)</f>
        <v>1.0775500640589221E-2</v>
      </c>
      <c r="J51" s="27"/>
      <c r="K51" s="27"/>
      <c r="L51" s="27"/>
      <c r="M51" s="27"/>
      <c r="N51" s="27"/>
      <c r="O51" s="27"/>
      <c r="P51" s="27"/>
      <c r="Q51" s="27"/>
    </row>
    <row r="52" spans="2:17" ht="25.5">
      <c r="B52" s="90" t="str">
        <f t="shared" si="0"/>
        <v>Manuf Homes Wx - WINDOW CL22 Prime Window Replacement of Single Pane Base + HZ1 + Heat Pump</v>
      </c>
      <c r="C52" t="str">
        <f>SEEMsavings!D47</f>
        <v>WINDOW CL22 Prime Window Replacement of Single Pane Base + HZ1 + Heat Pump</v>
      </c>
      <c r="D52" s="309">
        <f>VLOOKUP($C52,SEEMsavings!$D$3:$E$74,2,FALSE)</f>
        <v>4.0083962473901309</v>
      </c>
      <c r="E52" s="87">
        <v>25</v>
      </c>
      <c r="F52" s="142">
        <f>VLOOKUP(LEFT($C52,FIND(" + ",$C52)-1),Costs!$B$2:$C$21,2,FALSE)</f>
        <v>21.965937224457285</v>
      </c>
      <c r="G52" s="87">
        <v>0</v>
      </c>
      <c r="H52" s="86" t="s">
        <v>238</v>
      </c>
      <c r="I52" s="89">
        <f>VLOOKUP($C52,SEEMsavings!$D$3:$F$74,3,FALSE)</f>
        <v>2.8134838040794731E-2</v>
      </c>
      <c r="J52" s="27"/>
      <c r="K52" s="27"/>
      <c r="L52" s="27"/>
      <c r="M52" s="27"/>
      <c r="N52" s="27"/>
      <c r="O52" s="27"/>
      <c r="P52" s="27"/>
      <c r="Q52" s="27"/>
    </row>
    <row r="53" spans="2:17">
      <c r="B53" s="90" t="str">
        <f t="shared" si="0"/>
        <v>Manuf Homes Wx - Window U35-U30 + HZ1 + Heat Pump</v>
      </c>
      <c r="C53" t="str">
        <f>SEEMsavings!D48</f>
        <v>Window U35-U30 + HZ1 + Heat Pump</v>
      </c>
      <c r="D53" s="309">
        <f>VLOOKUP($C53,SEEMsavings!$D$3:$E$74,2,FALSE)</f>
        <v>0.16439191653431021</v>
      </c>
      <c r="E53" s="87">
        <v>25</v>
      </c>
      <c r="F53" s="142">
        <f>VLOOKUP(LEFT($C53,FIND(" + ",$C53)-1),Costs!$B$2:$C$21,2,FALSE)</f>
        <v>0.89355377781611622</v>
      </c>
      <c r="G53" s="87">
        <v>0</v>
      </c>
      <c r="H53" s="86" t="s">
        <v>238</v>
      </c>
      <c r="I53" s="89">
        <f>VLOOKUP($C53,SEEMsavings!$D$3:$F$74,3,FALSE)</f>
        <v>1.1538629570168101E-3</v>
      </c>
      <c r="J53" s="27"/>
      <c r="K53" s="27"/>
      <c r="L53" s="27"/>
      <c r="M53" s="27"/>
      <c r="N53" s="27"/>
      <c r="O53" s="27"/>
      <c r="P53" s="27"/>
      <c r="Q53" s="27"/>
    </row>
    <row r="54" spans="2:17">
      <c r="B54" s="90" t="str">
        <f t="shared" si="0"/>
        <v>Manuf Homes Wx - Window U35-U22 + HZ1 + Heat Pump</v>
      </c>
      <c r="C54" t="str">
        <f>SEEMsavings!D49</f>
        <v>Window U35-U22 + HZ1 + Heat Pump</v>
      </c>
      <c r="D54" s="309">
        <f>VLOOKUP($C54,SEEMsavings!$D$3:$E$74,2,FALSE)</f>
        <v>0.30793451183951437</v>
      </c>
      <c r="E54" s="87">
        <v>25</v>
      </c>
      <c r="F54" s="142">
        <f>VLOOKUP(LEFT($C54,FIND(" + ",$C54)-1),Costs!$B$2:$C$21,2,FALSE)</f>
        <v>2.2535537778161165</v>
      </c>
      <c r="G54" s="87">
        <v>0</v>
      </c>
      <c r="H54" s="86" t="s">
        <v>238</v>
      </c>
      <c r="I54" s="89">
        <f>VLOOKUP($C54,SEEMsavings!$D$3:$F$74,3,FALSE)</f>
        <v>2.1613850236031074E-3</v>
      </c>
      <c r="J54" s="27"/>
      <c r="K54" s="27"/>
      <c r="L54" s="27"/>
      <c r="M54" s="27"/>
      <c r="N54" s="27"/>
      <c r="O54" s="27"/>
      <c r="P54" s="27"/>
      <c r="Q54" s="27"/>
    </row>
    <row r="55" spans="2:17" s="258" customFormat="1">
      <c r="B55" s="259" t="str">
        <f t="shared" si="0"/>
        <v>Manuf Homes Wx - Infiltration + HZ1 + Heat Pump</v>
      </c>
      <c r="C55" s="258" t="str">
        <f>SEEMsavings!D50</f>
        <v>Infiltration + HZ1 + Heat Pump</v>
      </c>
      <c r="D55" s="316">
        <f>VLOOKUP($C55,SEEMsavings!$D$3:$E$74,2,FALSE)</f>
        <v>0.12307226203098903</v>
      </c>
      <c r="E55" s="261">
        <v>25</v>
      </c>
      <c r="F55" s="388">
        <f>Costs!$X$40</f>
        <v>3.1</v>
      </c>
      <c r="G55" s="261">
        <v>0</v>
      </c>
      <c r="H55" s="263" t="s">
        <v>238</v>
      </c>
      <c r="I55" s="262">
        <f>VLOOKUP($C55,SEEMsavings!$D$3:$F$74,3,FALSE)</f>
        <v>8.6384128360828601E-4</v>
      </c>
      <c r="J55" s="135"/>
      <c r="K55" s="135"/>
      <c r="L55" s="135"/>
      <c r="M55" s="135"/>
      <c r="N55" s="135"/>
      <c r="O55" s="135"/>
      <c r="P55" s="135"/>
      <c r="Q55" s="135"/>
    </row>
    <row r="56" spans="2:17">
      <c r="B56" s="90" t="str">
        <f t="shared" si="0"/>
        <v>Manuf Homes Wx - Attic R0 - R30 + HZ2 + Heat Pump</v>
      </c>
      <c r="C56" t="str">
        <f>SEEMsavings!D51</f>
        <v>Attic R0 - R30 + HZ2 + Heat Pump</v>
      </c>
      <c r="D56" s="309">
        <f>VLOOKUP($C56,SEEMsavings!$D$3:$E$74,2,FALSE)</f>
        <v>0.30731491751347301</v>
      </c>
      <c r="E56" s="87">
        <v>25</v>
      </c>
      <c r="F56" s="386">
        <f>Costs!$X$38</f>
        <v>2.1</v>
      </c>
      <c r="G56" s="87">
        <v>0</v>
      </c>
      <c r="H56" s="86" t="s">
        <v>238</v>
      </c>
      <c r="I56" s="89">
        <f>VLOOKUP($C56,SEEMsavings!$D$3:$F$74,3,FALSE)</f>
        <v>4.8943190973757197E-3</v>
      </c>
      <c r="J56" s="27"/>
      <c r="K56" s="27"/>
      <c r="L56" s="27"/>
      <c r="M56" s="27"/>
      <c r="N56" s="27"/>
      <c r="O56" s="27"/>
      <c r="P56" s="27"/>
      <c r="Q56" s="27"/>
    </row>
    <row r="57" spans="2:17">
      <c r="B57" s="90" t="str">
        <f t="shared" si="0"/>
        <v>Manuf Homes Wx - Attic R0 - R22 + HZ2 + Heat Pump</v>
      </c>
      <c r="C57" t="str">
        <f>SEEMsavings!D52</f>
        <v>Attic R0 - R22 + HZ2 + Heat Pump</v>
      </c>
      <c r="D57" s="309">
        <f>VLOOKUP($C57,SEEMsavings!$D$3:$E$74,2,FALSE)</f>
        <v>0.28489703706649766</v>
      </c>
      <c r="E57" s="87">
        <v>25</v>
      </c>
      <c r="F57" s="386">
        <f>Costs!$X$38</f>
        <v>2.1</v>
      </c>
      <c r="G57" s="87">
        <v>0</v>
      </c>
      <c r="H57" s="86" t="s">
        <v>238</v>
      </c>
      <c r="I57" s="89">
        <f>VLOOKUP($C57,SEEMsavings!$D$3:$F$74,3,FALSE)</f>
        <v>4.5372903488786458E-3</v>
      </c>
      <c r="J57" s="27"/>
      <c r="K57" s="27"/>
      <c r="L57" s="27"/>
      <c r="M57" s="27"/>
      <c r="N57" s="27"/>
      <c r="O57" s="27"/>
      <c r="P57" s="27"/>
      <c r="Q57" s="27"/>
    </row>
    <row r="58" spans="2:17">
      <c r="B58" s="90" t="str">
        <f t="shared" si="0"/>
        <v>Manuf Homes Wx - Attic R11 - R30 + HZ2 + Heat Pump</v>
      </c>
      <c r="C58" t="str">
        <f>SEEMsavings!D53</f>
        <v>Attic R11 - R30 + HZ2 + Heat Pump</v>
      </c>
      <c r="D58" s="309">
        <f>VLOOKUP($C58,SEEMsavings!$D$3:$E$74,2,FALSE)</f>
        <v>2.8130913850995934E-2</v>
      </c>
      <c r="E58" s="87">
        <v>25</v>
      </c>
      <c r="F58" s="386">
        <f>Costs!$X$38</f>
        <v>2.1</v>
      </c>
      <c r="G58" s="87">
        <v>0</v>
      </c>
      <c r="H58" s="86" t="s">
        <v>238</v>
      </c>
      <c r="I58" s="89">
        <f>VLOOKUP($C58,SEEMsavings!$D$3:$F$74,3,FALSE)</f>
        <v>4.4801492228741007E-4</v>
      </c>
      <c r="J58" s="27"/>
      <c r="K58" s="27"/>
      <c r="L58" s="27"/>
      <c r="M58" s="27"/>
      <c r="N58" s="27"/>
      <c r="O58" s="27"/>
      <c r="P58" s="27"/>
      <c r="Q58" s="27"/>
    </row>
    <row r="59" spans="2:17">
      <c r="B59" s="90" t="str">
        <f t="shared" si="0"/>
        <v>Manuf Homes Wx - Floor R0 - R22 + HZ2 + Heat Pump</v>
      </c>
      <c r="C59" t="str">
        <f>SEEMsavings!D54</f>
        <v>Floor R0 - R22 + HZ2 + Heat Pump</v>
      </c>
      <c r="D59" s="309">
        <f>VLOOKUP($C59,SEEMsavings!$D$3:$E$74,2,FALSE)</f>
        <v>2.2924747296391271E-2</v>
      </c>
      <c r="E59" s="87">
        <v>25</v>
      </c>
      <c r="F59" s="387">
        <f>Costs!$X$39</f>
        <v>3.3</v>
      </c>
      <c r="G59" s="87">
        <v>0</v>
      </c>
      <c r="H59" s="86" t="s">
        <v>238</v>
      </c>
      <c r="I59" s="89">
        <f>VLOOKUP($C59,SEEMsavings!$D$3:$F$74,3,FALSE)</f>
        <v>3.6510114576628657E-4</v>
      </c>
      <c r="J59" s="27"/>
      <c r="K59" s="27"/>
      <c r="L59" s="27"/>
      <c r="M59" s="27"/>
      <c r="N59" s="27"/>
      <c r="O59" s="27"/>
      <c r="P59" s="27"/>
      <c r="Q59" s="27"/>
    </row>
    <row r="60" spans="2:17">
      <c r="B60" s="90" t="str">
        <f t="shared" si="0"/>
        <v>Manuf Homes Wx - Floor R11 - R22 + HZ2 + Heat Pump</v>
      </c>
      <c r="C60" t="str">
        <f>SEEMsavings!D55</f>
        <v>Floor R11 - R22 + HZ2 + Heat Pump</v>
      </c>
      <c r="D60" s="309">
        <f>VLOOKUP($C60,SEEMsavings!$D$3:$E$74,2,FALSE)</f>
        <v>2.6223612456817185E-2</v>
      </c>
      <c r="E60" s="87">
        <v>25</v>
      </c>
      <c r="F60" s="387">
        <f>Costs!$X$39</f>
        <v>3.3</v>
      </c>
      <c r="G60" s="87">
        <v>0</v>
      </c>
      <c r="H60" s="86" t="s">
        <v>238</v>
      </c>
      <c r="I60" s="89">
        <f>VLOOKUP($C60,SEEMsavings!$D$3:$F$74,3,FALSE)</f>
        <v>4.1763910547542297E-4</v>
      </c>
      <c r="J60" s="27"/>
      <c r="K60" s="27"/>
      <c r="L60" s="27"/>
      <c r="M60" s="27"/>
      <c r="N60" s="27"/>
      <c r="O60" s="27"/>
      <c r="P60" s="27"/>
      <c r="Q60" s="27"/>
    </row>
    <row r="61" spans="2:17" ht="25.5">
      <c r="B61" s="90" t="str">
        <f t="shared" si="0"/>
        <v>Manuf Homes Wx - WINDOW CL30 Prime Window Replacement of Double Pane Base + HZ2 + Heat Pump</v>
      </c>
      <c r="C61" t="str">
        <f>SEEMsavings!D56</f>
        <v>WINDOW CL30 Prime Window Replacement of Double Pane Base + HZ2 + Heat Pump</v>
      </c>
      <c r="D61" s="309">
        <f>VLOOKUP($C61,SEEMsavings!$D$3:$E$74,2,FALSE)</f>
        <v>2.4370186838112233</v>
      </c>
      <c r="E61" s="87">
        <v>25</v>
      </c>
      <c r="F61" s="142">
        <f>VLOOKUP(LEFT($C61,FIND(" + ",$C61)-1),Costs!$B$2:$C$21,2,FALSE)</f>
        <v>20.605937224457286</v>
      </c>
      <c r="G61" s="87">
        <v>0</v>
      </c>
      <c r="H61" s="86" t="s">
        <v>238</v>
      </c>
      <c r="I61" s="89">
        <f>VLOOKUP($C61,SEEMsavings!$D$3:$F$74,3,FALSE)</f>
        <v>3.8812131807157736E-2</v>
      </c>
      <c r="J61" s="27"/>
      <c r="K61" s="27"/>
      <c r="L61" s="27"/>
      <c r="M61" s="27"/>
      <c r="N61" s="27"/>
      <c r="O61" s="27"/>
      <c r="P61" s="27"/>
      <c r="Q61" s="27"/>
    </row>
    <row r="62" spans="2:17" ht="25.5">
      <c r="B62" s="90" t="str">
        <f t="shared" si="0"/>
        <v>Manuf Homes Wx - WINDOW CL30 Prime Window Replacement of Single Pane Base + HZ2 + Heat Pump</v>
      </c>
      <c r="C62" t="str">
        <f>SEEMsavings!D57</f>
        <v>WINDOW CL30 Prime Window Replacement of Single Pane Base + HZ2 + Heat Pump</v>
      </c>
      <c r="D62" s="309">
        <f>VLOOKUP($C62,SEEMsavings!$D$3:$E$74,2,FALSE)</f>
        <v>3.806888307524634</v>
      </c>
      <c r="E62" s="87">
        <v>25</v>
      </c>
      <c r="F62" s="142">
        <f>VLOOKUP(LEFT($C62,FIND(" + ",$C62)-1),Costs!$B$2:$C$21,2,FALSE)</f>
        <v>20.605937224457286</v>
      </c>
      <c r="G62" s="87">
        <v>0</v>
      </c>
      <c r="H62" s="86" t="s">
        <v>238</v>
      </c>
      <c r="I62" s="89">
        <f>VLOOKUP($C62,SEEMsavings!$D$3:$F$74,3,FALSE)</f>
        <v>6.06287722569709E-2</v>
      </c>
      <c r="J62" s="27"/>
      <c r="K62" s="27"/>
      <c r="L62" s="27"/>
      <c r="M62" s="27"/>
      <c r="N62" s="27"/>
      <c r="O62" s="27"/>
      <c r="P62" s="27"/>
      <c r="Q62" s="27"/>
    </row>
    <row r="63" spans="2:17" ht="25.5">
      <c r="B63" s="90" t="str">
        <f t="shared" si="0"/>
        <v>Manuf Homes Wx - WINDOW CL22 Prime Window Replacement of Double Pane Base + HZ2 + Heat Pump</v>
      </c>
      <c r="C63" t="str">
        <f>SEEMsavings!D58</f>
        <v>WINDOW CL22 Prime Window Replacement of Double Pane Base + HZ2 + Heat Pump</v>
      </c>
      <c r="D63" s="309">
        <f>VLOOKUP($C63,SEEMsavings!$D$3:$E$74,2,FALSE)</f>
        <v>6.2506227232565887</v>
      </c>
      <c r="E63" s="87">
        <v>25</v>
      </c>
      <c r="F63" s="142">
        <f>VLOOKUP(LEFT($C63,FIND(" + ",$C63)-1),Costs!$B$2:$C$21,2,FALSE)</f>
        <v>21.965937224457285</v>
      </c>
      <c r="G63" s="87">
        <v>0</v>
      </c>
      <c r="H63" s="86" t="s">
        <v>238</v>
      </c>
      <c r="I63" s="89">
        <f>VLOOKUP($C63,SEEMsavings!$D$3:$F$74,3,FALSE)</f>
        <v>4.1522702763001497E-2</v>
      </c>
      <c r="J63" s="27"/>
      <c r="K63" s="27"/>
      <c r="L63" s="27"/>
      <c r="M63" s="27"/>
      <c r="N63" s="27"/>
      <c r="O63" s="27"/>
      <c r="P63" s="27"/>
      <c r="Q63" s="27"/>
    </row>
    <row r="64" spans="2:17" ht="25.5">
      <c r="B64" s="90" t="str">
        <f t="shared" si="0"/>
        <v>Manuf Homes Wx - WINDOW CL22 Prime Window Replacement of Single Pane Base + HZ2 + Heat Pump</v>
      </c>
      <c r="C64" t="str">
        <f>SEEMsavings!D59</f>
        <v>WINDOW CL22 Prime Window Replacement of Single Pane Base + HZ2 + Heat Pump</v>
      </c>
      <c r="D64" s="309">
        <f>VLOOKUP($C64,SEEMsavings!$D$3:$E$74,2,FALSE)</f>
        <v>4.1250258593955831</v>
      </c>
      <c r="E64" s="87">
        <v>25</v>
      </c>
      <c r="F64" s="142">
        <f>VLOOKUP(LEFT($C64,FIND(" + ",$C64)-1),Costs!$B$2:$C$21,2,FALSE)</f>
        <v>21.965937224457285</v>
      </c>
      <c r="G64" s="87">
        <v>0</v>
      </c>
      <c r="H64" s="86" t="s">
        <v>238</v>
      </c>
      <c r="I64" s="89">
        <f>VLOOKUP($C64,SEEMsavings!$D$3:$F$74,3,FALSE)</f>
        <v>6.5695453394068917E-2</v>
      </c>
      <c r="J64" s="27"/>
      <c r="K64" s="27"/>
      <c r="L64" s="27"/>
      <c r="M64" s="27"/>
      <c r="N64" s="27"/>
      <c r="O64" s="27"/>
      <c r="P64" s="27"/>
      <c r="Q64" s="27"/>
    </row>
    <row r="65" spans="2:17">
      <c r="B65" s="90" t="str">
        <f t="shared" si="0"/>
        <v>Manuf Homes Wx - Window U35-U30 + HZ2 + Heat Pump</v>
      </c>
      <c r="C65" t="str">
        <f>SEEMsavings!D60</f>
        <v>Window U35-U30 + HZ2 + Heat Pump</v>
      </c>
      <c r="D65" s="309">
        <f>VLOOKUP($C65,SEEMsavings!$D$3:$E$74,2,FALSE)</f>
        <v>0.17685250749568629</v>
      </c>
      <c r="E65" s="87">
        <v>25</v>
      </c>
      <c r="F65" s="142">
        <f>VLOOKUP(LEFT($C65,FIND(" + ",$C65)-1),Costs!$B$2:$C$21,2,FALSE)</f>
        <v>0.89355377781611622</v>
      </c>
      <c r="G65" s="87">
        <v>0</v>
      </c>
      <c r="H65" s="86" t="s">
        <v>238</v>
      </c>
      <c r="I65" s="89">
        <f>VLOOKUP($C65,SEEMsavings!$D$3:$F$74,3,FALSE)</f>
        <v>2.8165655343332704E-3</v>
      </c>
      <c r="J65" s="27"/>
      <c r="K65" s="27"/>
      <c r="L65" s="27"/>
      <c r="M65" s="27"/>
      <c r="N65" s="27"/>
      <c r="O65" s="27"/>
      <c r="P65" s="27"/>
      <c r="Q65" s="27"/>
    </row>
    <row r="66" spans="2:17">
      <c r="B66" s="90" t="str">
        <f t="shared" si="0"/>
        <v>Manuf Homes Wx - Window U35-U22 + HZ2 + Heat Pump</v>
      </c>
      <c r="C66" t="str">
        <f>SEEMsavings!D61</f>
        <v>Window U35-U22 + HZ2 + Heat Pump</v>
      </c>
      <c r="D66" s="309">
        <f>VLOOKUP($C66,SEEMsavings!$D$3:$E$74,2,FALSE)</f>
        <v>0.2856389327556732</v>
      </c>
      <c r="E66" s="87">
        <v>25</v>
      </c>
      <c r="F66" s="142">
        <f>VLOOKUP(LEFT($C66,FIND(" + ",$C66)-1),Costs!$B$2:$C$21,2,FALSE)</f>
        <v>2.2535537778161165</v>
      </c>
      <c r="G66" s="87">
        <v>0</v>
      </c>
      <c r="H66" s="86" t="s">
        <v>238</v>
      </c>
      <c r="I66" s="89">
        <f>VLOOKUP($C66,SEEMsavings!$D$3:$F$74,3,FALSE)</f>
        <v>4.5491058320617341E-3</v>
      </c>
      <c r="J66" s="27"/>
      <c r="K66" s="27"/>
      <c r="L66" s="27"/>
      <c r="M66" s="27"/>
      <c r="N66" s="27"/>
      <c r="O66" s="27"/>
      <c r="P66" s="27"/>
      <c r="Q66" s="27"/>
    </row>
    <row r="67" spans="2:17" s="258" customFormat="1">
      <c r="B67" s="259" t="str">
        <f t="shared" si="0"/>
        <v>Manuf Homes Wx - Infiltration + HZ2 + Heat Pump</v>
      </c>
      <c r="C67" s="258" t="str">
        <f>SEEMsavings!D62</f>
        <v>Infiltration + HZ2 + Heat Pump</v>
      </c>
      <c r="D67" s="316">
        <f>VLOOKUP($C67,SEEMsavings!$D$3:$E$74,2,FALSE)</f>
        <v>0.14925354302543398</v>
      </c>
      <c r="E67" s="261">
        <v>25</v>
      </c>
      <c r="F67" s="388">
        <f>Costs!$X$40</f>
        <v>3.1</v>
      </c>
      <c r="G67" s="261">
        <v>0</v>
      </c>
      <c r="H67" s="263" t="s">
        <v>238</v>
      </c>
      <c r="I67" s="262">
        <f>VLOOKUP($C67,SEEMsavings!$D$3:$F$74,3,FALSE)</f>
        <v>2.3770224754818305E-3</v>
      </c>
      <c r="J67" s="135"/>
      <c r="K67" s="135"/>
      <c r="L67" s="135"/>
      <c r="M67" s="135"/>
      <c r="N67" s="135"/>
      <c r="O67" s="135"/>
      <c r="P67" s="135"/>
      <c r="Q67" s="135"/>
    </row>
    <row r="68" spans="2:17">
      <c r="B68" s="90" t="str">
        <f t="shared" si="0"/>
        <v>Manuf Homes Wx - Attic R0 - R30 + HZ3 + Heat Pump</v>
      </c>
      <c r="C68" t="str">
        <f>SEEMsavings!D63</f>
        <v>Attic R0 - R30 + HZ3 + Heat Pump</v>
      </c>
      <c r="D68" s="309">
        <f>VLOOKUP($C68,SEEMsavings!$D$3:$E$74,2,FALSE)</f>
        <v>0.45418016417160967</v>
      </c>
      <c r="E68" s="87">
        <v>25</v>
      </c>
      <c r="F68" s="386">
        <f>Costs!$X$38</f>
        <v>2.1</v>
      </c>
      <c r="G68" s="87">
        <v>0</v>
      </c>
      <c r="H68" s="86" t="s">
        <v>238</v>
      </c>
      <c r="I68" s="89">
        <f>VLOOKUP($C68,SEEMsavings!$D$3:$F$74,3,FALSE)</f>
        <v>7.2333053961068927E-3</v>
      </c>
      <c r="J68" s="27"/>
      <c r="K68" s="27"/>
      <c r="L68" s="27"/>
      <c r="M68" s="27"/>
      <c r="N68" s="27"/>
      <c r="O68" s="27"/>
      <c r="P68" s="27"/>
      <c r="Q68" s="27"/>
    </row>
    <row r="69" spans="2:17">
      <c r="B69" s="90" t="str">
        <f t="shared" si="0"/>
        <v>Manuf Homes Wx - Attic R0 - R22 + HZ3 + Heat Pump</v>
      </c>
      <c r="C69" t="str">
        <f>SEEMsavings!D64</f>
        <v>Attic R0 - R22 + HZ3 + Heat Pump</v>
      </c>
      <c r="D69" s="309">
        <f>VLOOKUP($C69,SEEMsavings!$D$3:$E$74,2,FALSE)</f>
        <v>0.39034339888996411</v>
      </c>
      <c r="E69" s="87">
        <v>25</v>
      </c>
      <c r="F69" s="386">
        <f>Costs!$X$38</f>
        <v>2.1</v>
      </c>
      <c r="G69" s="87">
        <v>0</v>
      </c>
      <c r="H69" s="86" t="s">
        <v>238</v>
      </c>
      <c r="I69" s="89">
        <f>VLOOKUP($C69,SEEMsavings!$D$3:$F$74,3,FALSE)</f>
        <v>6.2166365602409884E-3</v>
      </c>
      <c r="J69" s="27"/>
      <c r="K69" s="27"/>
      <c r="L69" s="27"/>
      <c r="M69" s="27"/>
      <c r="N69" s="27"/>
      <c r="O69" s="27"/>
      <c r="P69" s="27"/>
      <c r="Q69" s="27"/>
    </row>
    <row r="70" spans="2:17">
      <c r="B70" s="90" t="str">
        <f t="shared" si="0"/>
        <v>Manuf Homes Wx - Attic R11 - R30 + HZ3 + Heat Pump</v>
      </c>
      <c r="C70" t="str">
        <f>SEEMsavings!D65</f>
        <v>Attic R11 - R30 + HZ3 + Heat Pump</v>
      </c>
      <c r="D70" s="309">
        <f>VLOOKUP($C70,SEEMsavings!$D$3:$E$74,2,FALSE)</f>
        <v>-1.5687898617586977E-2</v>
      </c>
      <c r="E70" s="87">
        <v>25</v>
      </c>
      <c r="F70" s="386">
        <f>Costs!$X$38</f>
        <v>2.1</v>
      </c>
      <c r="G70" s="87">
        <v>0</v>
      </c>
      <c r="H70" s="86" t="s">
        <v>238</v>
      </c>
      <c r="I70" s="89">
        <f>VLOOKUP($C70,SEEMsavings!$D$3:$F$74,3,FALSE)</f>
        <v>-2.498465822062941E-4</v>
      </c>
      <c r="J70" s="27"/>
      <c r="K70" s="27"/>
      <c r="L70" s="27"/>
      <c r="M70" s="27"/>
      <c r="N70" s="27"/>
      <c r="O70" s="27"/>
      <c r="P70" s="27"/>
      <c r="Q70" s="27"/>
    </row>
    <row r="71" spans="2:17">
      <c r="B71" s="90" t="str">
        <f t="shared" si="0"/>
        <v>Manuf Homes Wx - Floor R0 - R22 + HZ3 + Heat Pump</v>
      </c>
      <c r="C71" t="str">
        <f>SEEMsavings!D66</f>
        <v>Floor R0 - R22 + HZ3 + Heat Pump</v>
      </c>
      <c r="D71" s="309">
        <f>VLOOKUP($C71,SEEMsavings!$D$3:$E$74,2,FALSE)</f>
        <v>3.5282744619257199E-2</v>
      </c>
      <c r="E71" s="87">
        <v>25</v>
      </c>
      <c r="F71" s="387">
        <f>Costs!$X$39</f>
        <v>3.3</v>
      </c>
      <c r="G71" s="87">
        <v>0</v>
      </c>
      <c r="H71" s="86" t="s">
        <v>238</v>
      </c>
      <c r="I71" s="89">
        <f>VLOOKUP($C71,SEEMsavings!$D$3:$F$74,3,FALSE)</f>
        <v>5.619154845950174E-4</v>
      </c>
      <c r="J71" s="27"/>
      <c r="K71" s="27"/>
      <c r="L71" s="27"/>
      <c r="M71" s="27"/>
      <c r="N71" s="27"/>
      <c r="O71" s="27"/>
      <c r="P71" s="27"/>
      <c r="Q71" s="27"/>
    </row>
    <row r="72" spans="2:17">
      <c r="B72" s="90" t="str">
        <f t="shared" si="0"/>
        <v>Manuf Homes Wx - Floor R11 - R22 + HZ3 + Heat Pump</v>
      </c>
      <c r="C72" t="str">
        <f>SEEMsavings!D67</f>
        <v>Floor R11 - R22 + HZ3 + Heat Pump</v>
      </c>
      <c r="D72" s="309">
        <f>VLOOKUP($C72,SEEMsavings!$D$3:$E$74,2,FALSE)</f>
        <v>-2.8899967172981728E-3</v>
      </c>
      <c r="E72" s="87">
        <v>25</v>
      </c>
      <c r="F72" s="387">
        <f>Costs!$X$39</f>
        <v>3.3</v>
      </c>
      <c r="G72" s="87">
        <v>0</v>
      </c>
      <c r="H72" s="86" t="s">
        <v>238</v>
      </c>
      <c r="I72" s="89">
        <f>VLOOKUP($C72,SEEMsavings!$D$3:$F$74,3,FALSE)</f>
        <v>-4.6026291985014085E-5</v>
      </c>
      <c r="J72" s="27"/>
      <c r="K72" s="27"/>
      <c r="L72" s="27"/>
      <c r="M72" s="27"/>
      <c r="N72" s="27"/>
      <c r="O72" s="27"/>
      <c r="P72" s="27"/>
      <c r="Q72" s="27"/>
    </row>
    <row r="73" spans="2:17" ht="25.5">
      <c r="B73" s="90" t="str">
        <f t="shared" ref="B73:B79" si="1">CONCATENATE("Manuf Homes Wx"," - ",C73)</f>
        <v>Manuf Homes Wx - WINDOW CL30 Prime Window Replacement of Double Pane Base + HZ3 + Heat Pump</v>
      </c>
      <c r="C73" t="str">
        <f>SEEMsavings!D68</f>
        <v>WINDOW CL30 Prime Window Replacement of Double Pane Base + HZ3 + Heat Pump</v>
      </c>
      <c r="D73" s="309">
        <f>VLOOKUP($C73,SEEMsavings!$D$3:$E$74,2,FALSE)</f>
        <v>4.5574394707944199</v>
      </c>
      <c r="E73" s="87">
        <v>25</v>
      </c>
      <c r="F73" s="142">
        <f>VLOOKUP(LEFT($C73,FIND(" + ",$C73)-1),Costs!$B$2:$C$21,2,FALSE)</f>
        <v>20.605937224457286</v>
      </c>
      <c r="G73" s="87">
        <v>0</v>
      </c>
      <c r="H73" s="86" t="s">
        <v>238</v>
      </c>
      <c r="I73" s="89">
        <f>VLOOKUP($C73,SEEMsavings!$D$3:$F$74,3,FALSE)</f>
        <v>7.2582103132253981E-2</v>
      </c>
      <c r="J73" s="27"/>
      <c r="K73" s="27"/>
      <c r="L73" s="27"/>
      <c r="M73" s="27"/>
      <c r="N73" s="27"/>
      <c r="O73" s="27"/>
      <c r="P73" s="27"/>
      <c r="Q73" s="27"/>
    </row>
    <row r="74" spans="2:17" ht="25.5">
      <c r="B74" s="90" t="str">
        <f t="shared" si="1"/>
        <v>Manuf Homes Wx - WINDOW CL30 Prime Window Replacement of Single Pane Base + HZ3 + Heat Pump</v>
      </c>
      <c r="C74" t="str">
        <f>SEEMsavings!D69</f>
        <v>WINDOW CL30 Prime Window Replacement of Single Pane Base + HZ3 + Heat Pump</v>
      </c>
      <c r="D74" s="309">
        <f>VLOOKUP($C74,SEEMsavings!$D$3:$E$74,2,FALSE)</f>
        <v>5.7166071763955371</v>
      </c>
      <c r="E74" s="87">
        <v>25</v>
      </c>
      <c r="F74" s="142">
        <f>VLOOKUP(LEFT($C74,FIND(" + ",$C74)-1),Costs!$B$2:$C$21,2,FALSE)</f>
        <v>20.605937224457286</v>
      </c>
      <c r="G74" s="87">
        <v>0</v>
      </c>
      <c r="H74" s="86" t="s">
        <v>238</v>
      </c>
      <c r="I74" s="89">
        <f>VLOOKUP($C74,SEEMsavings!$D$3:$F$74,3,FALSE)</f>
        <v>9.104308994177332E-2</v>
      </c>
      <c r="J74" s="27"/>
      <c r="K74" s="27"/>
      <c r="L74" s="27"/>
      <c r="M74" s="27"/>
      <c r="N74" s="27"/>
      <c r="O74" s="27"/>
      <c r="P74" s="27"/>
      <c r="Q74" s="27"/>
    </row>
    <row r="75" spans="2:17" ht="25.5">
      <c r="B75" s="90" t="str">
        <f t="shared" si="1"/>
        <v>Manuf Homes Wx - WINDOW CL22 Prime Window Replacement of Double Pane Base + HZ3 + Heat Pump</v>
      </c>
      <c r="C75" t="str">
        <f>SEEMsavings!D70</f>
        <v>WINDOW CL22 Prime Window Replacement of Double Pane Base + HZ3 + Heat Pump</v>
      </c>
      <c r="D75" s="309">
        <f>VLOOKUP($C75,SEEMsavings!$D$3:$E$74,2,FALSE)</f>
        <v>7.2994829247742192</v>
      </c>
      <c r="E75" s="87">
        <v>25</v>
      </c>
      <c r="F75" s="142">
        <f>VLOOKUP(LEFT($C75,FIND(" + ",$C75)-1),Costs!$B$2:$C$21,2,FALSE)</f>
        <v>21.965937224457285</v>
      </c>
      <c r="G75" s="87">
        <v>0</v>
      </c>
      <c r="H75" s="86" t="s">
        <v>238</v>
      </c>
      <c r="I75" s="89">
        <f>VLOOKUP($C75,SEEMsavings!$D$3:$F$74,3,FALSE)</f>
        <v>7.582619787063942E-2</v>
      </c>
      <c r="J75" s="27"/>
      <c r="K75" s="27"/>
      <c r="L75" s="27"/>
      <c r="M75" s="27"/>
      <c r="N75" s="27"/>
      <c r="O75" s="27"/>
      <c r="P75" s="27"/>
      <c r="Q75" s="27"/>
    </row>
    <row r="76" spans="2:17" ht="25.5">
      <c r="B76" s="90" t="str">
        <f t="shared" si="1"/>
        <v>Manuf Homes Wx - WINDOW CL22 Prime Window Replacement of Single Pane Base + HZ3 + Heat Pump</v>
      </c>
      <c r="C76" t="str">
        <f>SEEMsavings!D71</f>
        <v>WINDOW CL22 Prime Window Replacement of Single Pane Base + HZ3 + Heat Pump</v>
      </c>
      <c r="D76" s="309">
        <f>VLOOKUP($C76,SEEMsavings!$D$3:$E$74,2,FALSE)</f>
        <v>6.0581916165879015</v>
      </c>
      <c r="E76" s="87">
        <v>25</v>
      </c>
      <c r="F76" s="142">
        <f>VLOOKUP(LEFT($C76,FIND(" + ",$C76)-1),Costs!$B$2:$C$21,2,FALSE)</f>
        <v>21.965937224457285</v>
      </c>
      <c r="G76" s="87">
        <v>0</v>
      </c>
      <c r="H76" s="86" t="s">
        <v>238</v>
      </c>
      <c r="I76" s="89">
        <f>VLOOKUP($C76,SEEMsavings!$D$3:$F$74,3,FALSE)</f>
        <v>9.6483187879507132E-2</v>
      </c>
      <c r="J76" s="27"/>
      <c r="K76" s="27"/>
      <c r="L76" s="27"/>
      <c r="M76" s="27"/>
      <c r="N76" s="27"/>
      <c r="O76" s="27"/>
      <c r="P76" s="27"/>
      <c r="Q76" s="27"/>
    </row>
    <row r="77" spans="2:17">
      <c r="B77" s="90" t="str">
        <f t="shared" si="1"/>
        <v>Manuf Homes Wx - Window U35-U30 + HZ3 + Heat Pump</v>
      </c>
      <c r="C77" t="str">
        <f>SEEMsavings!D72</f>
        <v>Window U35-U30 + HZ3 + Heat Pump</v>
      </c>
      <c r="D77" s="309">
        <f>VLOOKUP($C77,SEEMsavings!$D$3:$E$74,2,FALSE)</f>
        <v>0.17229088425352199</v>
      </c>
      <c r="E77" s="87">
        <v>25</v>
      </c>
      <c r="F77" s="142">
        <f>VLOOKUP(LEFT($C77,FIND(" + ",$C77)-1),Costs!$B$2:$C$21,2,FALSE)</f>
        <v>0.89355377781611622</v>
      </c>
      <c r="G77" s="87">
        <v>0</v>
      </c>
      <c r="H77" s="86" t="s">
        <v>238</v>
      </c>
      <c r="I77" s="89">
        <f>VLOOKUP($C77,SEEMsavings!$D$3:$F$74,3,FALSE)</f>
        <v>2.74391680016247E-3</v>
      </c>
      <c r="J77" s="27"/>
      <c r="K77" s="27"/>
      <c r="L77" s="27"/>
      <c r="M77" s="27"/>
      <c r="N77" s="27"/>
      <c r="O77" s="27"/>
      <c r="P77" s="27"/>
      <c r="Q77" s="27"/>
    </row>
    <row r="78" spans="2:17">
      <c r="B78" s="90" t="str">
        <f t="shared" si="1"/>
        <v>Manuf Homes Wx - Window U35-U22 + HZ3 + Heat Pump</v>
      </c>
      <c r="C78" t="str">
        <f>SEEMsavings!D73</f>
        <v>Window U35-U22 + HZ3 + Heat Pump</v>
      </c>
      <c r="D78" s="309">
        <f>VLOOKUP($C78,SEEMsavings!$D$3:$E$74,2,FALSE)</f>
        <v>0.3111860753769542</v>
      </c>
      <c r="E78" s="87">
        <v>25</v>
      </c>
      <c r="F78" s="142">
        <f>VLOOKUP(LEFT($C78,FIND(" + ",$C78)-1),Costs!$B$2:$C$21,2,FALSE)</f>
        <v>2.2535537778161165</v>
      </c>
      <c r="G78" s="87">
        <v>0</v>
      </c>
      <c r="H78" s="86" t="s">
        <v>238</v>
      </c>
      <c r="I78" s="89">
        <f>VLOOKUP($C78,SEEMsavings!$D$3:$F$74,3,FALSE)</f>
        <v>4.9559714311234373E-3</v>
      </c>
      <c r="J78" s="27"/>
      <c r="K78" s="27"/>
      <c r="L78" s="27"/>
      <c r="M78" s="27"/>
      <c r="N78" s="27"/>
      <c r="O78" s="27"/>
      <c r="P78" s="27"/>
      <c r="Q78" s="27"/>
    </row>
    <row r="79" spans="2:17" s="258" customFormat="1">
      <c r="B79" s="259" t="str">
        <f t="shared" si="1"/>
        <v>Manuf Homes Wx - Infiltration + HZ3 + Heat Pump</v>
      </c>
      <c r="C79" s="258" t="str">
        <f>SEEMsavings!D74</f>
        <v>Infiltration + HZ3 + Heat Pump</v>
      </c>
      <c r="D79" s="316">
        <f>VLOOKUP($C79,SEEMsavings!$D$3:$E$74,2,FALSE)</f>
        <v>0.18704712126310194</v>
      </c>
      <c r="E79" s="261">
        <v>25</v>
      </c>
      <c r="F79" s="388">
        <f>Costs!$X$40</f>
        <v>3.1</v>
      </c>
      <c r="G79" s="261">
        <v>0</v>
      </c>
      <c r="H79" s="263" t="s">
        <v>238</v>
      </c>
      <c r="I79" s="262">
        <f>VLOOKUP($C79,SEEMsavings!$D$3:$F$74,3,FALSE)</f>
        <v>2.9789256737496861E-3</v>
      </c>
      <c r="J79" s="135"/>
      <c r="K79" s="135"/>
      <c r="L79" s="135"/>
      <c r="M79" s="135"/>
      <c r="N79" s="135"/>
      <c r="O79" s="135"/>
      <c r="P79" s="135"/>
      <c r="Q79" s="135"/>
    </row>
    <row r="109" spans="2:17">
      <c r="B109" s="90"/>
      <c r="C109" s="90"/>
      <c r="D109" s="91"/>
      <c r="E109" s="87"/>
      <c r="F109" s="89"/>
      <c r="G109" s="87"/>
      <c r="H109" s="86"/>
      <c r="I109" s="89"/>
      <c r="J109" s="27"/>
      <c r="K109" s="27"/>
      <c r="L109" s="27"/>
      <c r="M109" s="27"/>
      <c r="N109" s="27"/>
      <c r="O109" s="27"/>
      <c r="P109" s="27"/>
      <c r="Q109" s="27"/>
    </row>
    <row r="110" spans="2:17">
      <c r="B110" s="90"/>
      <c r="C110" s="90"/>
      <c r="D110" s="91"/>
      <c r="E110" s="87"/>
      <c r="F110" s="89"/>
      <c r="G110" s="87"/>
      <c r="H110" s="86"/>
      <c r="I110" s="89"/>
      <c r="J110" s="27"/>
      <c r="K110" s="27"/>
      <c r="L110" s="27"/>
      <c r="M110" s="27"/>
      <c r="N110" s="27"/>
      <c r="O110" s="27"/>
      <c r="P110" s="27"/>
      <c r="Q110" s="27"/>
    </row>
    <row r="111" spans="2:17">
      <c r="B111" s="90"/>
      <c r="C111" s="90"/>
      <c r="D111" s="91"/>
      <c r="E111" s="87"/>
      <c r="F111" s="89"/>
      <c r="G111" s="87"/>
      <c r="H111" s="86"/>
      <c r="I111" s="89"/>
      <c r="J111" s="27"/>
      <c r="K111" s="27"/>
      <c r="L111" s="27"/>
      <c r="M111" s="27"/>
      <c r="N111" s="27"/>
      <c r="O111" s="27"/>
      <c r="P111" s="27"/>
      <c r="Q111" s="27"/>
    </row>
    <row r="112" spans="2:17">
      <c r="B112" s="90"/>
      <c r="C112" s="90"/>
      <c r="D112" s="91"/>
      <c r="E112" s="87"/>
      <c r="F112" s="89"/>
      <c r="G112" s="87"/>
      <c r="H112" s="86"/>
      <c r="I112" s="89"/>
      <c r="J112" s="27"/>
      <c r="K112" s="27"/>
      <c r="L112" s="27"/>
      <c r="M112" s="27"/>
      <c r="N112" s="27"/>
      <c r="O112" s="27"/>
      <c r="P112" s="27"/>
      <c r="Q112" s="27"/>
    </row>
    <row r="113" spans="2:17">
      <c r="B113" s="90"/>
      <c r="C113" s="90"/>
      <c r="D113" s="91"/>
      <c r="E113" s="87"/>
      <c r="F113" s="89"/>
      <c r="G113" s="87"/>
      <c r="H113" s="86"/>
      <c r="I113" s="89"/>
      <c r="J113" s="27"/>
      <c r="K113" s="27"/>
      <c r="L113" s="27"/>
      <c r="M113" s="27"/>
      <c r="N113" s="27"/>
      <c r="O113" s="27"/>
      <c r="P113" s="27"/>
      <c r="Q113" s="27"/>
    </row>
    <row r="114" spans="2:17">
      <c r="B114" s="90"/>
      <c r="C114" s="90"/>
      <c r="D114" s="91"/>
      <c r="E114" s="87"/>
      <c r="F114" s="89"/>
      <c r="G114" s="87"/>
      <c r="H114" s="86"/>
      <c r="I114" s="89"/>
      <c r="J114" s="27"/>
      <c r="K114" s="27"/>
      <c r="L114" s="27"/>
      <c r="M114" s="27"/>
      <c r="N114" s="27"/>
      <c r="O114" s="27"/>
      <c r="P114" s="27"/>
      <c r="Q114" s="27"/>
    </row>
    <row r="115" spans="2:17">
      <c r="B115" s="90"/>
      <c r="C115" s="90"/>
      <c r="D115" s="91"/>
      <c r="E115" s="87"/>
      <c r="F115" s="89"/>
      <c r="G115" s="87"/>
      <c r="H115" s="86"/>
      <c r="I115" s="89"/>
      <c r="J115" s="27"/>
      <c r="K115" s="27"/>
      <c r="L115" s="27"/>
      <c r="M115" s="27"/>
      <c r="N115" s="27"/>
      <c r="O115" s="27"/>
      <c r="P115" s="27"/>
      <c r="Q115" s="27"/>
    </row>
    <row r="116" spans="2:17" s="258" customFormat="1">
      <c r="B116" s="90"/>
      <c r="C116" s="259"/>
      <c r="D116" s="260"/>
      <c r="E116" s="261"/>
      <c r="F116" s="262"/>
      <c r="G116" s="261"/>
      <c r="H116" s="263"/>
      <c r="I116" s="262"/>
      <c r="J116" s="135"/>
      <c r="K116" s="135"/>
      <c r="L116" s="135"/>
      <c r="M116" s="135"/>
      <c r="N116" s="135"/>
      <c r="O116" s="135"/>
      <c r="P116" s="135"/>
      <c r="Q116" s="135"/>
    </row>
    <row r="117" spans="2:17">
      <c r="B117" s="90"/>
      <c r="C117" s="90"/>
      <c r="D117" s="91"/>
      <c r="E117" s="87"/>
      <c r="F117" s="89"/>
      <c r="G117" s="87"/>
      <c r="H117" s="86"/>
      <c r="I117" s="89"/>
      <c r="J117" s="27"/>
      <c r="K117" s="27"/>
      <c r="L117" s="27"/>
      <c r="M117" s="27"/>
      <c r="N117" s="27"/>
      <c r="O117" s="27"/>
      <c r="P117" s="27"/>
      <c r="Q117" s="27"/>
    </row>
    <row r="118" spans="2:17">
      <c r="B118" s="90"/>
      <c r="C118" s="90"/>
      <c r="D118" s="91"/>
      <c r="E118" s="87"/>
      <c r="F118" s="89"/>
      <c r="G118" s="87"/>
      <c r="H118" s="86"/>
      <c r="I118" s="89"/>
      <c r="J118" s="27"/>
      <c r="K118" s="27"/>
      <c r="L118" s="27"/>
      <c r="M118" s="27"/>
      <c r="N118" s="27"/>
      <c r="O118" s="27"/>
      <c r="P118" s="27"/>
      <c r="Q118" s="27"/>
    </row>
    <row r="119" spans="2:17">
      <c r="B119" s="90"/>
      <c r="C119" s="90"/>
      <c r="D119" s="91"/>
      <c r="E119" s="87"/>
      <c r="F119" s="89"/>
      <c r="G119" s="87"/>
      <c r="H119" s="86"/>
      <c r="I119" s="89"/>
      <c r="J119" s="27"/>
      <c r="K119" s="27"/>
      <c r="L119" s="27"/>
      <c r="M119" s="27"/>
      <c r="N119" s="27"/>
      <c r="O119" s="27"/>
      <c r="P119" s="27"/>
      <c r="Q119" s="27"/>
    </row>
    <row r="120" spans="2:17">
      <c r="B120" s="90"/>
      <c r="C120" s="90"/>
      <c r="D120" s="91"/>
      <c r="E120" s="87"/>
      <c r="F120" s="89"/>
      <c r="G120" s="87"/>
      <c r="H120" s="86"/>
      <c r="I120" s="89"/>
      <c r="J120" s="27"/>
      <c r="K120" s="27"/>
      <c r="L120" s="27"/>
      <c r="M120" s="27"/>
      <c r="N120" s="27"/>
      <c r="O120" s="27"/>
      <c r="P120" s="27"/>
      <c r="Q120" s="27"/>
    </row>
    <row r="121" spans="2:17">
      <c r="B121" s="90"/>
      <c r="C121" s="90"/>
      <c r="D121" s="91"/>
      <c r="E121" s="87"/>
      <c r="F121" s="89"/>
      <c r="G121" s="87"/>
      <c r="H121" s="86"/>
      <c r="I121" s="89"/>
      <c r="J121" s="27"/>
      <c r="K121" s="27"/>
      <c r="L121" s="27"/>
      <c r="M121" s="27"/>
      <c r="N121" s="27"/>
      <c r="O121" s="27"/>
      <c r="P121" s="27"/>
      <c r="Q121" s="27"/>
    </row>
    <row r="122" spans="2:17">
      <c r="B122" s="90"/>
      <c r="C122" s="90"/>
      <c r="D122" s="91"/>
      <c r="E122" s="87"/>
      <c r="F122" s="89"/>
      <c r="G122" s="87"/>
      <c r="H122" s="86"/>
      <c r="I122" s="89"/>
      <c r="J122" s="27"/>
      <c r="K122" s="27"/>
      <c r="L122" s="27"/>
      <c r="M122" s="27"/>
      <c r="N122" s="27"/>
      <c r="O122" s="27"/>
      <c r="P122" s="27"/>
      <c r="Q122" s="27"/>
    </row>
    <row r="123" spans="2:17">
      <c r="B123" s="90"/>
      <c r="C123" s="90"/>
      <c r="D123" s="91"/>
      <c r="E123" s="87"/>
      <c r="F123" s="89"/>
      <c r="G123" s="87"/>
      <c r="H123" s="86"/>
      <c r="I123" s="89"/>
      <c r="J123" s="27"/>
      <c r="K123" s="27"/>
      <c r="L123" s="27"/>
      <c r="M123" s="27"/>
      <c r="N123" s="27"/>
      <c r="O123" s="27"/>
      <c r="P123" s="27"/>
      <c r="Q123" s="27"/>
    </row>
    <row r="124" spans="2:17">
      <c r="B124" s="90"/>
      <c r="C124" s="90"/>
      <c r="D124" s="91"/>
      <c r="E124" s="87"/>
      <c r="F124" s="89"/>
      <c r="G124" s="87"/>
      <c r="H124" s="86"/>
      <c r="I124" s="89"/>
      <c r="J124" s="27"/>
      <c r="K124" s="27"/>
      <c r="L124" s="27"/>
      <c r="M124" s="27"/>
      <c r="N124" s="27"/>
      <c r="O124" s="27"/>
      <c r="P124" s="27"/>
      <c r="Q124" s="27"/>
    </row>
    <row r="125" spans="2:17">
      <c r="B125" s="90"/>
      <c r="C125" s="90"/>
      <c r="D125" s="91"/>
      <c r="E125" s="87"/>
      <c r="F125" s="89"/>
      <c r="G125" s="87"/>
      <c r="H125" s="86"/>
      <c r="I125" s="89"/>
      <c r="J125" s="27"/>
      <c r="K125" s="27"/>
      <c r="L125" s="27"/>
      <c r="M125" s="27"/>
      <c r="N125" s="27"/>
      <c r="O125" s="27"/>
      <c r="P125" s="27"/>
      <c r="Q125" s="27"/>
    </row>
    <row r="126" spans="2:17">
      <c r="B126" s="90"/>
      <c r="C126" s="90"/>
      <c r="D126" s="91"/>
      <c r="E126" s="87"/>
      <c r="F126" s="89"/>
      <c r="G126" s="87"/>
      <c r="H126" s="86"/>
      <c r="I126" s="89"/>
      <c r="J126" s="27"/>
      <c r="K126" s="27"/>
      <c r="L126" s="27"/>
      <c r="M126" s="27"/>
      <c r="N126" s="27"/>
      <c r="O126" s="27"/>
      <c r="P126" s="27"/>
      <c r="Q126" s="27"/>
    </row>
    <row r="127" spans="2:17">
      <c r="B127" s="90"/>
      <c r="C127" s="90"/>
      <c r="D127" s="91"/>
      <c r="E127" s="87"/>
      <c r="F127" s="89"/>
      <c r="G127" s="87"/>
      <c r="H127" s="86"/>
      <c r="I127" s="89"/>
      <c r="J127" s="27"/>
      <c r="K127" s="27"/>
      <c r="L127" s="27"/>
      <c r="M127" s="27"/>
      <c r="N127" s="27"/>
      <c r="O127" s="27"/>
      <c r="P127" s="27"/>
      <c r="Q127" s="27"/>
    </row>
    <row r="128" spans="2:17">
      <c r="B128" s="90"/>
      <c r="C128" s="90"/>
      <c r="D128" s="91"/>
      <c r="E128" s="87"/>
      <c r="F128" s="89"/>
      <c r="G128" s="87"/>
      <c r="H128" s="86"/>
      <c r="I128" s="89"/>
      <c r="J128" s="27"/>
      <c r="K128" s="27"/>
      <c r="L128" s="27"/>
      <c r="M128" s="27"/>
      <c r="N128" s="27"/>
      <c r="O128" s="27"/>
      <c r="P128" s="27"/>
      <c r="Q128" s="27"/>
    </row>
    <row r="129" spans="2:17" s="258" customFormat="1">
      <c r="B129" s="90"/>
      <c r="C129" s="259"/>
      <c r="D129" s="260"/>
      <c r="E129" s="261"/>
      <c r="F129" s="262"/>
      <c r="G129" s="261"/>
      <c r="H129" s="263"/>
      <c r="I129" s="262"/>
      <c r="J129" s="135"/>
      <c r="K129" s="135"/>
      <c r="L129" s="135"/>
      <c r="M129" s="135"/>
      <c r="N129" s="135"/>
      <c r="O129" s="135"/>
      <c r="P129" s="135"/>
      <c r="Q129" s="135"/>
    </row>
    <row r="130" spans="2:17">
      <c r="B130" s="90"/>
      <c r="C130" s="90"/>
      <c r="D130" s="91"/>
      <c r="E130" s="87"/>
      <c r="F130" s="89"/>
      <c r="G130" s="87"/>
      <c r="H130" s="86"/>
      <c r="I130" s="89"/>
      <c r="J130" s="27"/>
      <c r="K130" s="27"/>
      <c r="L130" s="27"/>
      <c r="M130" s="27"/>
      <c r="N130" s="27"/>
      <c r="O130" s="27"/>
      <c r="P130" s="27"/>
      <c r="Q130" s="27"/>
    </row>
    <row r="131" spans="2:17">
      <c r="B131" s="90"/>
      <c r="C131" s="90"/>
      <c r="D131" s="91"/>
      <c r="E131" s="87"/>
      <c r="F131" s="89"/>
      <c r="G131" s="87"/>
      <c r="H131" s="86"/>
      <c r="I131" s="89"/>
      <c r="J131" s="27"/>
      <c r="K131" s="27"/>
      <c r="L131" s="27"/>
      <c r="M131" s="27"/>
      <c r="N131" s="27"/>
      <c r="O131" s="27"/>
      <c r="P131" s="27"/>
      <c r="Q131" s="27"/>
    </row>
    <row r="132" spans="2:17">
      <c r="B132" s="90"/>
      <c r="C132" s="90"/>
      <c r="D132" s="91"/>
      <c r="E132" s="87"/>
      <c r="F132" s="89"/>
      <c r="G132" s="87"/>
      <c r="H132" s="86"/>
      <c r="I132" s="89"/>
      <c r="J132" s="27"/>
      <c r="K132" s="27"/>
      <c r="L132" s="27"/>
      <c r="M132" s="27"/>
      <c r="N132" s="27"/>
      <c r="O132" s="27"/>
      <c r="P132" s="27"/>
      <c r="Q132" s="27"/>
    </row>
    <row r="133" spans="2:17">
      <c r="B133" s="90"/>
      <c r="C133" s="90"/>
      <c r="D133" s="91"/>
      <c r="E133" s="87"/>
      <c r="F133" s="89"/>
      <c r="G133" s="87"/>
      <c r="H133" s="86"/>
      <c r="I133" s="89"/>
      <c r="J133" s="27"/>
      <c r="K133" s="27"/>
      <c r="L133" s="27"/>
      <c r="M133" s="27"/>
      <c r="N133" s="27"/>
      <c r="O133" s="27"/>
      <c r="P133" s="27"/>
      <c r="Q133" s="27"/>
    </row>
    <row r="134" spans="2:17">
      <c r="B134" s="90"/>
      <c r="C134" s="90"/>
      <c r="D134" s="91"/>
      <c r="E134" s="87"/>
      <c r="F134" s="89"/>
      <c r="G134" s="87"/>
      <c r="H134" s="86"/>
      <c r="I134" s="89"/>
      <c r="J134" s="27"/>
      <c r="K134" s="27"/>
      <c r="L134" s="27"/>
      <c r="M134" s="27"/>
      <c r="N134" s="27"/>
      <c r="O134" s="27"/>
      <c r="P134" s="27"/>
      <c r="Q134" s="27"/>
    </row>
    <row r="135" spans="2:17">
      <c r="B135" s="90"/>
      <c r="C135" s="90"/>
      <c r="D135" s="91"/>
      <c r="E135" s="87"/>
      <c r="F135" s="89"/>
      <c r="G135" s="87"/>
      <c r="H135" s="86"/>
      <c r="I135" s="89"/>
      <c r="J135" s="27"/>
      <c r="K135" s="27"/>
      <c r="L135" s="27"/>
      <c r="M135" s="27"/>
      <c r="N135" s="27"/>
      <c r="O135" s="27"/>
      <c r="P135" s="27"/>
      <c r="Q135" s="27"/>
    </row>
    <row r="136" spans="2:17">
      <c r="B136" s="90"/>
      <c r="C136" s="90"/>
      <c r="D136" s="91"/>
      <c r="E136" s="87"/>
      <c r="F136" s="89"/>
      <c r="G136" s="87"/>
      <c r="H136" s="86"/>
      <c r="I136" s="89"/>
      <c r="J136" s="27"/>
      <c r="K136" s="27"/>
      <c r="L136" s="27"/>
      <c r="M136" s="27"/>
      <c r="N136" s="27"/>
      <c r="O136" s="27"/>
      <c r="P136" s="27"/>
      <c r="Q136" s="27"/>
    </row>
    <row r="137" spans="2:17">
      <c r="B137" s="90"/>
      <c r="C137" s="90"/>
      <c r="D137" s="91"/>
      <c r="E137" s="87"/>
      <c r="F137" s="89"/>
      <c r="G137" s="87"/>
      <c r="H137" s="86"/>
      <c r="I137" s="89"/>
      <c r="J137" s="27"/>
      <c r="K137" s="27"/>
      <c r="L137" s="27"/>
      <c r="M137" s="27"/>
      <c r="N137" s="27"/>
      <c r="O137" s="27"/>
      <c r="P137" s="27"/>
      <c r="Q137" s="27"/>
    </row>
    <row r="138" spans="2:17">
      <c r="B138" s="90"/>
      <c r="C138" s="90"/>
      <c r="D138" s="91"/>
      <c r="E138" s="87"/>
      <c r="F138" s="89"/>
      <c r="G138" s="87"/>
      <c r="H138" s="86"/>
      <c r="I138" s="89"/>
      <c r="J138" s="27"/>
      <c r="K138" s="27"/>
      <c r="L138" s="27"/>
      <c r="M138" s="27"/>
      <c r="N138" s="27"/>
      <c r="O138" s="27"/>
      <c r="P138" s="27"/>
      <c r="Q138" s="27"/>
    </row>
    <row r="139" spans="2:17">
      <c r="B139" s="90"/>
      <c r="C139" s="90"/>
      <c r="D139" s="91"/>
      <c r="E139" s="87"/>
      <c r="F139" s="89"/>
      <c r="G139" s="87"/>
      <c r="H139" s="86"/>
      <c r="I139" s="89"/>
      <c r="J139" s="27"/>
      <c r="K139" s="27"/>
      <c r="L139" s="27"/>
      <c r="M139" s="27"/>
      <c r="N139" s="27"/>
      <c r="O139" s="27"/>
      <c r="P139" s="27"/>
      <c r="Q139" s="27"/>
    </row>
    <row r="140" spans="2:17">
      <c r="B140" s="90"/>
      <c r="C140" s="90"/>
      <c r="D140" s="91"/>
      <c r="E140" s="87"/>
      <c r="F140" s="89"/>
      <c r="G140" s="87"/>
      <c r="H140" s="86"/>
      <c r="I140" s="89"/>
      <c r="J140" s="27"/>
      <c r="K140" s="27"/>
      <c r="L140" s="27"/>
      <c r="M140" s="27"/>
      <c r="N140" s="27"/>
      <c r="O140" s="27"/>
      <c r="P140" s="27"/>
      <c r="Q140" s="27"/>
    </row>
    <row r="141" spans="2:17">
      <c r="B141" s="90"/>
      <c r="C141" s="90"/>
      <c r="D141" s="91"/>
      <c r="E141" s="87"/>
      <c r="F141" s="89"/>
      <c r="G141" s="87"/>
      <c r="H141" s="86"/>
      <c r="I141" s="89"/>
      <c r="J141" s="27"/>
      <c r="K141" s="27"/>
      <c r="L141" s="27"/>
      <c r="M141" s="27"/>
      <c r="N141" s="27"/>
      <c r="O141" s="27"/>
      <c r="P141" s="27"/>
      <c r="Q141" s="27"/>
    </row>
    <row r="142" spans="2:17" s="258" customFormat="1">
      <c r="B142" s="90"/>
      <c r="C142" s="259"/>
      <c r="D142" s="260"/>
      <c r="E142" s="261"/>
      <c r="F142" s="262"/>
      <c r="G142" s="261"/>
      <c r="H142" s="263"/>
      <c r="I142" s="262"/>
      <c r="J142" s="135"/>
      <c r="K142" s="135"/>
      <c r="L142" s="135"/>
      <c r="M142" s="135"/>
      <c r="N142" s="135"/>
      <c r="O142" s="135"/>
      <c r="P142" s="135"/>
      <c r="Q142" s="135"/>
    </row>
    <row r="143" spans="2:17">
      <c r="B143" s="90"/>
      <c r="C143" s="90"/>
      <c r="D143" s="91"/>
      <c r="E143" s="87"/>
      <c r="F143" s="89"/>
      <c r="G143" s="87"/>
      <c r="H143" s="86"/>
      <c r="I143" s="89"/>
      <c r="J143" s="27"/>
      <c r="K143" s="27"/>
      <c r="L143" s="27"/>
      <c r="M143" s="27"/>
      <c r="N143" s="27"/>
      <c r="O143" s="27"/>
      <c r="P143" s="27"/>
      <c r="Q143" s="27"/>
    </row>
    <row r="144" spans="2:17">
      <c r="B144" s="90"/>
      <c r="C144" s="90"/>
      <c r="D144" s="91"/>
      <c r="E144" s="87"/>
      <c r="F144" s="89"/>
      <c r="G144" s="87"/>
      <c r="H144" s="86"/>
      <c r="I144" s="89"/>
      <c r="J144" s="27"/>
      <c r="K144" s="27"/>
      <c r="L144" s="27"/>
      <c r="M144" s="27"/>
      <c r="N144" s="27"/>
      <c r="O144" s="27"/>
      <c r="P144" s="27"/>
      <c r="Q144" s="27"/>
    </row>
    <row r="145" spans="2:17">
      <c r="B145" s="90"/>
      <c r="C145" s="90"/>
      <c r="D145" s="91"/>
      <c r="E145" s="87"/>
      <c r="F145" s="89"/>
      <c r="G145" s="87"/>
      <c r="H145" s="86"/>
      <c r="I145" s="89"/>
      <c r="J145" s="27"/>
      <c r="K145" s="27"/>
      <c r="L145" s="27"/>
      <c r="M145" s="27"/>
      <c r="N145" s="27"/>
      <c r="O145" s="27"/>
      <c r="P145" s="27"/>
      <c r="Q145" s="27"/>
    </row>
    <row r="146" spans="2:17">
      <c r="B146" s="90"/>
      <c r="C146" s="90"/>
      <c r="D146" s="91"/>
      <c r="E146" s="87"/>
      <c r="F146" s="89"/>
      <c r="G146" s="87"/>
      <c r="H146" s="86"/>
      <c r="I146" s="89"/>
      <c r="J146" s="27"/>
      <c r="K146" s="27"/>
      <c r="L146" s="27"/>
      <c r="M146" s="27"/>
      <c r="N146" s="27"/>
      <c r="O146" s="27"/>
      <c r="P146" s="27"/>
      <c r="Q146" s="27"/>
    </row>
    <row r="147" spans="2:17">
      <c r="B147" s="90"/>
      <c r="C147" s="90"/>
      <c r="D147" s="91"/>
      <c r="E147" s="87"/>
      <c r="F147" s="89"/>
      <c r="G147" s="87"/>
      <c r="H147" s="86"/>
      <c r="I147" s="89"/>
      <c r="J147" s="27"/>
      <c r="K147" s="27"/>
      <c r="L147" s="27"/>
      <c r="M147" s="27"/>
      <c r="N147" s="27"/>
      <c r="O147" s="27"/>
      <c r="P147" s="27"/>
      <c r="Q147" s="27"/>
    </row>
    <row r="148" spans="2:17">
      <c r="B148" s="90"/>
      <c r="C148" s="90"/>
      <c r="D148" s="91"/>
      <c r="E148" s="87"/>
      <c r="F148" s="89"/>
      <c r="G148" s="87"/>
      <c r="H148" s="86"/>
      <c r="I148" s="89"/>
      <c r="J148" s="27"/>
      <c r="K148" s="27"/>
      <c r="L148" s="27"/>
      <c r="M148" s="27"/>
      <c r="N148" s="27"/>
      <c r="O148" s="27"/>
      <c r="P148" s="27"/>
      <c r="Q148" s="27"/>
    </row>
    <row r="149" spans="2:17">
      <c r="B149" s="90"/>
      <c r="C149" s="90"/>
      <c r="D149" s="91"/>
      <c r="E149" s="87"/>
      <c r="F149" s="89"/>
      <c r="G149" s="87"/>
      <c r="H149" s="86"/>
      <c r="I149" s="89"/>
      <c r="J149" s="27"/>
      <c r="K149" s="27"/>
      <c r="L149" s="27"/>
      <c r="M149" s="27"/>
      <c r="N149" s="27"/>
      <c r="O149" s="27"/>
      <c r="P149" s="27"/>
      <c r="Q149" s="27"/>
    </row>
    <row r="150" spans="2:17">
      <c r="B150" s="90"/>
      <c r="C150" s="90"/>
      <c r="D150" s="91"/>
      <c r="E150" s="87"/>
      <c r="F150" s="89"/>
      <c r="G150" s="87"/>
      <c r="H150" s="86"/>
      <c r="I150" s="89"/>
      <c r="J150" s="27"/>
      <c r="K150" s="27"/>
      <c r="L150" s="27"/>
      <c r="M150" s="27"/>
      <c r="N150" s="27"/>
      <c r="O150" s="27"/>
      <c r="P150" s="27"/>
      <c r="Q150" s="27"/>
    </row>
    <row r="151" spans="2:17">
      <c r="B151" s="90"/>
      <c r="C151" s="90"/>
      <c r="D151" s="91"/>
      <c r="E151" s="87"/>
      <c r="F151" s="89"/>
      <c r="G151" s="87"/>
      <c r="H151" s="86"/>
      <c r="I151" s="89"/>
      <c r="J151" s="27"/>
      <c r="K151" s="27"/>
      <c r="L151" s="27"/>
      <c r="M151" s="27"/>
      <c r="N151" s="27"/>
      <c r="O151" s="27"/>
      <c r="P151" s="27"/>
      <c r="Q151" s="27"/>
    </row>
    <row r="152" spans="2:17">
      <c r="B152" s="90"/>
      <c r="C152" s="90"/>
      <c r="D152" s="91"/>
      <c r="E152" s="87"/>
      <c r="F152" s="89"/>
      <c r="G152" s="87"/>
      <c r="H152" s="86"/>
      <c r="I152" s="89"/>
      <c r="J152" s="27"/>
      <c r="K152" s="27"/>
      <c r="L152" s="27"/>
      <c r="M152" s="27"/>
      <c r="N152" s="27"/>
      <c r="O152" s="27"/>
      <c r="P152" s="27"/>
      <c r="Q152" s="27"/>
    </row>
    <row r="153" spans="2:17">
      <c r="B153" s="90"/>
      <c r="C153" s="90"/>
      <c r="D153" s="91"/>
      <c r="E153" s="87"/>
      <c r="F153" s="89"/>
      <c r="G153" s="87"/>
      <c r="H153" s="86"/>
      <c r="I153" s="89"/>
      <c r="J153" s="27"/>
      <c r="K153" s="27"/>
      <c r="L153" s="27"/>
      <c r="M153" s="27"/>
      <c r="N153" s="27"/>
      <c r="O153" s="27"/>
      <c r="P153" s="27"/>
      <c r="Q153" s="27"/>
    </row>
    <row r="154" spans="2:17">
      <c r="B154" s="90"/>
      <c r="C154" s="90"/>
      <c r="D154" s="91"/>
      <c r="E154" s="87"/>
      <c r="F154" s="89"/>
      <c r="G154" s="87"/>
      <c r="H154" s="86"/>
      <c r="I154" s="89"/>
      <c r="J154" s="27"/>
      <c r="K154" s="27"/>
      <c r="L154" s="27"/>
      <c r="M154" s="27"/>
      <c r="N154" s="27"/>
      <c r="O154" s="27"/>
      <c r="P154" s="27"/>
      <c r="Q154" s="27"/>
    </row>
    <row r="155" spans="2:17">
      <c r="B155" s="90"/>
      <c r="C155" s="90"/>
      <c r="D155" s="91"/>
      <c r="E155" s="87"/>
      <c r="F155" s="89"/>
      <c r="G155" s="87"/>
      <c r="H155" s="86"/>
      <c r="I155" s="89"/>
      <c r="J155" s="27"/>
      <c r="K155" s="27"/>
      <c r="L155" s="27"/>
      <c r="M155" s="27"/>
      <c r="N155" s="27"/>
      <c r="O155" s="27"/>
      <c r="P155" s="27"/>
      <c r="Q155" s="27"/>
    </row>
    <row r="156" spans="2:17">
      <c r="B156" s="90"/>
      <c r="C156" s="90"/>
      <c r="D156" s="91"/>
      <c r="E156" s="87"/>
      <c r="F156" s="89"/>
      <c r="G156" s="87"/>
      <c r="H156" s="86"/>
      <c r="I156" s="89"/>
      <c r="J156" s="27"/>
      <c r="K156" s="27"/>
      <c r="L156" s="27"/>
      <c r="M156" s="27"/>
      <c r="N156" s="27"/>
      <c r="O156" s="27"/>
      <c r="P156" s="27"/>
      <c r="Q156" s="27"/>
    </row>
    <row r="157" spans="2:17">
      <c r="B157" s="90"/>
      <c r="C157" s="90"/>
      <c r="D157" s="91"/>
      <c r="E157" s="87"/>
      <c r="F157" s="89"/>
      <c r="G157" s="87"/>
      <c r="H157" s="86"/>
      <c r="I157" s="89"/>
      <c r="J157" s="27"/>
      <c r="K157" s="27"/>
      <c r="L157" s="27"/>
      <c r="M157" s="27"/>
      <c r="N157" s="27"/>
      <c r="O157" s="27"/>
      <c r="P157" s="27"/>
      <c r="Q157" s="27"/>
    </row>
    <row r="158" spans="2:17">
      <c r="B158" s="90"/>
      <c r="C158" s="90"/>
      <c r="D158" s="91"/>
      <c r="E158" s="87"/>
      <c r="F158" s="89"/>
      <c r="G158" s="87"/>
      <c r="H158" s="86"/>
      <c r="I158" s="89"/>
      <c r="J158" s="27"/>
      <c r="K158" s="27"/>
      <c r="L158" s="27"/>
      <c r="M158" s="27"/>
      <c r="N158" s="27"/>
      <c r="O158" s="27"/>
      <c r="P158" s="27"/>
      <c r="Q158" s="27"/>
    </row>
    <row r="159" spans="2:17">
      <c r="B159" s="90"/>
      <c r="C159" s="90"/>
      <c r="D159" s="91"/>
      <c r="E159" s="87"/>
      <c r="F159" s="89"/>
      <c r="G159" s="87"/>
      <c r="H159" s="86"/>
      <c r="I159" s="89"/>
      <c r="J159" s="27"/>
      <c r="K159" s="27"/>
      <c r="L159" s="27"/>
      <c r="M159" s="27"/>
      <c r="N159" s="27"/>
      <c r="O159" s="27"/>
      <c r="P159" s="27"/>
      <c r="Q159" s="27"/>
    </row>
    <row r="160" spans="2:17">
      <c r="B160" s="90"/>
      <c r="C160" s="90"/>
      <c r="D160" s="91"/>
      <c r="E160" s="87"/>
      <c r="F160" s="89"/>
      <c r="G160" s="87"/>
      <c r="H160" s="86"/>
      <c r="I160" s="89"/>
      <c r="J160" s="27"/>
      <c r="K160" s="27"/>
      <c r="L160" s="27"/>
      <c r="M160" s="27"/>
      <c r="N160" s="27"/>
      <c r="O160" s="27"/>
      <c r="P160" s="27"/>
      <c r="Q160" s="27"/>
    </row>
    <row r="161" spans="2:17">
      <c r="B161" s="90"/>
      <c r="C161" s="90"/>
      <c r="D161" s="91"/>
      <c r="E161" s="87"/>
      <c r="F161" s="89"/>
      <c r="G161" s="87"/>
      <c r="H161" s="86"/>
      <c r="I161" s="89"/>
      <c r="J161" s="27"/>
      <c r="K161" s="27"/>
      <c r="L161" s="27"/>
      <c r="M161" s="27"/>
      <c r="N161" s="27"/>
      <c r="O161" s="27"/>
      <c r="P161" s="27"/>
      <c r="Q161" s="27"/>
    </row>
    <row r="162" spans="2:17">
      <c r="B162" s="90"/>
      <c r="C162" s="90"/>
      <c r="D162" s="91"/>
      <c r="E162" s="87"/>
      <c r="F162" s="89"/>
      <c r="G162" s="87"/>
      <c r="H162" s="86"/>
      <c r="I162" s="89"/>
      <c r="J162" s="27"/>
      <c r="K162" s="27"/>
      <c r="L162" s="27"/>
      <c r="M162" s="27"/>
      <c r="N162" s="27"/>
      <c r="O162" s="27"/>
      <c r="P162" s="27"/>
      <c r="Q162" s="27"/>
    </row>
    <row r="163" spans="2:17">
      <c r="B163" s="90"/>
      <c r="C163" s="90"/>
      <c r="D163" s="91"/>
      <c r="E163" s="87"/>
      <c r="F163" s="89"/>
      <c r="G163" s="87"/>
      <c r="H163" s="86"/>
      <c r="I163" s="89"/>
      <c r="J163" s="27"/>
      <c r="K163" s="27"/>
      <c r="L163" s="27"/>
      <c r="M163" s="27"/>
      <c r="N163" s="27"/>
      <c r="O163" s="27"/>
      <c r="P163" s="27"/>
      <c r="Q163" s="27"/>
    </row>
    <row r="164" spans="2:17">
      <c r="B164" s="90"/>
      <c r="C164" s="90"/>
      <c r="D164" s="91"/>
      <c r="E164" s="87"/>
      <c r="F164" s="89"/>
      <c r="G164" s="87"/>
      <c r="H164" s="86"/>
      <c r="I164" s="89"/>
      <c r="J164" s="27"/>
      <c r="K164" s="27"/>
      <c r="L164" s="27"/>
      <c r="M164" s="27"/>
      <c r="N164" s="27"/>
      <c r="O164" s="27"/>
      <c r="P164" s="27"/>
      <c r="Q164" s="27"/>
    </row>
    <row r="165" spans="2:17">
      <c r="B165" s="90"/>
      <c r="C165" s="90"/>
      <c r="D165" s="91"/>
      <c r="E165" s="87"/>
      <c r="F165" s="89"/>
      <c r="G165" s="87"/>
      <c r="H165" s="86"/>
      <c r="I165" s="89"/>
      <c r="J165" s="27"/>
      <c r="K165" s="27"/>
      <c r="L165" s="27"/>
      <c r="M165" s="27"/>
      <c r="N165" s="27"/>
      <c r="O165" s="27"/>
      <c r="P165" s="27"/>
      <c r="Q165" s="27"/>
    </row>
    <row r="166" spans="2:17">
      <c r="B166" s="90"/>
      <c r="C166" s="90"/>
      <c r="D166" s="91"/>
      <c r="E166" s="87"/>
      <c r="F166" s="89"/>
      <c r="G166" s="87"/>
      <c r="H166" s="86"/>
      <c r="I166" s="89"/>
      <c r="J166" s="27"/>
      <c r="K166" s="27"/>
      <c r="L166" s="27"/>
      <c r="M166" s="27"/>
      <c r="N166" s="27"/>
      <c r="O166" s="27"/>
      <c r="P166" s="27"/>
      <c r="Q166" s="27"/>
    </row>
    <row r="167" spans="2:17">
      <c r="B167" s="90"/>
      <c r="C167" s="90"/>
      <c r="D167" s="91"/>
      <c r="E167" s="87"/>
      <c r="F167" s="89"/>
      <c r="G167" s="87"/>
      <c r="H167" s="86"/>
      <c r="I167" s="89"/>
      <c r="J167" s="27"/>
      <c r="K167" s="27"/>
      <c r="L167" s="27"/>
      <c r="M167" s="27"/>
      <c r="N167" s="27"/>
      <c r="O167" s="27"/>
      <c r="P167" s="27"/>
      <c r="Q167" s="27"/>
    </row>
    <row r="168" spans="2:17">
      <c r="B168" s="90"/>
      <c r="C168" s="90"/>
      <c r="D168" s="91"/>
      <c r="E168" s="87"/>
      <c r="F168" s="89"/>
      <c r="G168" s="87"/>
      <c r="H168" s="86"/>
      <c r="I168" s="89"/>
      <c r="J168" s="27"/>
      <c r="K168" s="27"/>
      <c r="L168" s="27"/>
      <c r="M168" s="27"/>
      <c r="N168" s="27"/>
      <c r="O168" s="27"/>
      <c r="P168" s="27"/>
      <c r="Q168" s="27"/>
    </row>
    <row r="169" spans="2:17">
      <c r="B169" s="90"/>
      <c r="C169" s="90"/>
      <c r="D169" s="91"/>
      <c r="E169" s="87"/>
      <c r="F169" s="89"/>
      <c r="G169" s="87"/>
      <c r="H169" s="86"/>
      <c r="I169" s="89"/>
      <c r="J169" s="27"/>
      <c r="K169" s="27"/>
      <c r="L169" s="27"/>
      <c r="M169" s="27"/>
      <c r="N169" s="27"/>
      <c r="O169" s="27"/>
      <c r="P169" s="27"/>
      <c r="Q169" s="27"/>
    </row>
    <row r="170" spans="2:17">
      <c r="B170" s="90"/>
      <c r="C170" s="90"/>
      <c r="D170" s="91"/>
      <c r="E170" s="87"/>
      <c r="F170" s="89"/>
      <c r="G170" s="87"/>
      <c r="H170" s="86"/>
      <c r="I170" s="89"/>
      <c r="J170" s="27"/>
      <c r="K170" s="27"/>
      <c r="L170" s="27"/>
      <c r="M170" s="27"/>
      <c r="N170" s="27"/>
      <c r="O170" s="27"/>
      <c r="P170" s="27"/>
      <c r="Q170" s="27"/>
    </row>
    <row r="171" spans="2:17">
      <c r="B171" s="90"/>
      <c r="C171" s="90"/>
      <c r="D171" s="91"/>
      <c r="E171" s="87"/>
      <c r="F171" s="89"/>
      <c r="G171" s="87"/>
      <c r="H171" s="86"/>
      <c r="I171" s="89"/>
      <c r="J171" s="27"/>
      <c r="K171" s="27"/>
      <c r="L171" s="27"/>
      <c r="M171" s="27"/>
      <c r="N171" s="27"/>
      <c r="O171" s="27"/>
      <c r="P171" s="27"/>
      <c r="Q171" s="27"/>
    </row>
    <row r="172" spans="2:17">
      <c r="B172" s="90"/>
      <c r="C172" s="90"/>
      <c r="D172" s="91"/>
      <c r="E172" s="87"/>
      <c r="F172" s="89"/>
      <c r="G172" s="87"/>
      <c r="H172" s="86"/>
      <c r="I172" s="89"/>
      <c r="J172" s="27"/>
      <c r="K172" s="27"/>
      <c r="L172" s="27"/>
      <c r="M172" s="27"/>
      <c r="N172" s="27"/>
      <c r="O172" s="27"/>
      <c r="P172" s="27"/>
      <c r="Q172" s="27"/>
    </row>
    <row r="173" spans="2:17">
      <c r="B173" s="90"/>
      <c r="C173" s="90"/>
      <c r="D173" s="91"/>
      <c r="E173" s="87"/>
      <c r="F173" s="89"/>
      <c r="G173" s="87"/>
      <c r="H173" s="86"/>
      <c r="I173" s="89"/>
      <c r="J173" s="27"/>
      <c r="K173" s="27"/>
      <c r="L173" s="27"/>
      <c r="M173" s="27"/>
      <c r="N173" s="27"/>
      <c r="O173" s="27"/>
      <c r="P173" s="27"/>
      <c r="Q173" s="27"/>
    </row>
    <row r="174" spans="2:17">
      <c r="B174" s="90"/>
      <c r="C174" s="90"/>
      <c r="D174" s="91"/>
      <c r="E174" s="87"/>
      <c r="F174" s="89"/>
      <c r="G174" s="87"/>
      <c r="H174" s="86"/>
      <c r="I174" s="89"/>
      <c r="J174" s="27"/>
      <c r="K174" s="27"/>
      <c r="L174" s="27"/>
      <c r="M174" s="27"/>
      <c r="N174" s="27"/>
      <c r="O174" s="27"/>
      <c r="P174" s="27"/>
      <c r="Q174" s="27"/>
    </row>
    <row r="175" spans="2:17">
      <c r="B175" s="90"/>
      <c r="C175" s="90"/>
      <c r="D175" s="91"/>
      <c r="E175" s="87"/>
      <c r="F175" s="89"/>
      <c r="G175" s="87"/>
      <c r="H175" s="86"/>
      <c r="I175" s="89"/>
      <c r="J175" s="27"/>
      <c r="K175" s="27"/>
      <c r="L175" s="27"/>
      <c r="M175" s="27"/>
      <c r="N175" s="27"/>
      <c r="O175" s="27"/>
      <c r="P175" s="27"/>
      <c r="Q175" s="27"/>
    </row>
    <row r="176" spans="2:17">
      <c r="B176" s="90"/>
      <c r="C176" s="90"/>
      <c r="D176" s="91"/>
      <c r="E176" s="141"/>
      <c r="F176" s="142"/>
      <c r="G176" s="84"/>
      <c r="H176" s="143"/>
      <c r="I176" s="89"/>
      <c r="J176" s="27"/>
      <c r="K176" s="27"/>
      <c r="L176" s="27"/>
      <c r="M176" s="27"/>
      <c r="N176" s="27"/>
      <c r="O176" s="27"/>
      <c r="P176" s="27"/>
      <c r="Q176" s="27"/>
    </row>
    <row r="177" spans="2:17">
      <c r="B177" s="54"/>
      <c r="C177" s="54"/>
      <c r="D177" s="91"/>
      <c r="E177" s="141"/>
      <c r="F177" s="142"/>
      <c r="G177" s="84"/>
      <c r="H177" s="143"/>
      <c r="I177" s="89"/>
      <c r="J177" s="27"/>
      <c r="K177" s="27"/>
      <c r="L177" s="27"/>
      <c r="M177" s="27"/>
      <c r="N177" s="27"/>
      <c r="O177" s="27"/>
      <c r="P177" s="27"/>
      <c r="Q177" s="27"/>
    </row>
    <row r="178" spans="2:17">
      <c r="B178" s="54"/>
      <c r="C178" s="54"/>
      <c r="D178" s="91"/>
      <c r="E178" s="141"/>
      <c r="F178" s="142"/>
      <c r="G178" s="84"/>
      <c r="H178" s="143"/>
      <c r="I178" s="89"/>
      <c r="J178" s="27"/>
      <c r="K178" s="27"/>
      <c r="L178" s="27"/>
      <c r="M178" s="27"/>
      <c r="N178" s="27"/>
      <c r="O178" s="27"/>
      <c r="P178" s="27"/>
      <c r="Q178" s="27"/>
    </row>
    <row r="179" spans="2:17">
      <c r="B179" s="54"/>
      <c r="C179" s="54"/>
      <c r="D179" s="91"/>
      <c r="E179" s="141"/>
      <c r="F179" s="142"/>
      <c r="G179" s="84"/>
      <c r="H179" s="143"/>
      <c r="I179" s="89"/>
      <c r="J179" s="27"/>
      <c r="K179" s="27"/>
      <c r="L179" s="27"/>
      <c r="M179" s="27"/>
      <c r="N179" s="27"/>
      <c r="O179" s="27"/>
      <c r="P179" s="27"/>
      <c r="Q179" s="27"/>
    </row>
    <row r="180" spans="2:17">
      <c r="B180" s="54"/>
      <c r="C180" s="54"/>
      <c r="D180" s="91"/>
      <c r="E180" s="141"/>
      <c r="F180" s="142"/>
      <c r="G180" s="84"/>
      <c r="H180" s="143"/>
      <c r="I180" s="89"/>
      <c r="J180" s="27"/>
      <c r="K180" s="27"/>
      <c r="L180" s="27"/>
      <c r="M180" s="27"/>
      <c r="N180" s="27"/>
      <c r="O180" s="27"/>
      <c r="P180" s="27"/>
      <c r="Q180" s="27"/>
    </row>
    <row r="181" spans="2:17">
      <c r="B181" s="54"/>
      <c r="C181" s="54"/>
      <c r="D181" s="91"/>
      <c r="E181" s="141"/>
      <c r="F181" s="142"/>
      <c r="G181" s="84"/>
      <c r="H181" s="143"/>
      <c r="I181" s="89"/>
      <c r="J181" s="27"/>
      <c r="K181" s="27"/>
      <c r="L181" s="27"/>
      <c r="M181" s="27"/>
      <c r="N181" s="27"/>
      <c r="O181" s="27"/>
      <c r="P181" s="27"/>
      <c r="Q181" s="27"/>
    </row>
    <row r="182" spans="2:17">
      <c r="B182" s="54"/>
      <c r="C182" s="54"/>
      <c r="D182" s="91"/>
      <c r="E182" s="141"/>
      <c r="F182" s="142"/>
      <c r="G182" s="84"/>
      <c r="H182" s="143"/>
      <c r="I182" s="89"/>
      <c r="J182" s="27"/>
      <c r="K182" s="27"/>
      <c r="L182" s="27"/>
      <c r="M182" s="27"/>
      <c r="N182" s="27"/>
      <c r="O182" s="27"/>
      <c r="P182" s="27"/>
      <c r="Q182" s="27"/>
    </row>
    <row r="183" spans="2:17">
      <c r="B183" s="54"/>
      <c r="C183" s="54"/>
      <c r="D183" s="91"/>
      <c r="E183" s="141"/>
      <c r="F183" s="142"/>
      <c r="G183" s="84"/>
      <c r="H183" s="143"/>
      <c r="I183" s="89"/>
      <c r="J183" s="27"/>
      <c r="K183" s="27"/>
      <c r="L183" s="27"/>
      <c r="M183" s="27"/>
      <c r="N183" s="27"/>
      <c r="O183" s="27"/>
      <c r="P183" s="27"/>
      <c r="Q183" s="27"/>
    </row>
    <row r="184" spans="2:17">
      <c r="B184" s="54"/>
      <c r="C184" s="54"/>
      <c r="D184" s="91"/>
      <c r="E184" s="141"/>
      <c r="F184" s="142"/>
      <c r="G184" s="84"/>
      <c r="H184" s="143"/>
      <c r="I184" s="89"/>
      <c r="J184" s="27"/>
      <c r="K184" s="27"/>
      <c r="L184" s="27"/>
      <c r="M184" s="27"/>
      <c r="N184" s="27"/>
      <c r="O184" s="27"/>
      <c r="P184" s="27"/>
      <c r="Q184" s="27"/>
    </row>
    <row r="185" spans="2:17">
      <c r="B185" s="54"/>
      <c r="C185" s="54"/>
      <c r="D185" s="91"/>
      <c r="E185" s="141"/>
      <c r="F185" s="142"/>
      <c r="G185" s="84"/>
      <c r="H185" s="143"/>
      <c r="I185" s="89"/>
      <c r="J185" s="27"/>
      <c r="K185" s="27"/>
      <c r="L185" s="27"/>
      <c r="M185" s="27"/>
      <c r="N185" s="27"/>
      <c r="O185" s="27"/>
      <c r="P185" s="27"/>
      <c r="Q185" s="27"/>
    </row>
    <row r="186" spans="2:17">
      <c r="B186" s="54"/>
      <c r="C186" s="54"/>
      <c r="D186" s="91"/>
      <c r="E186" s="141"/>
      <c r="F186" s="142"/>
      <c r="G186" s="84"/>
      <c r="H186" s="143"/>
      <c r="I186" s="89"/>
      <c r="J186" s="27"/>
      <c r="K186" s="27"/>
      <c r="L186" s="27"/>
      <c r="M186" s="27"/>
      <c r="N186" s="27"/>
      <c r="O186" s="27"/>
      <c r="P186" s="27"/>
      <c r="Q186" s="27"/>
    </row>
    <row r="187" spans="2:17">
      <c r="B187" s="54"/>
      <c r="C187" s="54"/>
      <c r="D187" s="91"/>
      <c r="E187" s="141"/>
      <c r="F187" s="142"/>
      <c r="G187" s="84"/>
      <c r="H187" s="143"/>
      <c r="I187" s="89"/>
      <c r="J187" s="27"/>
      <c r="K187" s="27"/>
      <c r="L187" s="27"/>
      <c r="M187" s="27"/>
      <c r="N187" s="27"/>
      <c r="O187" s="27"/>
      <c r="P187" s="27"/>
      <c r="Q187" s="27"/>
    </row>
    <row r="188" spans="2:17">
      <c r="B188" s="54"/>
      <c r="C188" s="54"/>
      <c r="D188" s="91"/>
      <c r="E188" s="141"/>
      <c r="F188" s="142"/>
      <c r="G188" s="84"/>
      <c r="H188" s="143"/>
      <c r="I188" s="89"/>
      <c r="J188" s="27"/>
      <c r="K188" s="27"/>
      <c r="L188" s="27"/>
      <c r="M188" s="27"/>
      <c r="N188" s="27"/>
      <c r="O188" s="27"/>
      <c r="P188" s="27"/>
      <c r="Q188" s="27"/>
    </row>
    <row r="189" spans="2:17">
      <c r="B189" s="54"/>
      <c r="C189" s="54"/>
      <c r="D189" s="91"/>
      <c r="E189" s="141"/>
      <c r="F189" s="142"/>
      <c r="G189" s="84"/>
      <c r="H189" s="143"/>
      <c r="I189" s="89"/>
      <c r="J189" s="27"/>
      <c r="K189" s="27"/>
      <c r="L189" s="27"/>
      <c r="M189" s="27"/>
      <c r="N189" s="27"/>
      <c r="O189" s="27"/>
      <c r="P189" s="27"/>
      <c r="Q189" s="27"/>
    </row>
    <row r="190" spans="2:17">
      <c r="B190" s="54"/>
      <c r="C190" s="54"/>
      <c r="D190" s="91"/>
      <c r="E190" s="141"/>
      <c r="F190" s="142"/>
      <c r="G190" s="84"/>
      <c r="H190" s="143"/>
      <c r="I190" s="89"/>
      <c r="J190" s="27"/>
      <c r="K190" s="27"/>
      <c r="L190" s="27"/>
      <c r="M190" s="27"/>
      <c r="N190" s="27"/>
      <c r="O190" s="27"/>
      <c r="P190" s="27"/>
      <c r="Q190" s="27"/>
    </row>
    <row r="191" spans="2:17">
      <c r="B191" s="54"/>
      <c r="C191" s="54"/>
      <c r="D191" s="91"/>
      <c r="E191" s="141"/>
      <c r="F191" s="142"/>
      <c r="G191" s="84"/>
      <c r="H191" s="143"/>
      <c r="I191" s="89"/>
      <c r="J191" s="27"/>
      <c r="K191" s="27"/>
      <c r="L191" s="27"/>
      <c r="M191" s="27"/>
      <c r="N191" s="27"/>
      <c r="O191" s="27"/>
      <c r="P191" s="27"/>
      <c r="Q191" s="27"/>
    </row>
    <row r="192" spans="2:17">
      <c r="B192" s="54"/>
      <c r="C192" s="54"/>
      <c r="D192" s="91"/>
      <c r="E192" s="141"/>
      <c r="F192" s="142"/>
      <c r="G192" s="84"/>
      <c r="H192" s="143"/>
      <c r="I192" s="89"/>
      <c r="J192" s="27"/>
      <c r="K192" s="27"/>
      <c r="L192" s="27"/>
      <c r="M192" s="27"/>
      <c r="N192" s="27"/>
      <c r="O192" s="27"/>
      <c r="P192" s="27"/>
      <c r="Q192" s="27"/>
    </row>
    <row r="193" spans="2:17">
      <c r="B193" s="54"/>
      <c r="C193" s="54"/>
      <c r="D193" s="91"/>
      <c r="E193" s="141"/>
      <c r="F193" s="142"/>
      <c r="G193" s="84"/>
      <c r="H193" s="143"/>
      <c r="I193" s="89"/>
      <c r="J193" s="27"/>
      <c r="K193" s="27"/>
      <c r="L193" s="27"/>
      <c r="M193" s="27"/>
      <c r="N193" s="27"/>
      <c r="O193" s="27"/>
      <c r="P193" s="27"/>
      <c r="Q193" s="27"/>
    </row>
    <row r="194" spans="2:17">
      <c r="B194" s="54"/>
      <c r="C194" s="54"/>
      <c r="D194" s="91"/>
      <c r="E194" s="141"/>
      <c r="F194" s="142"/>
      <c r="G194" s="84"/>
      <c r="H194" s="143"/>
      <c r="I194" s="89"/>
      <c r="J194" s="27"/>
      <c r="K194" s="27"/>
      <c r="L194" s="27"/>
      <c r="M194" s="27"/>
      <c r="N194" s="27"/>
      <c r="O194" s="27"/>
      <c r="P194" s="27"/>
      <c r="Q194" s="27"/>
    </row>
    <row r="195" spans="2:17">
      <c r="B195" s="54"/>
      <c r="C195" s="54"/>
      <c r="D195" s="91"/>
      <c r="E195" s="141"/>
      <c r="F195" s="142"/>
      <c r="G195" s="84"/>
      <c r="H195" s="143"/>
      <c r="I195" s="89"/>
      <c r="J195" s="27"/>
      <c r="K195" s="27"/>
      <c r="L195" s="27"/>
      <c r="M195" s="27"/>
      <c r="N195" s="27"/>
      <c r="O195" s="27"/>
      <c r="P195" s="27"/>
      <c r="Q195" s="27"/>
    </row>
    <row r="196" spans="2:17">
      <c r="B196" s="54"/>
      <c r="C196" s="54"/>
      <c r="D196" s="91"/>
      <c r="E196" s="141"/>
      <c r="F196" s="142"/>
      <c r="G196" s="84"/>
      <c r="H196" s="143"/>
      <c r="I196" s="89"/>
      <c r="J196" s="27"/>
      <c r="K196" s="27"/>
      <c r="L196" s="27"/>
      <c r="M196" s="27"/>
      <c r="N196" s="27"/>
      <c r="O196" s="27"/>
      <c r="P196" s="27"/>
      <c r="Q196" s="27"/>
    </row>
    <row r="197" spans="2:17">
      <c r="B197" s="54"/>
      <c r="C197" s="54"/>
      <c r="D197" s="91"/>
      <c r="E197" s="141"/>
      <c r="F197" s="142"/>
      <c r="G197" s="84"/>
      <c r="H197" s="143"/>
      <c r="I197" s="89"/>
      <c r="J197" s="27"/>
      <c r="K197" s="27"/>
      <c r="L197" s="27"/>
      <c r="M197" s="27"/>
      <c r="N197" s="27"/>
      <c r="O197" s="27"/>
      <c r="P197" s="27"/>
      <c r="Q197" s="27"/>
    </row>
    <row r="198" spans="2:17">
      <c r="B198" s="54"/>
      <c r="C198" s="54"/>
      <c r="D198" s="91"/>
      <c r="E198" s="141"/>
      <c r="F198" s="142"/>
      <c r="G198" s="84"/>
      <c r="H198" s="143"/>
      <c r="I198" s="89"/>
      <c r="J198" s="27"/>
      <c r="K198" s="27"/>
      <c r="L198" s="27"/>
      <c r="M198" s="27"/>
      <c r="N198" s="27"/>
      <c r="O198" s="27"/>
      <c r="P198" s="27"/>
      <c r="Q198" s="27"/>
    </row>
    <row r="199" spans="2:17">
      <c r="B199" s="54"/>
      <c r="C199" s="54"/>
      <c r="D199" s="91"/>
      <c r="E199" s="141"/>
      <c r="F199" s="142"/>
      <c r="G199" s="84"/>
      <c r="H199" s="143"/>
      <c r="I199" s="89"/>
      <c r="J199" s="27"/>
      <c r="K199" s="27"/>
      <c r="L199" s="27"/>
      <c r="M199" s="27"/>
      <c r="N199" s="27"/>
      <c r="O199" s="27"/>
      <c r="P199" s="27"/>
      <c r="Q199" s="27"/>
    </row>
    <row r="200" spans="2:17">
      <c r="B200" s="54"/>
      <c r="C200" s="54"/>
      <c r="D200" s="91"/>
      <c r="E200" s="141"/>
      <c r="F200" s="142"/>
      <c r="G200" s="84"/>
      <c r="H200" s="143"/>
      <c r="I200" s="89"/>
      <c r="J200" s="27"/>
      <c r="K200" s="27"/>
      <c r="L200" s="27"/>
      <c r="M200" s="27"/>
      <c r="N200" s="27"/>
      <c r="O200" s="27"/>
      <c r="P200" s="27"/>
      <c r="Q200" s="27"/>
    </row>
    <row r="201" spans="2:17">
      <c r="B201" s="54"/>
      <c r="C201" s="54"/>
      <c r="D201" s="91"/>
      <c r="E201" s="141"/>
      <c r="F201" s="142"/>
      <c r="G201" s="84"/>
      <c r="H201" s="143"/>
      <c r="I201" s="89"/>
      <c r="J201" s="27"/>
      <c r="K201" s="27"/>
      <c r="L201" s="27"/>
      <c r="M201" s="27"/>
      <c r="N201" s="27"/>
      <c r="O201" s="27"/>
      <c r="P201" s="27"/>
      <c r="Q201" s="27"/>
    </row>
    <row r="202" spans="2:17">
      <c r="B202" s="54"/>
      <c r="C202" s="54"/>
      <c r="D202" s="91"/>
      <c r="E202" s="141"/>
      <c r="F202" s="142"/>
      <c r="G202" s="84"/>
      <c r="H202" s="143"/>
      <c r="I202" s="89"/>
      <c r="J202" s="27"/>
      <c r="K202" s="27"/>
      <c r="L202" s="27"/>
      <c r="M202" s="27"/>
      <c r="N202" s="27"/>
      <c r="O202" s="27"/>
      <c r="P202" s="27"/>
      <c r="Q202" s="27"/>
    </row>
    <row r="203" spans="2:17">
      <c r="B203" s="54"/>
      <c r="C203" s="54"/>
      <c r="D203" s="91"/>
      <c r="E203" s="141"/>
      <c r="F203" s="142"/>
      <c r="G203" s="84"/>
      <c r="H203" s="143"/>
      <c r="I203" s="89"/>
      <c r="J203" s="27"/>
      <c r="K203" s="27"/>
      <c r="L203" s="27"/>
      <c r="M203" s="27"/>
      <c r="N203" s="27"/>
      <c r="O203" s="27"/>
      <c r="P203" s="27"/>
      <c r="Q203" s="27"/>
    </row>
    <row r="204" spans="2:17">
      <c r="B204" s="54"/>
      <c r="C204" s="54"/>
      <c r="D204" s="91"/>
      <c r="E204" s="141"/>
      <c r="F204" s="142"/>
      <c r="G204" s="84"/>
      <c r="H204" s="143"/>
      <c r="I204" s="89"/>
      <c r="J204" s="27"/>
      <c r="K204" s="27"/>
      <c r="L204" s="27"/>
      <c r="M204" s="27"/>
      <c r="N204" s="27"/>
      <c r="O204" s="27"/>
      <c r="P204" s="27"/>
      <c r="Q204" s="27"/>
    </row>
    <row r="205" spans="2:17">
      <c r="B205" s="54"/>
      <c r="C205" s="54"/>
      <c r="D205" s="91"/>
      <c r="E205" s="141"/>
      <c r="F205" s="142"/>
      <c r="G205" s="84"/>
      <c r="H205" s="143"/>
      <c r="I205" s="89"/>
      <c r="J205" s="27"/>
      <c r="K205" s="27"/>
      <c r="L205" s="27"/>
      <c r="M205" s="27"/>
      <c r="N205" s="27"/>
      <c r="O205" s="27"/>
      <c r="P205" s="27"/>
      <c r="Q205" s="27"/>
    </row>
    <row r="206" spans="2:17">
      <c r="B206" s="54"/>
      <c r="C206" s="54"/>
      <c r="D206" s="91"/>
      <c r="E206" s="141"/>
      <c r="F206" s="142"/>
      <c r="G206" s="84"/>
      <c r="H206" s="143"/>
      <c r="I206" s="89"/>
      <c r="J206" s="27"/>
      <c r="K206" s="27"/>
      <c r="L206" s="27"/>
      <c r="M206" s="27"/>
      <c r="N206" s="27"/>
      <c r="O206" s="27"/>
      <c r="P206" s="27"/>
      <c r="Q206" s="27"/>
    </row>
    <row r="207" spans="2:17">
      <c r="B207" s="54"/>
      <c r="C207" s="54"/>
      <c r="D207" s="91"/>
      <c r="E207" s="141"/>
      <c r="F207" s="142"/>
      <c r="G207" s="84"/>
      <c r="H207" s="143"/>
      <c r="I207" s="89"/>
      <c r="J207" s="27"/>
      <c r="K207" s="27"/>
      <c r="L207" s="27"/>
      <c r="M207" s="27"/>
      <c r="N207" s="27"/>
      <c r="O207" s="27"/>
      <c r="P207" s="27"/>
      <c r="Q207" s="27"/>
    </row>
    <row r="208" spans="2:17">
      <c r="B208" s="54"/>
      <c r="C208" s="54"/>
      <c r="D208" s="91"/>
      <c r="E208" s="141"/>
      <c r="F208" s="142"/>
      <c r="G208" s="84"/>
      <c r="H208" s="143"/>
      <c r="I208" s="89"/>
      <c r="J208" s="27"/>
      <c r="K208" s="27"/>
      <c r="L208" s="27"/>
      <c r="M208" s="27"/>
      <c r="N208" s="27"/>
      <c r="O208" s="27"/>
      <c r="P208" s="27"/>
      <c r="Q208" s="27"/>
    </row>
    <row r="209" spans="2:17">
      <c r="B209" s="54"/>
      <c r="C209" s="54"/>
      <c r="D209" s="91"/>
      <c r="E209" s="141"/>
      <c r="F209" s="142"/>
      <c r="G209" s="84"/>
      <c r="H209" s="143"/>
      <c r="I209" s="89"/>
      <c r="J209" s="27"/>
      <c r="K209" s="27"/>
      <c r="L209" s="27"/>
      <c r="M209" s="27"/>
      <c r="N209" s="27"/>
      <c r="O209" s="27"/>
      <c r="P209" s="27"/>
      <c r="Q209" s="27"/>
    </row>
    <row r="210" spans="2:17">
      <c r="B210" s="54"/>
      <c r="C210" s="54"/>
      <c r="D210" s="91"/>
      <c r="E210" s="141"/>
      <c r="F210" s="142"/>
      <c r="G210" s="84"/>
      <c r="H210" s="143"/>
      <c r="I210" s="89"/>
      <c r="J210" s="27"/>
      <c r="K210" s="27"/>
      <c r="L210" s="27"/>
      <c r="M210" s="27"/>
      <c r="N210" s="27"/>
      <c r="O210" s="27"/>
      <c r="P210" s="27"/>
      <c r="Q210" s="27"/>
    </row>
    <row r="211" spans="2:17">
      <c r="B211" s="54"/>
      <c r="C211" s="54"/>
      <c r="D211" s="91"/>
      <c r="E211" s="141"/>
      <c r="F211" s="142"/>
      <c r="G211" s="84"/>
      <c r="H211" s="143"/>
      <c r="I211" s="89"/>
      <c r="J211" s="27"/>
      <c r="K211" s="27"/>
      <c r="L211" s="27"/>
      <c r="M211" s="27"/>
      <c r="N211" s="27"/>
      <c r="O211" s="27"/>
      <c r="P211" s="27"/>
      <c r="Q211" s="27"/>
    </row>
    <row r="212" spans="2:17">
      <c r="B212" s="54"/>
      <c r="C212" s="54"/>
      <c r="D212" s="91"/>
      <c r="E212" s="141"/>
      <c r="F212" s="142"/>
      <c r="G212" s="84"/>
      <c r="H212" s="143"/>
      <c r="I212" s="89"/>
      <c r="J212" s="27"/>
      <c r="K212" s="27"/>
      <c r="L212" s="27"/>
      <c r="M212" s="27"/>
      <c r="N212" s="27"/>
      <c r="O212" s="27"/>
      <c r="P212" s="27"/>
      <c r="Q212" s="27"/>
    </row>
    <row r="213" spans="2:17">
      <c r="B213" s="54"/>
      <c r="C213" s="54"/>
      <c r="D213" s="91"/>
      <c r="E213" s="141"/>
      <c r="F213" s="142"/>
      <c r="G213" s="84"/>
      <c r="H213" s="143"/>
      <c r="I213" s="89"/>
      <c r="J213" s="27"/>
      <c r="K213" s="27"/>
      <c r="L213" s="27"/>
      <c r="M213" s="27"/>
      <c r="N213" s="27"/>
      <c r="O213" s="27"/>
      <c r="P213" s="27"/>
      <c r="Q213" s="27"/>
    </row>
    <row r="214" spans="2:17">
      <c r="B214" s="54"/>
      <c r="C214" s="54"/>
      <c r="D214" s="91"/>
      <c r="E214" s="141"/>
      <c r="F214" s="142"/>
      <c r="G214" s="84"/>
      <c r="H214" s="143"/>
      <c r="I214" s="89"/>
      <c r="J214" s="27"/>
      <c r="K214" s="27"/>
      <c r="L214" s="27"/>
      <c r="M214" s="27"/>
      <c r="N214" s="27"/>
      <c r="O214" s="27"/>
      <c r="P214" s="27"/>
      <c r="Q214" s="27"/>
    </row>
  </sheetData>
  <autoFilter ref="A7:DB442"/>
  <mergeCells count="2">
    <mergeCell ref="J6:O6"/>
    <mergeCell ref="P6:Q6"/>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dimension ref="A1:AJ322"/>
  <sheetViews>
    <sheetView workbookViewId="0">
      <selection activeCell="B41" sqref="B41"/>
    </sheetView>
  </sheetViews>
  <sheetFormatPr defaultRowHeight="12.75"/>
  <cols>
    <col min="1" max="1" width="9.140625" style="295"/>
    <col min="2" max="2" width="32.7109375" style="295" customWidth="1"/>
    <col min="3" max="16384" width="9.140625" style="295"/>
  </cols>
  <sheetData>
    <row r="1" spans="1:36">
      <c r="A1" s="295" t="s">
        <v>152</v>
      </c>
      <c r="B1" s="295" t="s">
        <v>6233</v>
      </c>
      <c r="C1" s="295" t="s">
        <v>6232</v>
      </c>
      <c r="D1" s="295" t="s">
        <v>6231</v>
      </c>
      <c r="E1" s="295" t="s">
        <v>6230</v>
      </c>
      <c r="F1" s="295" t="s">
        <v>6229</v>
      </c>
      <c r="G1" s="295" t="s">
        <v>6228</v>
      </c>
      <c r="H1" s="295" t="s">
        <v>6227</v>
      </c>
      <c r="I1" s="295" t="s">
        <v>6226</v>
      </c>
      <c r="J1" s="295" t="s">
        <v>6225</v>
      </c>
      <c r="K1" s="295" t="s">
        <v>6224</v>
      </c>
      <c r="L1" s="295" t="s">
        <v>6223</v>
      </c>
      <c r="M1" s="295" t="s">
        <v>6222</v>
      </c>
      <c r="N1" s="295" t="s">
        <v>6221</v>
      </c>
      <c r="O1" s="295" t="s">
        <v>6220</v>
      </c>
      <c r="P1" s="295" t="s">
        <v>6219</v>
      </c>
      <c r="Q1" s="295" t="s">
        <v>6218</v>
      </c>
      <c r="R1" s="295" t="s">
        <v>6217</v>
      </c>
      <c r="S1" s="295" t="s">
        <v>6216</v>
      </c>
      <c r="T1" s="295" t="s">
        <v>6215</v>
      </c>
      <c r="U1" s="295" t="s">
        <v>6214</v>
      </c>
      <c r="V1" s="295" t="s">
        <v>6213</v>
      </c>
      <c r="W1" s="295" t="s">
        <v>6212</v>
      </c>
      <c r="X1" s="295" t="s">
        <v>6211</v>
      </c>
      <c r="Y1" s="295" t="s">
        <v>6210</v>
      </c>
      <c r="Z1" s="295" t="s">
        <v>6209</v>
      </c>
      <c r="AA1" s="295" t="s">
        <v>6208</v>
      </c>
      <c r="AB1" s="295" t="s">
        <v>6207</v>
      </c>
      <c r="AC1" s="295" t="s">
        <v>6206</v>
      </c>
      <c r="AD1" s="295" t="s">
        <v>164</v>
      </c>
      <c r="AE1" s="295" t="s">
        <v>6205</v>
      </c>
      <c r="AF1" s="295" t="s">
        <v>6204</v>
      </c>
      <c r="AG1" s="295" t="s">
        <v>6203</v>
      </c>
      <c r="AH1" s="295" t="s">
        <v>6202</v>
      </c>
      <c r="AI1" s="295" t="s">
        <v>160</v>
      </c>
      <c r="AJ1" s="295" t="s">
        <v>6372</v>
      </c>
    </row>
    <row r="2" spans="1:36">
      <c r="A2" s="295">
        <v>10155</v>
      </c>
      <c r="B2" s="295" t="s">
        <v>6042</v>
      </c>
      <c r="C2" s="295" t="b">
        <v>0</v>
      </c>
      <c r="D2" s="295">
        <v>840</v>
      </c>
      <c r="E2" s="295">
        <v>8</v>
      </c>
      <c r="G2" s="295">
        <v>11</v>
      </c>
      <c r="H2" s="295" t="s">
        <v>6040</v>
      </c>
      <c r="I2" s="295">
        <v>0.10000000149011599</v>
      </c>
      <c r="J2" s="295" t="b">
        <v>0</v>
      </c>
      <c r="K2" s="295">
        <v>840</v>
      </c>
      <c r="L2" s="295" t="s">
        <v>6041</v>
      </c>
      <c r="N2" s="295">
        <v>11</v>
      </c>
      <c r="O2" s="295" t="s">
        <v>6040</v>
      </c>
      <c r="P2" s="295">
        <v>8.5000000894069699E-2</v>
      </c>
      <c r="Q2" s="295" t="b">
        <v>0</v>
      </c>
      <c r="R2" s="295">
        <v>1184</v>
      </c>
      <c r="T2" s="295">
        <v>11</v>
      </c>
      <c r="U2" s="295" t="s">
        <v>6040</v>
      </c>
      <c r="V2" s="295">
        <v>9.00000035762787E-2</v>
      </c>
      <c r="W2" s="295">
        <v>14</v>
      </c>
      <c r="X2" s="295">
        <v>54</v>
      </c>
      <c r="Y2" s="295" t="s">
        <v>6048</v>
      </c>
      <c r="Z2" s="295" t="b">
        <v>1</v>
      </c>
      <c r="AA2" s="295">
        <v>35</v>
      </c>
      <c r="AB2" s="295">
        <v>0.75</v>
      </c>
      <c r="AC2" s="295">
        <v>0.55000001192092896</v>
      </c>
      <c r="AD2" s="295">
        <v>0.59117650985717796</v>
      </c>
      <c r="AG2" s="295">
        <v>40</v>
      </c>
      <c r="AH2" s="295">
        <v>0.40000000596046398</v>
      </c>
      <c r="AJ2" s="295">
        <f>VLOOKUP(A2,'RBSA Weights'!$A$2:$N$322,8,FALSE)</f>
        <v>421.61788940429699</v>
      </c>
    </row>
    <row r="3" spans="1:36">
      <c r="A3" s="295">
        <v>10199</v>
      </c>
      <c r="B3" s="295" t="s">
        <v>6052</v>
      </c>
      <c r="C3" s="295" t="b">
        <v>0</v>
      </c>
      <c r="D3" s="295">
        <v>864</v>
      </c>
      <c r="E3" s="295">
        <v>8</v>
      </c>
      <c r="G3" s="295">
        <v>38</v>
      </c>
      <c r="H3" s="295" t="s">
        <v>162</v>
      </c>
      <c r="I3" s="295">
        <v>3.5000000149011598E-2</v>
      </c>
      <c r="J3" s="295" t="b">
        <v>1</v>
      </c>
      <c r="K3" s="295">
        <v>864</v>
      </c>
      <c r="L3" s="295" t="s">
        <v>6050</v>
      </c>
      <c r="M3" s="295" t="s">
        <v>156</v>
      </c>
      <c r="N3" s="295">
        <v>11</v>
      </c>
      <c r="O3" s="295" t="s">
        <v>6040</v>
      </c>
      <c r="P3" s="295">
        <v>0.108999997377396</v>
      </c>
      <c r="Q3" s="295" t="b">
        <v>0</v>
      </c>
      <c r="R3" s="295">
        <v>960</v>
      </c>
      <c r="T3" s="295">
        <v>21</v>
      </c>
      <c r="U3" s="295" t="s">
        <v>6051</v>
      </c>
      <c r="V3" s="295">
        <v>5.6000001728534698E-2</v>
      </c>
      <c r="W3" s="295">
        <v>127</v>
      </c>
      <c r="Y3" s="295" t="s">
        <v>6048</v>
      </c>
      <c r="Z3" s="295" t="b">
        <v>1</v>
      </c>
      <c r="AA3" s="295">
        <v>37</v>
      </c>
      <c r="AB3" s="295">
        <v>0.37999999523162797</v>
      </c>
      <c r="AC3" s="295">
        <v>0.55000001192092896</v>
      </c>
      <c r="AD3" s="295">
        <v>0.37999999523162797</v>
      </c>
      <c r="AG3" s="295">
        <v>40</v>
      </c>
      <c r="AH3" s="295">
        <v>0.40000000596046398</v>
      </c>
      <c r="AI3" s="295" t="s">
        <v>6201</v>
      </c>
      <c r="AJ3" s="295">
        <f>VLOOKUP(A3,'RBSA Weights'!$A$2:$N$322,8,FALSE)</f>
        <v>236.30047607421901</v>
      </c>
    </row>
    <row r="4" spans="1:36">
      <c r="A4" s="295">
        <v>10257</v>
      </c>
      <c r="B4" s="295" t="s">
        <v>6042</v>
      </c>
      <c r="C4" s="295" t="b">
        <v>0</v>
      </c>
      <c r="D4" s="295">
        <v>929</v>
      </c>
      <c r="E4" s="295">
        <v>8</v>
      </c>
      <c r="G4" s="295">
        <v>11</v>
      </c>
      <c r="H4" s="295" t="s">
        <v>6040</v>
      </c>
      <c r="I4" s="295">
        <v>0.10000000149011599</v>
      </c>
      <c r="J4" s="295" t="b">
        <v>0</v>
      </c>
      <c r="K4" s="295">
        <v>929</v>
      </c>
      <c r="L4" s="295" t="s">
        <v>6045</v>
      </c>
      <c r="N4" s="295">
        <v>11</v>
      </c>
      <c r="O4" s="295" t="s">
        <v>6040</v>
      </c>
      <c r="P4" s="295">
        <v>6.7000001668930095E-2</v>
      </c>
      <c r="Q4" s="295" t="b">
        <v>1</v>
      </c>
      <c r="R4" s="295">
        <v>1360</v>
      </c>
      <c r="S4" s="295" t="s">
        <v>156</v>
      </c>
      <c r="T4" s="295">
        <v>11</v>
      </c>
      <c r="U4" s="295" t="s">
        <v>6040</v>
      </c>
      <c r="V4" s="295">
        <v>9.00000035762787E-2</v>
      </c>
      <c r="W4" s="295">
        <v>216</v>
      </c>
      <c r="Y4" s="295" t="s">
        <v>6048</v>
      </c>
      <c r="Z4" s="295" t="b">
        <v>1</v>
      </c>
      <c r="AA4" s="295">
        <v>44</v>
      </c>
      <c r="AB4" s="295">
        <v>0.75</v>
      </c>
      <c r="AC4" s="295">
        <v>0.55000001192092896</v>
      </c>
      <c r="AD4" s="295">
        <v>0.75</v>
      </c>
      <c r="AG4" s="295">
        <v>40</v>
      </c>
      <c r="AH4" s="295">
        <v>0.40000000596046398</v>
      </c>
      <c r="AI4" s="295" t="s">
        <v>6200</v>
      </c>
      <c r="AJ4" s="295">
        <f>VLOOKUP(A4,'RBSA Weights'!$A$2:$N$322,8,FALSE)</f>
        <v>236.30047607421901</v>
      </c>
    </row>
    <row r="5" spans="1:36">
      <c r="A5" s="295">
        <v>10339</v>
      </c>
      <c r="B5" s="295" t="s">
        <v>6056</v>
      </c>
      <c r="C5" s="295" t="b">
        <v>0</v>
      </c>
      <c r="D5" s="295">
        <v>910</v>
      </c>
      <c r="E5" s="295">
        <v>8</v>
      </c>
      <c r="G5" s="295">
        <v>7</v>
      </c>
      <c r="H5" s="295" t="s">
        <v>6055</v>
      </c>
      <c r="I5" s="295">
        <v>0.129999995231628</v>
      </c>
      <c r="J5" s="295" t="b">
        <v>0</v>
      </c>
      <c r="K5" s="295">
        <v>910</v>
      </c>
      <c r="L5" s="295" t="s">
        <v>6041</v>
      </c>
      <c r="N5" s="295">
        <v>7</v>
      </c>
      <c r="O5" s="295" t="s">
        <v>6055</v>
      </c>
      <c r="P5" s="295">
        <v>9.4999998807907104E-2</v>
      </c>
      <c r="Q5" s="295" t="b">
        <v>0</v>
      </c>
      <c r="R5" s="295">
        <v>1264</v>
      </c>
      <c r="T5" s="295">
        <v>7</v>
      </c>
      <c r="U5" s="295" t="s">
        <v>6055</v>
      </c>
      <c r="V5" s="295">
        <v>0.119999997317791</v>
      </c>
      <c r="W5" s="295">
        <v>68</v>
      </c>
      <c r="Y5" s="295" t="s">
        <v>6088</v>
      </c>
      <c r="Z5" s="295" t="b">
        <v>1</v>
      </c>
      <c r="AA5" s="295">
        <v>50</v>
      </c>
      <c r="AB5" s="295">
        <v>1.25</v>
      </c>
      <c r="AC5" s="295">
        <v>0.34999999403953602</v>
      </c>
      <c r="AD5" s="295">
        <v>1.25</v>
      </c>
      <c r="AG5" s="295">
        <v>40</v>
      </c>
      <c r="AH5" s="295">
        <v>0.40000000596046398</v>
      </c>
      <c r="AJ5" s="295">
        <f>VLOOKUP(A5,'RBSA Weights'!$A$2:$N$322,8,FALSE)</f>
        <v>236.30047607421901</v>
      </c>
    </row>
    <row r="6" spans="1:36">
      <c r="A6" s="295">
        <v>10417</v>
      </c>
      <c r="B6" s="295" t="s">
        <v>6053</v>
      </c>
      <c r="C6" s="295" t="b">
        <v>0</v>
      </c>
      <c r="D6" s="295">
        <v>1404</v>
      </c>
      <c r="E6" s="295">
        <v>8</v>
      </c>
      <c r="G6" s="295">
        <v>22</v>
      </c>
      <c r="H6" s="295" t="s">
        <v>6046</v>
      </c>
      <c r="I6" s="295">
        <v>5.2000001072883599E-2</v>
      </c>
      <c r="J6" s="295" t="b">
        <v>0</v>
      </c>
      <c r="K6" s="295">
        <v>1404</v>
      </c>
      <c r="L6" s="295" t="s">
        <v>6045</v>
      </c>
      <c r="N6" s="295">
        <v>22</v>
      </c>
      <c r="O6" s="295" t="s">
        <v>6046</v>
      </c>
      <c r="P6" s="295">
        <v>5.0999999046325697E-2</v>
      </c>
      <c r="Q6" s="295" t="b">
        <v>0</v>
      </c>
      <c r="R6" s="295">
        <v>1264</v>
      </c>
      <c r="T6" s="295">
        <v>11</v>
      </c>
      <c r="U6" s="295" t="s">
        <v>6040</v>
      </c>
      <c r="V6" s="295">
        <v>9.00000035762787E-2</v>
      </c>
      <c r="X6" s="295">
        <v>104</v>
      </c>
      <c r="Y6" s="295" t="s">
        <v>6048</v>
      </c>
      <c r="Z6" s="295" t="b">
        <v>1</v>
      </c>
      <c r="AA6" s="295">
        <v>10</v>
      </c>
      <c r="AB6" s="295">
        <v>0.479999989271164</v>
      </c>
      <c r="AC6" s="295">
        <v>0.55000001192092896</v>
      </c>
      <c r="AD6" s="295">
        <v>0.55000001192092896</v>
      </c>
      <c r="AG6" s="295">
        <v>40</v>
      </c>
      <c r="AH6" s="295">
        <v>0.40000000596046398</v>
      </c>
      <c r="AI6" s="295" t="s">
        <v>6199</v>
      </c>
      <c r="AJ6" s="295">
        <f>VLOOKUP(A6,'RBSA Weights'!$A$2:$N$322,8,FALSE)</f>
        <v>421.61788940429699</v>
      </c>
    </row>
    <row r="7" spans="1:36">
      <c r="A7" s="295">
        <v>10732</v>
      </c>
      <c r="B7" s="295" t="s">
        <v>6056</v>
      </c>
      <c r="C7" s="295" t="b">
        <v>0</v>
      </c>
      <c r="D7" s="295">
        <v>1200</v>
      </c>
      <c r="E7" s="295">
        <v>8</v>
      </c>
      <c r="G7" s="295">
        <v>7</v>
      </c>
      <c r="H7" s="295" t="s">
        <v>6055</v>
      </c>
      <c r="I7" s="295">
        <v>0.129999995231628</v>
      </c>
      <c r="J7" s="295" t="b">
        <v>1</v>
      </c>
      <c r="K7" s="295">
        <v>1200</v>
      </c>
      <c r="L7" s="295" t="s">
        <v>6041</v>
      </c>
      <c r="M7" s="295" t="s">
        <v>157</v>
      </c>
      <c r="N7" s="295">
        <v>19</v>
      </c>
      <c r="O7" s="295" t="s">
        <v>6051</v>
      </c>
      <c r="P7" s="295">
        <v>7.5999997556209606E-2</v>
      </c>
      <c r="Q7" s="295" t="b">
        <v>0</v>
      </c>
      <c r="R7" s="295">
        <v>1184</v>
      </c>
      <c r="T7" s="295">
        <v>7</v>
      </c>
      <c r="U7" s="295" t="s">
        <v>6055</v>
      </c>
      <c r="V7" s="295">
        <v>0.119999997317791</v>
      </c>
      <c r="W7" s="295">
        <v>36</v>
      </c>
      <c r="X7" s="295">
        <v>110</v>
      </c>
      <c r="Y7" s="295" t="s">
        <v>6048</v>
      </c>
      <c r="Z7" s="295" t="b">
        <v>1</v>
      </c>
      <c r="AA7" s="295">
        <v>20</v>
      </c>
      <c r="AB7" s="295">
        <v>1.25</v>
      </c>
      <c r="AC7" s="295">
        <v>0.55000001192092896</v>
      </c>
      <c r="AD7" s="295">
        <v>0.72260272502899203</v>
      </c>
      <c r="AG7" s="295">
        <v>40</v>
      </c>
      <c r="AH7" s="295">
        <v>0.40000000596046398</v>
      </c>
      <c r="AJ7" s="295">
        <f>VLOOKUP(A7,'RBSA Weights'!$A$2:$N$322,8,FALSE)</f>
        <v>421.61788940429699</v>
      </c>
    </row>
    <row r="8" spans="1:36">
      <c r="A8" s="295">
        <v>10768</v>
      </c>
      <c r="B8" s="295" t="s">
        <v>6042</v>
      </c>
      <c r="C8" s="295" t="b">
        <v>0</v>
      </c>
      <c r="D8" s="295">
        <v>1848</v>
      </c>
      <c r="E8" s="295">
        <v>9</v>
      </c>
      <c r="G8" s="295">
        <v>11</v>
      </c>
      <c r="H8" s="295" t="s">
        <v>6040</v>
      </c>
      <c r="I8" s="295">
        <v>0.10000000149011599</v>
      </c>
      <c r="J8" s="295" t="b">
        <v>0</v>
      </c>
      <c r="K8" s="295">
        <v>1848</v>
      </c>
      <c r="L8" s="295" t="s">
        <v>6091</v>
      </c>
      <c r="N8" s="295">
        <v>7</v>
      </c>
      <c r="O8" s="295" t="s">
        <v>6055</v>
      </c>
      <c r="P8" s="295">
        <v>0.196999996900558</v>
      </c>
      <c r="Q8" s="295" t="b">
        <v>0</v>
      </c>
      <c r="R8" s="295">
        <v>1504</v>
      </c>
      <c r="T8" s="295">
        <v>11</v>
      </c>
      <c r="U8" s="295" t="s">
        <v>6040</v>
      </c>
      <c r="V8" s="295">
        <v>9.00000035762787E-2</v>
      </c>
      <c r="W8" s="295">
        <v>121</v>
      </c>
      <c r="Z8" s="295" t="b">
        <v>0</v>
      </c>
      <c r="AA8" s="295">
        <v>33</v>
      </c>
      <c r="AB8" s="295">
        <v>0.75</v>
      </c>
      <c r="AC8" s="295">
        <v>0.69999998807907104</v>
      </c>
      <c r="AD8" s="295">
        <v>0.75</v>
      </c>
      <c r="AG8" s="295">
        <v>40</v>
      </c>
      <c r="AH8" s="295">
        <v>0.40000000596046398</v>
      </c>
      <c r="AJ8" s="295">
        <f>VLOOKUP(A8,'RBSA Weights'!$A$2:$N$322,8,FALSE)</f>
        <v>2319.07739257813</v>
      </c>
    </row>
    <row r="9" spans="1:36">
      <c r="A9" s="295">
        <v>10820</v>
      </c>
      <c r="B9" s="295" t="s">
        <v>6042</v>
      </c>
      <c r="C9" s="295" t="b">
        <v>0</v>
      </c>
      <c r="D9" s="295">
        <v>1970</v>
      </c>
      <c r="E9" s="295">
        <v>8</v>
      </c>
      <c r="G9" s="295">
        <v>11</v>
      </c>
      <c r="H9" s="295" t="s">
        <v>6040</v>
      </c>
      <c r="I9" s="295">
        <v>0.10000000149011599</v>
      </c>
      <c r="J9" s="295" t="b">
        <v>0</v>
      </c>
      <c r="K9" s="295">
        <v>1792</v>
      </c>
      <c r="L9" s="295" t="s">
        <v>6041</v>
      </c>
      <c r="N9" s="295">
        <v>11</v>
      </c>
      <c r="O9" s="295" t="s">
        <v>6040</v>
      </c>
      <c r="P9" s="295">
        <v>8.5000000894069699E-2</v>
      </c>
      <c r="Q9" s="295" t="b">
        <v>0</v>
      </c>
      <c r="R9" s="295">
        <v>2736</v>
      </c>
      <c r="T9" s="295">
        <v>11</v>
      </c>
      <c r="U9" s="295" t="s">
        <v>6040</v>
      </c>
      <c r="V9" s="295">
        <v>9.00000035762787E-2</v>
      </c>
      <c r="X9" s="295">
        <v>197</v>
      </c>
      <c r="Y9" s="295" t="s">
        <v>6048</v>
      </c>
      <c r="Z9" s="295" t="b">
        <v>1</v>
      </c>
      <c r="AA9" s="295">
        <v>10</v>
      </c>
      <c r="AB9" s="295">
        <v>0.75</v>
      </c>
      <c r="AC9" s="295">
        <v>0.55000001192092896</v>
      </c>
      <c r="AD9" s="295">
        <v>0.55000001192092896</v>
      </c>
      <c r="AG9" s="295">
        <v>40</v>
      </c>
      <c r="AH9" s="295">
        <v>0.40000000596046398</v>
      </c>
      <c r="AI9" s="295" t="s">
        <v>6198</v>
      </c>
      <c r="AJ9" s="295">
        <f>VLOOKUP(A9,'RBSA Weights'!$A$2:$N$322,8,FALSE)</f>
        <v>421.61788940429699</v>
      </c>
    </row>
    <row r="10" spans="1:36">
      <c r="A10" s="295">
        <v>11174</v>
      </c>
      <c r="B10" s="295" t="s">
        <v>6056</v>
      </c>
      <c r="C10" s="295" t="b">
        <v>0</v>
      </c>
      <c r="D10" s="295">
        <v>900</v>
      </c>
      <c r="E10" s="295">
        <v>7</v>
      </c>
      <c r="G10" s="295">
        <v>7</v>
      </c>
      <c r="H10" s="295" t="s">
        <v>6055</v>
      </c>
      <c r="I10" s="295">
        <v>0.129999995231628</v>
      </c>
      <c r="J10" s="295" t="b">
        <v>1</v>
      </c>
      <c r="K10" s="295">
        <v>900</v>
      </c>
      <c r="L10" s="295" t="s">
        <v>6045</v>
      </c>
      <c r="M10" s="295" t="s">
        <v>157</v>
      </c>
      <c r="N10" s="295">
        <v>19</v>
      </c>
      <c r="O10" s="295" t="s">
        <v>6051</v>
      </c>
      <c r="P10" s="295">
        <v>5.6000001728534698E-2</v>
      </c>
      <c r="Q10" s="295" t="b">
        <v>0</v>
      </c>
      <c r="R10" s="295">
        <v>1092</v>
      </c>
      <c r="T10" s="295">
        <v>7</v>
      </c>
      <c r="U10" s="295" t="s">
        <v>6055</v>
      </c>
      <c r="V10" s="295">
        <v>0.119999997317791</v>
      </c>
      <c r="W10" s="295">
        <v>125</v>
      </c>
      <c r="X10" s="295">
        <v>8</v>
      </c>
      <c r="Y10" s="295" t="s">
        <v>6048</v>
      </c>
      <c r="Z10" s="295" t="b">
        <v>1</v>
      </c>
      <c r="AA10" s="295">
        <v>40</v>
      </c>
      <c r="AB10" s="295">
        <v>1.25</v>
      </c>
      <c r="AC10" s="295">
        <v>0.55000001192092896</v>
      </c>
      <c r="AD10" s="295">
        <v>1.2078946828842201</v>
      </c>
      <c r="AG10" s="295">
        <v>40</v>
      </c>
      <c r="AH10" s="295">
        <v>0.40000000596046398</v>
      </c>
      <c r="AJ10" s="295">
        <f>VLOOKUP(A10,'RBSA Weights'!$A$2:$N$322,8,FALSE)</f>
        <v>236.30047607421901</v>
      </c>
    </row>
    <row r="11" spans="1:36">
      <c r="A11" s="295">
        <v>11314</v>
      </c>
      <c r="B11" s="295" t="s">
        <v>6042</v>
      </c>
      <c r="C11" s="295" t="b">
        <v>1</v>
      </c>
      <c r="D11" s="295">
        <v>1792</v>
      </c>
      <c r="E11" s="295">
        <v>8</v>
      </c>
      <c r="F11" s="295" t="s">
        <v>158</v>
      </c>
      <c r="G11" s="295">
        <v>30</v>
      </c>
      <c r="H11" s="295" t="s">
        <v>6046</v>
      </c>
      <c r="I11" s="295">
        <v>4.39999997615814E-2</v>
      </c>
      <c r="J11" s="295" t="b">
        <v>0</v>
      </c>
      <c r="K11" s="295">
        <v>1792</v>
      </c>
      <c r="L11" s="295" t="s">
        <v>6041</v>
      </c>
      <c r="N11" s="295">
        <v>11</v>
      </c>
      <c r="O11" s="295" t="s">
        <v>6040</v>
      </c>
      <c r="P11" s="295">
        <v>8.5000000894069699E-2</v>
      </c>
      <c r="Q11" s="295" t="b">
        <v>0</v>
      </c>
      <c r="R11" s="295">
        <v>1472</v>
      </c>
      <c r="T11" s="295">
        <v>11</v>
      </c>
      <c r="U11" s="295" t="s">
        <v>6040</v>
      </c>
      <c r="V11" s="295">
        <v>9.00000035762787E-2</v>
      </c>
      <c r="W11" s="295">
        <v>8</v>
      </c>
      <c r="X11" s="295">
        <v>228</v>
      </c>
      <c r="Y11" s="295" t="s">
        <v>6048</v>
      </c>
      <c r="Z11" s="295" t="b">
        <v>1</v>
      </c>
      <c r="AA11" s="295">
        <v>40</v>
      </c>
      <c r="AB11" s="295">
        <v>0.75</v>
      </c>
      <c r="AC11" s="295">
        <v>0.55000001192092896</v>
      </c>
      <c r="AD11" s="295">
        <v>0.55677962303161599</v>
      </c>
      <c r="AG11" s="295">
        <v>40</v>
      </c>
      <c r="AH11" s="295">
        <v>0.40000000596046398</v>
      </c>
      <c r="AJ11" s="295">
        <f>VLOOKUP(A11,'RBSA Weights'!$A$2:$N$322,8,FALSE)</f>
        <v>421.61788940429699</v>
      </c>
    </row>
    <row r="12" spans="1:36">
      <c r="A12" s="295">
        <v>11328</v>
      </c>
      <c r="B12" s="295" t="s">
        <v>6052</v>
      </c>
      <c r="C12" s="295" t="b">
        <v>0</v>
      </c>
      <c r="D12" s="295">
        <v>1248</v>
      </c>
      <c r="E12" s="295">
        <v>9</v>
      </c>
      <c r="G12" s="295">
        <v>38</v>
      </c>
      <c r="H12" s="295" t="s">
        <v>162</v>
      </c>
      <c r="I12" s="295">
        <v>3.5000000149011598E-2</v>
      </c>
      <c r="J12" s="295" t="b">
        <v>0</v>
      </c>
      <c r="K12" s="295">
        <v>1248</v>
      </c>
      <c r="L12" s="295" t="s">
        <v>6050</v>
      </c>
      <c r="N12" s="295">
        <v>33</v>
      </c>
      <c r="O12" s="295" t="s">
        <v>162</v>
      </c>
      <c r="P12" s="295">
        <v>8.6000002920627594E-2</v>
      </c>
      <c r="Q12" s="295" t="b">
        <v>0</v>
      </c>
      <c r="R12" s="295">
        <v>1332</v>
      </c>
      <c r="T12" s="295">
        <v>21</v>
      </c>
      <c r="U12" s="295" t="s">
        <v>6051</v>
      </c>
      <c r="V12" s="295">
        <v>5.6000001728534698E-2</v>
      </c>
      <c r="W12" s="295">
        <v>191</v>
      </c>
      <c r="Y12" s="295" t="s">
        <v>6048</v>
      </c>
      <c r="Z12" s="295" t="b">
        <v>1</v>
      </c>
      <c r="AA12" s="295">
        <v>33</v>
      </c>
      <c r="AB12" s="295">
        <v>0.37999999523162797</v>
      </c>
      <c r="AC12" s="295">
        <v>0.55000001192092896</v>
      </c>
      <c r="AD12" s="295">
        <v>0.37999999523162797</v>
      </c>
      <c r="AG12" s="295">
        <v>40</v>
      </c>
      <c r="AH12" s="295">
        <v>0.40000000596046398</v>
      </c>
      <c r="AI12" s="295" t="s">
        <v>6197</v>
      </c>
      <c r="AJ12" s="295">
        <f>VLOOKUP(A12,'RBSA Weights'!$A$2:$N$322,8,FALSE)</f>
        <v>236.30047607421901</v>
      </c>
    </row>
    <row r="13" spans="1:36">
      <c r="A13" s="295">
        <v>11390</v>
      </c>
      <c r="B13" s="295" t="s">
        <v>6052</v>
      </c>
      <c r="C13" s="295" t="b">
        <v>0</v>
      </c>
      <c r="D13" s="295">
        <v>1492</v>
      </c>
      <c r="E13" s="295">
        <v>8</v>
      </c>
      <c r="G13" s="295">
        <v>38</v>
      </c>
      <c r="H13" s="295" t="s">
        <v>162</v>
      </c>
      <c r="I13" s="295">
        <v>3.5000000149011598E-2</v>
      </c>
      <c r="J13" s="295" t="b">
        <v>0</v>
      </c>
      <c r="K13" s="295">
        <v>1492</v>
      </c>
      <c r="L13" s="295" t="s">
        <v>6045</v>
      </c>
      <c r="N13" s="295">
        <v>33</v>
      </c>
      <c r="O13" s="295" t="s">
        <v>162</v>
      </c>
      <c r="P13" s="295">
        <v>2.9999999329447701E-2</v>
      </c>
      <c r="Q13" s="295" t="b">
        <v>0</v>
      </c>
      <c r="R13" s="295">
        <v>1384</v>
      </c>
      <c r="T13" s="295">
        <v>21</v>
      </c>
      <c r="U13" s="295" t="s">
        <v>6051</v>
      </c>
      <c r="V13" s="295">
        <v>5.6000001728534698E-2</v>
      </c>
      <c r="W13" s="295">
        <v>233</v>
      </c>
      <c r="Y13" s="295" t="s">
        <v>6048</v>
      </c>
      <c r="Z13" s="295" t="b">
        <v>1</v>
      </c>
      <c r="AA13" s="295">
        <v>9</v>
      </c>
      <c r="AB13" s="295">
        <v>0.37999999523162797</v>
      </c>
      <c r="AC13" s="295">
        <v>0.55000001192092896</v>
      </c>
      <c r="AD13" s="295">
        <v>0.37999999523162797</v>
      </c>
      <c r="AE13" s="295">
        <v>8</v>
      </c>
      <c r="AF13" s="295">
        <v>0.60000002384185802</v>
      </c>
      <c r="AG13" s="295">
        <v>40</v>
      </c>
      <c r="AH13" s="295">
        <v>0.40000000596046398</v>
      </c>
      <c r="AJ13" s="295">
        <f>VLOOKUP(A13,'RBSA Weights'!$A$2:$N$322,8,FALSE)</f>
        <v>236.30047607421901</v>
      </c>
    </row>
    <row r="14" spans="1:36">
      <c r="A14" s="295">
        <v>11498</v>
      </c>
      <c r="B14" s="295" t="s">
        <v>6052</v>
      </c>
      <c r="C14" s="295" t="b">
        <v>0</v>
      </c>
      <c r="D14" s="295">
        <v>1552</v>
      </c>
      <c r="E14" s="295">
        <v>8.5</v>
      </c>
      <c r="G14" s="295">
        <v>38</v>
      </c>
      <c r="H14" s="295" t="s">
        <v>162</v>
      </c>
      <c r="I14" s="295">
        <v>3.5000000149011598E-2</v>
      </c>
      <c r="J14" s="295" t="b">
        <v>0</v>
      </c>
      <c r="K14" s="295">
        <v>1552</v>
      </c>
      <c r="L14" s="295" t="s">
        <v>6041</v>
      </c>
      <c r="N14" s="295">
        <v>33</v>
      </c>
      <c r="O14" s="295" t="s">
        <v>162</v>
      </c>
      <c r="P14" s="295">
        <v>5.4000001400709201E-2</v>
      </c>
      <c r="Q14" s="295" t="b">
        <v>0</v>
      </c>
      <c r="R14" s="295">
        <v>1405</v>
      </c>
      <c r="T14" s="295">
        <v>21</v>
      </c>
      <c r="U14" s="295" t="s">
        <v>6051</v>
      </c>
      <c r="V14" s="295">
        <v>5.6000001728534698E-2</v>
      </c>
      <c r="W14" s="295">
        <v>142</v>
      </c>
      <c r="Y14" s="295" t="s">
        <v>6088</v>
      </c>
      <c r="Z14" s="295" t="b">
        <v>1</v>
      </c>
      <c r="AA14" s="295">
        <v>5</v>
      </c>
      <c r="AB14" s="295">
        <v>0.37999999523162797</v>
      </c>
      <c r="AC14" s="295">
        <v>0.34999999403953602</v>
      </c>
      <c r="AD14" s="295">
        <v>0.37999999523162797</v>
      </c>
      <c r="AE14" s="295">
        <v>6</v>
      </c>
      <c r="AF14" s="295">
        <v>0.60000002384185802</v>
      </c>
      <c r="AG14" s="295">
        <v>40</v>
      </c>
      <c r="AH14" s="295">
        <v>0.40000000596046398</v>
      </c>
      <c r="AJ14" s="295">
        <f>VLOOKUP(A14,'RBSA Weights'!$A$2:$N$322,8,FALSE)</f>
        <v>236.30047607421901</v>
      </c>
    </row>
    <row r="15" spans="1:36">
      <c r="A15" s="295">
        <v>11518</v>
      </c>
      <c r="B15" s="295" t="s">
        <v>6058</v>
      </c>
      <c r="C15" s="295" t="b">
        <v>0</v>
      </c>
      <c r="D15" s="295">
        <v>2070</v>
      </c>
      <c r="E15" s="295">
        <v>9</v>
      </c>
      <c r="G15" s="295">
        <v>49</v>
      </c>
      <c r="H15" s="295" t="s">
        <v>6057</v>
      </c>
      <c r="I15" s="295">
        <v>2.60000005364418E-2</v>
      </c>
      <c r="J15" s="295" t="b">
        <v>0</v>
      </c>
      <c r="K15" s="295">
        <v>2070</v>
      </c>
      <c r="L15" s="295" t="s">
        <v>6045</v>
      </c>
      <c r="N15" s="295">
        <v>33</v>
      </c>
      <c r="O15" s="295" t="s">
        <v>162</v>
      </c>
      <c r="P15" s="295">
        <v>2.9999999329447701E-2</v>
      </c>
      <c r="Q15" s="295" t="b">
        <v>0</v>
      </c>
      <c r="R15" s="295">
        <v>1818</v>
      </c>
      <c r="T15" s="295">
        <v>21</v>
      </c>
      <c r="U15" s="295" t="s">
        <v>6051</v>
      </c>
      <c r="V15" s="295">
        <v>5.6000001728534698E-2</v>
      </c>
      <c r="W15" s="295">
        <v>153</v>
      </c>
      <c r="X15" s="295">
        <v>32</v>
      </c>
      <c r="Y15" s="295" t="s">
        <v>6088</v>
      </c>
      <c r="Z15" s="295" t="b">
        <v>1</v>
      </c>
      <c r="AA15" s="295">
        <v>25</v>
      </c>
      <c r="AB15" s="295">
        <v>0.34999999403953602</v>
      </c>
      <c r="AC15" s="295">
        <v>0.34999999403953602</v>
      </c>
      <c r="AD15" s="295">
        <v>0.34999999403953602</v>
      </c>
      <c r="AE15" s="295">
        <v>28</v>
      </c>
      <c r="AF15" s="295">
        <v>0.60000002384185802</v>
      </c>
      <c r="AG15" s="295">
        <v>40</v>
      </c>
      <c r="AH15" s="295">
        <v>0.40000000596046398</v>
      </c>
      <c r="AJ15" s="295">
        <f>VLOOKUP(A15,'RBSA Weights'!$A$2:$N$322,8,FALSE)</f>
        <v>236.30047607421901</v>
      </c>
    </row>
    <row r="16" spans="1:36">
      <c r="A16" s="295">
        <v>11558</v>
      </c>
      <c r="B16" s="295" t="s">
        <v>6056</v>
      </c>
      <c r="C16" s="295" t="b">
        <v>0</v>
      </c>
      <c r="D16" s="295">
        <v>720</v>
      </c>
      <c r="E16" s="295">
        <v>7</v>
      </c>
      <c r="G16" s="295">
        <v>7</v>
      </c>
      <c r="H16" s="295" t="s">
        <v>6055</v>
      </c>
      <c r="I16" s="295">
        <v>0.129999995231628</v>
      </c>
      <c r="J16" s="295" t="b">
        <v>0</v>
      </c>
      <c r="K16" s="295">
        <v>720</v>
      </c>
      <c r="L16" s="295" t="s">
        <v>6060</v>
      </c>
      <c r="N16" s="295">
        <v>7</v>
      </c>
      <c r="O16" s="295" t="s">
        <v>6055</v>
      </c>
      <c r="P16" s="295">
        <v>0.14699999988079099</v>
      </c>
      <c r="Q16" s="295" t="b">
        <v>0</v>
      </c>
      <c r="R16" s="295">
        <v>1008</v>
      </c>
      <c r="T16" s="295">
        <v>7</v>
      </c>
      <c r="U16" s="295" t="s">
        <v>6055</v>
      </c>
      <c r="V16" s="295">
        <v>0.119999997317791</v>
      </c>
      <c r="W16" s="295">
        <v>218</v>
      </c>
      <c r="Z16" s="295" t="b">
        <v>0</v>
      </c>
      <c r="AA16" s="295">
        <v>10</v>
      </c>
      <c r="AB16" s="295">
        <v>1.25</v>
      </c>
      <c r="AD16" s="295">
        <v>1.25</v>
      </c>
      <c r="AG16" s="295">
        <v>40</v>
      </c>
      <c r="AH16" s="295">
        <v>0.40000000596046398</v>
      </c>
      <c r="AJ16" s="295">
        <f>VLOOKUP(A16,'RBSA Weights'!$A$2:$N$322,8,FALSE)</f>
        <v>421.61788940429699</v>
      </c>
    </row>
    <row r="17" spans="1:36">
      <c r="A17" s="295">
        <v>11612</v>
      </c>
      <c r="B17" s="295" t="s">
        <v>6052</v>
      </c>
      <c r="C17" s="295" t="b">
        <v>0</v>
      </c>
      <c r="D17" s="295">
        <v>1688</v>
      </c>
      <c r="E17" s="295">
        <v>9</v>
      </c>
      <c r="G17" s="295">
        <v>38</v>
      </c>
      <c r="H17" s="295" t="s">
        <v>162</v>
      </c>
      <c r="I17" s="295">
        <v>3.5000000149011598E-2</v>
      </c>
      <c r="J17" s="295" t="b">
        <v>0</v>
      </c>
      <c r="K17" s="295">
        <v>1848</v>
      </c>
      <c r="L17" s="295" t="s">
        <v>6045</v>
      </c>
      <c r="N17" s="295">
        <v>33</v>
      </c>
      <c r="O17" s="295" t="s">
        <v>162</v>
      </c>
      <c r="P17" s="295">
        <v>2.9999999329447701E-2</v>
      </c>
      <c r="Q17" s="295" t="b">
        <v>0</v>
      </c>
      <c r="R17" s="295">
        <v>1410</v>
      </c>
      <c r="T17" s="295">
        <v>21</v>
      </c>
      <c r="U17" s="295" t="s">
        <v>6051</v>
      </c>
      <c r="V17" s="295">
        <v>5.6000001728534698E-2</v>
      </c>
      <c r="W17" s="295">
        <v>211</v>
      </c>
      <c r="Z17" s="295" t="b">
        <v>0</v>
      </c>
      <c r="AA17" s="295">
        <v>30</v>
      </c>
      <c r="AB17" s="295">
        <v>0.37999999523162797</v>
      </c>
      <c r="AD17" s="295">
        <v>0.37999999523162797</v>
      </c>
      <c r="AE17" s="295">
        <v>24</v>
      </c>
      <c r="AF17" s="295">
        <v>0.60000002384185802</v>
      </c>
      <c r="AG17" s="295">
        <v>40</v>
      </c>
      <c r="AH17" s="295">
        <v>0.40000000596046398</v>
      </c>
      <c r="AJ17" s="295">
        <f>VLOOKUP(A17,'RBSA Weights'!$A$2:$N$322,8,FALSE)</f>
        <v>3065.64990234375</v>
      </c>
    </row>
    <row r="18" spans="1:36">
      <c r="A18" s="295">
        <v>11627</v>
      </c>
      <c r="B18" s="295" t="s">
        <v>6042</v>
      </c>
      <c r="C18" s="295" t="b">
        <v>0</v>
      </c>
      <c r="D18" s="295">
        <v>1106</v>
      </c>
      <c r="E18" s="295">
        <v>7.5</v>
      </c>
      <c r="G18" s="295">
        <v>11</v>
      </c>
      <c r="H18" s="295" t="s">
        <v>6040</v>
      </c>
      <c r="I18" s="295">
        <v>0.10000000149011599</v>
      </c>
      <c r="J18" s="295" t="b">
        <v>1</v>
      </c>
      <c r="K18" s="295">
        <v>1106</v>
      </c>
      <c r="L18" s="295" t="s">
        <v>6045</v>
      </c>
      <c r="M18" s="295" t="s">
        <v>157</v>
      </c>
      <c r="N18" s="295">
        <v>19</v>
      </c>
      <c r="O18" s="295" t="s">
        <v>6051</v>
      </c>
      <c r="P18" s="295">
        <v>5.6000001728534698E-2</v>
      </c>
      <c r="Q18" s="295" t="b">
        <v>1</v>
      </c>
      <c r="R18" s="295">
        <v>1396</v>
      </c>
      <c r="S18" s="295" t="s">
        <v>156</v>
      </c>
      <c r="T18" s="295">
        <v>11</v>
      </c>
      <c r="U18" s="295" t="s">
        <v>6040</v>
      </c>
      <c r="V18" s="295">
        <v>9.00000035762787E-2</v>
      </c>
      <c r="W18" s="295">
        <v>108</v>
      </c>
      <c r="X18" s="295">
        <v>72</v>
      </c>
      <c r="Y18" s="295" t="s">
        <v>6048</v>
      </c>
      <c r="Z18" s="295" t="b">
        <v>1</v>
      </c>
      <c r="AA18" s="295">
        <v>10</v>
      </c>
      <c r="AB18" s="295">
        <v>0.75</v>
      </c>
      <c r="AC18" s="295">
        <v>0.55000001192092896</v>
      </c>
      <c r="AD18" s="295">
        <v>0.67000001668930098</v>
      </c>
      <c r="AG18" s="295">
        <v>40</v>
      </c>
      <c r="AH18" s="295">
        <v>0.40000000596046398</v>
      </c>
      <c r="AJ18" s="295">
        <f>VLOOKUP(A18,'RBSA Weights'!$A$2:$N$322,8,FALSE)</f>
        <v>236.30047607421901</v>
      </c>
    </row>
    <row r="19" spans="1:36">
      <c r="A19" s="295">
        <v>11671</v>
      </c>
      <c r="B19" s="295" t="s">
        <v>6056</v>
      </c>
      <c r="C19" s="295" t="b">
        <v>0</v>
      </c>
      <c r="D19" s="295">
        <v>1440</v>
      </c>
      <c r="E19" s="295">
        <v>8</v>
      </c>
      <c r="G19" s="295">
        <v>7</v>
      </c>
      <c r="H19" s="295" t="s">
        <v>6055</v>
      </c>
      <c r="I19" s="295">
        <v>0.129999995231628</v>
      </c>
      <c r="J19" s="295" t="b">
        <v>0</v>
      </c>
      <c r="K19" s="295">
        <v>1440</v>
      </c>
      <c r="L19" s="295" t="s">
        <v>6045</v>
      </c>
      <c r="N19" s="295">
        <v>7</v>
      </c>
      <c r="O19" s="295" t="s">
        <v>6055</v>
      </c>
      <c r="P19" s="295">
        <v>9.3000002205371898E-2</v>
      </c>
      <c r="Q19" s="295" t="b">
        <v>1</v>
      </c>
      <c r="R19" s="295">
        <v>1344</v>
      </c>
      <c r="S19" s="295" t="s">
        <v>156</v>
      </c>
      <c r="T19" s="295">
        <v>11</v>
      </c>
      <c r="U19" s="295" t="s">
        <v>6040</v>
      </c>
      <c r="V19" s="295">
        <v>9.00000035762787E-2</v>
      </c>
      <c r="W19" s="295">
        <v>212</v>
      </c>
      <c r="Z19" s="295" t="b">
        <v>0</v>
      </c>
      <c r="AA19" s="295">
        <v>30</v>
      </c>
      <c r="AB19" s="295">
        <v>1.25</v>
      </c>
      <c r="AC19" s="295">
        <v>0.69999998807907104</v>
      </c>
      <c r="AD19" s="295">
        <v>1.25</v>
      </c>
      <c r="AG19" s="295">
        <v>40</v>
      </c>
      <c r="AH19" s="295">
        <v>0.40000000596046398</v>
      </c>
      <c r="AJ19" s="295">
        <f>VLOOKUP(A19,'RBSA Weights'!$A$2:$N$322,8,FALSE)</f>
        <v>3065.64990234375</v>
      </c>
    </row>
    <row r="20" spans="1:36">
      <c r="A20" s="295">
        <v>11854</v>
      </c>
      <c r="B20" s="295" t="s">
        <v>6042</v>
      </c>
      <c r="C20" s="295" t="b">
        <v>0</v>
      </c>
      <c r="D20" s="295">
        <v>776</v>
      </c>
      <c r="E20" s="295">
        <v>8</v>
      </c>
      <c r="G20" s="295">
        <v>11</v>
      </c>
      <c r="H20" s="295" t="s">
        <v>6040</v>
      </c>
      <c r="I20" s="295">
        <v>0.10000000149011599</v>
      </c>
      <c r="J20" s="295" t="b">
        <v>0</v>
      </c>
      <c r="K20" s="295">
        <v>776</v>
      </c>
      <c r="L20" s="295" t="s">
        <v>6041</v>
      </c>
      <c r="N20" s="295">
        <v>11</v>
      </c>
      <c r="O20" s="295" t="s">
        <v>6040</v>
      </c>
      <c r="P20" s="295">
        <v>8.5000000894069699E-2</v>
      </c>
      <c r="Q20" s="295" t="b">
        <v>0</v>
      </c>
      <c r="R20" s="295">
        <v>690</v>
      </c>
      <c r="T20" s="295">
        <v>11</v>
      </c>
      <c r="U20" s="295" t="s">
        <v>6040</v>
      </c>
      <c r="V20" s="295">
        <v>9.00000035762787E-2</v>
      </c>
      <c r="W20" s="295">
        <v>239</v>
      </c>
      <c r="Z20" s="295" t="b">
        <v>0</v>
      </c>
      <c r="AA20" s="295">
        <v>5</v>
      </c>
      <c r="AB20" s="295">
        <v>0.75</v>
      </c>
      <c r="AC20" s="295">
        <v>0.55000001192092896</v>
      </c>
      <c r="AD20" s="295">
        <v>0.75</v>
      </c>
      <c r="AE20" s="295">
        <v>8</v>
      </c>
      <c r="AF20" s="295">
        <v>0.60000002384185802</v>
      </c>
      <c r="AG20" s="295">
        <v>40</v>
      </c>
      <c r="AH20" s="295">
        <v>0.40000000596046398</v>
      </c>
      <c r="AJ20" s="295">
        <f>VLOOKUP(A20,'RBSA Weights'!$A$2:$N$322,8,FALSE)</f>
        <v>3065.64990234375</v>
      </c>
    </row>
    <row r="21" spans="1:36">
      <c r="A21" s="295">
        <v>11861</v>
      </c>
      <c r="B21" s="295" t="s">
        <v>6053</v>
      </c>
      <c r="C21" s="295" t="b">
        <v>0</v>
      </c>
      <c r="D21" s="295">
        <v>1809</v>
      </c>
      <c r="E21" s="295">
        <v>9</v>
      </c>
      <c r="G21" s="295">
        <v>22</v>
      </c>
      <c r="H21" s="295" t="s">
        <v>6046</v>
      </c>
      <c r="I21" s="295">
        <v>5.2000001072883599E-2</v>
      </c>
      <c r="J21" s="295" t="b">
        <v>0</v>
      </c>
      <c r="K21" s="295">
        <v>1809</v>
      </c>
      <c r="L21" s="295" t="s">
        <v>6045</v>
      </c>
      <c r="N21" s="295">
        <v>22</v>
      </c>
      <c r="O21" s="295" t="s">
        <v>6046</v>
      </c>
      <c r="P21" s="295">
        <v>5.0999999046325697E-2</v>
      </c>
      <c r="Q21" s="295" t="b">
        <v>0</v>
      </c>
      <c r="R21" s="295">
        <v>1692</v>
      </c>
      <c r="T21" s="295">
        <v>11</v>
      </c>
      <c r="U21" s="295" t="s">
        <v>6040</v>
      </c>
      <c r="V21" s="295">
        <v>9.00000035762787E-2</v>
      </c>
      <c r="W21" s="295">
        <v>219</v>
      </c>
      <c r="Z21" s="295" t="b">
        <v>0</v>
      </c>
      <c r="AA21" s="295">
        <v>46</v>
      </c>
      <c r="AB21" s="295">
        <v>0.479999989271164</v>
      </c>
      <c r="AD21" s="295">
        <v>0.479999989271164</v>
      </c>
      <c r="AE21" s="295">
        <v>20</v>
      </c>
      <c r="AF21" s="295">
        <v>0.60000002384185802</v>
      </c>
      <c r="AG21" s="295">
        <v>40</v>
      </c>
      <c r="AH21" s="295">
        <v>0.40000000596046398</v>
      </c>
      <c r="AI21" s="295" t="s">
        <v>175</v>
      </c>
      <c r="AJ21" s="295">
        <f>VLOOKUP(A21,'RBSA Weights'!$A$2:$N$322,8,FALSE)</f>
        <v>236.30047607421901</v>
      </c>
    </row>
    <row r="22" spans="1:36">
      <c r="A22" s="295">
        <v>11990</v>
      </c>
      <c r="B22" s="295" t="s">
        <v>6052</v>
      </c>
      <c r="C22" s="295" t="b">
        <v>0</v>
      </c>
      <c r="D22" s="295">
        <v>2060</v>
      </c>
      <c r="E22" s="295">
        <v>8</v>
      </c>
      <c r="G22" s="295">
        <v>38</v>
      </c>
      <c r="H22" s="295" t="s">
        <v>162</v>
      </c>
      <c r="I22" s="295">
        <v>3.5000000149011598E-2</v>
      </c>
      <c r="J22" s="295" t="b">
        <v>0</v>
      </c>
      <c r="K22" s="295">
        <v>2010</v>
      </c>
      <c r="L22" s="295" t="s">
        <v>6045</v>
      </c>
      <c r="N22" s="295">
        <v>33</v>
      </c>
      <c r="O22" s="295" t="s">
        <v>162</v>
      </c>
      <c r="P22" s="295">
        <v>2.9999999329447701E-2</v>
      </c>
      <c r="Q22" s="295" t="b">
        <v>0</v>
      </c>
      <c r="R22" s="295">
        <v>1536</v>
      </c>
      <c r="T22" s="295">
        <v>21</v>
      </c>
      <c r="U22" s="295" t="s">
        <v>6051</v>
      </c>
      <c r="V22" s="295">
        <v>5.6000001728534698E-2</v>
      </c>
      <c r="W22" s="295">
        <v>97</v>
      </c>
      <c r="X22" s="295">
        <v>100</v>
      </c>
      <c r="Y22" s="295" t="s">
        <v>6048</v>
      </c>
      <c r="Z22" s="295" t="b">
        <v>1</v>
      </c>
      <c r="AA22" s="295">
        <v>10</v>
      </c>
      <c r="AB22" s="295">
        <v>0.37999999523162797</v>
      </c>
      <c r="AC22" s="295">
        <v>0.55000001192092896</v>
      </c>
      <c r="AD22" s="295">
        <v>0.46629440784454301</v>
      </c>
      <c r="AE22" s="295">
        <v>26</v>
      </c>
      <c r="AF22" s="295">
        <v>0.60000002384185802</v>
      </c>
      <c r="AG22" s="295">
        <v>40</v>
      </c>
      <c r="AH22" s="295">
        <v>0.40000000596046398</v>
      </c>
      <c r="AI22" s="295" t="s">
        <v>6196</v>
      </c>
      <c r="AJ22" s="295">
        <f>VLOOKUP(A22,'RBSA Weights'!$A$2:$N$322,8,FALSE)</f>
        <v>421.61788940429699</v>
      </c>
    </row>
    <row r="23" spans="1:36">
      <c r="A23" s="295">
        <v>12139</v>
      </c>
      <c r="B23" s="295" t="s">
        <v>6052</v>
      </c>
      <c r="C23" s="295" t="b">
        <v>0</v>
      </c>
      <c r="D23" s="295">
        <v>1376</v>
      </c>
      <c r="E23" s="295">
        <v>8.5</v>
      </c>
      <c r="G23" s="295">
        <v>38</v>
      </c>
      <c r="H23" s="295" t="s">
        <v>162</v>
      </c>
      <c r="I23" s="295">
        <v>3.5000000149011598E-2</v>
      </c>
      <c r="J23" s="295" t="b">
        <v>0</v>
      </c>
      <c r="K23" s="295">
        <v>1376</v>
      </c>
      <c r="L23" s="295" t="s">
        <v>6041</v>
      </c>
      <c r="N23" s="295">
        <v>33</v>
      </c>
      <c r="O23" s="295" t="s">
        <v>162</v>
      </c>
      <c r="P23" s="295">
        <v>5.4000001400709201E-2</v>
      </c>
      <c r="Q23" s="295" t="b">
        <v>0</v>
      </c>
      <c r="R23" s="295">
        <v>1344</v>
      </c>
      <c r="T23" s="295">
        <v>21</v>
      </c>
      <c r="U23" s="295" t="s">
        <v>6051</v>
      </c>
      <c r="V23" s="295">
        <v>5.6000001728534698E-2</v>
      </c>
      <c r="W23" s="295">
        <v>128</v>
      </c>
      <c r="Z23" s="295" t="b">
        <v>0</v>
      </c>
      <c r="AA23" s="295">
        <v>15</v>
      </c>
      <c r="AB23" s="295">
        <v>0.37999999523162797</v>
      </c>
      <c r="AD23" s="295">
        <v>0.37999999523162797</v>
      </c>
      <c r="AE23" s="295">
        <v>4</v>
      </c>
      <c r="AF23" s="295">
        <v>1.29999995231628</v>
      </c>
      <c r="AG23" s="295">
        <v>40</v>
      </c>
      <c r="AH23" s="295">
        <v>0.40000000596046398</v>
      </c>
      <c r="AI23" s="295" t="s">
        <v>6080</v>
      </c>
      <c r="AJ23" s="295">
        <f>VLOOKUP(A23,'RBSA Weights'!$A$2:$N$322,8,FALSE)</f>
        <v>236.30047607421901</v>
      </c>
    </row>
    <row r="24" spans="1:36">
      <c r="A24" s="295">
        <v>12262</v>
      </c>
      <c r="B24" s="295" t="s">
        <v>6056</v>
      </c>
      <c r="C24" s="295" t="b">
        <v>0</v>
      </c>
      <c r="D24" s="295">
        <v>924</v>
      </c>
      <c r="E24" s="295">
        <v>7.5</v>
      </c>
      <c r="G24" s="295">
        <v>7</v>
      </c>
      <c r="H24" s="295" t="s">
        <v>6055</v>
      </c>
      <c r="I24" s="295">
        <v>0.129999995231628</v>
      </c>
      <c r="J24" s="295" t="b">
        <v>0</v>
      </c>
      <c r="K24" s="295">
        <v>924</v>
      </c>
      <c r="L24" s="295" t="s">
        <v>6060</v>
      </c>
      <c r="N24" s="295">
        <v>7</v>
      </c>
      <c r="O24" s="295" t="s">
        <v>6055</v>
      </c>
      <c r="P24" s="295">
        <v>0.14699999988079099</v>
      </c>
      <c r="Q24" s="295" t="b">
        <v>0</v>
      </c>
      <c r="R24" s="295">
        <v>1200</v>
      </c>
      <c r="T24" s="295">
        <v>7</v>
      </c>
      <c r="U24" s="295" t="s">
        <v>6055</v>
      </c>
      <c r="V24" s="295">
        <v>0.119999997317791</v>
      </c>
      <c r="W24" s="295">
        <v>110</v>
      </c>
      <c r="Y24" s="295" t="s">
        <v>6048</v>
      </c>
      <c r="Z24" s="295" t="b">
        <v>1</v>
      </c>
      <c r="AA24" s="295">
        <v>40</v>
      </c>
      <c r="AB24" s="295">
        <v>1.25</v>
      </c>
      <c r="AC24" s="295">
        <v>0.55000001192092896</v>
      </c>
      <c r="AD24" s="295">
        <v>1.25</v>
      </c>
      <c r="AG24" s="295">
        <v>40</v>
      </c>
      <c r="AH24" s="295">
        <v>0.40000000596046398</v>
      </c>
      <c r="AJ24" s="295">
        <f>VLOOKUP(A24,'RBSA Weights'!$A$2:$N$322,8,FALSE)</f>
        <v>236.30047607421901</v>
      </c>
    </row>
    <row r="25" spans="1:36">
      <c r="A25" s="295">
        <v>12285</v>
      </c>
      <c r="B25" s="295" t="s">
        <v>6058</v>
      </c>
      <c r="C25" s="295" t="b">
        <v>0</v>
      </c>
      <c r="D25" s="295">
        <v>950</v>
      </c>
      <c r="E25" s="295">
        <v>8.5</v>
      </c>
      <c r="G25" s="295">
        <v>49</v>
      </c>
      <c r="H25" s="295" t="s">
        <v>6057</v>
      </c>
      <c r="I25" s="295">
        <v>2.60000005364418E-2</v>
      </c>
      <c r="J25" s="295" t="b">
        <v>0</v>
      </c>
      <c r="K25" s="295">
        <v>950</v>
      </c>
      <c r="L25" s="295" t="s">
        <v>6050</v>
      </c>
      <c r="N25" s="295">
        <v>33</v>
      </c>
      <c r="O25" s="295" t="s">
        <v>162</v>
      </c>
      <c r="P25" s="295">
        <v>8.6000002920627594E-2</v>
      </c>
      <c r="Q25" s="295" t="b">
        <v>0</v>
      </c>
      <c r="R25" s="295">
        <v>1041</v>
      </c>
      <c r="T25" s="295">
        <v>21</v>
      </c>
      <c r="U25" s="295" t="s">
        <v>6051</v>
      </c>
      <c r="V25" s="295">
        <v>5.6000001728534698E-2</v>
      </c>
      <c r="W25" s="295">
        <v>80</v>
      </c>
      <c r="Z25" s="295" t="b">
        <v>0</v>
      </c>
      <c r="AA25" s="295">
        <v>10</v>
      </c>
      <c r="AB25" s="295">
        <v>0.34999999403953602</v>
      </c>
      <c r="AD25" s="295">
        <v>0.34999999403953602</v>
      </c>
      <c r="AE25" s="295">
        <v>2</v>
      </c>
      <c r="AF25" s="295">
        <v>0.60000002384185802</v>
      </c>
      <c r="AG25" s="295">
        <v>40</v>
      </c>
      <c r="AH25" s="295">
        <v>0.40000000596046398</v>
      </c>
      <c r="AI25" s="295" t="s">
        <v>6195</v>
      </c>
      <c r="AJ25" s="295">
        <f>VLOOKUP(A25,'RBSA Weights'!$A$2:$N$322,8,FALSE)</f>
        <v>236.30047607421901</v>
      </c>
    </row>
    <row r="26" spans="1:36">
      <c r="A26" s="295">
        <v>12397</v>
      </c>
      <c r="B26" s="295" t="s">
        <v>6042</v>
      </c>
      <c r="C26" s="295" t="b">
        <v>0</v>
      </c>
      <c r="D26" s="295">
        <v>784</v>
      </c>
      <c r="E26" s="295">
        <v>7.75</v>
      </c>
      <c r="G26" s="295">
        <v>11</v>
      </c>
      <c r="H26" s="295" t="s">
        <v>6040</v>
      </c>
      <c r="I26" s="295">
        <v>0.10000000149011599</v>
      </c>
      <c r="J26" s="295" t="b">
        <v>0</v>
      </c>
      <c r="K26" s="295">
        <v>784</v>
      </c>
      <c r="L26" s="295" t="s">
        <v>6045</v>
      </c>
      <c r="N26" s="295">
        <v>11</v>
      </c>
      <c r="O26" s="295" t="s">
        <v>6040</v>
      </c>
      <c r="P26" s="295">
        <v>6.7000001668930095E-2</v>
      </c>
      <c r="Q26" s="295" t="b">
        <v>0</v>
      </c>
      <c r="R26" s="295">
        <v>1050</v>
      </c>
      <c r="T26" s="295">
        <v>11</v>
      </c>
      <c r="U26" s="295" t="s">
        <v>6040</v>
      </c>
      <c r="V26" s="295">
        <v>9.00000035762787E-2</v>
      </c>
      <c r="W26" s="295">
        <v>96</v>
      </c>
      <c r="Y26" s="295" t="s">
        <v>6048</v>
      </c>
      <c r="Z26" s="295" t="b">
        <v>1</v>
      </c>
      <c r="AA26" s="295">
        <v>10</v>
      </c>
      <c r="AB26" s="295">
        <v>0.75</v>
      </c>
      <c r="AC26" s="295">
        <v>0.55000001192092896</v>
      </c>
      <c r="AD26" s="295">
        <v>0.75</v>
      </c>
      <c r="AG26" s="295">
        <v>40</v>
      </c>
      <c r="AH26" s="295">
        <v>0.40000000596046398</v>
      </c>
      <c r="AJ26" s="295">
        <f>VLOOKUP(A26,'RBSA Weights'!$A$2:$N$322,8,FALSE)</f>
        <v>236.30047607421901</v>
      </c>
    </row>
    <row r="27" spans="1:36">
      <c r="A27" s="295">
        <v>12481</v>
      </c>
      <c r="B27" s="295" t="s">
        <v>6056</v>
      </c>
      <c r="C27" s="295" t="b">
        <v>0</v>
      </c>
      <c r="D27" s="295">
        <v>1276</v>
      </c>
      <c r="E27" s="295">
        <v>8</v>
      </c>
      <c r="G27" s="295">
        <v>7</v>
      </c>
      <c r="H27" s="295" t="s">
        <v>6055</v>
      </c>
      <c r="I27" s="295">
        <v>0.129999995231628</v>
      </c>
      <c r="J27" s="295" t="b">
        <v>1</v>
      </c>
      <c r="K27" s="295">
        <v>1276</v>
      </c>
      <c r="L27" s="295" t="s">
        <v>6045</v>
      </c>
      <c r="M27" s="295" t="s">
        <v>156</v>
      </c>
      <c r="N27" s="295">
        <v>11</v>
      </c>
      <c r="O27" s="295" t="s">
        <v>6040</v>
      </c>
      <c r="P27" s="295">
        <v>6.7000001668930095E-2</v>
      </c>
      <c r="Q27" s="295" t="b">
        <v>0</v>
      </c>
      <c r="R27" s="295">
        <v>1280</v>
      </c>
      <c r="T27" s="295">
        <v>7</v>
      </c>
      <c r="U27" s="295" t="s">
        <v>6055</v>
      </c>
      <c r="V27" s="295">
        <v>0.119999997317791</v>
      </c>
      <c r="W27" s="295">
        <v>292</v>
      </c>
      <c r="Y27" s="295" t="s">
        <v>6048</v>
      </c>
      <c r="Z27" s="295" t="b">
        <v>1</v>
      </c>
      <c r="AA27" s="295">
        <v>21</v>
      </c>
      <c r="AB27" s="295">
        <v>1.25</v>
      </c>
      <c r="AC27" s="295">
        <v>0.55000001192092896</v>
      </c>
      <c r="AD27" s="295">
        <v>1.25</v>
      </c>
      <c r="AG27" s="295">
        <v>40</v>
      </c>
      <c r="AH27" s="295">
        <v>0.40000000596046398</v>
      </c>
      <c r="AJ27" s="295">
        <f>VLOOKUP(A27,'RBSA Weights'!$A$2:$N$322,8,FALSE)</f>
        <v>236.30047607421901</v>
      </c>
    </row>
    <row r="28" spans="1:36">
      <c r="A28" s="295">
        <v>12584</v>
      </c>
      <c r="B28" s="295" t="s">
        <v>6078</v>
      </c>
      <c r="C28" s="295" t="b">
        <v>0</v>
      </c>
      <c r="D28" s="295">
        <v>1296</v>
      </c>
      <c r="E28" s="295">
        <v>8</v>
      </c>
      <c r="G28" s="295">
        <v>38</v>
      </c>
      <c r="H28" s="295" t="s">
        <v>162</v>
      </c>
      <c r="I28" s="295">
        <v>3.5000000149011598E-2</v>
      </c>
      <c r="J28" s="295" t="b">
        <v>0</v>
      </c>
      <c r="K28" s="295">
        <v>1296</v>
      </c>
      <c r="L28" s="295" t="s">
        <v>6045</v>
      </c>
      <c r="N28" s="295">
        <v>33</v>
      </c>
      <c r="O28" s="295" t="s">
        <v>162</v>
      </c>
      <c r="P28" s="295">
        <v>2.9999999329447701E-2</v>
      </c>
      <c r="Q28" s="295" t="b">
        <v>0</v>
      </c>
      <c r="R28" s="295">
        <v>1200</v>
      </c>
      <c r="T28" s="295">
        <v>21</v>
      </c>
      <c r="U28" s="295" t="s">
        <v>6051</v>
      </c>
      <c r="V28" s="295">
        <v>5.6000001728534698E-2</v>
      </c>
      <c r="W28" s="295">
        <v>76</v>
      </c>
      <c r="Z28" s="295" t="b">
        <v>0</v>
      </c>
      <c r="AA28" s="295">
        <v>10</v>
      </c>
      <c r="AB28" s="295">
        <v>0.37999999523162797</v>
      </c>
      <c r="AD28" s="295">
        <v>0.37999999523162797</v>
      </c>
      <c r="AG28" s="295">
        <v>40</v>
      </c>
      <c r="AH28" s="295">
        <v>0.40000000596046398</v>
      </c>
      <c r="AJ28" s="295">
        <f>VLOOKUP(A28,'RBSA Weights'!$A$2:$N$322,8,FALSE)</f>
        <v>421.61788940429699</v>
      </c>
    </row>
    <row r="29" spans="1:36">
      <c r="A29" s="295">
        <v>12752</v>
      </c>
      <c r="B29" s="295" t="s">
        <v>6056</v>
      </c>
      <c r="C29" s="295" t="b">
        <v>1</v>
      </c>
      <c r="D29" s="295">
        <v>684</v>
      </c>
      <c r="E29" s="295">
        <v>8</v>
      </c>
      <c r="F29" s="295" t="s">
        <v>158</v>
      </c>
      <c r="G29" s="295">
        <v>30</v>
      </c>
      <c r="H29" s="295" t="s">
        <v>6046</v>
      </c>
      <c r="I29" s="295">
        <v>4.39999997615814E-2</v>
      </c>
      <c r="J29" s="295" t="b">
        <v>1</v>
      </c>
      <c r="K29" s="295">
        <v>684</v>
      </c>
      <c r="L29" s="295" t="s">
        <v>6041</v>
      </c>
      <c r="M29" s="295" t="s">
        <v>157</v>
      </c>
      <c r="N29" s="295">
        <v>19</v>
      </c>
      <c r="O29" s="295" t="s">
        <v>6051</v>
      </c>
      <c r="P29" s="295">
        <v>7.5999997556209606E-2</v>
      </c>
      <c r="Q29" s="295" t="b">
        <v>1</v>
      </c>
      <c r="R29" s="295">
        <v>1104</v>
      </c>
      <c r="S29" s="295" t="s">
        <v>156</v>
      </c>
      <c r="T29" s="295">
        <v>11</v>
      </c>
      <c r="U29" s="295" t="s">
        <v>6040</v>
      </c>
      <c r="V29" s="295">
        <v>9.00000035762787E-2</v>
      </c>
      <c r="W29" s="295">
        <v>148</v>
      </c>
      <c r="X29" s="295">
        <v>14</v>
      </c>
      <c r="Y29" s="295" t="s">
        <v>6048</v>
      </c>
      <c r="Z29" s="295" t="b">
        <v>1</v>
      </c>
      <c r="AA29" s="295">
        <v>14</v>
      </c>
      <c r="AB29" s="295">
        <v>1.25</v>
      </c>
      <c r="AC29" s="295">
        <v>0.55000001192092896</v>
      </c>
      <c r="AD29" s="295">
        <v>1.1895061731338501</v>
      </c>
      <c r="AG29" s="295">
        <v>40</v>
      </c>
      <c r="AH29" s="295">
        <v>0.34999999403953602</v>
      </c>
      <c r="AI29" s="295" t="s">
        <v>6194</v>
      </c>
      <c r="AJ29" s="295">
        <f>VLOOKUP(A29,'RBSA Weights'!$A$2:$N$322,8,FALSE)</f>
        <v>236.30047607421901</v>
      </c>
    </row>
    <row r="30" spans="1:36">
      <c r="A30" s="295">
        <v>13133</v>
      </c>
      <c r="B30" s="295" t="s">
        <v>6042</v>
      </c>
      <c r="C30" s="295" t="b">
        <v>0</v>
      </c>
      <c r="D30" s="295">
        <v>1057</v>
      </c>
      <c r="E30" s="295">
        <v>8.75</v>
      </c>
      <c r="G30" s="295">
        <v>11</v>
      </c>
      <c r="H30" s="295" t="s">
        <v>6040</v>
      </c>
      <c r="I30" s="295">
        <v>0.10000000149011599</v>
      </c>
      <c r="J30" s="295" t="b">
        <v>0</v>
      </c>
      <c r="K30" s="295">
        <v>1057</v>
      </c>
      <c r="L30" s="295" t="s">
        <v>6045</v>
      </c>
      <c r="N30" s="295">
        <v>11</v>
      </c>
      <c r="O30" s="295" t="s">
        <v>6040</v>
      </c>
      <c r="P30" s="295">
        <v>6.7000001668930095E-2</v>
      </c>
      <c r="Q30" s="295" t="b">
        <v>0</v>
      </c>
      <c r="R30" s="295">
        <v>1120</v>
      </c>
      <c r="T30" s="295">
        <v>11</v>
      </c>
      <c r="U30" s="295" t="s">
        <v>6040</v>
      </c>
      <c r="V30" s="295">
        <v>9.00000035762787E-2</v>
      </c>
      <c r="W30" s="295">
        <v>100</v>
      </c>
      <c r="Z30" s="295" t="b">
        <v>0</v>
      </c>
      <c r="AA30" s="295">
        <v>30</v>
      </c>
      <c r="AB30" s="295">
        <v>0.75</v>
      </c>
      <c r="AD30" s="295">
        <v>0.75</v>
      </c>
      <c r="AE30" s="295">
        <v>12</v>
      </c>
      <c r="AF30" s="295">
        <v>0.60000002384185802</v>
      </c>
      <c r="AG30" s="295">
        <v>40</v>
      </c>
      <c r="AH30" s="295">
        <v>0.40000000596046398</v>
      </c>
      <c r="AI30" s="295" t="s">
        <v>6193</v>
      </c>
      <c r="AJ30" s="295">
        <f>VLOOKUP(A30,'RBSA Weights'!$A$2:$N$322,8,FALSE)</f>
        <v>3065.64990234375</v>
      </c>
    </row>
    <row r="31" spans="1:36">
      <c r="A31" s="295">
        <v>13189</v>
      </c>
      <c r="B31" s="295" t="s">
        <v>6052</v>
      </c>
      <c r="C31" s="295" t="b">
        <v>0</v>
      </c>
      <c r="D31" s="295">
        <v>1600</v>
      </c>
      <c r="E31" s="295">
        <v>8.5</v>
      </c>
      <c r="G31" s="295">
        <v>38</v>
      </c>
      <c r="H31" s="295" t="s">
        <v>162</v>
      </c>
      <c r="I31" s="295">
        <v>3.5000000149011598E-2</v>
      </c>
      <c r="J31" s="295" t="b">
        <v>0</v>
      </c>
      <c r="K31" s="295">
        <v>1494</v>
      </c>
      <c r="L31" s="295" t="s">
        <v>6045</v>
      </c>
      <c r="N31" s="295">
        <v>33</v>
      </c>
      <c r="O31" s="295" t="s">
        <v>162</v>
      </c>
      <c r="P31" s="295">
        <v>2.9999999329447701E-2</v>
      </c>
      <c r="Q31" s="295" t="b">
        <v>0</v>
      </c>
      <c r="R31" s="295">
        <v>1312</v>
      </c>
      <c r="T31" s="295">
        <v>21</v>
      </c>
      <c r="U31" s="295" t="s">
        <v>6051</v>
      </c>
      <c r="V31" s="295">
        <v>5.6000001728534698E-2</v>
      </c>
      <c r="W31" s="295">
        <v>110</v>
      </c>
      <c r="X31" s="295">
        <v>20</v>
      </c>
      <c r="Y31" s="295" t="s">
        <v>6044</v>
      </c>
      <c r="Z31" s="295" t="b">
        <v>1</v>
      </c>
      <c r="AA31" s="295">
        <v>10</v>
      </c>
      <c r="AB31" s="295">
        <v>0.37999999523162797</v>
      </c>
      <c r="AC31" s="295">
        <v>0.69999998807907104</v>
      </c>
      <c r="AD31" s="295">
        <v>0.42923074960708602</v>
      </c>
      <c r="AG31" s="295">
        <v>40</v>
      </c>
      <c r="AH31" s="295">
        <v>0.40000000596046398</v>
      </c>
      <c r="AJ31" s="295">
        <f>VLOOKUP(A31,'RBSA Weights'!$A$2:$N$322,8,FALSE)</f>
        <v>236.30047607421901</v>
      </c>
    </row>
    <row r="32" spans="1:36">
      <c r="A32" s="295">
        <v>13207</v>
      </c>
      <c r="B32" s="295" t="s">
        <v>6056</v>
      </c>
      <c r="C32" s="295" t="b">
        <v>1</v>
      </c>
      <c r="D32" s="295">
        <v>784</v>
      </c>
      <c r="E32" s="295">
        <v>8</v>
      </c>
      <c r="F32" s="295" t="s">
        <v>157</v>
      </c>
      <c r="G32" s="295">
        <v>19</v>
      </c>
      <c r="H32" s="295" t="s">
        <v>6051</v>
      </c>
      <c r="I32" s="295">
        <v>5.6000001728534698E-2</v>
      </c>
      <c r="J32" s="295" t="b">
        <v>1</v>
      </c>
      <c r="K32" s="295">
        <v>784</v>
      </c>
      <c r="L32" s="295" t="s">
        <v>6045</v>
      </c>
      <c r="M32" s="295" t="s">
        <v>156</v>
      </c>
      <c r="N32" s="295">
        <v>11</v>
      </c>
      <c r="O32" s="295" t="s">
        <v>6040</v>
      </c>
      <c r="P32" s="295">
        <v>6.7000001668930095E-2</v>
      </c>
      <c r="Q32" s="295" t="b">
        <v>0</v>
      </c>
      <c r="R32" s="295">
        <v>1120</v>
      </c>
      <c r="T32" s="295">
        <v>7</v>
      </c>
      <c r="U32" s="295" t="s">
        <v>6055</v>
      </c>
      <c r="V32" s="295">
        <v>0.119999997317791</v>
      </c>
      <c r="X32" s="295">
        <v>65</v>
      </c>
      <c r="Y32" s="295" t="s">
        <v>6088</v>
      </c>
      <c r="Z32" s="295" t="b">
        <v>1</v>
      </c>
      <c r="AA32" s="295">
        <v>10</v>
      </c>
      <c r="AB32" s="295">
        <v>1.25</v>
      </c>
      <c r="AC32" s="295">
        <v>0.34999999403953602</v>
      </c>
      <c r="AD32" s="295">
        <v>0.34999999403953602</v>
      </c>
      <c r="AG32" s="295">
        <v>40</v>
      </c>
      <c r="AH32" s="295">
        <v>0.40000000596046398</v>
      </c>
      <c r="AI32" s="295" t="s">
        <v>6192</v>
      </c>
      <c r="AJ32" s="295">
        <f>VLOOKUP(A32,'RBSA Weights'!$A$2:$N$322,8,FALSE)</f>
        <v>236.30047607421901</v>
      </c>
    </row>
    <row r="33" spans="1:36">
      <c r="A33" s="295">
        <v>13247</v>
      </c>
      <c r="B33" s="295" t="s">
        <v>6056</v>
      </c>
      <c r="C33" s="295" t="b">
        <v>0</v>
      </c>
      <c r="D33" s="295">
        <v>684</v>
      </c>
      <c r="E33" s="295">
        <v>7</v>
      </c>
      <c r="G33" s="295">
        <v>7</v>
      </c>
      <c r="H33" s="295" t="s">
        <v>6055</v>
      </c>
      <c r="I33" s="295">
        <v>0.129999995231628</v>
      </c>
      <c r="J33" s="295" t="b">
        <v>0</v>
      </c>
      <c r="K33" s="295">
        <v>684</v>
      </c>
      <c r="L33" s="295" t="s">
        <v>6050</v>
      </c>
      <c r="N33" s="295">
        <v>7</v>
      </c>
      <c r="O33" s="295" t="s">
        <v>6055</v>
      </c>
      <c r="P33" s="295">
        <v>0.11599999666214</v>
      </c>
      <c r="Q33" s="295" t="b">
        <v>0</v>
      </c>
      <c r="R33" s="295">
        <v>966</v>
      </c>
      <c r="T33" s="295">
        <v>7</v>
      </c>
      <c r="U33" s="295" t="s">
        <v>6055</v>
      </c>
      <c r="V33" s="295">
        <v>0.119999997317791</v>
      </c>
      <c r="W33" s="295">
        <v>63</v>
      </c>
      <c r="Z33" s="295" t="b">
        <v>0</v>
      </c>
      <c r="AA33" s="295">
        <v>40</v>
      </c>
      <c r="AB33" s="295">
        <v>1.25</v>
      </c>
      <c r="AD33" s="295">
        <v>1.25</v>
      </c>
      <c r="AG33" s="295">
        <v>40</v>
      </c>
      <c r="AH33" s="295">
        <v>0.40000000596046398</v>
      </c>
      <c r="AJ33" s="295">
        <f>VLOOKUP(A33,'RBSA Weights'!$A$2:$N$322,8,FALSE)</f>
        <v>421.61788940429699</v>
      </c>
    </row>
    <row r="34" spans="1:36">
      <c r="A34" s="295">
        <v>13424</v>
      </c>
      <c r="B34" s="295" t="s">
        <v>6042</v>
      </c>
      <c r="C34" s="295" t="b">
        <v>0</v>
      </c>
      <c r="D34" s="295">
        <v>910</v>
      </c>
      <c r="E34" s="295">
        <v>8</v>
      </c>
      <c r="G34" s="295">
        <v>11</v>
      </c>
      <c r="H34" s="295" t="s">
        <v>6040</v>
      </c>
      <c r="I34" s="295">
        <v>0.10000000149011599</v>
      </c>
      <c r="J34" s="295" t="b">
        <v>0</v>
      </c>
      <c r="K34" s="295">
        <v>910</v>
      </c>
      <c r="L34" s="295" t="s">
        <v>6045</v>
      </c>
      <c r="N34" s="295">
        <v>11</v>
      </c>
      <c r="O34" s="295" t="s">
        <v>6040</v>
      </c>
      <c r="P34" s="295">
        <v>6.7000001668930095E-2</v>
      </c>
      <c r="Q34" s="295" t="b">
        <v>0</v>
      </c>
      <c r="R34" s="295">
        <v>1264</v>
      </c>
      <c r="T34" s="295">
        <v>11</v>
      </c>
      <c r="U34" s="295" t="s">
        <v>6040</v>
      </c>
      <c r="V34" s="295">
        <v>9.00000035762787E-2</v>
      </c>
      <c r="W34" s="295">
        <v>157</v>
      </c>
      <c r="Y34" s="295" t="s">
        <v>6048</v>
      </c>
      <c r="Z34" s="295" t="b">
        <v>1</v>
      </c>
      <c r="AA34" s="295">
        <v>10</v>
      </c>
      <c r="AB34" s="295">
        <v>0.75</v>
      </c>
      <c r="AC34" s="295">
        <v>0.55000001192092896</v>
      </c>
      <c r="AD34" s="295">
        <v>0.75</v>
      </c>
      <c r="AG34" s="295">
        <v>40</v>
      </c>
      <c r="AH34" s="295">
        <v>0.40000000596046398</v>
      </c>
      <c r="AJ34" s="295">
        <f>VLOOKUP(A34,'RBSA Weights'!$A$2:$N$322,8,FALSE)</f>
        <v>236.30047607421901</v>
      </c>
    </row>
    <row r="35" spans="1:36">
      <c r="A35" s="295">
        <v>13464</v>
      </c>
      <c r="B35" s="295" t="s">
        <v>6056</v>
      </c>
      <c r="C35" s="295" t="b">
        <v>1</v>
      </c>
      <c r="D35" s="295">
        <v>820</v>
      </c>
      <c r="E35" s="295">
        <v>8</v>
      </c>
      <c r="F35" s="295" t="s">
        <v>157</v>
      </c>
      <c r="G35" s="295">
        <v>19</v>
      </c>
      <c r="H35" s="295" t="s">
        <v>6051</v>
      </c>
      <c r="I35" s="295">
        <v>5.6000001728534698E-2</v>
      </c>
      <c r="J35" s="295" t="b">
        <v>0</v>
      </c>
      <c r="K35" s="295">
        <v>786</v>
      </c>
      <c r="L35" s="295" t="s">
        <v>6045</v>
      </c>
      <c r="N35" s="295">
        <v>7</v>
      </c>
      <c r="O35" s="295" t="s">
        <v>6055</v>
      </c>
      <c r="P35" s="295">
        <v>9.3000002205371898E-2</v>
      </c>
      <c r="Q35" s="295" t="b">
        <v>0</v>
      </c>
      <c r="R35" s="295">
        <v>1264</v>
      </c>
      <c r="T35" s="295">
        <v>7</v>
      </c>
      <c r="U35" s="295" t="s">
        <v>6055</v>
      </c>
      <c r="V35" s="295">
        <v>0.119999997317791</v>
      </c>
      <c r="W35" s="295">
        <v>119</v>
      </c>
      <c r="X35" s="295">
        <v>17</v>
      </c>
      <c r="Y35" s="295" t="s">
        <v>6048</v>
      </c>
      <c r="Z35" s="295" t="b">
        <v>1</v>
      </c>
      <c r="AA35" s="295">
        <v>12</v>
      </c>
      <c r="AB35" s="295">
        <v>1.25</v>
      </c>
      <c r="AC35" s="295">
        <v>0.55000001192092896</v>
      </c>
      <c r="AD35" s="295">
        <v>1.1625000238418599</v>
      </c>
      <c r="AG35" s="295">
        <v>40</v>
      </c>
      <c r="AH35" s="295">
        <v>0.40000000596046398</v>
      </c>
      <c r="AI35" s="295" t="s">
        <v>6191</v>
      </c>
      <c r="AJ35" s="295">
        <f>VLOOKUP(A35,'RBSA Weights'!$A$2:$N$322,8,FALSE)</f>
        <v>236.30047607421901</v>
      </c>
    </row>
    <row r="36" spans="1:36">
      <c r="A36" s="295">
        <v>13738</v>
      </c>
      <c r="B36" s="295" t="s">
        <v>6042</v>
      </c>
      <c r="C36" s="295" t="b">
        <v>0</v>
      </c>
      <c r="D36" s="295">
        <v>1200</v>
      </c>
      <c r="E36" s="295">
        <v>9</v>
      </c>
      <c r="G36" s="295">
        <v>11</v>
      </c>
      <c r="H36" s="295" t="s">
        <v>6040</v>
      </c>
      <c r="I36" s="295">
        <v>0.10000000149011599</v>
      </c>
      <c r="J36" s="295" t="b">
        <v>0</v>
      </c>
      <c r="K36" s="295">
        <v>1200</v>
      </c>
      <c r="L36" s="295" t="s">
        <v>6045</v>
      </c>
      <c r="N36" s="295">
        <v>11</v>
      </c>
      <c r="O36" s="295" t="s">
        <v>6040</v>
      </c>
      <c r="P36" s="295">
        <v>6.7000001668930095E-2</v>
      </c>
      <c r="Q36" s="295" t="b">
        <v>0</v>
      </c>
      <c r="R36" s="295">
        <v>1332</v>
      </c>
      <c r="T36" s="295">
        <v>11</v>
      </c>
      <c r="U36" s="295" t="s">
        <v>6040</v>
      </c>
      <c r="V36" s="295">
        <v>9.00000035762787E-2</v>
      </c>
      <c r="W36" s="295">
        <v>266</v>
      </c>
      <c r="Z36" s="295" t="b">
        <v>0</v>
      </c>
      <c r="AA36" s="295">
        <v>8</v>
      </c>
      <c r="AB36" s="295">
        <v>0.75</v>
      </c>
      <c r="AD36" s="295">
        <v>0.75</v>
      </c>
      <c r="AG36" s="295">
        <v>40</v>
      </c>
      <c r="AH36" s="295">
        <v>0.40000000596046398</v>
      </c>
      <c r="AI36" s="295" t="s">
        <v>6190</v>
      </c>
      <c r="AJ36" s="295">
        <f>VLOOKUP(A36,'RBSA Weights'!$A$2:$N$322,8,FALSE)</f>
        <v>236.30047607421901</v>
      </c>
    </row>
    <row r="37" spans="1:36">
      <c r="A37" s="295">
        <v>13960</v>
      </c>
      <c r="B37" s="295" t="s">
        <v>6078</v>
      </c>
      <c r="C37" s="295" t="b">
        <v>0</v>
      </c>
      <c r="D37" s="295">
        <v>1296</v>
      </c>
      <c r="E37" s="295">
        <v>8</v>
      </c>
      <c r="G37" s="295">
        <v>38</v>
      </c>
      <c r="H37" s="295" t="s">
        <v>162</v>
      </c>
      <c r="I37" s="295">
        <v>3.5000000149011598E-2</v>
      </c>
      <c r="J37" s="295" t="b">
        <v>0</v>
      </c>
      <c r="K37" s="295">
        <v>1296</v>
      </c>
      <c r="L37" s="295" t="s">
        <v>6045</v>
      </c>
      <c r="N37" s="295">
        <v>33</v>
      </c>
      <c r="O37" s="295" t="s">
        <v>162</v>
      </c>
      <c r="P37" s="295">
        <v>2.9999999329447701E-2</v>
      </c>
      <c r="Q37" s="295" t="b">
        <v>0</v>
      </c>
      <c r="R37" s="295">
        <v>1200</v>
      </c>
      <c r="T37" s="295">
        <v>21</v>
      </c>
      <c r="U37" s="295" t="s">
        <v>6051</v>
      </c>
      <c r="V37" s="295">
        <v>5.6000001728534698E-2</v>
      </c>
      <c r="W37" s="295">
        <v>124</v>
      </c>
      <c r="Z37" s="295" t="b">
        <v>0</v>
      </c>
      <c r="AA37" s="295">
        <v>10</v>
      </c>
      <c r="AB37" s="295">
        <v>0.37999999523162797</v>
      </c>
      <c r="AD37" s="295">
        <v>0.37999999523162797</v>
      </c>
      <c r="AG37" s="295">
        <v>40</v>
      </c>
      <c r="AH37" s="295">
        <v>0.40000000596046398</v>
      </c>
      <c r="AJ37" s="295">
        <f>VLOOKUP(A37,'RBSA Weights'!$A$2:$N$322,8,FALSE)</f>
        <v>421.61788940429699</v>
      </c>
    </row>
    <row r="38" spans="1:36">
      <c r="A38" s="295">
        <v>14027</v>
      </c>
      <c r="B38" s="295" t="s">
        <v>6052</v>
      </c>
      <c r="C38" s="295" t="b">
        <v>0</v>
      </c>
      <c r="D38" s="295">
        <v>1700</v>
      </c>
      <c r="E38" s="295">
        <v>8</v>
      </c>
      <c r="G38" s="295">
        <v>38</v>
      </c>
      <c r="H38" s="295" t="s">
        <v>162</v>
      </c>
      <c r="I38" s="295">
        <v>3.5000000149011598E-2</v>
      </c>
      <c r="J38" s="295" t="b">
        <v>1</v>
      </c>
      <c r="K38" s="295">
        <v>1600</v>
      </c>
      <c r="L38" s="295" t="s">
        <v>6045</v>
      </c>
      <c r="M38" s="295" t="s">
        <v>6062</v>
      </c>
      <c r="N38" s="295">
        <v>33</v>
      </c>
      <c r="O38" s="295" t="s">
        <v>162</v>
      </c>
      <c r="P38" s="295">
        <v>2.9999999329447701E-2</v>
      </c>
      <c r="Q38" s="295" t="b">
        <v>0</v>
      </c>
      <c r="R38" s="295">
        <v>1880</v>
      </c>
      <c r="T38" s="295">
        <v>21</v>
      </c>
      <c r="U38" s="295" t="s">
        <v>6051</v>
      </c>
      <c r="V38" s="295">
        <v>5.6000001728534698E-2</v>
      </c>
      <c r="W38" s="295">
        <v>142</v>
      </c>
      <c r="X38" s="295">
        <v>19</v>
      </c>
      <c r="Y38" s="295" t="s">
        <v>6048</v>
      </c>
      <c r="Z38" s="295" t="b">
        <v>1</v>
      </c>
      <c r="AA38" s="295">
        <v>45</v>
      </c>
      <c r="AB38" s="295">
        <v>0.37999999523162797</v>
      </c>
      <c r="AC38" s="295">
        <v>0.55000001192092896</v>
      </c>
      <c r="AD38" s="295">
        <v>0.40006208419799799</v>
      </c>
      <c r="AE38" s="295">
        <v>30</v>
      </c>
      <c r="AF38" s="295">
        <v>1.0199999809265099</v>
      </c>
      <c r="AG38" s="295">
        <v>40</v>
      </c>
      <c r="AH38" s="295">
        <v>0.40000000596046398</v>
      </c>
      <c r="AJ38" s="295">
        <f>VLOOKUP(A38,'RBSA Weights'!$A$2:$N$322,8,FALSE)</f>
        <v>421.61788940429699</v>
      </c>
    </row>
    <row r="39" spans="1:36">
      <c r="A39" s="295">
        <v>14082</v>
      </c>
      <c r="B39" s="295" t="s">
        <v>6042</v>
      </c>
      <c r="C39" s="295" t="b">
        <v>1</v>
      </c>
      <c r="D39" s="295">
        <v>2024</v>
      </c>
      <c r="E39" s="295">
        <v>9</v>
      </c>
      <c r="F39" s="295" t="s">
        <v>6063</v>
      </c>
      <c r="G39" s="295">
        <v>22</v>
      </c>
      <c r="H39" s="295" t="s">
        <v>6046</v>
      </c>
      <c r="I39" s="295">
        <v>5.2000001072883599E-2</v>
      </c>
      <c r="J39" s="295" t="b">
        <v>0</v>
      </c>
      <c r="K39" s="295">
        <v>1520</v>
      </c>
      <c r="L39" s="295" t="s">
        <v>6045</v>
      </c>
      <c r="N39" s="295">
        <v>11</v>
      </c>
      <c r="O39" s="295" t="s">
        <v>6040</v>
      </c>
      <c r="P39" s="295">
        <v>6.7000001668930095E-2</v>
      </c>
      <c r="Q39" s="295" t="b">
        <v>0</v>
      </c>
      <c r="R39" s="295">
        <v>2018</v>
      </c>
      <c r="T39" s="295">
        <v>11</v>
      </c>
      <c r="U39" s="295" t="s">
        <v>6040</v>
      </c>
      <c r="V39" s="295">
        <v>9.00000035762787E-2</v>
      </c>
      <c r="X39" s="295">
        <v>236</v>
      </c>
      <c r="Y39" s="295" t="s">
        <v>6044</v>
      </c>
      <c r="Z39" s="295" t="b">
        <v>1</v>
      </c>
      <c r="AA39" s="295">
        <v>40</v>
      </c>
      <c r="AB39" s="295">
        <v>0.75</v>
      </c>
      <c r="AC39" s="295">
        <v>0.69999998807907104</v>
      </c>
      <c r="AD39" s="295">
        <v>0.69999998807907104</v>
      </c>
      <c r="AG39" s="295">
        <v>40</v>
      </c>
      <c r="AH39" s="295">
        <v>0.40000000596046398</v>
      </c>
      <c r="AJ39" s="295">
        <f>VLOOKUP(A39,'RBSA Weights'!$A$2:$N$322,8,FALSE)</f>
        <v>421.61788940429699</v>
      </c>
    </row>
    <row r="40" spans="1:36">
      <c r="A40" s="295">
        <v>14215</v>
      </c>
      <c r="B40" s="295" t="s">
        <v>6053</v>
      </c>
      <c r="C40" s="295" t="b">
        <v>0</v>
      </c>
      <c r="D40" s="295">
        <v>1842</v>
      </c>
      <c r="E40" s="295">
        <v>8</v>
      </c>
      <c r="G40" s="295">
        <v>22</v>
      </c>
      <c r="H40" s="295" t="s">
        <v>6046</v>
      </c>
      <c r="I40" s="295">
        <v>5.2000001072883599E-2</v>
      </c>
      <c r="J40" s="295" t="b">
        <v>0</v>
      </c>
      <c r="K40" s="295">
        <v>1782</v>
      </c>
      <c r="L40" s="295" t="s">
        <v>6041</v>
      </c>
      <c r="N40" s="295">
        <v>22</v>
      </c>
      <c r="O40" s="295" t="s">
        <v>6046</v>
      </c>
      <c r="P40" s="295">
        <v>6.1999998986720997E-2</v>
      </c>
      <c r="Q40" s="295" t="b">
        <v>0</v>
      </c>
      <c r="R40" s="295">
        <v>1488</v>
      </c>
      <c r="T40" s="295">
        <v>11</v>
      </c>
      <c r="U40" s="295" t="s">
        <v>6040</v>
      </c>
      <c r="V40" s="295">
        <v>9.00000035762787E-2</v>
      </c>
      <c r="W40" s="295">
        <v>154</v>
      </c>
      <c r="Z40" s="295" t="b">
        <v>0</v>
      </c>
      <c r="AA40" s="295">
        <v>10</v>
      </c>
      <c r="AB40" s="295">
        <v>0.479999989271164</v>
      </c>
      <c r="AD40" s="295">
        <v>0.479999989271164</v>
      </c>
      <c r="AG40" s="295">
        <v>40</v>
      </c>
      <c r="AH40" s="295">
        <v>0.40000000596046398</v>
      </c>
      <c r="AJ40" s="295">
        <f>VLOOKUP(A40,'RBSA Weights'!$A$2:$N$322,8,FALSE)</f>
        <v>421.61788940429699</v>
      </c>
    </row>
    <row r="41" spans="1:36">
      <c r="A41" s="295">
        <v>14352</v>
      </c>
      <c r="B41" s="295" t="s">
        <v>6056</v>
      </c>
      <c r="C41" s="295" t="b">
        <v>0</v>
      </c>
      <c r="D41" s="295">
        <v>1488</v>
      </c>
      <c r="E41" s="295">
        <v>8</v>
      </c>
      <c r="G41" s="295">
        <v>7</v>
      </c>
      <c r="H41" s="295" t="s">
        <v>6055</v>
      </c>
      <c r="I41" s="295">
        <v>0.129999995231628</v>
      </c>
      <c r="J41" s="295" t="b">
        <v>0</v>
      </c>
      <c r="K41" s="295">
        <v>1488</v>
      </c>
      <c r="L41" s="295" t="s">
        <v>6050</v>
      </c>
      <c r="N41" s="295">
        <v>7</v>
      </c>
      <c r="O41" s="295" t="s">
        <v>6055</v>
      </c>
      <c r="P41" s="295">
        <v>0.11599999666214</v>
      </c>
      <c r="Q41" s="295" t="b">
        <v>0</v>
      </c>
      <c r="R41" s="295">
        <v>1344</v>
      </c>
      <c r="T41" s="295">
        <v>7</v>
      </c>
      <c r="U41" s="295" t="s">
        <v>6055</v>
      </c>
      <c r="V41" s="295">
        <v>0.119999997317791</v>
      </c>
      <c r="W41" s="295">
        <v>90</v>
      </c>
      <c r="Y41" s="295" t="s">
        <v>6088</v>
      </c>
      <c r="Z41" s="295" t="b">
        <v>1</v>
      </c>
      <c r="AA41" s="295">
        <v>5</v>
      </c>
      <c r="AB41" s="295">
        <v>1.25</v>
      </c>
      <c r="AC41" s="295">
        <v>0.34999999403953602</v>
      </c>
      <c r="AD41" s="295">
        <v>1.25</v>
      </c>
      <c r="AG41" s="295">
        <v>40</v>
      </c>
      <c r="AH41" s="295">
        <v>0.40000000596046398</v>
      </c>
      <c r="AI41" s="295" t="s">
        <v>6189</v>
      </c>
      <c r="AJ41" s="295">
        <f>VLOOKUP(A41,'RBSA Weights'!$A$2:$N$322,8,FALSE)</f>
        <v>236.30047607421901</v>
      </c>
    </row>
    <row r="42" spans="1:36">
      <c r="A42" s="295">
        <v>14389</v>
      </c>
      <c r="B42" s="295" t="s">
        <v>6078</v>
      </c>
      <c r="C42" s="295" t="b">
        <v>0</v>
      </c>
      <c r="D42" s="295">
        <v>1517</v>
      </c>
      <c r="E42" s="295">
        <v>8.5</v>
      </c>
      <c r="G42" s="295">
        <v>38</v>
      </c>
      <c r="H42" s="295" t="s">
        <v>162</v>
      </c>
      <c r="I42" s="295">
        <v>3.5000000149011598E-2</v>
      </c>
      <c r="J42" s="295" t="b">
        <v>0</v>
      </c>
      <c r="K42" s="295">
        <v>1517</v>
      </c>
      <c r="L42" s="295" t="s">
        <v>6041</v>
      </c>
      <c r="N42" s="295">
        <v>33</v>
      </c>
      <c r="O42" s="295" t="s">
        <v>162</v>
      </c>
      <c r="P42" s="295">
        <v>5.4000001400709201E-2</v>
      </c>
      <c r="Q42" s="295" t="b">
        <v>0</v>
      </c>
      <c r="R42" s="295">
        <v>1444</v>
      </c>
      <c r="T42" s="295">
        <v>21</v>
      </c>
      <c r="U42" s="295" t="s">
        <v>6051</v>
      </c>
      <c r="V42" s="295">
        <v>5.6000001728534698E-2</v>
      </c>
      <c r="W42" s="295">
        <v>206</v>
      </c>
      <c r="Z42" s="295" t="b">
        <v>0</v>
      </c>
      <c r="AA42" s="295">
        <v>10</v>
      </c>
      <c r="AB42" s="295">
        <v>0.37999999523162797</v>
      </c>
      <c r="AD42" s="295">
        <v>0.37999999523162797</v>
      </c>
      <c r="AG42" s="295">
        <v>40</v>
      </c>
      <c r="AH42" s="295">
        <v>0.40000000596046398</v>
      </c>
      <c r="AJ42" s="295">
        <f>VLOOKUP(A42,'RBSA Weights'!$A$2:$N$322,8,FALSE)</f>
        <v>236.30047607421901</v>
      </c>
    </row>
    <row r="43" spans="1:36">
      <c r="A43" s="295">
        <v>14543</v>
      </c>
      <c r="B43" s="295" t="s">
        <v>6058</v>
      </c>
      <c r="C43" s="295" t="b">
        <v>0</v>
      </c>
      <c r="D43" s="295">
        <v>1404</v>
      </c>
      <c r="E43" s="295">
        <v>8.5</v>
      </c>
      <c r="G43" s="295">
        <v>49</v>
      </c>
      <c r="H43" s="295" t="s">
        <v>6057</v>
      </c>
      <c r="I43" s="295">
        <v>2.60000005364418E-2</v>
      </c>
      <c r="J43" s="295" t="b">
        <v>0</v>
      </c>
      <c r="K43" s="295">
        <v>1404</v>
      </c>
      <c r="L43" s="295" t="s">
        <v>6045</v>
      </c>
      <c r="N43" s="295">
        <v>33</v>
      </c>
      <c r="O43" s="295" t="s">
        <v>162</v>
      </c>
      <c r="P43" s="295">
        <v>2.9999999329447701E-2</v>
      </c>
      <c r="Q43" s="295" t="b">
        <v>0</v>
      </c>
      <c r="R43" s="295">
        <v>1318</v>
      </c>
      <c r="T43" s="295">
        <v>21</v>
      </c>
      <c r="U43" s="295" t="s">
        <v>6051</v>
      </c>
      <c r="V43" s="295">
        <v>5.6000001728534698E-2</v>
      </c>
      <c r="W43" s="295">
        <v>92</v>
      </c>
      <c r="Z43" s="295" t="b">
        <v>0</v>
      </c>
      <c r="AA43" s="295">
        <v>5</v>
      </c>
      <c r="AB43" s="295">
        <v>0.34999999403953602</v>
      </c>
      <c r="AD43" s="295">
        <v>0.34999999403953602</v>
      </c>
      <c r="AE43" s="295">
        <v>4</v>
      </c>
      <c r="AF43" s="295">
        <v>0.60000002384185802</v>
      </c>
      <c r="AG43" s="295">
        <v>40</v>
      </c>
      <c r="AH43" s="295">
        <v>0.40000000596046398</v>
      </c>
      <c r="AJ43" s="295">
        <f>VLOOKUP(A43,'RBSA Weights'!$A$2:$N$322,8,FALSE)</f>
        <v>236.30047607421901</v>
      </c>
    </row>
    <row r="44" spans="1:36">
      <c r="A44" s="295">
        <v>20006</v>
      </c>
      <c r="B44" s="295" t="s">
        <v>6042</v>
      </c>
      <c r="C44" s="295" t="b">
        <v>0</v>
      </c>
      <c r="D44" s="295">
        <v>1987</v>
      </c>
      <c r="E44" s="295">
        <v>8.5</v>
      </c>
      <c r="G44" s="295">
        <v>11</v>
      </c>
      <c r="H44" s="295" t="s">
        <v>6040</v>
      </c>
      <c r="I44" s="295">
        <v>0.10000000149011599</v>
      </c>
      <c r="J44" s="295" t="b">
        <v>0</v>
      </c>
      <c r="K44" s="295">
        <v>1728</v>
      </c>
      <c r="L44" s="295" t="s">
        <v>6041</v>
      </c>
      <c r="N44" s="295">
        <v>11</v>
      </c>
      <c r="O44" s="295" t="s">
        <v>6040</v>
      </c>
      <c r="P44" s="295">
        <v>8.5000000894069699E-2</v>
      </c>
      <c r="Q44" s="295" t="b">
        <v>0</v>
      </c>
      <c r="R44" s="295">
        <v>1456</v>
      </c>
      <c r="T44" s="295">
        <v>11</v>
      </c>
      <c r="U44" s="295" t="s">
        <v>6040</v>
      </c>
      <c r="V44" s="295">
        <v>9.00000035762787E-2</v>
      </c>
      <c r="W44" s="295">
        <v>35</v>
      </c>
      <c r="X44" s="295">
        <v>192</v>
      </c>
      <c r="Y44" s="295" t="s">
        <v>6048</v>
      </c>
      <c r="Z44" s="295" t="b">
        <v>1</v>
      </c>
      <c r="AA44" s="295">
        <v>5</v>
      </c>
      <c r="AB44" s="295">
        <v>0.75</v>
      </c>
      <c r="AC44" s="295">
        <v>0.55000001192092896</v>
      </c>
      <c r="AD44" s="295">
        <v>0.58083701133728005</v>
      </c>
      <c r="AG44" s="295">
        <v>40</v>
      </c>
      <c r="AH44" s="295">
        <v>0.40000000596046398</v>
      </c>
      <c r="AJ44" s="295">
        <f>VLOOKUP(A44,'RBSA Weights'!$A$2:$N$322,8,FALSE)</f>
        <v>2914.5654296875</v>
      </c>
    </row>
    <row r="45" spans="1:36">
      <c r="A45" s="295">
        <v>20046</v>
      </c>
      <c r="B45" s="295" t="s">
        <v>6052</v>
      </c>
      <c r="C45" s="295" t="b">
        <v>0</v>
      </c>
      <c r="D45" s="295">
        <v>1848</v>
      </c>
      <c r="E45" s="295">
        <v>7</v>
      </c>
      <c r="G45" s="295">
        <v>38</v>
      </c>
      <c r="H45" s="295" t="s">
        <v>162</v>
      </c>
      <c r="I45" s="295">
        <v>3.5000000149011598E-2</v>
      </c>
      <c r="J45" s="295" t="b">
        <v>0</v>
      </c>
      <c r="K45" s="295">
        <v>1716</v>
      </c>
      <c r="L45" s="295" t="s">
        <v>6045</v>
      </c>
      <c r="N45" s="295">
        <v>33</v>
      </c>
      <c r="O45" s="295" t="s">
        <v>162</v>
      </c>
      <c r="P45" s="295">
        <v>2.9999999329447701E-2</v>
      </c>
      <c r="Q45" s="295" t="b">
        <v>0</v>
      </c>
      <c r="R45" s="295">
        <v>1183</v>
      </c>
      <c r="T45" s="295">
        <v>21</v>
      </c>
      <c r="U45" s="295" t="s">
        <v>6051</v>
      </c>
      <c r="V45" s="295">
        <v>5.6000001728534698E-2</v>
      </c>
      <c r="W45" s="295">
        <v>116</v>
      </c>
      <c r="Z45" s="295" t="b">
        <v>0</v>
      </c>
      <c r="AA45" s="295">
        <v>30</v>
      </c>
      <c r="AB45" s="295">
        <v>0.37999999523162797</v>
      </c>
      <c r="AC45" s="295">
        <v>0.34999999403953602</v>
      </c>
      <c r="AD45" s="295">
        <v>0.37999999523162797</v>
      </c>
      <c r="AE45" s="295">
        <v>20</v>
      </c>
      <c r="AF45" s="295">
        <v>0.60000002384185802</v>
      </c>
      <c r="AG45" s="295">
        <v>40</v>
      </c>
      <c r="AH45" s="295">
        <v>0.40000000596046398</v>
      </c>
      <c r="AJ45" s="295">
        <f>VLOOKUP(A45,'RBSA Weights'!$A$2:$N$322,8,FALSE)</f>
        <v>1211.2822265625</v>
      </c>
    </row>
    <row r="46" spans="1:36">
      <c r="A46" s="295">
        <v>20056</v>
      </c>
      <c r="B46" s="295" t="s">
        <v>6052</v>
      </c>
      <c r="C46" s="295" t="b">
        <v>0</v>
      </c>
      <c r="D46" s="295">
        <v>1466</v>
      </c>
      <c r="E46" s="295">
        <v>9</v>
      </c>
      <c r="G46" s="295">
        <v>38</v>
      </c>
      <c r="H46" s="295" t="s">
        <v>162</v>
      </c>
      <c r="I46" s="295">
        <v>3.5000000149011598E-2</v>
      </c>
      <c r="J46" s="295" t="b">
        <v>0</v>
      </c>
      <c r="K46" s="295">
        <v>1333</v>
      </c>
      <c r="L46" s="295" t="s">
        <v>6045</v>
      </c>
      <c r="N46" s="295">
        <v>33</v>
      </c>
      <c r="O46" s="295" t="s">
        <v>162</v>
      </c>
      <c r="P46" s="295">
        <v>2.9999999329447701E-2</v>
      </c>
      <c r="Q46" s="295" t="b">
        <v>0</v>
      </c>
      <c r="R46" s="295">
        <v>1503</v>
      </c>
      <c r="T46" s="295">
        <v>21</v>
      </c>
      <c r="U46" s="295" t="s">
        <v>6051</v>
      </c>
      <c r="V46" s="295">
        <v>5.6000001728534698E-2</v>
      </c>
      <c r="W46" s="295">
        <v>156</v>
      </c>
      <c r="Z46" s="295" t="b">
        <v>0</v>
      </c>
      <c r="AA46" s="295">
        <v>20</v>
      </c>
      <c r="AB46" s="295">
        <v>0.37999999523162797</v>
      </c>
      <c r="AC46" s="295">
        <v>0.55000001192092896</v>
      </c>
      <c r="AD46" s="295">
        <v>0.37999999523162797</v>
      </c>
      <c r="AG46" s="295">
        <v>40</v>
      </c>
      <c r="AH46" s="295">
        <v>0.40000000596046398</v>
      </c>
      <c r="AJ46" s="295">
        <f>VLOOKUP(A46,'RBSA Weights'!$A$2:$N$322,8,FALSE)</f>
        <v>868.428955078125</v>
      </c>
    </row>
    <row r="47" spans="1:36">
      <c r="A47" s="295">
        <v>20098</v>
      </c>
      <c r="B47" s="295" t="s">
        <v>6056</v>
      </c>
      <c r="C47" s="295" t="b">
        <v>0</v>
      </c>
      <c r="D47" s="295">
        <v>561</v>
      </c>
      <c r="E47" s="295">
        <v>8</v>
      </c>
      <c r="G47" s="295">
        <v>7</v>
      </c>
      <c r="H47" s="295" t="s">
        <v>6055</v>
      </c>
      <c r="I47" s="295">
        <v>0.129999995231628</v>
      </c>
      <c r="J47" s="295" t="b">
        <v>0</v>
      </c>
      <c r="K47" s="295">
        <v>561</v>
      </c>
      <c r="L47" s="295" t="s">
        <v>6060</v>
      </c>
      <c r="N47" s="295">
        <v>7</v>
      </c>
      <c r="O47" s="295" t="s">
        <v>6055</v>
      </c>
      <c r="P47" s="295">
        <v>0.14699999988079099</v>
      </c>
      <c r="Q47" s="295" t="b">
        <v>0</v>
      </c>
      <c r="R47" s="295">
        <v>992</v>
      </c>
      <c r="T47" s="295">
        <v>7</v>
      </c>
      <c r="U47" s="295" t="s">
        <v>6055</v>
      </c>
      <c r="V47" s="295">
        <v>0.119999997317791</v>
      </c>
      <c r="W47" s="295">
        <v>45</v>
      </c>
      <c r="Z47" s="295" t="b">
        <v>0</v>
      </c>
      <c r="AA47" s="295">
        <v>0</v>
      </c>
      <c r="AB47" s="295">
        <v>1.25</v>
      </c>
      <c r="AD47" s="295">
        <v>1.25</v>
      </c>
      <c r="AG47" s="295">
        <v>40</v>
      </c>
      <c r="AH47" s="295">
        <v>0.40000000596046398</v>
      </c>
      <c r="AI47" s="295" t="s">
        <v>6188</v>
      </c>
      <c r="AJ47" s="295">
        <f>VLOOKUP(A47,'RBSA Weights'!$A$2:$N$322,8,FALSE)</f>
        <v>2914.5654296875</v>
      </c>
    </row>
    <row r="48" spans="1:36">
      <c r="A48" s="295">
        <v>20124</v>
      </c>
      <c r="B48" s="295" t="s">
        <v>6052</v>
      </c>
      <c r="C48" s="295" t="b">
        <v>0</v>
      </c>
      <c r="D48" s="295">
        <v>1470</v>
      </c>
      <c r="E48" s="295">
        <v>9</v>
      </c>
      <c r="G48" s="295">
        <v>38</v>
      </c>
      <c r="H48" s="295" t="s">
        <v>162</v>
      </c>
      <c r="I48" s="295">
        <v>3.5000000149011598E-2</v>
      </c>
      <c r="J48" s="295" t="b">
        <v>0</v>
      </c>
      <c r="K48" s="295">
        <v>1372</v>
      </c>
      <c r="L48" s="295" t="s">
        <v>6041</v>
      </c>
      <c r="N48" s="295">
        <v>33</v>
      </c>
      <c r="O48" s="295" t="s">
        <v>162</v>
      </c>
      <c r="P48" s="295">
        <v>5.4000001400709201E-2</v>
      </c>
      <c r="Q48" s="295" t="b">
        <v>0</v>
      </c>
      <c r="R48" s="295">
        <v>1232</v>
      </c>
      <c r="T48" s="295">
        <v>21</v>
      </c>
      <c r="U48" s="295" t="s">
        <v>6051</v>
      </c>
      <c r="V48" s="295">
        <v>5.6000001728534698E-2</v>
      </c>
      <c r="W48" s="295">
        <v>92</v>
      </c>
      <c r="Z48" s="295" t="b">
        <v>0</v>
      </c>
      <c r="AA48" s="295">
        <v>5</v>
      </c>
      <c r="AB48" s="295">
        <v>0.37999999523162797</v>
      </c>
      <c r="AD48" s="295">
        <v>0.37999999523162797</v>
      </c>
      <c r="AG48" s="295">
        <v>40</v>
      </c>
      <c r="AH48" s="295">
        <v>0.40000000596046398</v>
      </c>
      <c r="AJ48" s="295">
        <f>VLOOKUP(A48,'RBSA Weights'!$A$2:$N$322,8,FALSE)</f>
        <v>1211.2822265625</v>
      </c>
    </row>
    <row r="49" spans="1:36">
      <c r="A49" s="295">
        <v>20178</v>
      </c>
      <c r="B49" s="295" t="s">
        <v>6058</v>
      </c>
      <c r="C49" s="295" t="b">
        <v>0</v>
      </c>
      <c r="D49" s="295">
        <v>2880</v>
      </c>
      <c r="E49" s="295">
        <v>8.5</v>
      </c>
      <c r="G49" s="295">
        <v>49</v>
      </c>
      <c r="H49" s="295" t="s">
        <v>6057</v>
      </c>
      <c r="I49" s="295">
        <v>2.60000005364418E-2</v>
      </c>
      <c r="J49" s="295" t="b">
        <v>0</v>
      </c>
      <c r="K49" s="295">
        <v>2880</v>
      </c>
      <c r="L49" s="295" t="s">
        <v>6045</v>
      </c>
      <c r="N49" s="295">
        <v>33</v>
      </c>
      <c r="O49" s="295" t="s">
        <v>162</v>
      </c>
      <c r="P49" s="295">
        <v>2.9999999329447701E-2</v>
      </c>
      <c r="Q49" s="295" t="b">
        <v>0</v>
      </c>
      <c r="R49" s="295">
        <v>3512</v>
      </c>
      <c r="T49" s="295">
        <v>21</v>
      </c>
      <c r="U49" s="295" t="s">
        <v>6051</v>
      </c>
      <c r="V49" s="295">
        <v>5.6000001728534698E-2</v>
      </c>
      <c r="W49" s="295">
        <v>246</v>
      </c>
      <c r="X49" s="295">
        <v>35</v>
      </c>
      <c r="Y49" s="295" t="s">
        <v>6048</v>
      </c>
      <c r="Z49" s="295" t="b">
        <v>1</v>
      </c>
      <c r="AA49" s="295">
        <v>10</v>
      </c>
      <c r="AB49" s="295">
        <v>0.34999999403953602</v>
      </c>
      <c r="AC49" s="295">
        <v>0.55000001192092896</v>
      </c>
      <c r="AD49" s="295">
        <v>0.37491104006767301</v>
      </c>
      <c r="AE49" s="295">
        <v>31</v>
      </c>
      <c r="AF49" s="295">
        <v>0.69032257795333896</v>
      </c>
      <c r="AG49" s="295">
        <v>40</v>
      </c>
      <c r="AH49" s="295">
        <v>0.40000000596046398</v>
      </c>
      <c r="AJ49" s="295">
        <f>VLOOKUP(A49,'RBSA Weights'!$A$2:$N$322,8,FALSE)</f>
        <v>868.428955078125</v>
      </c>
    </row>
    <row r="50" spans="1:36">
      <c r="A50" s="295">
        <v>20179</v>
      </c>
      <c r="B50" s="295" t="s">
        <v>6056</v>
      </c>
      <c r="C50" s="295" t="b">
        <v>1</v>
      </c>
      <c r="D50" s="295">
        <v>854</v>
      </c>
      <c r="E50" s="295">
        <v>8</v>
      </c>
      <c r="F50" s="295" t="s">
        <v>157</v>
      </c>
      <c r="G50" s="295">
        <v>19</v>
      </c>
      <c r="H50" s="295" t="s">
        <v>6051</v>
      </c>
      <c r="I50" s="295">
        <v>5.6000001728534698E-2</v>
      </c>
      <c r="J50" s="295" t="b">
        <v>0</v>
      </c>
      <c r="K50" s="295">
        <v>854</v>
      </c>
      <c r="L50" s="295" t="s">
        <v>6041</v>
      </c>
      <c r="N50" s="295">
        <v>7</v>
      </c>
      <c r="O50" s="295" t="s">
        <v>6055</v>
      </c>
      <c r="P50" s="295">
        <v>9.4999998807907104E-2</v>
      </c>
      <c r="Q50" s="295" t="b">
        <v>0</v>
      </c>
      <c r="R50" s="295">
        <v>1088</v>
      </c>
      <c r="T50" s="295">
        <v>7</v>
      </c>
      <c r="U50" s="295" t="s">
        <v>6055</v>
      </c>
      <c r="V50" s="295">
        <v>0.119999997317791</v>
      </c>
      <c r="X50" s="295">
        <v>97</v>
      </c>
      <c r="Y50" s="295" t="s">
        <v>6048</v>
      </c>
      <c r="Z50" s="295" t="b">
        <v>1</v>
      </c>
      <c r="AA50" s="295">
        <v>50</v>
      </c>
      <c r="AB50" s="295">
        <v>1.25</v>
      </c>
      <c r="AC50" s="295">
        <v>0.55000001192092896</v>
      </c>
      <c r="AD50" s="295">
        <v>0.55000001192092896</v>
      </c>
      <c r="AG50" s="295">
        <v>40</v>
      </c>
      <c r="AH50" s="295">
        <v>0.40000000596046398</v>
      </c>
      <c r="AI50" s="295" t="s">
        <v>6187</v>
      </c>
      <c r="AJ50" s="295">
        <f>VLOOKUP(A50,'RBSA Weights'!$A$2:$N$322,8,FALSE)</f>
        <v>1211.2822265625</v>
      </c>
    </row>
    <row r="51" spans="1:36">
      <c r="A51" s="295">
        <v>20191</v>
      </c>
      <c r="B51" s="295" t="s">
        <v>6056</v>
      </c>
      <c r="C51" s="295" t="b">
        <v>0</v>
      </c>
      <c r="D51" s="295">
        <v>550</v>
      </c>
      <c r="E51" s="295">
        <v>7.4000000953674299</v>
      </c>
      <c r="G51" s="295">
        <v>7</v>
      </c>
      <c r="H51" s="295" t="s">
        <v>6055</v>
      </c>
      <c r="I51" s="295">
        <v>0.129999995231628</v>
      </c>
      <c r="J51" s="295" t="b">
        <v>1</v>
      </c>
      <c r="K51" s="295">
        <v>550</v>
      </c>
      <c r="L51" s="295" t="s">
        <v>6045</v>
      </c>
      <c r="M51" s="295" t="s">
        <v>156</v>
      </c>
      <c r="N51" s="295">
        <v>11</v>
      </c>
      <c r="O51" s="295" t="s">
        <v>6040</v>
      </c>
      <c r="P51" s="295">
        <v>6.7000001668930095E-2</v>
      </c>
      <c r="Q51" s="295" t="b">
        <v>1</v>
      </c>
      <c r="R51" s="295">
        <v>951.59997558593795</v>
      </c>
      <c r="S51" s="295" t="s">
        <v>156</v>
      </c>
      <c r="T51" s="295">
        <v>11</v>
      </c>
      <c r="U51" s="295" t="s">
        <v>6040</v>
      </c>
      <c r="V51" s="295">
        <v>9.00000035762787E-2</v>
      </c>
      <c r="W51" s="295">
        <v>4</v>
      </c>
      <c r="X51" s="295">
        <v>63</v>
      </c>
      <c r="Y51" s="295" t="s">
        <v>6048</v>
      </c>
      <c r="Z51" s="295" t="b">
        <v>1</v>
      </c>
      <c r="AA51" s="295">
        <v>14</v>
      </c>
      <c r="AB51" s="295">
        <v>1.25</v>
      </c>
      <c r="AC51" s="295">
        <v>0.55000001192092896</v>
      </c>
      <c r="AD51" s="295">
        <v>0.59179109334945701</v>
      </c>
      <c r="AG51" s="295">
        <v>40</v>
      </c>
      <c r="AH51" s="295">
        <v>0.40000000596046398</v>
      </c>
      <c r="AI51" s="295" t="s">
        <v>6186</v>
      </c>
      <c r="AJ51" s="295">
        <f>VLOOKUP(A51,'RBSA Weights'!$A$2:$N$322,8,FALSE)</f>
        <v>3065.64990234375</v>
      </c>
    </row>
    <row r="52" spans="1:36">
      <c r="A52" s="295">
        <v>20196</v>
      </c>
      <c r="B52" s="295" t="s">
        <v>6042</v>
      </c>
      <c r="C52" s="295" t="b">
        <v>1</v>
      </c>
      <c r="D52" s="295">
        <v>784</v>
      </c>
      <c r="E52" s="295">
        <v>7</v>
      </c>
      <c r="F52" s="295" t="s">
        <v>158</v>
      </c>
      <c r="G52" s="295">
        <v>30</v>
      </c>
      <c r="H52" s="295" t="s">
        <v>6046</v>
      </c>
      <c r="I52" s="295">
        <v>4.39999997615814E-2</v>
      </c>
      <c r="J52" s="295" t="b">
        <v>1</v>
      </c>
      <c r="K52" s="295">
        <v>784</v>
      </c>
      <c r="L52" s="295" t="s">
        <v>6045</v>
      </c>
      <c r="M52" s="295" t="s">
        <v>157</v>
      </c>
      <c r="N52" s="295">
        <v>19</v>
      </c>
      <c r="O52" s="295" t="s">
        <v>6051</v>
      </c>
      <c r="P52" s="295">
        <v>5.6000001728534698E-2</v>
      </c>
      <c r="Q52" s="295" t="b">
        <v>1</v>
      </c>
      <c r="R52" s="295">
        <v>1120</v>
      </c>
      <c r="S52" s="295" t="s">
        <v>157</v>
      </c>
      <c r="T52" s="295">
        <v>19</v>
      </c>
      <c r="U52" s="295" t="s">
        <v>6051</v>
      </c>
      <c r="V52" s="295">
        <v>5.9999998658895499E-2</v>
      </c>
      <c r="W52" s="295">
        <v>164</v>
      </c>
      <c r="Z52" s="295" t="b">
        <v>0</v>
      </c>
      <c r="AA52" s="295">
        <v>8</v>
      </c>
      <c r="AB52" s="295">
        <v>0.75</v>
      </c>
      <c r="AC52" s="295">
        <v>0.69999998807907104</v>
      </c>
      <c r="AD52" s="295">
        <v>0.75</v>
      </c>
      <c r="AG52" s="295">
        <v>40</v>
      </c>
      <c r="AH52" s="295">
        <v>0.34999999403953602</v>
      </c>
      <c r="AJ52" s="295">
        <f>VLOOKUP(A52,'RBSA Weights'!$A$2:$N$322,8,FALSE)</f>
        <v>868.428955078125</v>
      </c>
    </row>
    <row r="53" spans="1:36">
      <c r="A53" s="295">
        <v>20199</v>
      </c>
      <c r="B53" s="295" t="s">
        <v>6053</v>
      </c>
      <c r="C53" s="295" t="b">
        <v>0</v>
      </c>
      <c r="D53" s="295">
        <v>1417</v>
      </c>
      <c r="E53" s="295">
        <v>8.5</v>
      </c>
      <c r="G53" s="295">
        <v>22</v>
      </c>
      <c r="H53" s="295" t="s">
        <v>6046</v>
      </c>
      <c r="I53" s="295">
        <v>5.2000001072883599E-2</v>
      </c>
      <c r="J53" s="295" t="b">
        <v>0</v>
      </c>
      <c r="K53" s="295">
        <v>1417</v>
      </c>
      <c r="L53" s="295" t="s">
        <v>6045</v>
      </c>
      <c r="N53" s="295">
        <v>22</v>
      </c>
      <c r="O53" s="295" t="s">
        <v>6046</v>
      </c>
      <c r="P53" s="295">
        <v>5.0999999046325697E-2</v>
      </c>
      <c r="Q53" s="295" t="b">
        <v>0</v>
      </c>
      <c r="R53" s="295">
        <v>1137</v>
      </c>
      <c r="T53" s="295">
        <v>11</v>
      </c>
      <c r="U53" s="295" t="s">
        <v>6040</v>
      </c>
      <c r="V53" s="295">
        <v>9.00000035762787E-2</v>
      </c>
      <c r="W53" s="295">
        <v>180</v>
      </c>
      <c r="Z53" s="295" t="b">
        <v>0</v>
      </c>
      <c r="AA53" s="295">
        <v>20</v>
      </c>
      <c r="AB53" s="295">
        <v>0.479999989271164</v>
      </c>
      <c r="AD53" s="295">
        <v>0.480000019073486</v>
      </c>
      <c r="AG53" s="295">
        <v>40</v>
      </c>
      <c r="AH53" s="295">
        <v>0.40000000596046398</v>
      </c>
      <c r="AI53" s="295" t="s">
        <v>6185</v>
      </c>
      <c r="AJ53" s="295">
        <f>VLOOKUP(A53,'RBSA Weights'!$A$2:$N$322,8,FALSE)</f>
        <v>2128.94555664063</v>
      </c>
    </row>
    <row r="54" spans="1:36">
      <c r="A54" s="295">
        <v>20210</v>
      </c>
      <c r="B54" s="295" t="s">
        <v>6058</v>
      </c>
      <c r="C54" s="295" t="b">
        <v>0</v>
      </c>
      <c r="D54" s="295">
        <v>1262</v>
      </c>
      <c r="E54" s="295">
        <v>8.5</v>
      </c>
      <c r="G54" s="295">
        <v>49</v>
      </c>
      <c r="H54" s="295" t="s">
        <v>6057</v>
      </c>
      <c r="I54" s="295">
        <v>2.60000005364418E-2</v>
      </c>
      <c r="J54" s="295" t="b">
        <v>0</v>
      </c>
      <c r="K54" s="295">
        <v>1296</v>
      </c>
      <c r="L54" s="295" t="s">
        <v>6045</v>
      </c>
      <c r="N54" s="295">
        <v>33</v>
      </c>
      <c r="O54" s="295" t="s">
        <v>162</v>
      </c>
      <c r="P54" s="295">
        <v>2.9999999329447701E-2</v>
      </c>
      <c r="Q54" s="295" t="b">
        <v>0</v>
      </c>
      <c r="R54" s="295">
        <v>1362</v>
      </c>
      <c r="T54" s="295">
        <v>21</v>
      </c>
      <c r="U54" s="295" t="s">
        <v>6051</v>
      </c>
      <c r="V54" s="295">
        <v>5.6000001728534698E-2</v>
      </c>
      <c r="W54" s="295">
        <v>203</v>
      </c>
      <c r="Z54" s="295" t="b">
        <v>0</v>
      </c>
      <c r="AA54" s="295">
        <v>15</v>
      </c>
      <c r="AB54" s="295">
        <v>0.34999999403953602</v>
      </c>
      <c r="AC54" s="295">
        <v>0.55000001192092896</v>
      </c>
      <c r="AD54" s="295">
        <v>0.34999996423721302</v>
      </c>
      <c r="AG54" s="295">
        <v>40</v>
      </c>
      <c r="AH54" s="295">
        <v>0.40000000596046398</v>
      </c>
      <c r="AJ54" s="295">
        <f>VLOOKUP(A54,'RBSA Weights'!$A$2:$N$322,8,FALSE)</f>
        <v>2128.88549804688</v>
      </c>
    </row>
    <row r="55" spans="1:36">
      <c r="A55" s="295">
        <v>20283</v>
      </c>
      <c r="B55" s="295" t="s">
        <v>6058</v>
      </c>
      <c r="C55" s="295" t="b">
        <v>0</v>
      </c>
      <c r="D55" s="295">
        <v>1750</v>
      </c>
      <c r="E55" s="295">
        <v>8.5</v>
      </c>
      <c r="G55" s="295">
        <v>49</v>
      </c>
      <c r="H55" s="295" t="s">
        <v>6057</v>
      </c>
      <c r="I55" s="295">
        <v>2.60000005364418E-2</v>
      </c>
      <c r="J55" s="295" t="b">
        <v>0</v>
      </c>
      <c r="K55" s="295">
        <v>1750</v>
      </c>
      <c r="L55" s="295" t="s">
        <v>6045</v>
      </c>
      <c r="N55" s="295">
        <v>33</v>
      </c>
      <c r="O55" s="295" t="s">
        <v>162</v>
      </c>
      <c r="P55" s="295">
        <v>2.9999999329447701E-2</v>
      </c>
      <c r="Q55" s="295" t="b">
        <v>0</v>
      </c>
      <c r="R55" s="295">
        <v>1557</v>
      </c>
      <c r="T55" s="295">
        <v>21</v>
      </c>
      <c r="U55" s="295" t="s">
        <v>6051</v>
      </c>
      <c r="V55" s="295">
        <v>5.6000001728534698E-2</v>
      </c>
      <c r="W55" s="295">
        <v>237</v>
      </c>
      <c r="Z55" s="295" t="b">
        <v>0</v>
      </c>
      <c r="AA55" s="295">
        <v>35</v>
      </c>
      <c r="AB55" s="295">
        <v>0.34999999403953602</v>
      </c>
      <c r="AD55" s="295">
        <v>0.34999999403953602</v>
      </c>
      <c r="AG55" s="295">
        <v>40</v>
      </c>
      <c r="AH55" s="295">
        <v>0.40000000596046398</v>
      </c>
      <c r="AI55" s="295" t="s">
        <v>6184</v>
      </c>
      <c r="AJ55" s="295">
        <f>VLOOKUP(A55,'RBSA Weights'!$A$2:$N$322,8,FALSE)</f>
        <v>2319.07739257813</v>
      </c>
    </row>
    <row r="56" spans="1:36">
      <c r="A56" s="295">
        <v>20300</v>
      </c>
      <c r="B56" s="295" t="s">
        <v>6042</v>
      </c>
      <c r="C56" s="295" t="b">
        <v>0</v>
      </c>
      <c r="D56" s="295">
        <v>1375</v>
      </c>
      <c r="E56" s="295">
        <v>7</v>
      </c>
      <c r="G56" s="295">
        <v>11</v>
      </c>
      <c r="H56" s="295" t="s">
        <v>6040</v>
      </c>
      <c r="I56" s="295">
        <v>0.10000000149011599</v>
      </c>
      <c r="J56" s="295" t="b">
        <v>0</v>
      </c>
      <c r="K56" s="295">
        <v>1375</v>
      </c>
      <c r="L56" s="295" t="s">
        <v>6045</v>
      </c>
      <c r="N56" s="295">
        <v>11</v>
      </c>
      <c r="O56" s="295" t="s">
        <v>6040</v>
      </c>
      <c r="P56" s="295">
        <v>6.7000001668930095E-2</v>
      </c>
      <c r="Q56" s="295" t="b">
        <v>0</v>
      </c>
      <c r="R56" s="295">
        <v>1120</v>
      </c>
      <c r="T56" s="295">
        <v>11</v>
      </c>
      <c r="U56" s="295" t="s">
        <v>6040</v>
      </c>
      <c r="V56" s="295">
        <v>9.00000035762787E-2</v>
      </c>
      <c r="W56" s="295">
        <v>153</v>
      </c>
      <c r="Z56" s="295" t="b">
        <v>0</v>
      </c>
      <c r="AA56" s="295">
        <v>0</v>
      </c>
      <c r="AB56" s="295">
        <v>0.75</v>
      </c>
      <c r="AD56" s="295">
        <v>0.75</v>
      </c>
      <c r="AG56" s="295">
        <v>40</v>
      </c>
      <c r="AH56" s="295">
        <v>0.40000000596046398</v>
      </c>
      <c r="AJ56" s="295">
        <f>VLOOKUP(A56,'RBSA Weights'!$A$2:$N$322,8,FALSE)</f>
        <v>2128.88549804688</v>
      </c>
    </row>
    <row r="57" spans="1:36">
      <c r="A57" s="295">
        <v>20306</v>
      </c>
      <c r="B57" s="295" t="s">
        <v>6056</v>
      </c>
      <c r="C57" s="295" t="b">
        <v>0</v>
      </c>
      <c r="D57" s="295">
        <v>910</v>
      </c>
      <c r="E57" s="295">
        <v>8</v>
      </c>
      <c r="G57" s="295">
        <v>7</v>
      </c>
      <c r="H57" s="295" t="s">
        <v>6055</v>
      </c>
      <c r="I57" s="295">
        <v>0.129999995231628</v>
      </c>
      <c r="J57" s="295" t="b">
        <v>0</v>
      </c>
      <c r="K57" s="295">
        <v>910</v>
      </c>
      <c r="L57" s="295" t="s">
        <v>6060</v>
      </c>
      <c r="N57" s="295">
        <v>7</v>
      </c>
      <c r="O57" s="295" t="s">
        <v>6055</v>
      </c>
      <c r="P57" s="295">
        <v>0.14699999988079099</v>
      </c>
      <c r="Q57" s="295" t="b">
        <v>0</v>
      </c>
      <c r="R57" s="295">
        <v>1264</v>
      </c>
      <c r="T57" s="295">
        <v>7</v>
      </c>
      <c r="U57" s="295" t="s">
        <v>6055</v>
      </c>
      <c r="V57" s="295">
        <v>0.119999997317791</v>
      </c>
      <c r="W57" s="295">
        <v>115</v>
      </c>
      <c r="Z57" s="295" t="b">
        <v>0</v>
      </c>
      <c r="AA57" s="295">
        <v>5</v>
      </c>
      <c r="AB57" s="295">
        <v>1.25</v>
      </c>
      <c r="AD57" s="295">
        <v>1.25</v>
      </c>
      <c r="AG57" s="295">
        <v>40</v>
      </c>
      <c r="AH57" s="295">
        <v>0.40000000596046398</v>
      </c>
      <c r="AI57" s="295" t="s">
        <v>6183</v>
      </c>
      <c r="AJ57" s="295">
        <f>VLOOKUP(A57,'RBSA Weights'!$A$2:$N$322,8,FALSE)</f>
        <v>1211.2822265625</v>
      </c>
    </row>
    <row r="58" spans="1:36">
      <c r="A58" s="295">
        <v>20317</v>
      </c>
      <c r="B58" s="295" t="s">
        <v>6052</v>
      </c>
      <c r="C58" s="295" t="b">
        <v>0</v>
      </c>
      <c r="D58" s="295">
        <v>2135</v>
      </c>
      <c r="E58" s="295">
        <v>8.3299999237060494</v>
      </c>
      <c r="G58" s="295">
        <v>38</v>
      </c>
      <c r="H58" s="295" t="s">
        <v>162</v>
      </c>
      <c r="I58" s="295">
        <v>3.5000000149011598E-2</v>
      </c>
      <c r="J58" s="295" t="b">
        <v>0</v>
      </c>
      <c r="K58" s="295">
        <v>1935</v>
      </c>
      <c r="L58" s="295" t="s">
        <v>6045</v>
      </c>
      <c r="N58" s="295">
        <v>33</v>
      </c>
      <c r="O58" s="295" t="s">
        <v>162</v>
      </c>
      <c r="P58" s="295">
        <v>2.9999999329447701E-2</v>
      </c>
      <c r="Q58" s="295" t="b">
        <v>0</v>
      </c>
      <c r="R58" s="295">
        <v>1550</v>
      </c>
      <c r="T58" s="295">
        <v>21</v>
      </c>
      <c r="U58" s="295" t="s">
        <v>6051</v>
      </c>
      <c r="V58" s="295">
        <v>5.6000001728534698E-2</v>
      </c>
      <c r="W58" s="295">
        <v>289</v>
      </c>
      <c r="Z58" s="295" t="b">
        <v>0</v>
      </c>
      <c r="AA58" s="295">
        <v>30</v>
      </c>
      <c r="AB58" s="295">
        <v>0.37999999523162797</v>
      </c>
      <c r="AC58" s="295">
        <v>0.55000001192092896</v>
      </c>
      <c r="AD58" s="295">
        <v>0.37999999523162797</v>
      </c>
      <c r="AG58" s="295">
        <v>40</v>
      </c>
      <c r="AH58" s="295">
        <v>0.40000000596046398</v>
      </c>
      <c r="AJ58" s="295">
        <f>VLOOKUP(A58,'RBSA Weights'!$A$2:$N$322,8,FALSE)</f>
        <v>2319.07739257813</v>
      </c>
    </row>
    <row r="59" spans="1:36">
      <c r="A59" s="295">
        <v>20322</v>
      </c>
      <c r="B59" s="295" t="s">
        <v>6053</v>
      </c>
      <c r="C59" s="295" t="b">
        <v>0</v>
      </c>
      <c r="D59" s="295">
        <v>1620</v>
      </c>
      <c r="E59" s="295">
        <v>8</v>
      </c>
      <c r="G59" s="295">
        <v>22</v>
      </c>
      <c r="H59" s="295" t="s">
        <v>6046</v>
      </c>
      <c r="I59" s="295">
        <v>5.2000001072883599E-2</v>
      </c>
      <c r="J59" s="295" t="b">
        <v>0</v>
      </c>
      <c r="K59" s="295">
        <v>1620</v>
      </c>
      <c r="L59" s="295" t="s">
        <v>6041</v>
      </c>
      <c r="N59" s="295">
        <v>22</v>
      </c>
      <c r="O59" s="295" t="s">
        <v>6046</v>
      </c>
      <c r="P59" s="295">
        <v>6.1999998986720997E-2</v>
      </c>
      <c r="Q59" s="295" t="b">
        <v>0</v>
      </c>
      <c r="R59" s="295">
        <v>1430</v>
      </c>
      <c r="T59" s="295">
        <v>11</v>
      </c>
      <c r="U59" s="295" t="s">
        <v>6040</v>
      </c>
      <c r="V59" s="295">
        <v>9.00000035762787E-2</v>
      </c>
      <c r="W59" s="295">
        <v>141</v>
      </c>
      <c r="Z59" s="295" t="b">
        <v>0</v>
      </c>
      <c r="AA59" s="295">
        <v>25</v>
      </c>
      <c r="AB59" s="295">
        <v>0.479999989271164</v>
      </c>
      <c r="AC59" s="295">
        <v>0.34999999403953602</v>
      </c>
      <c r="AD59" s="295">
        <v>0.479999989271164</v>
      </c>
      <c r="AE59" s="295">
        <v>4</v>
      </c>
      <c r="AF59" s="295">
        <v>1.29999995231628</v>
      </c>
      <c r="AG59" s="295">
        <v>40</v>
      </c>
      <c r="AH59" s="295">
        <v>0.40000000596046398</v>
      </c>
      <c r="AI59" s="295" t="s">
        <v>6182</v>
      </c>
      <c r="AJ59" s="295">
        <f>VLOOKUP(A59,'RBSA Weights'!$A$2:$N$322,8,FALSE)</f>
        <v>2128.94555664063</v>
      </c>
    </row>
    <row r="60" spans="1:36">
      <c r="A60" s="295">
        <v>20364</v>
      </c>
      <c r="B60" s="295" t="s">
        <v>6058</v>
      </c>
      <c r="C60" s="295" t="b">
        <v>0</v>
      </c>
      <c r="D60" s="295">
        <v>1500</v>
      </c>
      <c r="E60" s="295">
        <v>9</v>
      </c>
      <c r="G60" s="295">
        <v>49</v>
      </c>
      <c r="H60" s="295" t="s">
        <v>6057</v>
      </c>
      <c r="I60" s="295">
        <v>2.60000005364418E-2</v>
      </c>
      <c r="J60" s="295" t="b">
        <v>0</v>
      </c>
      <c r="K60" s="295">
        <v>1482</v>
      </c>
      <c r="L60" s="295" t="s">
        <v>6045</v>
      </c>
      <c r="N60" s="295">
        <v>33</v>
      </c>
      <c r="O60" s="295" t="s">
        <v>162</v>
      </c>
      <c r="P60" s="295">
        <v>2.9999999329447701E-2</v>
      </c>
      <c r="Q60" s="295" t="b">
        <v>0</v>
      </c>
      <c r="R60" s="295">
        <v>1288</v>
      </c>
      <c r="T60" s="295">
        <v>21</v>
      </c>
      <c r="U60" s="295" t="s">
        <v>6051</v>
      </c>
      <c r="V60" s="295">
        <v>5.6000001728534698E-2</v>
      </c>
      <c r="W60" s="295">
        <v>184</v>
      </c>
      <c r="Z60" s="295" t="b">
        <v>0</v>
      </c>
      <c r="AA60" s="295">
        <v>5</v>
      </c>
      <c r="AB60" s="295">
        <v>0.34999999403953602</v>
      </c>
      <c r="AD60" s="295">
        <v>0.34999999403953602</v>
      </c>
      <c r="AG60" s="295">
        <v>40</v>
      </c>
      <c r="AH60" s="295">
        <v>0.40000000596046398</v>
      </c>
      <c r="AI60" s="295" t="s">
        <v>6181</v>
      </c>
      <c r="AJ60" s="295">
        <f>VLOOKUP(A60,'RBSA Weights'!$A$2:$N$322,8,FALSE)</f>
        <v>1211.2822265625</v>
      </c>
    </row>
    <row r="61" spans="1:36">
      <c r="A61" s="295">
        <v>20377</v>
      </c>
      <c r="B61" s="295" t="s">
        <v>6042</v>
      </c>
      <c r="C61" s="295" t="b">
        <v>0</v>
      </c>
      <c r="D61" s="295">
        <v>1483</v>
      </c>
      <c r="E61" s="295">
        <v>8</v>
      </c>
      <c r="G61" s="295">
        <v>11</v>
      </c>
      <c r="H61" s="295" t="s">
        <v>6040</v>
      </c>
      <c r="I61" s="295">
        <v>0.10000000149011599</v>
      </c>
      <c r="J61" s="295" t="b">
        <v>0</v>
      </c>
      <c r="K61" s="295">
        <v>1456</v>
      </c>
      <c r="L61" s="295" t="s">
        <v>6045</v>
      </c>
      <c r="N61" s="295">
        <v>11</v>
      </c>
      <c r="O61" s="295" t="s">
        <v>6040</v>
      </c>
      <c r="P61" s="295">
        <v>6.7000001668930095E-2</v>
      </c>
      <c r="Q61" s="295" t="b">
        <v>0</v>
      </c>
      <c r="R61" s="295">
        <v>1338</v>
      </c>
      <c r="T61" s="295">
        <v>11</v>
      </c>
      <c r="U61" s="295" t="s">
        <v>6040</v>
      </c>
      <c r="V61" s="295">
        <v>9.00000035762787E-2</v>
      </c>
      <c r="W61" s="295">
        <v>139</v>
      </c>
      <c r="X61" s="295">
        <v>64</v>
      </c>
      <c r="Y61" s="295" t="s">
        <v>6048</v>
      </c>
      <c r="Z61" s="295" t="b">
        <v>1</v>
      </c>
      <c r="AA61" s="295">
        <v>40</v>
      </c>
      <c r="AB61" s="295">
        <v>0.75</v>
      </c>
      <c r="AC61" s="295">
        <v>0.55000001192092896</v>
      </c>
      <c r="AD61" s="295">
        <v>0.68694579601287797</v>
      </c>
      <c r="AG61" s="295">
        <v>40</v>
      </c>
      <c r="AH61" s="295">
        <v>0.40000000596046398</v>
      </c>
      <c r="AI61" s="295" t="s">
        <v>6180</v>
      </c>
      <c r="AJ61" s="295">
        <f>VLOOKUP(A61,'RBSA Weights'!$A$2:$N$322,8,FALSE)</f>
        <v>2319.07739257813</v>
      </c>
    </row>
    <row r="62" spans="1:36">
      <c r="A62" s="295">
        <v>20378</v>
      </c>
      <c r="B62" s="295" t="s">
        <v>6042</v>
      </c>
      <c r="C62" s="295" t="b">
        <v>0</v>
      </c>
      <c r="D62" s="295">
        <v>845</v>
      </c>
      <c r="E62" s="295">
        <v>8</v>
      </c>
      <c r="G62" s="295">
        <v>11</v>
      </c>
      <c r="H62" s="295" t="s">
        <v>6040</v>
      </c>
      <c r="I62" s="295">
        <v>0.10000000149011599</v>
      </c>
      <c r="J62" s="295" t="b">
        <v>0</v>
      </c>
      <c r="K62" s="295">
        <v>845</v>
      </c>
      <c r="L62" s="295" t="s">
        <v>6041</v>
      </c>
      <c r="N62" s="295">
        <v>11</v>
      </c>
      <c r="O62" s="295" t="s">
        <v>6040</v>
      </c>
      <c r="P62" s="295">
        <v>8.5000000894069699E-2</v>
      </c>
      <c r="Q62" s="295" t="b">
        <v>0</v>
      </c>
      <c r="R62" s="295">
        <v>1248</v>
      </c>
      <c r="T62" s="295">
        <v>11</v>
      </c>
      <c r="U62" s="295" t="s">
        <v>6040</v>
      </c>
      <c r="V62" s="295">
        <v>9.00000035762787E-2</v>
      </c>
      <c r="W62" s="295">
        <v>122</v>
      </c>
      <c r="Y62" s="295" t="s">
        <v>6048</v>
      </c>
      <c r="Z62" s="295" t="b">
        <v>1</v>
      </c>
      <c r="AA62" s="295">
        <v>0</v>
      </c>
      <c r="AB62" s="295">
        <v>0.75</v>
      </c>
      <c r="AC62" s="295">
        <v>0.55000001192092896</v>
      </c>
      <c r="AD62" s="295">
        <v>0.75</v>
      </c>
      <c r="AE62" s="295">
        <v>8</v>
      </c>
      <c r="AF62" s="295">
        <v>1.29999995231628</v>
      </c>
      <c r="AG62" s="295">
        <v>40</v>
      </c>
      <c r="AH62" s="295">
        <v>0.40000000596046398</v>
      </c>
      <c r="AJ62" s="295">
        <f>VLOOKUP(A62,'RBSA Weights'!$A$2:$N$322,8,FALSE)</f>
        <v>2914.5654296875</v>
      </c>
    </row>
    <row r="63" spans="1:36">
      <c r="A63" s="295">
        <v>20391</v>
      </c>
      <c r="B63" s="295" t="s">
        <v>6056</v>
      </c>
      <c r="C63" s="295" t="b">
        <v>0</v>
      </c>
      <c r="D63" s="295">
        <v>580</v>
      </c>
      <c r="E63" s="295">
        <v>8</v>
      </c>
      <c r="G63" s="295">
        <v>7</v>
      </c>
      <c r="H63" s="295" t="s">
        <v>6055</v>
      </c>
      <c r="I63" s="295">
        <v>0.129999995231628</v>
      </c>
      <c r="J63" s="295" t="b">
        <v>0</v>
      </c>
      <c r="K63" s="295">
        <v>570</v>
      </c>
      <c r="L63" s="295" t="s">
        <v>6050</v>
      </c>
      <c r="N63" s="295">
        <v>7</v>
      </c>
      <c r="O63" s="295" t="s">
        <v>6055</v>
      </c>
      <c r="P63" s="295">
        <v>0.11599999666214</v>
      </c>
      <c r="Q63" s="295" t="b">
        <v>0</v>
      </c>
      <c r="R63" s="295">
        <v>1072</v>
      </c>
      <c r="T63" s="295">
        <v>7</v>
      </c>
      <c r="U63" s="295" t="s">
        <v>6055</v>
      </c>
      <c r="V63" s="295">
        <v>0.119999997317791</v>
      </c>
      <c r="W63" s="295">
        <v>1</v>
      </c>
      <c r="X63" s="295">
        <v>162</v>
      </c>
      <c r="Y63" s="295" t="s">
        <v>6048</v>
      </c>
      <c r="Z63" s="295" t="b">
        <v>1</v>
      </c>
      <c r="AA63" s="295">
        <v>30</v>
      </c>
      <c r="AB63" s="295">
        <v>1.25</v>
      </c>
      <c r="AC63" s="295">
        <v>0.55000001192092896</v>
      </c>
      <c r="AD63" s="295">
        <v>0.55429446697235096</v>
      </c>
      <c r="AG63" s="295">
        <v>40</v>
      </c>
      <c r="AH63" s="295">
        <v>0.40000000596046398</v>
      </c>
      <c r="AJ63" s="295">
        <f>VLOOKUP(A63,'RBSA Weights'!$A$2:$N$322,8,FALSE)</f>
        <v>3065.64990234375</v>
      </c>
    </row>
    <row r="64" spans="1:36">
      <c r="A64" s="295">
        <v>20401</v>
      </c>
      <c r="B64" s="295" t="s">
        <v>6053</v>
      </c>
      <c r="C64" s="295" t="b">
        <v>0</v>
      </c>
      <c r="D64" s="295">
        <v>1848</v>
      </c>
      <c r="E64" s="295">
        <v>9</v>
      </c>
      <c r="G64" s="295">
        <v>22</v>
      </c>
      <c r="H64" s="295" t="s">
        <v>6046</v>
      </c>
      <c r="I64" s="295">
        <v>5.2000001072883599E-2</v>
      </c>
      <c r="J64" s="295" t="b">
        <v>0</v>
      </c>
      <c r="K64" s="295">
        <v>1716</v>
      </c>
      <c r="L64" s="295" t="s">
        <v>6045</v>
      </c>
      <c r="N64" s="295">
        <v>22</v>
      </c>
      <c r="O64" s="295" t="s">
        <v>6046</v>
      </c>
      <c r="P64" s="295">
        <v>5.0999999046325697E-2</v>
      </c>
      <c r="Q64" s="295" t="b">
        <v>0</v>
      </c>
      <c r="R64" s="295">
        <v>1472</v>
      </c>
      <c r="T64" s="295">
        <v>11</v>
      </c>
      <c r="U64" s="295" t="s">
        <v>6040</v>
      </c>
      <c r="V64" s="295">
        <v>9.00000035762787E-2</v>
      </c>
      <c r="W64" s="295">
        <v>216</v>
      </c>
      <c r="Z64" s="295" t="b">
        <v>0</v>
      </c>
      <c r="AA64" s="295">
        <v>33</v>
      </c>
      <c r="AB64" s="295">
        <v>0.479999989271164</v>
      </c>
      <c r="AC64" s="295">
        <v>0.34999999403953602</v>
      </c>
      <c r="AD64" s="295">
        <v>0.479999989271164</v>
      </c>
      <c r="AE64" s="295">
        <v>8</v>
      </c>
      <c r="AF64" s="295">
        <v>0.60000002384185802</v>
      </c>
      <c r="AG64" s="295">
        <v>40</v>
      </c>
      <c r="AH64" s="295">
        <v>0.40000000596046398</v>
      </c>
      <c r="AI64" s="295" t="s">
        <v>6179</v>
      </c>
      <c r="AJ64" s="295">
        <f>VLOOKUP(A64,'RBSA Weights'!$A$2:$N$322,8,FALSE)</f>
        <v>1211.2822265625</v>
      </c>
    </row>
    <row r="65" spans="1:36">
      <c r="A65" s="295">
        <v>20429</v>
      </c>
      <c r="B65" s="295" t="s">
        <v>6058</v>
      </c>
      <c r="C65" s="295" t="b">
        <v>0</v>
      </c>
      <c r="D65" s="295">
        <v>2079</v>
      </c>
      <c r="E65" s="295">
        <v>8.5</v>
      </c>
      <c r="G65" s="295">
        <v>49</v>
      </c>
      <c r="H65" s="295" t="s">
        <v>6057</v>
      </c>
      <c r="I65" s="295">
        <v>2.60000005364418E-2</v>
      </c>
      <c r="J65" s="295" t="b">
        <v>0</v>
      </c>
      <c r="K65" s="295">
        <v>2079</v>
      </c>
      <c r="L65" s="295" t="s">
        <v>6045</v>
      </c>
      <c r="N65" s="295">
        <v>33</v>
      </c>
      <c r="O65" s="295" t="s">
        <v>162</v>
      </c>
      <c r="P65" s="295">
        <v>2.9999999329447701E-2</v>
      </c>
      <c r="Q65" s="295" t="b">
        <v>0</v>
      </c>
      <c r="R65" s="295">
        <v>2080</v>
      </c>
      <c r="T65" s="295">
        <v>21</v>
      </c>
      <c r="U65" s="295" t="s">
        <v>6051</v>
      </c>
      <c r="V65" s="295">
        <v>5.6000001728534698E-2</v>
      </c>
      <c r="W65" s="295">
        <v>220</v>
      </c>
      <c r="Z65" s="295" t="b">
        <v>0</v>
      </c>
      <c r="AA65" s="295">
        <v>37</v>
      </c>
      <c r="AB65" s="295">
        <v>0.34999999403953602</v>
      </c>
      <c r="AC65" s="295">
        <v>0.55000001192092896</v>
      </c>
      <c r="AD65" s="295">
        <v>0.34999999403953602</v>
      </c>
      <c r="AG65" s="295">
        <v>40</v>
      </c>
      <c r="AH65" s="295">
        <v>0.34999999403953602</v>
      </c>
      <c r="AJ65" s="295">
        <f>VLOOKUP(A65,'RBSA Weights'!$A$2:$N$322,8,FALSE)</f>
        <v>868.428955078125</v>
      </c>
    </row>
    <row r="66" spans="1:36">
      <c r="A66" s="295">
        <v>20439</v>
      </c>
      <c r="B66" s="295" t="s">
        <v>6056</v>
      </c>
      <c r="C66" s="295" t="b">
        <v>1</v>
      </c>
      <c r="D66" s="295">
        <v>676</v>
      </c>
      <c r="E66" s="295">
        <v>7</v>
      </c>
      <c r="F66" s="295" t="s">
        <v>6083</v>
      </c>
      <c r="G66" s="295">
        <v>38</v>
      </c>
      <c r="H66" s="295" t="s">
        <v>162</v>
      </c>
      <c r="I66" s="295">
        <v>3.5000000149011598E-2</v>
      </c>
      <c r="J66" s="295" t="b">
        <v>1</v>
      </c>
      <c r="K66" s="295">
        <v>676</v>
      </c>
      <c r="L66" s="295" t="s">
        <v>6050</v>
      </c>
      <c r="M66" s="295" t="s">
        <v>6118</v>
      </c>
      <c r="N66" s="295">
        <v>7</v>
      </c>
      <c r="O66" s="295" t="s">
        <v>6055</v>
      </c>
      <c r="P66" s="295">
        <v>0.11599999666214</v>
      </c>
      <c r="Q66" s="295" t="b">
        <v>0</v>
      </c>
      <c r="R66" s="295">
        <v>910</v>
      </c>
      <c r="T66" s="295">
        <v>7</v>
      </c>
      <c r="U66" s="295" t="s">
        <v>6055</v>
      </c>
      <c r="V66" s="295">
        <v>0.119999997317791</v>
      </c>
      <c r="W66" s="295">
        <v>96</v>
      </c>
      <c r="Y66" s="295" t="s">
        <v>6044</v>
      </c>
      <c r="Z66" s="295" t="b">
        <v>1</v>
      </c>
      <c r="AA66" s="295">
        <v>35</v>
      </c>
      <c r="AB66" s="295">
        <v>1.25</v>
      </c>
      <c r="AC66" s="295">
        <v>0.69999998807907104</v>
      </c>
      <c r="AD66" s="295">
        <v>1.25</v>
      </c>
      <c r="AG66" s="295">
        <v>40</v>
      </c>
      <c r="AH66" s="295">
        <v>0.40000000596046398</v>
      </c>
      <c r="AJ66" s="295">
        <f>VLOOKUP(A66,'RBSA Weights'!$A$2:$N$322,8,FALSE)</f>
        <v>2128.94555664063</v>
      </c>
    </row>
    <row r="67" spans="1:36">
      <c r="A67" s="295">
        <v>20464</v>
      </c>
      <c r="B67" s="295" t="s">
        <v>6052</v>
      </c>
      <c r="C67" s="295" t="b">
        <v>0</v>
      </c>
      <c r="D67" s="295">
        <v>1750</v>
      </c>
      <c r="E67" s="295">
        <v>8</v>
      </c>
      <c r="G67" s="295">
        <v>38</v>
      </c>
      <c r="H67" s="295" t="s">
        <v>162</v>
      </c>
      <c r="I67" s="295">
        <v>3.5000000149011598E-2</v>
      </c>
      <c r="J67" s="295" t="b">
        <v>0</v>
      </c>
      <c r="K67" s="295">
        <v>1750</v>
      </c>
      <c r="L67" s="295" t="s">
        <v>6045</v>
      </c>
      <c r="N67" s="295">
        <v>33</v>
      </c>
      <c r="O67" s="295" t="s">
        <v>162</v>
      </c>
      <c r="P67" s="295">
        <v>2.9999999329447701E-2</v>
      </c>
      <c r="Q67" s="295" t="b">
        <v>0</v>
      </c>
      <c r="R67" s="295">
        <v>1475</v>
      </c>
      <c r="T67" s="295">
        <v>21</v>
      </c>
      <c r="U67" s="295" t="s">
        <v>6051</v>
      </c>
      <c r="V67" s="295">
        <v>5.6000001728534698E-2</v>
      </c>
      <c r="W67" s="295">
        <v>215</v>
      </c>
      <c r="Z67" s="295" t="b">
        <v>0</v>
      </c>
      <c r="AB67" s="295">
        <v>0.37999999523162797</v>
      </c>
      <c r="AD67" s="295">
        <v>0.37999999523162797</v>
      </c>
      <c r="AG67" s="295">
        <v>40</v>
      </c>
      <c r="AH67" s="295">
        <v>0.40000000596046398</v>
      </c>
      <c r="AI67" s="295" t="s">
        <v>6178</v>
      </c>
      <c r="AJ67" s="295">
        <f>VLOOKUP(A67,'RBSA Weights'!$A$2:$N$322,8,FALSE)</f>
        <v>2319.07739257813</v>
      </c>
    </row>
    <row r="68" spans="1:36">
      <c r="A68" s="295">
        <v>20465</v>
      </c>
      <c r="B68" s="295" t="s">
        <v>6078</v>
      </c>
      <c r="C68" s="295" t="b">
        <v>0</v>
      </c>
      <c r="D68" s="295">
        <v>1512</v>
      </c>
      <c r="E68" s="295">
        <v>8</v>
      </c>
      <c r="G68" s="295">
        <v>38</v>
      </c>
      <c r="H68" s="295" t="s">
        <v>162</v>
      </c>
      <c r="I68" s="295">
        <v>3.5000000149011598E-2</v>
      </c>
      <c r="J68" s="295" t="b">
        <v>0</v>
      </c>
      <c r="K68" s="295">
        <v>1512</v>
      </c>
      <c r="L68" s="295" t="s">
        <v>6045</v>
      </c>
      <c r="N68" s="295">
        <v>33</v>
      </c>
      <c r="O68" s="295" t="s">
        <v>162</v>
      </c>
      <c r="P68" s="295">
        <v>2.9999999329447701E-2</v>
      </c>
      <c r="Q68" s="295" t="b">
        <v>0</v>
      </c>
      <c r="R68" s="295">
        <v>1328</v>
      </c>
      <c r="T68" s="295">
        <v>21</v>
      </c>
      <c r="U68" s="295" t="s">
        <v>6051</v>
      </c>
      <c r="V68" s="295">
        <v>5.6000001728534698E-2</v>
      </c>
      <c r="W68" s="295">
        <v>158</v>
      </c>
      <c r="Z68" s="295" t="b">
        <v>0</v>
      </c>
      <c r="AA68" s="295">
        <v>15</v>
      </c>
      <c r="AB68" s="295">
        <v>0.37999999523162797</v>
      </c>
      <c r="AD68" s="295">
        <v>0.37999999523162797</v>
      </c>
      <c r="AG68" s="295">
        <v>40</v>
      </c>
      <c r="AH68" s="295">
        <v>0.40000000596046398</v>
      </c>
      <c r="AI68" s="295" t="s">
        <v>6177</v>
      </c>
      <c r="AJ68" s="295">
        <f>VLOOKUP(A68,'RBSA Weights'!$A$2:$N$322,8,FALSE)</f>
        <v>2319.07739257813</v>
      </c>
    </row>
    <row r="69" spans="1:36">
      <c r="A69" s="295">
        <v>20470</v>
      </c>
      <c r="B69" s="295" t="s">
        <v>6042</v>
      </c>
      <c r="C69" s="295" t="b">
        <v>0</v>
      </c>
      <c r="D69" s="295">
        <v>896</v>
      </c>
      <c r="E69" s="295">
        <v>7.5</v>
      </c>
      <c r="G69" s="295">
        <v>11</v>
      </c>
      <c r="H69" s="295" t="s">
        <v>6040</v>
      </c>
      <c r="I69" s="295">
        <v>0.10000000149011599</v>
      </c>
      <c r="J69" s="295" t="b">
        <v>0</v>
      </c>
      <c r="K69" s="295">
        <v>896</v>
      </c>
      <c r="L69" s="295" t="s">
        <v>6045</v>
      </c>
      <c r="N69" s="295">
        <v>11</v>
      </c>
      <c r="O69" s="295" t="s">
        <v>6040</v>
      </c>
      <c r="P69" s="295">
        <v>6.7000001668930095E-2</v>
      </c>
      <c r="Q69" s="295" t="b">
        <v>0</v>
      </c>
      <c r="R69" s="295">
        <v>1170</v>
      </c>
      <c r="T69" s="295">
        <v>11</v>
      </c>
      <c r="U69" s="295" t="s">
        <v>6040</v>
      </c>
      <c r="V69" s="295">
        <v>9.00000035762787E-2</v>
      </c>
      <c r="W69" s="295">
        <v>69</v>
      </c>
      <c r="X69" s="295">
        <v>12</v>
      </c>
      <c r="Y69" s="295" t="s">
        <v>6048</v>
      </c>
      <c r="Z69" s="295" t="b">
        <v>1</v>
      </c>
      <c r="AA69" s="295">
        <v>0</v>
      </c>
      <c r="AB69" s="295">
        <v>0.75</v>
      </c>
      <c r="AC69" s="295">
        <v>0.55000001192092896</v>
      </c>
      <c r="AD69" s="295">
        <v>0.72037035226821899</v>
      </c>
      <c r="AG69" s="295">
        <v>40</v>
      </c>
      <c r="AH69" s="295">
        <v>0.40000000596046398</v>
      </c>
      <c r="AI69" s="295" t="s">
        <v>6176</v>
      </c>
      <c r="AJ69" s="295">
        <f>VLOOKUP(A69,'RBSA Weights'!$A$2:$N$322,8,FALSE)</f>
        <v>3065.64990234375</v>
      </c>
    </row>
    <row r="70" spans="1:36">
      <c r="A70" s="295">
        <v>20484</v>
      </c>
      <c r="B70" s="295" t="s">
        <v>6056</v>
      </c>
      <c r="C70" s="295" t="b">
        <v>0</v>
      </c>
      <c r="D70" s="295">
        <v>1680</v>
      </c>
      <c r="E70" s="295">
        <v>7.5</v>
      </c>
      <c r="G70" s="295">
        <v>7</v>
      </c>
      <c r="H70" s="295" t="s">
        <v>6055</v>
      </c>
      <c r="I70" s="295">
        <v>0.129999995231628</v>
      </c>
      <c r="J70" s="295" t="b">
        <v>1</v>
      </c>
      <c r="K70" s="295">
        <v>1680</v>
      </c>
      <c r="L70" s="295" t="s">
        <v>6045</v>
      </c>
      <c r="M70" s="295" t="s">
        <v>157</v>
      </c>
      <c r="N70" s="295">
        <v>19</v>
      </c>
      <c r="O70" s="295" t="s">
        <v>6051</v>
      </c>
      <c r="P70" s="295">
        <v>5.6000001728534698E-2</v>
      </c>
      <c r="Q70" s="295" t="b">
        <v>0</v>
      </c>
      <c r="R70" s="295">
        <v>1320</v>
      </c>
      <c r="T70" s="295">
        <v>7</v>
      </c>
      <c r="U70" s="295" t="s">
        <v>6055</v>
      </c>
      <c r="V70" s="295">
        <v>0.119999997317791</v>
      </c>
      <c r="W70" s="295">
        <v>12</v>
      </c>
      <c r="X70" s="295">
        <v>127</v>
      </c>
      <c r="Y70" s="295" t="s">
        <v>6048</v>
      </c>
      <c r="Z70" s="295" t="b">
        <v>1</v>
      </c>
      <c r="AA70" s="295">
        <v>40</v>
      </c>
      <c r="AB70" s="295">
        <v>1.25</v>
      </c>
      <c r="AC70" s="295">
        <v>0.55000001192092896</v>
      </c>
      <c r="AD70" s="295">
        <v>0.61043167114257801</v>
      </c>
      <c r="AG70" s="295">
        <v>40</v>
      </c>
      <c r="AH70" s="295">
        <v>0.40000000596046398</v>
      </c>
      <c r="AI70" s="295" t="s">
        <v>6175</v>
      </c>
      <c r="AJ70" s="295">
        <f>VLOOKUP(A70,'RBSA Weights'!$A$2:$N$322,8,FALSE)</f>
        <v>2128.88549804688</v>
      </c>
    </row>
    <row r="71" spans="1:36">
      <c r="A71" s="295">
        <v>20511</v>
      </c>
      <c r="B71" s="295" t="s">
        <v>6042</v>
      </c>
      <c r="C71" s="295" t="b">
        <v>0</v>
      </c>
      <c r="D71" s="295">
        <v>888</v>
      </c>
      <c r="E71" s="295">
        <v>8</v>
      </c>
      <c r="G71" s="295">
        <v>11</v>
      </c>
      <c r="H71" s="295" t="s">
        <v>6040</v>
      </c>
      <c r="I71" s="295">
        <v>0.10000000149011599</v>
      </c>
      <c r="J71" s="295" t="b">
        <v>0</v>
      </c>
      <c r="K71" s="295">
        <v>888</v>
      </c>
      <c r="L71" s="295" t="s">
        <v>6041</v>
      </c>
      <c r="N71" s="295">
        <v>11</v>
      </c>
      <c r="O71" s="295" t="s">
        <v>6040</v>
      </c>
      <c r="P71" s="295">
        <v>8.5000000894069699E-2</v>
      </c>
      <c r="Q71" s="295" t="b">
        <v>0</v>
      </c>
      <c r="R71" s="295">
        <v>976</v>
      </c>
      <c r="T71" s="295">
        <v>11</v>
      </c>
      <c r="U71" s="295" t="s">
        <v>6040</v>
      </c>
      <c r="V71" s="295">
        <v>9.00000035762787E-2</v>
      </c>
      <c r="W71" s="295">
        <v>92</v>
      </c>
      <c r="Y71" s="295" t="s">
        <v>6048</v>
      </c>
      <c r="Z71" s="295" t="b">
        <v>1</v>
      </c>
      <c r="AA71" s="295">
        <v>20</v>
      </c>
      <c r="AB71" s="295">
        <v>0.75</v>
      </c>
      <c r="AC71" s="295">
        <v>0.55000001192092896</v>
      </c>
      <c r="AD71" s="295">
        <v>0.75</v>
      </c>
      <c r="AG71" s="295">
        <v>40</v>
      </c>
      <c r="AH71" s="295">
        <v>0.40000000596046398</v>
      </c>
      <c r="AJ71" s="295">
        <f>VLOOKUP(A71,'RBSA Weights'!$A$2:$N$322,8,FALSE)</f>
        <v>1211.2822265625</v>
      </c>
    </row>
    <row r="72" spans="1:36">
      <c r="A72" s="295">
        <v>20517</v>
      </c>
      <c r="B72" s="295" t="s">
        <v>6078</v>
      </c>
      <c r="C72" s="295" t="b">
        <v>0</v>
      </c>
      <c r="D72" s="295">
        <v>1214</v>
      </c>
      <c r="E72" s="295">
        <v>8</v>
      </c>
      <c r="G72" s="295">
        <v>38</v>
      </c>
      <c r="H72" s="295" t="s">
        <v>162</v>
      </c>
      <c r="I72" s="295">
        <v>3.5000000149011598E-2</v>
      </c>
      <c r="J72" s="295" t="b">
        <v>0</v>
      </c>
      <c r="K72" s="295">
        <v>1056</v>
      </c>
      <c r="L72" s="295" t="s">
        <v>6045</v>
      </c>
      <c r="N72" s="295">
        <v>33</v>
      </c>
      <c r="O72" s="295" t="s">
        <v>162</v>
      </c>
      <c r="P72" s="295">
        <v>2.9999999329447701E-2</v>
      </c>
      <c r="Q72" s="295" t="b">
        <v>0</v>
      </c>
      <c r="R72" s="295">
        <v>1088</v>
      </c>
      <c r="T72" s="295">
        <v>21</v>
      </c>
      <c r="U72" s="295" t="s">
        <v>6051</v>
      </c>
      <c r="V72" s="295">
        <v>5.6000001728534698E-2</v>
      </c>
      <c r="W72" s="295">
        <v>96</v>
      </c>
      <c r="Z72" s="295" t="b">
        <v>0</v>
      </c>
      <c r="AA72" s="295">
        <v>0</v>
      </c>
      <c r="AB72" s="295">
        <v>0.37999999523162797</v>
      </c>
      <c r="AD72" s="295">
        <v>0.37999999523162797</v>
      </c>
      <c r="AG72" s="295">
        <v>40</v>
      </c>
      <c r="AH72" s="295">
        <v>0.40000000596046398</v>
      </c>
      <c r="AI72" s="295" t="s">
        <v>6174</v>
      </c>
      <c r="AJ72" s="295">
        <f>VLOOKUP(A72,'RBSA Weights'!$A$2:$N$322,8,FALSE)</f>
        <v>2914.5654296875</v>
      </c>
    </row>
    <row r="73" spans="1:36">
      <c r="A73" s="295">
        <v>20535</v>
      </c>
      <c r="B73" s="295" t="s">
        <v>6056</v>
      </c>
      <c r="C73" s="295" t="b">
        <v>0</v>
      </c>
      <c r="D73" s="295">
        <v>1296</v>
      </c>
      <c r="E73" s="295">
        <v>7</v>
      </c>
      <c r="G73" s="295">
        <v>7</v>
      </c>
      <c r="H73" s="295" t="s">
        <v>6055</v>
      </c>
      <c r="I73" s="295">
        <v>0.129999995231628</v>
      </c>
      <c r="J73" s="295" t="b">
        <v>0</v>
      </c>
      <c r="K73" s="295">
        <v>1296</v>
      </c>
      <c r="L73" s="295" t="s">
        <v>6081</v>
      </c>
      <c r="N73" s="295">
        <v>7</v>
      </c>
      <c r="O73" s="295" t="s">
        <v>6055</v>
      </c>
      <c r="P73" s="295">
        <v>0.17399999499321001</v>
      </c>
      <c r="Q73" s="295" t="b">
        <v>0</v>
      </c>
      <c r="R73" s="295">
        <v>1200</v>
      </c>
      <c r="T73" s="295">
        <v>7</v>
      </c>
      <c r="U73" s="295" t="s">
        <v>6055</v>
      </c>
      <c r="V73" s="295">
        <v>0.119999997317791</v>
      </c>
      <c r="W73" s="295">
        <v>28</v>
      </c>
      <c r="Z73" s="295" t="b">
        <v>0</v>
      </c>
      <c r="AA73" s="295">
        <v>100</v>
      </c>
      <c r="AB73" s="295">
        <v>1.25</v>
      </c>
      <c r="AD73" s="295">
        <v>1.25</v>
      </c>
      <c r="AG73" s="295">
        <v>40</v>
      </c>
      <c r="AH73" s="295">
        <v>0.40000000596046398</v>
      </c>
      <c r="AI73" s="295" t="s">
        <v>6173</v>
      </c>
      <c r="AJ73" s="295">
        <f>VLOOKUP(A73,'RBSA Weights'!$A$2:$N$322,8,FALSE)</f>
        <v>1211.2822265625</v>
      </c>
    </row>
    <row r="74" spans="1:36">
      <c r="A74" s="295">
        <v>20541</v>
      </c>
      <c r="B74" s="295" t="s">
        <v>6053</v>
      </c>
      <c r="C74" s="295" t="b">
        <v>0</v>
      </c>
      <c r="D74" s="295">
        <v>1300</v>
      </c>
      <c r="E74" s="295">
        <v>9</v>
      </c>
      <c r="G74" s="295">
        <v>22</v>
      </c>
      <c r="H74" s="295" t="s">
        <v>6046</v>
      </c>
      <c r="I74" s="295">
        <v>5.2000001072883599E-2</v>
      </c>
      <c r="J74" s="295" t="b">
        <v>0</v>
      </c>
      <c r="K74" s="295">
        <v>1248</v>
      </c>
      <c r="L74" s="295" t="s">
        <v>6045</v>
      </c>
      <c r="N74" s="295">
        <v>22</v>
      </c>
      <c r="O74" s="295" t="s">
        <v>6046</v>
      </c>
      <c r="P74" s="295">
        <v>5.0999999046325697E-2</v>
      </c>
      <c r="Q74" s="295" t="b">
        <v>0</v>
      </c>
      <c r="R74" s="295">
        <v>1184</v>
      </c>
      <c r="T74" s="295">
        <v>11</v>
      </c>
      <c r="U74" s="295" t="s">
        <v>6040</v>
      </c>
      <c r="V74" s="295">
        <v>9.00000035762787E-2</v>
      </c>
      <c r="W74" s="295">
        <v>209</v>
      </c>
      <c r="Z74" s="295" t="b">
        <v>0</v>
      </c>
      <c r="AA74" s="295">
        <v>5</v>
      </c>
      <c r="AB74" s="295">
        <v>0.479999989271164</v>
      </c>
      <c r="AD74" s="295">
        <v>0.479999989271164</v>
      </c>
      <c r="AG74" s="295">
        <v>40</v>
      </c>
      <c r="AH74" s="295">
        <v>0.40000000596046398</v>
      </c>
      <c r="AI74" s="295" t="s">
        <v>6172</v>
      </c>
      <c r="AJ74" s="295">
        <f>VLOOKUP(A74,'RBSA Weights'!$A$2:$N$322,8,FALSE)</f>
        <v>1211.2822265625</v>
      </c>
    </row>
    <row r="75" spans="1:36">
      <c r="A75" s="295">
        <v>20542</v>
      </c>
      <c r="B75" s="295" t="s">
        <v>6053</v>
      </c>
      <c r="C75" s="295" t="b">
        <v>0</v>
      </c>
      <c r="D75" s="295">
        <v>924</v>
      </c>
      <c r="E75" s="295">
        <v>8</v>
      </c>
      <c r="G75" s="295">
        <v>22</v>
      </c>
      <c r="H75" s="295" t="s">
        <v>6046</v>
      </c>
      <c r="I75" s="295">
        <v>5.2000001072883599E-2</v>
      </c>
      <c r="J75" s="295" t="b">
        <v>0</v>
      </c>
      <c r="K75" s="295">
        <v>924</v>
      </c>
      <c r="L75" s="295" t="s">
        <v>6045</v>
      </c>
      <c r="N75" s="295">
        <v>22</v>
      </c>
      <c r="O75" s="295" t="s">
        <v>6046</v>
      </c>
      <c r="P75" s="295">
        <v>5.0999999046325697E-2</v>
      </c>
      <c r="Q75" s="295" t="b">
        <v>0</v>
      </c>
      <c r="R75" s="295">
        <v>1440</v>
      </c>
      <c r="T75" s="295">
        <v>11</v>
      </c>
      <c r="U75" s="295" t="s">
        <v>6040</v>
      </c>
      <c r="V75" s="295">
        <v>9.00000035762787E-2</v>
      </c>
      <c r="W75" s="295">
        <v>135</v>
      </c>
      <c r="Z75" s="295" t="b">
        <v>0</v>
      </c>
      <c r="AA75" s="295">
        <v>50</v>
      </c>
      <c r="AB75" s="295">
        <v>0.479999989271164</v>
      </c>
      <c r="AD75" s="295">
        <v>0.479999959468842</v>
      </c>
      <c r="AG75" s="295">
        <v>40</v>
      </c>
      <c r="AH75" s="295">
        <v>0.40000000596046398</v>
      </c>
      <c r="AI75" s="295" t="s">
        <v>6171</v>
      </c>
      <c r="AJ75" s="295">
        <f>VLOOKUP(A75,'RBSA Weights'!$A$2:$N$322,8,FALSE)</f>
        <v>868.428955078125</v>
      </c>
    </row>
    <row r="76" spans="1:36">
      <c r="A76" s="295">
        <v>20592</v>
      </c>
      <c r="B76" s="295" t="s">
        <v>6053</v>
      </c>
      <c r="C76" s="295" t="b">
        <v>0</v>
      </c>
      <c r="D76" s="295">
        <v>1300</v>
      </c>
      <c r="E76" s="295">
        <v>8.25</v>
      </c>
      <c r="G76" s="295">
        <v>22</v>
      </c>
      <c r="H76" s="295" t="s">
        <v>6046</v>
      </c>
      <c r="I76" s="295">
        <v>5.2000001072883599E-2</v>
      </c>
      <c r="J76" s="295" t="b">
        <v>0</v>
      </c>
      <c r="K76" s="295">
        <v>1300</v>
      </c>
      <c r="L76" s="295" t="s">
        <v>6041</v>
      </c>
      <c r="N76" s="295">
        <v>22</v>
      </c>
      <c r="O76" s="295" t="s">
        <v>6046</v>
      </c>
      <c r="P76" s="295">
        <v>6.1999998986720997E-2</v>
      </c>
      <c r="Q76" s="295" t="b">
        <v>0</v>
      </c>
      <c r="R76" s="295">
        <v>1476</v>
      </c>
      <c r="T76" s="295">
        <v>11</v>
      </c>
      <c r="U76" s="295" t="s">
        <v>6040</v>
      </c>
      <c r="V76" s="295">
        <v>9.00000035762787E-2</v>
      </c>
      <c r="W76" s="295">
        <v>417</v>
      </c>
      <c r="Z76" s="295" t="b">
        <v>0</v>
      </c>
      <c r="AA76" s="295">
        <v>0</v>
      </c>
      <c r="AB76" s="295">
        <v>0.479999989271164</v>
      </c>
      <c r="AD76" s="295">
        <v>0.479999989271164</v>
      </c>
      <c r="AE76" s="295">
        <v>10</v>
      </c>
      <c r="AF76" s="295">
        <v>0.60000002384185802</v>
      </c>
      <c r="AG76" s="295">
        <v>40</v>
      </c>
      <c r="AH76" s="295">
        <v>0.40000000596046398</v>
      </c>
      <c r="AI76" s="295" t="s">
        <v>6170</v>
      </c>
      <c r="AJ76" s="295">
        <f>VLOOKUP(A76,'RBSA Weights'!$A$2:$N$322,8,FALSE)</f>
        <v>1211.2822265625</v>
      </c>
    </row>
    <row r="77" spans="1:36">
      <c r="A77" s="295">
        <v>20611</v>
      </c>
      <c r="B77" s="295" t="s">
        <v>6042</v>
      </c>
      <c r="C77" s="295" t="b">
        <v>0</v>
      </c>
      <c r="D77" s="295">
        <v>1676</v>
      </c>
      <c r="E77" s="295">
        <v>8</v>
      </c>
      <c r="G77" s="295">
        <v>11</v>
      </c>
      <c r="H77" s="295" t="s">
        <v>6040</v>
      </c>
      <c r="I77" s="295">
        <v>0.10000000149011599</v>
      </c>
      <c r="J77" s="295" t="b">
        <v>0</v>
      </c>
      <c r="K77" s="295">
        <v>1676</v>
      </c>
      <c r="L77" s="295" t="s">
        <v>6045</v>
      </c>
      <c r="N77" s="295">
        <v>11</v>
      </c>
      <c r="O77" s="295" t="s">
        <v>6040</v>
      </c>
      <c r="P77" s="295">
        <v>6.7000001668930095E-2</v>
      </c>
      <c r="Q77" s="295" t="b">
        <v>0</v>
      </c>
      <c r="R77" s="295">
        <v>1520</v>
      </c>
      <c r="T77" s="295">
        <v>11</v>
      </c>
      <c r="U77" s="295" t="s">
        <v>6040</v>
      </c>
      <c r="V77" s="295">
        <v>9.00000035762787E-2</v>
      </c>
      <c r="W77" s="295">
        <v>127</v>
      </c>
      <c r="X77" s="295">
        <v>90</v>
      </c>
      <c r="Y77" s="295" t="s">
        <v>6048</v>
      </c>
      <c r="Z77" s="295" t="b">
        <v>1</v>
      </c>
      <c r="AA77" s="295">
        <v>2</v>
      </c>
      <c r="AB77" s="295">
        <v>0.75</v>
      </c>
      <c r="AC77" s="295">
        <v>0.55000001192092896</v>
      </c>
      <c r="AD77" s="295">
        <v>0.66705071926116899</v>
      </c>
      <c r="AG77" s="295">
        <v>40</v>
      </c>
      <c r="AH77" s="295">
        <v>0.40000000596046398</v>
      </c>
      <c r="AJ77" s="295">
        <f>VLOOKUP(A77,'RBSA Weights'!$A$2:$N$322,8,FALSE)</f>
        <v>2914.5654296875</v>
      </c>
    </row>
    <row r="78" spans="1:36">
      <c r="A78" s="295">
        <v>20621</v>
      </c>
      <c r="B78" s="295" t="s">
        <v>6056</v>
      </c>
      <c r="C78" s="295" t="b">
        <v>0</v>
      </c>
      <c r="D78" s="295">
        <v>1044</v>
      </c>
      <c r="E78" s="295">
        <v>8</v>
      </c>
      <c r="G78" s="295">
        <v>7</v>
      </c>
      <c r="H78" s="295" t="s">
        <v>6055</v>
      </c>
      <c r="I78" s="295">
        <v>0.129999995231628</v>
      </c>
      <c r="J78" s="295" t="b">
        <v>0</v>
      </c>
      <c r="K78" s="295">
        <v>1044</v>
      </c>
      <c r="L78" s="295" t="s">
        <v>6060</v>
      </c>
      <c r="N78" s="295">
        <v>7</v>
      </c>
      <c r="O78" s="295" t="s">
        <v>6055</v>
      </c>
      <c r="P78" s="295">
        <v>0.14699999988079099</v>
      </c>
      <c r="Q78" s="295" t="b">
        <v>0</v>
      </c>
      <c r="R78" s="295">
        <v>1248</v>
      </c>
      <c r="T78" s="295">
        <v>7</v>
      </c>
      <c r="U78" s="295" t="s">
        <v>6055</v>
      </c>
      <c r="V78" s="295">
        <v>0.119999997317791</v>
      </c>
      <c r="W78" s="295">
        <v>100</v>
      </c>
      <c r="Z78" s="295" t="b">
        <v>0</v>
      </c>
      <c r="AA78" s="295">
        <v>10</v>
      </c>
      <c r="AB78" s="295">
        <v>1.25</v>
      </c>
      <c r="AD78" s="295">
        <v>1.25</v>
      </c>
      <c r="AE78" s="295">
        <v>2</v>
      </c>
      <c r="AF78" s="295">
        <v>1.29999995231628</v>
      </c>
      <c r="AG78" s="295">
        <v>40</v>
      </c>
      <c r="AH78" s="295">
        <v>0.40000000596046398</v>
      </c>
      <c r="AI78" s="295" t="s">
        <v>6169</v>
      </c>
      <c r="AJ78" s="295">
        <f>VLOOKUP(A78,'RBSA Weights'!$A$2:$N$322,8,FALSE)</f>
        <v>2319.07739257813</v>
      </c>
    </row>
    <row r="79" spans="1:36">
      <c r="A79" s="295">
        <v>20630</v>
      </c>
      <c r="B79" s="295" t="s">
        <v>6056</v>
      </c>
      <c r="C79" s="295" t="b">
        <v>0</v>
      </c>
      <c r="D79" s="295">
        <v>1764</v>
      </c>
      <c r="E79" s="295">
        <v>9</v>
      </c>
      <c r="G79" s="295">
        <v>7</v>
      </c>
      <c r="H79" s="295" t="s">
        <v>6055</v>
      </c>
      <c r="I79" s="295">
        <v>0.129999995231628</v>
      </c>
      <c r="J79" s="295" t="b">
        <v>0</v>
      </c>
      <c r="K79" s="295">
        <v>1764</v>
      </c>
      <c r="L79" s="295" t="s">
        <v>6041</v>
      </c>
      <c r="N79" s="295">
        <v>7</v>
      </c>
      <c r="O79" s="295" t="s">
        <v>6055</v>
      </c>
      <c r="P79" s="295">
        <v>9.4999998807907104E-2</v>
      </c>
      <c r="Q79" s="295" t="b">
        <v>0</v>
      </c>
      <c r="R79" s="295">
        <v>1700</v>
      </c>
      <c r="T79" s="295">
        <v>7</v>
      </c>
      <c r="U79" s="295" t="s">
        <v>6055</v>
      </c>
      <c r="V79" s="295">
        <v>0.119999997317791</v>
      </c>
      <c r="W79" s="295">
        <v>138</v>
      </c>
      <c r="X79" s="295">
        <v>24</v>
      </c>
      <c r="Y79" s="295" t="s">
        <v>6048</v>
      </c>
      <c r="Z79" s="295" t="b">
        <v>1</v>
      </c>
      <c r="AA79" s="295">
        <v>15</v>
      </c>
      <c r="AB79" s="295">
        <v>1.25</v>
      </c>
      <c r="AC79" s="295">
        <v>0.55000001192092896</v>
      </c>
      <c r="AD79" s="295">
        <v>1.14629626274109</v>
      </c>
      <c r="AG79" s="295">
        <v>40</v>
      </c>
      <c r="AH79" s="295">
        <v>0.40000000596046398</v>
      </c>
      <c r="AI79" s="295" t="s">
        <v>6168</v>
      </c>
      <c r="AJ79" s="295">
        <f>VLOOKUP(A79,'RBSA Weights'!$A$2:$N$322,8,FALSE)</f>
        <v>868.428955078125</v>
      </c>
    </row>
    <row r="80" spans="1:36">
      <c r="A80" s="295">
        <v>20639</v>
      </c>
      <c r="B80" s="295" t="s">
        <v>6058</v>
      </c>
      <c r="C80" s="295" t="b">
        <v>0</v>
      </c>
      <c r="D80" s="295">
        <v>1900</v>
      </c>
      <c r="E80" s="295">
        <v>8.25</v>
      </c>
      <c r="G80" s="295">
        <v>49</v>
      </c>
      <c r="H80" s="295" t="s">
        <v>6057</v>
      </c>
      <c r="I80" s="295">
        <v>2.60000005364418E-2</v>
      </c>
      <c r="J80" s="295" t="b">
        <v>0</v>
      </c>
      <c r="K80" s="295">
        <v>1840</v>
      </c>
      <c r="L80" s="295" t="s">
        <v>6045</v>
      </c>
      <c r="N80" s="295">
        <v>33</v>
      </c>
      <c r="O80" s="295" t="s">
        <v>162</v>
      </c>
      <c r="P80" s="295">
        <v>2.9999999329447701E-2</v>
      </c>
      <c r="Q80" s="295" t="b">
        <v>0</v>
      </c>
      <c r="R80" s="295">
        <v>1626</v>
      </c>
      <c r="T80" s="295">
        <v>21</v>
      </c>
      <c r="U80" s="295" t="s">
        <v>6051</v>
      </c>
      <c r="V80" s="295">
        <v>5.6000001728534698E-2</v>
      </c>
      <c r="W80" s="295">
        <v>264</v>
      </c>
      <c r="Z80" s="295" t="b">
        <v>0</v>
      </c>
      <c r="AA80" s="295">
        <v>35</v>
      </c>
      <c r="AB80" s="295">
        <v>0.34999999403953602</v>
      </c>
      <c r="AC80" s="295">
        <v>0.55000001192092896</v>
      </c>
      <c r="AD80" s="295">
        <v>0.34999999403953602</v>
      </c>
      <c r="AE80" s="295">
        <v>2</v>
      </c>
      <c r="AF80" s="295">
        <v>0.60000002384185802</v>
      </c>
      <c r="AG80" s="295">
        <v>40</v>
      </c>
      <c r="AH80" s="295">
        <v>0.40000000596046398</v>
      </c>
      <c r="AJ80" s="295">
        <f>VLOOKUP(A80,'RBSA Weights'!$A$2:$N$322,8,FALSE)</f>
        <v>868.428955078125</v>
      </c>
    </row>
    <row r="81" spans="1:36">
      <c r="A81" s="295">
        <v>20654</v>
      </c>
      <c r="B81" s="295" t="s">
        <v>6056</v>
      </c>
      <c r="C81" s="295" t="b">
        <v>0</v>
      </c>
      <c r="D81" s="295">
        <v>672</v>
      </c>
      <c r="E81" s="295">
        <v>7</v>
      </c>
      <c r="G81" s="295">
        <v>7</v>
      </c>
      <c r="H81" s="295" t="s">
        <v>6055</v>
      </c>
      <c r="I81" s="295">
        <v>0.129999995231628</v>
      </c>
      <c r="J81" s="295" t="b">
        <v>1</v>
      </c>
      <c r="K81" s="295">
        <v>672</v>
      </c>
      <c r="L81" s="295" t="s">
        <v>6045</v>
      </c>
      <c r="M81" s="295" t="s">
        <v>158</v>
      </c>
      <c r="N81" s="295">
        <v>30</v>
      </c>
      <c r="O81" s="295" t="s">
        <v>6046</v>
      </c>
      <c r="P81" s="295">
        <v>3.5000000149011598E-2</v>
      </c>
      <c r="Q81" s="295" t="b">
        <v>0</v>
      </c>
      <c r="R81" s="295">
        <v>1128</v>
      </c>
      <c r="T81" s="295">
        <v>7</v>
      </c>
      <c r="U81" s="295" t="s">
        <v>6055</v>
      </c>
      <c r="V81" s="295">
        <v>0.119999997317791</v>
      </c>
      <c r="W81" s="295">
        <v>78</v>
      </c>
      <c r="X81" s="295">
        <v>21</v>
      </c>
      <c r="Y81" s="295" t="s">
        <v>6048</v>
      </c>
      <c r="Z81" s="295" t="b">
        <v>1</v>
      </c>
      <c r="AA81" s="295">
        <v>10</v>
      </c>
      <c r="AB81" s="295">
        <v>1.25</v>
      </c>
      <c r="AC81" s="295">
        <v>0.55000001192092896</v>
      </c>
      <c r="AD81" s="295">
        <v>1.1015151739120499</v>
      </c>
      <c r="AG81" s="295">
        <v>40</v>
      </c>
      <c r="AH81" s="295">
        <v>0.34999999403953602</v>
      </c>
      <c r="AJ81" s="295">
        <f>VLOOKUP(A81,'RBSA Weights'!$A$2:$N$322,8,FALSE)</f>
        <v>868.428955078125</v>
      </c>
    </row>
    <row r="82" spans="1:36">
      <c r="A82" s="295">
        <v>20656</v>
      </c>
      <c r="B82" s="295" t="s">
        <v>6056</v>
      </c>
      <c r="C82" s="295" t="b">
        <v>0</v>
      </c>
      <c r="D82" s="295">
        <v>800</v>
      </c>
      <c r="E82" s="295">
        <v>7</v>
      </c>
      <c r="G82" s="295">
        <v>7</v>
      </c>
      <c r="H82" s="295" t="s">
        <v>6055</v>
      </c>
      <c r="I82" s="295">
        <v>0.129999995231628</v>
      </c>
      <c r="J82" s="295" t="b">
        <v>0</v>
      </c>
      <c r="K82" s="295">
        <v>800</v>
      </c>
      <c r="L82" s="295" t="s">
        <v>6041</v>
      </c>
      <c r="N82" s="295">
        <v>7</v>
      </c>
      <c r="O82" s="295" t="s">
        <v>6055</v>
      </c>
      <c r="P82" s="295">
        <v>9.4999998807907104E-2</v>
      </c>
      <c r="Q82" s="295" t="b">
        <v>1</v>
      </c>
      <c r="R82" s="295">
        <v>960</v>
      </c>
      <c r="S82" s="295" t="s">
        <v>157</v>
      </c>
      <c r="T82" s="295">
        <v>19</v>
      </c>
      <c r="U82" s="295" t="s">
        <v>6051</v>
      </c>
      <c r="V82" s="295">
        <v>5.9999998658895499E-2</v>
      </c>
      <c r="W82" s="295">
        <v>38</v>
      </c>
      <c r="X82" s="295">
        <v>64</v>
      </c>
      <c r="Y82" s="295" t="s">
        <v>6048</v>
      </c>
      <c r="Z82" s="295" t="b">
        <v>1</v>
      </c>
      <c r="AA82" s="295">
        <v>10</v>
      </c>
      <c r="AB82" s="295">
        <v>1.25</v>
      </c>
      <c r="AC82" s="295">
        <v>0.55000001192092896</v>
      </c>
      <c r="AD82" s="295">
        <v>0.81078428030014005</v>
      </c>
      <c r="AG82" s="295">
        <v>40</v>
      </c>
      <c r="AH82" s="295">
        <v>0.40000000596046398</v>
      </c>
      <c r="AI82" s="295" t="s">
        <v>6167</v>
      </c>
      <c r="AJ82" s="295">
        <f>VLOOKUP(A82,'RBSA Weights'!$A$2:$N$322,8,FALSE)</f>
        <v>868.428955078125</v>
      </c>
    </row>
    <row r="83" spans="1:36">
      <c r="A83" s="295">
        <v>20681</v>
      </c>
      <c r="B83" s="295" t="s">
        <v>6042</v>
      </c>
      <c r="C83" s="295" t="b">
        <v>0</v>
      </c>
      <c r="D83" s="295">
        <v>1660</v>
      </c>
      <c r="E83" s="295">
        <v>8</v>
      </c>
      <c r="G83" s="295">
        <v>11</v>
      </c>
      <c r="H83" s="295" t="s">
        <v>6040</v>
      </c>
      <c r="I83" s="295">
        <v>0.10000000149011599</v>
      </c>
      <c r="J83" s="295" t="b">
        <v>0</v>
      </c>
      <c r="K83" s="295">
        <v>1668</v>
      </c>
      <c r="L83" s="295" t="s">
        <v>6050</v>
      </c>
      <c r="N83" s="295">
        <v>11</v>
      </c>
      <c r="O83" s="295" t="s">
        <v>6040</v>
      </c>
      <c r="P83" s="295">
        <v>0.108999997377396</v>
      </c>
      <c r="Q83" s="295" t="b">
        <v>0</v>
      </c>
      <c r="R83" s="295">
        <v>1408</v>
      </c>
      <c r="T83" s="295">
        <v>11</v>
      </c>
      <c r="U83" s="295" t="s">
        <v>6040</v>
      </c>
      <c r="V83" s="295">
        <v>9.00000035762787E-2</v>
      </c>
      <c r="W83" s="295">
        <v>176</v>
      </c>
      <c r="Z83" s="295" t="b">
        <v>0</v>
      </c>
      <c r="AA83" s="295">
        <v>30</v>
      </c>
      <c r="AB83" s="295">
        <v>0.75</v>
      </c>
      <c r="AD83" s="295">
        <v>0.75</v>
      </c>
      <c r="AG83" s="295">
        <v>40</v>
      </c>
      <c r="AH83" s="295">
        <v>0.40000000596046398</v>
      </c>
      <c r="AJ83" s="295">
        <f>VLOOKUP(A83,'RBSA Weights'!$A$2:$N$322,8,FALSE)</f>
        <v>1211.2822265625</v>
      </c>
    </row>
    <row r="84" spans="1:36">
      <c r="A84" s="295">
        <v>20682</v>
      </c>
      <c r="B84" s="295" t="s">
        <v>6042</v>
      </c>
      <c r="C84" s="295" t="b">
        <v>0</v>
      </c>
      <c r="D84" s="295">
        <v>1860</v>
      </c>
      <c r="E84" s="295">
        <v>8</v>
      </c>
      <c r="G84" s="295">
        <v>11</v>
      </c>
      <c r="H84" s="295" t="s">
        <v>6040</v>
      </c>
      <c r="I84" s="295">
        <v>0.10000000149011599</v>
      </c>
      <c r="J84" s="295" t="b">
        <v>0</v>
      </c>
      <c r="K84" s="295">
        <v>1860</v>
      </c>
      <c r="L84" s="295" t="s">
        <v>6045</v>
      </c>
      <c r="N84" s="295">
        <v>11</v>
      </c>
      <c r="O84" s="295" t="s">
        <v>6040</v>
      </c>
      <c r="P84" s="295">
        <v>6.7000001668930095E-2</v>
      </c>
      <c r="Q84" s="295" t="b">
        <v>0</v>
      </c>
      <c r="R84" s="295">
        <v>1584</v>
      </c>
      <c r="T84" s="295">
        <v>11</v>
      </c>
      <c r="U84" s="295" t="s">
        <v>6040</v>
      </c>
      <c r="V84" s="295">
        <v>9.00000035762787E-2</v>
      </c>
      <c r="X84" s="295">
        <v>210</v>
      </c>
      <c r="Y84" s="295" t="s">
        <v>6048</v>
      </c>
      <c r="Z84" s="295" t="b">
        <v>1</v>
      </c>
      <c r="AA84" s="295">
        <v>10</v>
      </c>
      <c r="AB84" s="295">
        <v>0.75</v>
      </c>
      <c r="AC84" s="295">
        <v>0.55000001192092896</v>
      </c>
      <c r="AD84" s="295">
        <v>0.55000001192092896</v>
      </c>
      <c r="AE84" s="295">
        <v>36</v>
      </c>
      <c r="AF84" s="295">
        <v>0.5</v>
      </c>
      <c r="AG84" s="295">
        <v>40</v>
      </c>
      <c r="AH84" s="295">
        <v>0.40000000596046398</v>
      </c>
      <c r="AJ84" s="295">
        <f>VLOOKUP(A84,'RBSA Weights'!$A$2:$N$322,8,FALSE)</f>
        <v>2128.88549804688</v>
      </c>
    </row>
    <row r="85" spans="1:36">
      <c r="A85" s="295">
        <v>20689</v>
      </c>
      <c r="B85" s="295" t="s">
        <v>6052</v>
      </c>
      <c r="C85" s="295" t="b">
        <v>0</v>
      </c>
      <c r="D85" s="295">
        <v>1568</v>
      </c>
      <c r="E85" s="295">
        <v>9</v>
      </c>
      <c r="G85" s="295">
        <v>38</v>
      </c>
      <c r="H85" s="295" t="s">
        <v>162</v>
      </c>
      <c r="I85" s="295">
        <v>3.5000000149011598E-2</v>
      </c>
      <c r="J85" s="295" t="b">
        <v>0</v>
      </c>
      <c r="K85" s="295">
        <v>1485</v>
      </c>
      <c r="L85" s="295" t="s">
        <v>6041</v>
      </c>
      <c r="N85" s="295">
        <v>33</v>
      </c>
      <c r="O85" s="295" t="s">
        <v>162</v>
      </c>
      <c r="P85" s="295">
        <v>5.4000001400709201E-2</v>
      </c>
      <c r="Q85" s="295" t="b">
        <v>1</v>
      </c>
      <c r="R85" s="295">
        <v>1476</v>
      </c>
      <c r="S85" s="295" t="s">
        <v>6166</v>
      </c>
      <c r="T85" s="295">
        <v>23</v>
      </c>
      <c r="U85" s="295" t="s">
        <v>6046</v>
      </c>
      <c r="V85" s="295">
        <v>4.8999998718500103E-2</v>
      </c>
      <c r="W85" s="295">
        <v>160</v>
      </c>
      <c r="X85" s="295">
        <v>30</v>
      </c>
      <c r="Y85" s="295" t="s">
        <v>6048</v>
      </c>
      <c r="Z85" s="295" t="b">
        <v>1</v>
      </c>
      <c r="AA85" s="295">
        <v>40</v>
      </c>
      <c r="AB85" s="295">
        <v>0.37999999523162797</v>
      </c>
      <c r="AC85" s="295">
        <v>0.55000001192092896</v>
      </c>
      <c r="AD85" s="295">
        <v>0.40684211254119901</v>
      </c>
      <c r="AG85" s="295">
        <v>40</v>
      </c>
      <c r="AH85" s="295">
        <v>0.40000000596046398</v>
      </c>
      <c r="AJ85" s="295">
        <f>VLOOKUP(A85,'RBSA Weights'!$A$2:$N$322,8,FALSE)</f>
        <v>1211.2822265625</v>
      </c>
    </row>
    <row r="86" spans="1:36">
      <c r="A86" s="295">
        <v>20697</v>
      </c>
      <c r="B86" s="295" t="s">
        <v>6052</v>
      </c>
      <c r="C86" s="295" t="b">
        <v>0</v>
      </c>
      <c r="D86" s="295">
        <v>1560</v>
      </c>
      <c r="E86" s="295">
        <v>8</v>
      </c>
      <c r="G86" s="295">
        <v>38</v>
      </c>
      <c r="H86" s="295" t="s">
        <v>162</v>
      </c>
      <c r="I86" s="295">
        <v>3.5000000149011598E-2</v>
      </c>
      <c r="J86" s="295" t="b">
        <v>0</v>
      </c>
      <c r="K86" s="295">
        <v>1560</v>
      </c>
      <c r="L86" s="295" t="s">
        <v>6045</v>
      </c>
      <c r="N86" s="295">
        <v>33</v>
      </c>
      <c r="O86" s="295" t="s">
        <v>162</v>
      </c>
      <c r="P86" s="295">
        <v>2.9999999329447701E-2</v>
      </c>
      <c r="Q86" s="295" t="b">
        <v>0</v>
      </c>
      <c r="R86" s="295">
        <v>1376</v>
      </c>
      <c r="T86" s="295">
        <v>21</v>
      </c>
      <c r="U86" s="295" t="s">
        <v>6051</v>
      </c>
      <c r="V86" s="295">
        <v>5.6000001728534698E-2</v>
      </c>
      <c r="W86" s="295">
        <v>128</v>
      </c>
      <c r="Y86" s="295" t="s">
        <v>6048</v>
      </c>
      <c r="Z86" s="295" t="b">
        <v>1</v>
      </c>
      <c r="AA86" s="295">
        <v>50</v>
      </c>
      <c r="AB86" s="295">
        <v>0.37999999523162797</v>
      </c>
      <c r="AC86" s="295">
        <v>0.55000001192092896</v>
      </c>
      <c r="AD86" s="295">
        <v>0.37999999523162797</v>
      </c>
      <c r="AG86" s="295">
        <v>40</v>
      </c>
      <c r="AH86" s="295">
        <v>0.40000000596046398</v>
      </c>
      <c r="AJ86" s="295">
        <f>VLOOKUP(A86,'RBSA Weights'!$A$2:$N$322,8,FALSE)</f>
        <v>868.428955078125</v>
      </c>
    </row>
    <row r="87" spans="1:36">
      <c r="A87" s="295">
        <v>20722</v>
      </c>
      <c r="B87" s="295" t="s">
        <v>6042</v>
      </c>
      <c r="C87" s="295" t="b">
        <v>1</v>
      </c>
      <c r="D87" s="295">
        <v>2280</v>
      </c>
      <c r="E87" s="295">
        <v>8</v>
      </c>
      <c r="F87" s="295" t="s">
        <v>158</v>
      </c>
      <c r="G87" s="295">
        <v>30</v>
      </c>
      <c r="H87" s="295" t="s">
        <v>6046</v>
      </c>
      <c r="I87" s="295">
        <v>4.39999997615814E-2</v>
      </c>
      <c r="J87" s="295" t="b">
        <v>1</v>
      </c>
      <c r="K87" s="295">
        <v>2280</v>
      </c>
      <c r="L87" s="295" t="s">
        <v>6045</v>
      </c>
      <c r="M87" s="295" t="s">
        <v>6063</v>
      </c>
      <c r="N87" s="295">
        <v>22</v>
      </c>
      <c r="O87" s="295" t="s">
        <v>6046</v>
      </c>
      <c r="P87" s="295">
        <v>5.0999999046325697E-2</v>
      </c>
      <c r="Q87" s="295" t="b">
        <v>0</v>
      </c>
      <c r="R87" s="295">
        <v>1880</v>
      </c>
      <c r="T87" s="295">
        <v>11</v>
      </c>
      <c r="U87" s="295" t="s">
        <v>6040</v>
      </c>
      <c r="V87" s="295">
        <v>9.00000035762787E-2</v>
      </c>
      <c r="W87" s="295">
        <v>220</v>
      </c>
      <c r="X87" s="295">
        <v>20</v>
      </c>
      <c r="Y87" s="295" t="s">
        <v>6088</v>
      </c>
      <c r="Z87" s="295" t="b">
        <v>1</v>
      </c>
      <c r="AB87" s="295">
        <v>0.75</v>
      </c>
      <c r="AC87" s="295">
        <v>0.34999999403953602</v>
      </c>
      <c r="AD87" s="295">
        <v>0.71666663885116599</v>
      </c>
      <c r="AG87" s="295">
        <v>40</v>
      </c>
      <c r="AH87" s="295">
        <v>0.40000000596046398</v>
      </c>
      <c r="AJ87" s="295">
        <f>VLOOKUP(A87,'RBSA Weights'!$A$2:$N$322,8,FALSE)</f>
        <v>1211.2822265625</v>
      </c>
    </row>
    <row r="88" spans="1:36">
      <c r="A88" s="295">
        <v>20729</v>
      </c>
      <c r="B88" s="295" t="s">
        <v>6042</v>
      </c>
      <c r="C88" s="295" t="b">
        <v>0</v>
      </c>
      <c r="D88" s="295">
        <v>1440</v>
      </c>
      <c r="E88" s="295">
        <v>8</v>
      </c>
      <c r="G88" s="295">
        <v>11</v>
      </c>
      <c r="H88" s="295" t="s">
        <v>6040</v>
      </c>
      <c r="I88" s="295">
        <v>0.10000000149011599</v>
      </c>
      <c r="J88" s="295" t="b">
        <v>0</v>
      </c>
      <c r="K88" s="295">
        <v>1440</v>
      </c>
      <c r="L88" s="295" t="s">
        <v>6050</v>
      </c>
      <c r="N88" s="295">
        <v>11</v>
      </c>
      <c r="O88" s="295" t="s">
        <v>6040</v>
      </c>
      <c r="P88" s="295">
        <v>0.108999997377396</v>
      </c>
      <c r="Q88" s="295" t="b">
        <v>0</v>
      </c>
      <c r="R88" s="295">
        <v>1344</v>
      </c>
      <c r="T88" s="295">
        <v>11</v>
      </c>
      <c r="U88" s="295" t="s">
        <v>6040</v>
      </c>
      <c r="V88" s="295">
        <v>9.00000035762787E-2</v>
      </c>
      <c r="W88" s="295">
        <v>204</v>
      </c>
      <c r="X88" s="295">
        <v>1</v>
      </c>
      <c r="Y88" s="295" t="s">
        <v>6048</v>
      </c>
      <c r="Z88" s="295" t="b">
        <v>1</v>
      </c>
      <c r="AA88" s="295">
        <v>35</v>
      </c>
      <c r="AB88" s="295">
        <v>0.75</v>
      </c>
      <c r="AC88" s="295">
        <v>0.55000001192092896</v>
      </c>
      <c r="AD88" s="295">
        <v>0.74902439117431596</v>
      </c>
      <c r="AG88" s="295">
        <v>40</v>
      </c>
      <c r="AH88" s="295">
        <v>0.40000000596046398</v>
      </c>
      <c r="AJ88" s="295">
        <f>VLOOKUP(A88,'RBSA Weights'!$A$2:$N$322,8,FALSE)</f>
        <v>3065.64990234375</v>
      </c>
    </row>
    <row r="89" spans="1:36">
      <c r="A89" s="295">
        <v>20731</v>
      </c>
      <c r="B89" s="295" t="s">
        <v>6056</v>
      </c>
      <c r="C89" s="295" t="b">
        <v>0</v>
      </c>
      <c r="D89" s="295">
        <v>1560</v>
      </c>
      <c r="E89" s="295">
        <v>8</v>
      </c>
      <c r="G89" s="295">
        <v>7</v>
      </c>
      <c r="H89" s="295" t="s">
        <v>6055</v>
      </c>
      <c r="I89" s="295">
        <v>0.129999995231628</v>
      </c>
      <c r="J89" s="295" t="b">
        <v>0</v>
      </c>
      <c r="K89" s="295">
        <v>1560</v>
      </c>
      <c r="L89" s="295" t="s">
        <v>6045</v>
      </c>
      <c r="N89" s="295">
        <v>7</v>
      </c>
      <c r="O89" s="295" t="s">
        <v>6055</v>
      </c>
      <c r="P89" s="295">
        <v>9.3000002205371898E-2</v>
      </c>
      <c r="Q89" s="295" t="b">
        <v>0</v>
      </c>
      <c r="R89" s="295">
        <v>1494</v>
      </c>
      <c r="T89" s="295">
        <v>7</v>
      </c>
      <c r="U89" s="295" t="s">
        <v>6055</v>
      </c>
      <c r="V89" s="295">
        <v>0.119999997317791</v>
      </c>
      <c r="W89" s="295">
        <v>144</v>
      </c>
      <c r="Z89" s="295" t="b">
        <v>0</v>
      </c>
      <c r="AA89" s="295">
        <v>50</v>
      </c>
      <c r="AB89" s="295">
        <v>1.25</v>
      </c>
      <c r="AD89" s="295">
        <v>1.25</v>
      </c>
      <c r="AG89" s="295">
        <v>40</v>
      </c>
      <c r="AH89" s="295">
        <v>0.40000000596046398</v>
      </c>
      <c r="AI89" s="295" t="s">
        <v>6165</v>
      </c>
      <c r="AJ89" s="295">
        <f>VLOOKUP(A89,'RBSA Weights'!$A$2:$N$322,8,FALSE)</f>
        <v>868.428955078125</v>
      </c>
    </row>
    <row r="90" spans="1:36">
      <c r="A90" s="295">
        <v>20733</v>
      </c>
      <c r="B90" s="295" t="s">
        <v>6042</v>
      </c>
      <c r="C90" s="295" t="b">
        <v>0</v>
      </c>
      <c r="D90" s="295">
        <v>1798</v>
      </c>
      <c r="E90" s="295">
        <v>8.5</v>
      </c>
      <c r="G90" s="295">
        <v>11</v>
      </c>
      <c r="H90" s="295" t="s">
        <v>6040</v>
      </c>
      <c r="I90" s="295">
        <v>0.10000000149011599</v>
      </c>
      <c r="J90" s="295" t="b">
        <v>0</v>
      </c>
      <c r="K90" s="295">
        <v>1624</v>
      </c>
      <c r="L90" s="295" t="s">
        <v>6045</v>
      </c>
      <c r="N90" s="295">
        <v>11</v>
      </c>
      <c r="O90" s="295" t="s">
        <v>6040</v>
      </c>
      <c r="P90" s="295">
        <v>6.7000001668930095E-2</v>
      </c>
      <c r="Q90" s="295" t="b">
        <v>0</v>
      </c>
      <c r="R90" s="295">
        <v>1376</v>
      </c>
      <c r="T90" s="295">
        <v>11</v>
      </c>
      <c r="U90" s="295" t="s">
        <v>6040</v>
      </c>
      <c r="V90" s="295">
        <v>9.00000035762787E-2</v>
      </c>
      <c r="W90" s="295">
        <v>155</v>
      </c>
      <c r="Z90" s="295" t="b">
        <v>0</v>
      </c>
      <c r="AA90" s="295">
        <v>10</v>
      </c>
      <c r="AB90" s="295">
        <v>0.75</v>
      </c>
      <c r="AD90" s="295">
        <v>0.75</v>
      </c>
      <c r="AG90" s="295">
        <v>40</v>
      </c>
      <c r="AH90" s="295">
        <v>0.40000000596046398</v>
      </c>
      <c r="AJ90" s="295">
        <f>VLOOKUP(A90,'RBSA Weights'!$A$2:$N$322,8,FALSE)</f>
        <v>1211.2822265625</v>
      </c>
    </row>
    <row r="91" spans="1:36">
      <c r="A91" s="295">
        <v>20736</v>
      </c>
      <c r="B91" s="295" t="s">
        <v>6042</v>
      </c>
      <c r="C91" s="295" t="b">
        <v>1</v>
      </c>
      <c r="D91" s="295">
        <v>742</v>
      </c>
      <c r="E91" s="295">
        <v>8</v>
      </c>
      <c r="F91" s="295" t="s">
        <v>157</v>
      </c>
      <c r="G91" s="295">
        <v>19</v>
      </c>
      <c r="H91" s="295" t="s">
        <v>6051</v>
      </c>
      <c r="I91" s="295">
        <v>5.6000001728534698E-2</v>
      </c>
      <c r="J91" s="295" t="b">
        <v>1</v>
      </c>
      <c r="K91" s="295">
        <v>742</v>
      </c>
      <c r="L91" s="295" t="s">
        <v>6050</v>
      </c>
      <c r="M91" s="295" t="s">
        <v>156</v>
      </c>
      <c r="N91" s="295">
        <v>11</v>
      </c>
      <c r="O91" s="295" t="s">
        <v>6040</v>
      </c>
      <c r="P91" s="295">
        <v>0.108999997377396</v>
      </c>
      <c r="Q91" s="295" t="b">
        <v>0</v>
      </c>
      <c r="R91" s="295">
        <v>1072</v>
      </c>
      <c r="T91" s="295">
        <v>11</v>
      </c>
      <c r="U91" s="295" t="s">
        <v>6040</v>
      </c>
      <c r="V91" s="295">
        <v>9.00000035762787E-2</v>
      </c>
      <c r="W91" s="295">
        <v>70</v>
      </c>
      <c r="Y91" s="295" t="s">
        <v>6048</v>
      </c>
      <c r="Z91" s="295" t="b">
        <v>1</v>
      </c>
      <c r="AA91" s="295">
        <v>0</v>
      </c>
      <c r="AB91" s="295">
        <v>0.75</v>
      </c>
      <c r="AC91" s="295">
        <v>0.55000001192092896</v>
      </c>
      <c r="AD91" s="295">
        <v>0.75</v>
      </c>
      <c r="AG91" s="295">
        <v>40</v>
      </c>
      <c r="AH91" s="295">
        <v>0.40000000596046398</v>
      </c>
      <c r="AI91" s="295" t="s">
        <v>6164</v>
      </c>
      <c r="AJ91" s="295">
        <f>VLOOKUP(A91,'RBSA Weights'!$A$2:$N$322,8,FALSE)</f>
        <v>1211.2822265625</v>
      </c>
    </row>
    <row r="92" spans="1:36">
      <c r="A92" s="295">
        <v>20804</v>
      </c>
      <c r="B92" s="295" t="s">
        <v>6042</v>
      </c>
      <c r="C92" s="295" t="b">
        <v>0</v>
      </c>
      <c r="D92" s="295">
        <v>1840</v>
      </c>
      <c r="E92" s="295">
        <v>8</v>
      </c>
      <c r="G92" s="295">
        <v>11</v>
      </c>
      <c r="H92" s="295" t="s">
        <v>6040</v>
      </c>
      <c r="I92" s="295">
        <v>0.10000000149011599</v>
      </c>
      <c r="J92" s="295" t="b">
        <v>0</v>
      </c>
      <c r="K92" s="295">
        <v>1840</v>
      </c>
      <c r="L92" s="295" t="s">
        <v>6050</v>
      </c>
      <c r="N92" s="295">
        <v>11</v>
      </c>
      <c r="O92" s="295" t="s">
        <v>6040</v>
      </c>
      <c r="P92" s="295">
        <v>0.108999997377396</v>
      </c>
      <c r="Q92" s="295" t="b">
        <v>0</v>
      </c>
      <c r="R92" s="295">
        <v>1440</v>
      </c>
      <c r="T92" s="295">
        <v>11</v>
      </c>
      <c r="U92" s="295" t="s">
        <v>6040</v>
      </c>
      <c r="V92" s="295">
        <v>9.00000035762787E-2</v>
      </c>
      <c r="W92" s="295">
        <v>186</v>
      </c>
      <c r="Z92" s="295" t="b">
        <v>0</v>
      </c>
      <c r="AA92" s="295">
        <v>21</v>
      </c>
      <c r="AB92" s="295">
        <v>0.75</v>
      </c>
      <c r="AC92" s="295">
        <v>0.69999998807907104</v>
      </c>
      <c r="AD92" s="295">
        <v>0.75</v>
      </c>
      <c r="AG92" s="295">
        <v>40</v>
      </c>
      <c r="AH92" s="295">
        <v>0.40000000596046398</v>
      </c>
      <c r="AJ92" s="295">
        <f>VLOOKUP(A92,'RBSA Weights'!$A$2:$N$322,8,FALSE)</f>
        <v>1211.2822265625</v>
      </c>
    </row>
    <row r="93" spans="1:36">
      <c r="A93" s="295">
        <v>20832</v>
      </c>
      <c r="B93" s="295" t="s">
        <v>6042</v>
      </c>
      <c r="C93" s="295" t="b">
        <v>0</v>
      </c>
      <c r="D93" s="295">
        <v>1144</v>
      </c>
      <c r="E93" s="295">
        <v>8.5</v>
      </c>
      <c r="G93" s="295">
        <v>11</v>
      </c>
      <c r="H93" s="295" t="s">
        <v>6040</v>
      </c>
      <c r="I93" s="295">
        <v>0.10000000149011599</v>
      </c>
      <c r="J93" s="295" t="b">
        <v>0</v>
      </c>
      <c r="K93" s="295">
        <v>1144</v>
      </c>
      <c r="L93" s="295" t="s">
        <v>6045</v>
      </c>
      <c r="N93" s="295">
        <v>11</v>
      </c>
      <c r="O93" s="295" t="s">
        <v>6040</v>
      </c>
      <c r="P93" s="295">
        <v>6.7000001668930095E-2</v>
      </c>
      <c r="Q93" s="295" t="b">
        <v>0</v>
      </c>
      <c r="R93" s="295">
        <v>960</v>
      </c>
      <c r="T93" s="295">
        <v>11</v>
      </c>
      <c r="U93" s="295" t="s">
        <v>6040</v>
      </c>
      <c r="V93" s="295">
        <v>9.00000035762787E-2</v>
      </c>
      <c r="X93" s="295">
        <v>136</v>
      </c>
      <c r="Y93" s="295" t="s">
        <v>6048</v>
      </c>
      <c r="Z93" s="295" t="b">
        <v>1</v>
      </c>
      <c r="AA93" s="295">
        <v>12</v>
      </c>
      <c r="AB93" s="295">
        <v>0.75</v>
      </c>
      <c r="AC93" s="295">
        <v>0.55000001192092896</v>
      </c>
      <c r="AD93" s="295">
        <v>0.55000001192092896</v>
      </c>
      <c r="AG93" s="295">
        <v>40</v>
      </c>
      <c r="AH93" s="295">
        <v>0.40000000596046398</v>
      </c>
      <c r="AI93" s="295" t="s">
        <v>6163</v>
      </c>
      <c r="AJ93" s="295">
        <f>VLOOKUP(A93,'RBSA Weights'!$A$2:$N$322,8,FALSE)</f>
        <v>3065.64990234375</v>
      </c>
    </row>
    <row r="94" spans="1:36">
      <c r="A94" s="295">
        <v>20849</v>
      </c>
      <c r="B94" s="295" t="s">
        <v>6042</v>
      </c>
      <c r="C94" s="295" t="b">
        <v>0</v>
      </c>
      <c r="D94" s="295">
        <v>1072</v>
      </c>
      <c r="E94" s="295">
        <v>8</v>
      </c>
      <c r="G94" s="295">
        <v>11</v>
      </c>
      <c r="H94" s="295" t="s">
        <v>6040</v>
      </c>
      <c r="I94" s="295">
        <v>0.10000000149011599</v>
      </c>
      <c r="J94" s="295" t="b">
        <v>0</v>
      </c>
      <c r="K94" s="295">
        <v>1072</v>
      </c>
      <c r="L94" s="295" t="s">
        <v>6050</v>
      </c>
      <c r="N94" s="295">
        <v>11</v>
      </c>
      <c r="O94" s="295" t="s">
        <v>6040</v>
      </c>
      <c r="P94" s="295">
        <v>0.108999997377396</v>
      </c>
      <c r="Q94" s="295" t="b">
        <v>0</v>
      </c>
      <c r="R94" s="295">
        <v>1328</v>
      </c>
      <c r="T94" s="295">
        <v>11</v>
      </c>
      <c r="U94" s="295" t="s">
        <v>6040</v>
      </c>
      <c r="V94" s="295">
        <v>9.00000035762787E-2</v>
      </c>
      <c r="W94" s="295">
        <v>87</v>
      </c>
      <c r="Z94" s="295" t="b">
        <v>0</v>
      </c>
      <c r="AA94" s="295">
        <v>30</v>
      </c>
      <c r="AB94" s="295">
        <v>0.75</v>
      </c>
      <c r="AD94" s="295">
        <v>0.75</v>
      </c>
      <c r="AG94" s="295">
        <v>40</v>
      </c>
      <c r="AH94" s="295">
        <v>0.40000000596046398</v>
      </c>
      <c r="AJ94" s="295">
        <f>VLOOKUP(A94,'RBSA Weights'!$A$2:$N$322,8,FALSE)</f>
        <v>1211.2822265625</v>
      </c>
    </row>
    <row r="95" spans="1:36">
      <c r="A95" s="295">
        <v>20858</v>
      </c>
      <c r="B95" s="295" t="s">
        <v>6042</v>
      </c>
      <c r="C95" s="295" t="b">
        <v>0</v>
      </c>
      <c r="D95" s="295">
        <v>1175</v>
      </c>
      <c r="E95" s="295">
        <v>7</v>
      </c>
      <c r="G95" s="295">
        <v>11</v>
      </c>
      <c r="H95" s="295" t="s">
        <v>6040</v>
      </c>
      <c r="I95" s="295">
        <v>0.10000000149011599</v>
      </c>
      <c r="J95" s="295" t="b">
        <v>0</v>
      </c>
      <c r="K95" s="295">
        <v>1152</v>
      </c>
      <c r="L95" s="295" t="s">
        <v>6060</v>
      </c>
      <c r="N95" s="295">
        <v>11</v>
      </c>
      <c r="O95" s="295" t="s">
        <v>6040</v>
      </c>
      <c r="P95" s="295">
        <v>0.14300000667571999</v>
      </c>
      <c r="Q95" s="295" t="b">
        <v>0</v>
      </c>
      <c r="R95" s="295">
        <v>1008</v>
      </c>
      <c r="T95" s="295">
        <v>11</v>
      </c>
      <c r="U95" s="295" t="s">
        <v>6040</v>
      </c>
      <c r="V95" s="295">
        <v>9.00000035762787E-2</v>
      </c>
      <c r="W95" s="295">
        <v>137</v>
      </c>
      <c r="X95" s="295">
        <v>16</v>
      </c>
      <c r="Y95" s="295" t="s">
        <v>6048</v>
      </c>
      <c r="Z95" s="295" t="b">
        <v>1</v>
      </c>
      <c r="AA95" s="295">
        <v>41</v>
      </c>
      <c r="AB95" s="295">
        <v>0.75</v>
      </c>
      <c r="AC95" s="295">
        <v>0.55000001192092896</v>
      </c>
      <c r="AD95" s="295">
        <v>0.72908496856689498</v>
      </c>
      <c r="AG95" s="295">
        <v>40</v>
      </c>
      <c r="AH95" s="295">
        <v>0.40000000596046398</v>
      </c>
      <c r="AI95" s="295" t="s">
        <v>6162</v>
      </c>
      <c r="AJ95" s="295">
        <f>VLOOKUP(A95,'RBSA Weights'!$A$2:$N$322,8,FALSE)</f>
        <v>2128.94555664063</v>
      </c>
    </row>
    <row r="96" spans="1:36">
      <c r="A96" s="295">
        <v>20874</v>
      </c>
      <c r="B96" s="295" t="s">
        <v>6058</v>
      </c>
      <c r="C96" s="295" t="b">
        <v>0</v>
      </c>
      <c r="D96" s="295">
        <v>1608</v>
      </c>
      <c r="E96" s="295">
        <v>8</v>
      </c>
      <c r="G96" s="295">
        <v>49</v>
      </c>
      <c r="H96" s="295" t="s">
        <v>6057</v>
      </c>
      <c r="I96" s="295">
        <v>2.60000005364418E-2</v>
      </c>
      <c r="J96" s="295" t="b">
        <v>0</v>
      </c>
      <c r="K96" s="295">
        <v>1608</v>
      </c>
      <c r="L96" s="295" t="s">
        <v>6045</v>
      </c>
      <c r="N96" s="295">
        <v>33</v>
      </c>
      <c r="O96" s="295" t="s">
        <v>162</v>
      </c>
      <c r="P96" s="295">
        <v>2.9999999329447701E-2</v>
      </c>
      <c r="Q96" s="295" t="b">
        <v>0</v>
      </c>
      <c r="R96" s="295">
        <v>1456</v>
      </c>
      <c r="T96" s="295">
        <v>21</v>
      </c>
      <c r="U96" s="295" t="s">
        <v>6051</v>
      </c>
      <c r="V96" s="295">
        <v>5.6000001728534698E-2</v>
      </c>
      <c r="W96" s="295">
        <v>228</v>
      </c>
      <c r="Z96" s="295" t="b">
        <v>0</v>
      </c>
      <c r="AA96" s="295">
        <v>35</v>
      </c>
      <c r="AB96" s="295">
        <v>0.34999999403953602</v>
      </c>
      <c r="AD96" s="295">
        <v>0.34999999403953602</v>
      </c>
      <c r="AG96" s="295">
        <v>40</v>
      </c>
      <c r="AH96" s="295">
        <v>0.40000000596046398</v>
      </c>
      <c r="AI96" s="295" t="s">
        <v>6161</v>
      </c>
      <c r="AJ96" s="295">
        <f>VLOOKUP(A96,'RBSA Weights'!$A$2:$N$322,8,FALSE)</f>
        <v>3065.64990234375</v>
      </c>
    </row>
    <row r="97" spans="1:36">
      <c r="A97" s="295">
        <v>20879</v>
      </c>
      <c r="B97" s="295" t="s">
        <v>6042</v>
      </c>
      <c r="C97" s="295" t="b">
        <v>0</v>
      </c>
      <c r="D97" s="295">
        <v>1300</v>
      </c>
      <c r="E97" s="295">
        <v>8</v>
      </c>
      <c r="G97" s="295">
        <v>11</v>
      </c>
      <c r="H97" s="295" t="s">
        <v>6040</v>
      </c>
      <c r="I97" s="295">
        <v>0.10000000149011599</v>
      </c>
      <c r="J97" s="295" t="b">
        <v>0</v>
      </c>
      <c r="K97" s="295">
        <v>1300</v>
      </c>
      <c r="L97" s="295" t="s">
        <v>6041</v>
      </c>
      <c r="N97" s="295">
        <v>11</v>
      </c>
      <c r="O97" s="295" t="s">
        <v>6040</v>
      </c>
      <c r="P97" s="295">
        <v>8.5000000894069699E-2</v>
      </c>
      <c r="Q97" s="295" t="b">
        <v>0</v>
      </c>
      <c r="R97" s="295">
        <v>1216</v>
      </c>
      <c r="T97" s="295">
        <v>11</v>
      </c>
      <c r="U97" s="295" t="s">
        <v>6040</v>
      </c>
      <c r="V97" s="295">
        <v>9.00000035762787E-2</v>
      </c>
      <c r="W97" s="295">
        <v>183</v>
      </c>
      <c r="Z97" s="295" t="b">
        <v>0</v>
      </c>
      <c r="AA97" s="295">
        <v>10</v>
      </c>
      <c r="AB97" s="295">
        <v>0.75</v>
      </c>
      <c r="AD97" s="295">
        <v>0.75</v>
      </c>
      <c r="AE97" s="295">
        <v>24</v>
      </c>
      <c r="AF97" s="295">
        <v>0.60000002384185802</v>
      </c>
      <c r="AG97" s="295">
        <v>40</v>
      </c>
      <c r="AH97" s="295">
        <v>0.40000000596046398</v>
      </c>
      <c r="AJ97" s="295">
        <f>VLOOKUP(A97,'RBSA Weights'!$A$2:$N$322,8,FALSE)</f>
        <v>2128.94555664063</v>
      </c>
    </row>
    <row r="98" spans="1:36">
      <c r="A98" s="295">
        <v>20881</v>
      </c>
      <c r="B98" s="295" t="s">
        <v>6056</v>
      </c>
      <c r="C98" s="295" t="b">
        <v>1</v>
      </c>
      <c r="D98" s="295">
        <v>600</v>
      </c>
      <c r="E98" s="295">
        <v>7</v>
      </c>
      <c r="F98" s="295" t="s">
        <v>157</v>
      </c>
      <c r="G98" s="295">
        <v>19</v>
      </c>
      <c r="H98" s="295" t="s">
        <v>6051</v>
      </c>
      <c r="I98" s="295">
        <v>5.6000001728534698E-2</v>
      </c>
      <c r="J98" s="295" t="b">
        <v>0</v>
      </c>
      <c r="K98" s="295">
        <v>600</v>
      </c>
      <c r="L98" s="295" t="s">
        <v>6060</v>
      </c>
      <c r="N98" s="295">
        <v>7</v>
      </c>
      <c r="O98" s="295" t="s">
        <v>6055</v>
      </c>
      <c r="P98" s="295">
        <v>0.14699999988079099</v>
      </c>
      <c r="Q98" s="295" t="b">
        <v>0</v>
      </c>
      <c r="R98" s="295">
        <v>868</v>
      </c>
      <c r="T98" s="295">
        <v>7</v>
      </c>
      <c r="U98" s="295" t="s">
        <v>6055</v>
      </c>
      <c r="V98" s="295">
        <v>0.119999997317791</v>
      </c>
      <c r="W98" s="295">
        <v>96</v>
      </c>
      <c r="Z98" s="295" t="b">
        <v>0</v>
      </c>
      <c r="AA98" s="295">
        <v>0</v>
      </c>
      <c r="AB98" s="295">
        <v>1.25</v>
      </c>
      <c r="AC98" s="295">
        <v>0.69999998807907104</v>
      </c>
      <c r="AD98" s="295">
        <v>1.25</v>
      </c>
      <c r="AG98" s="295">
        <v>40</v>
      </c>
      <c r="AH98" s="295">
        <v>0.40000000596046398</v>
      </c>
      <c r="AJ98" s="295">
        <f>VLOOKUP(A98,'RBSA Weights'!$A$2:$N$322,8,FALSE)</f>
        <v>2319.07739257813</v>
      </c>
    </row>
    <row r="99" spans="1:36">
      <c r="A99" s="295">
        <v>20907</v>
      </c>
      <c r="B99" s="295" t="s">
        <v>6078</v>
      </c>
      <c r="C99" s="295" t="b">
        <v>0</v>
      </c>
      <c r="D99" s="295">
        <v>1482</v>
      </c>
      <c r="E99" s="295">
        <v>8</v>
      </c>
      <c r="G99" s="295">
        <v>38</v>
      </c>
      <c r="H99" s="295" t="s">
        <v>162</v>
      </c>
      <c r="I99" s="295">
        <v>3.5000000149011598E-2</v>
      </c>
      <c r="J99" s="295" t="b">
        <v>0</v>
      </c>
      <c r="K99" s="295">
        <v>1482</v>
      </c>
      <c r="L99" s="295" t="s">
        <v>6045</v>
      </c>
      <c r="N99" s="295">
        <v>33</v>
      </c>
      <c r="O99" s="295" t="s">
        <v>162</v>
      </c>
      <c r="P99" s="295">
        <v>2.9999999329447701E-2</v>
      </c>
      <c r="Q99" s="295" t="b">
        <v>0</v>
      </c>
      <c r="R99" s="295">
        <v>664</v>
      </c>
      <c r="T99" s="295">
        <v>21</v>
      </c>
      <c r="U99" s="295" t="s">
        <v>6051</v>
      </c>
      <c r="V99" s="295">
        <v>5.6000001728534698E-2</v>
      </c>
      <c r="W99" s="295">
        <v>230</v>
      </c>
      <c r="X99" s="295">
        <v>4</v>
      </c>
      <c r="Y99" s="295" t="s">
        <v>6088</v>
      </c>
      <c r="Z99" s="295" t="b">
        <v>1</v>
      </c>
      <c r="AA99" s="295">
        <v>25</v>
      </c>
      <c r="AB99" s="295">
        <v>0.37999999523162797</v>
      </c>
      <c r="AC99" s="295">
        <v>0.34999999403953602</v>
      </c>
      <c r="AD99" s="295">
        <v>0.37948718667030301</v>
      </c>
      <c r="AE99" s="295">
        <v>16</v>
      </c>
      <c r="AF99" s="295">
        <v>0.60000002384185802</v>
      </c>
      <c r="AG99" s="295">
        <v>40</v>
      </c>
      <c r="AH99" s="295">
        <v>0.40000000596046398</v>
      </c>
      <c r="AJ99" s="295">
        <f>VLOOKUP(A99,'RBSA Weights'!$A$2:$N$322,8,FALSE)</f>
        <v>2319.07739257813</v>
      </c>
    </row>
    <row r="100" spans="1:36">
      <c r="A100" s="295">
        <v>20956</v>
      </c>
      <c r="B100" s="295" t="s">
        <v>6042</v>
      </c>
      <c r="C100" s="295" t="b">
        <v>0</v>
      </c>
      <c r="D100" s="295">
        <v>770</v>
      </c>
      <c r="E100" s="295">
        <v>7</v>
      </c>
      <c r="G100" s="295">
        <v>11</v>
      </c>
      <c r="H100" s="295" t="s">
        <v>6040</v>
      </c>
      <c r="I100" s="295">
        <v>0.10000000149011599</v>
      </c>
      <c r="J100" s="295" t="b">
        <v>1</v>
      </c>
      <c r="K100" s="295">
        <v>770</v>
      </c>
      <c r="L100" s="295" t="s">
        <v>6045</v>
      </c>
      <c r="M100" s="295" t="s">
        <v>157</v>
      </c>
      <c r="N100" s="295">
        <v>19</v>
      </c>
      <c r="O100" s="295" t="s">
        <v>6051</v>
      </c>
      <c r="P100" s="295">
        <v>5.6000001728534698E-2</v>
      </c>
      <c r="Q100" s="295" t="b">
        <v>0</v>
      </c>
      <c r="R100" s="295">
        <v>966</v>
      </c>
      <c r="T100" s="295">
        <v>11</v>
      </c>
      <c r="U100" s="295" t="s">
        <v>6040</v>
      </c>
      <c r="V100" s="295">
        <v>9.00000035762787E-2</v>
      </c>
      <c r="W100" s="295">
        <v>100</v>
      </c>
      <c r="Z100" s="295" t="b">
        <v>0</v>
      </c>
      <c r="AA100" s="295">
        <v>25</v>
      </c>
      <c r="AB100" s="295">
        <v>0.75</v>
      </c>
      <c r="AD100" s="295">
        <v>0.75</v>
      </c>
      <c r="AG100" s="295">
        <v>40</v>
      </c>
      <c r="AH100" s="295">
        <v>0.40000000596046398</v>
      </c>
      <c r="AJ100" s="295">
        <f>VLOOKUP(A100,'RBSA Weights'!$A$2:$N$322,8,FALSE)</f>
        <v>2319.07739257813</v>
      </c>
    </row>
    <row r="101" spans="1:36">
      <c r="A101" s="295">
        <v>20997</v>
      </c>
      <c r="B101" s="295" t="s">
        <v>6056</v>
      </c>
      <c r="C101" s="295" t="b">
        <v>0</v>
      </c>
      <c r="D101" s="295">
        <v>432</v>
      </c>
      <c r="E101" s="295">
        <v>7</v>
      </c>
      <c r="G101" s="295">
        <v>7</v>
      </c>
      <c r="H101" s="295" t="s">
        <v>6055</v>
      </c>
      <c r="I101" s="295">
        <v>0.129999995231628</v>
      </c>
      <c r="J101" s="295" t="b">
        <v>0</v>
      </c>
      <c r="K101" s="295">
        <v>432</v>
      </c>
      <c r="L101" s="295" t="s">
        <v>6081</v>
      </c>
      <c r="N101" s="295">
        <v>7</v>
      </c>
      <c r="O101" s="295" t="s">
        <v>6055</v>
      </c>
      <c r="P101" s="295">
        <v>0.17399999499321001</v>
      </c>
      <c r="Q101" s="295" t="b">
        <v>0</v>
      </c>
      <c r="R101" s="295">
        <v>672</v>
      </c>
      <c r="T101" s="295">
        <v>7</v>
      </c>
      <c r="U101" s="295" t="s">
        <v>6055</v>
      </c>
      <c r="V101" s="295">
        <v>0.119999997317791</v>
      </c>
      <c r="W101" s="295">
        <v>51</v>
      </c>
      <c r="Z101" s="295" t="b">
        <v>0</v>
      </c>
      <c r="AA101" s="295">
        <v>20</v>
      </c>
      <c r="AB101" s="295">
        <v>1.25</v>
      </c>
      <c r="AC101" s="295">
        <v>0.69999998807907104</v>
      </c>
      <c r="AD101" s="295">
        <v>1.25</v>
      </c>
      <c r="AG101" s="295">
        <v>40</v>
      </c>
      <c r="AH101" s="295">
        <v>0.40000000596046398</v>
      </c>
      <c r="AI101" s="295" t="s">
        <v>6160</v>
      </c>
      <c r="AJ101" s="295">
        <f>VLOOKUP(A101,'RBSA Weights'!$A$2:$N$322,8,FALSE)</f>
        <v>868.428955078125</v>
      </c>
    </row>
    <row r="102" spans="1:36">
      <c r="A102" s="295">
        <v>21065</v>
      </c>
      <c r="B102" s="295" t="s">
        <v>6058</v>
      </c>
      <c r="C102" s="295" t="b">
        <v>0</v>
      </c>
      <c r="D102" s="295">
        <v>1509</v>
      </c>
      <c r="E102" s="295">
        <v>9</v>
      </c>
      <c r="G102" s="295">
        <v>49</v>
      </c>
      <c r="H102" s="295" t="s">
        <v>6057</v>
      </c>
      <c r="I102" s="295">
        <v>2.60000005364418E-2</v>
      </c>
      <c r="J102" s="295" t="b">
        <v>0</v>
      </c>
      <c r="K102" s="295">
        <v>1196</v>
      </c>
      <c r="L102" s="295" t="s">
        <v>6045</v>
      </c>
      <c r="N102" s="295">
        <v>33</v>
      </c>
      <c r="O102" s="295" t="s">
        <v>162</v>
      </c>
      <c r="P102" s="295">
        <v>2.9999999329447701E-2</v>
      </c>
      <c r="Q102" s="295" t="b">
        <v>0</v>
      </c>
      <c r="R102" s="295">
        <v>1152</v>
      </c>
      <c r="T102" s="295">
        <v>21</v>
      </c>
      <c r="U102" s="295" t="s">
        <v>6051</v>
      </c>
      <c r="V102" s="295">
        <v>5.6000001728534698E-2</v>
      </c>
      <c r="W102" s="295">
        <v>124</v>
      </c>
      <c r="Z102" s="295" t="b">
        <v>0</v>
      </c>
      <c r="AA102" s="295">
        <v>75</v>
      </c>
      <c r="AB102" s="295">
        <v>0.34999999403953602</v>
      </c>
      <c r="AD102" s="295">
        <v>0.34999999403953602</v>
      </c>
      <c r="AE102" s="295">
        <v>10</v>
      </c>
      <c r="AF102" s="295">
        <v>0.60000002384185802</v>
      </c>
      <c r="AG102" s="295">
        <v>40</v>
      </c>
      <c r="AH102" s="295">
        <v>0.40000000596046398</v>
      </c>
      <c r="AI102" s="295" t="s">
        <v>6159</v>
      </c>
      <c r="AJ102" s="295">
        <f>VLOOKUP(A102,'RBSA Weights'!$A$2:$N$322,8,FALSE)</f>
        <v>2128.94555664063</v>
      </c>
    </row>
    <row r="103" spans="1:36">
      <c r="A103" s="295">
        <v>21071</v>
      </c>
      <c r="B103" s="295" t="s">
        <v>6058</v>
      </c>
      <c r="C103" s="295" t="b">
        <v>0</v>
      </c>
      <c r="D103" s="295">
        <v>1811</v>
      </c>
      <c r="E103" s="295">
        <v>8.5</v>
      </c>
      <c r="G103" s="295">
        <v>49</v>
      </c>
      <c r="H103" s="295" t="s">
        <v>6057</v>
      </c>
      <c r="I103" s="295">
        <v>2.60000005364418E-2</v>
      </c>
      <c r="J103" s="295" t="b">
        <v>0</v>
      </c>
      <c r="K103" s="295">
        <v>1800</v>
      </c>
      <c r="L103" s="295" t="s">
        <v>6045</v>
      </c>
      <c r="N103" s="295">
        <v>33</v>
      </c>
      <c r="O103" s="295" t="s">
        <v>162</v>
      </c>
      <c r="P103" s="295">
        <v>2.9999999329447701E-2</v>
      </c>
      <c r="Q103" s="295" t="b">
        <v>0</v>
      </c>
      <c r="R103" s="295">
        <v>1362</v>
      </c>
      <c r="T103" s="295">
        <v>21</v>
      </c>
      <c r="U103" s="295" t="s">
        <v>6051</v>
      </c>
      <c r="V103" s="295">
        <v>5.6000001728534698E-2</v>
      </c>
      <c r="W103" s="295">
        <v>264</v>
      </c>
      <c r="Z103" s="295" t="b">
        <v>0</v>
      </c>
      <c r="AA103" s="295">
        <v>3</v>
      </c>
      <c r="AB103" s="295">
        <v>0.34999999403953602</v>
      </c>
      <c r="AD103" s="295">
        <v>0.34999999403953602</v>
      </c>
      <c r="AE103" s="295">
        <v>1</v>
      </c>
      <c r="AF103" s="295">
        <v>0.5</v>
      </c>
      <c r="AG103" s="295">
        <v>40</v>
      </c>
      <c r="AH103" s="295">
        <v>0.40000000596046398</v>
      </c>
      <c r="AI103" s="295" t="s">
        <v>6158</v>
      </c>
      <c r="AJ103" s="295">
        <f>VLOOKUP(A103,'RBSA Weights'!$A$2:$N$322,8,FALSE)</f>
        <v>2319.07739257813</v>
      </c>
    </row>
    <row r="104" spans="1:36">
      <c r="A104" s="295">
        <v>21079</v>
      </c>
      <c r="B104" s="295" t="s">
        <v>6053</v>
      </c>
      <c r="C104" s="295" t="b">
        <v>0</v>
      </c>
      <c r="D104" s="295">
        <v>1150</v>
      </c>
      <c r="E104" s="295">
        <v>8</v>
      </c>
      <c r="G104" s="295">
        <v>22</v>
      </c>
      <c r="H104" s="295" t="s">
        <v>6046</v>
      </c>
      <c r="I104" s="295">
        <v>5.2000001072883599E-2</v>
      </c>
      <c r="J104" s="295" t="b">
        <v>0</v>
      </c>
      <c r="K104" s="295">
        <v>1150</v>
      </c>
      <c r="L104" s="295" t="s">
        <v>6041</v>
      </c>
      <c r="N104" s="295">
        <v>22</v>
      </c>
      <c r="O104" s="295" t="s">
        <v>6046</v>
      </c>
      <c r="P104" s="295">
        <v>6.1999998986720997E-2</v>
      </c>
      <c r="Q104" s="295" t="b">
        <v>0</v>
      </c>
      <c r="R104" s="295">
        <v>1136</v>
      </c>
      <c r="T104" s="295">
        <v>11</v>
      </c>
      <c r="U104" s="295" t="s">
        <v>6040</v>
      </c>
      <c r="V104" s="295">
        <v>9.00000035762787E-2</v>
      </c>
      <c r="W104" s="295">
        <v>219</v>
      </c>
      <c r="Z104" s="295" t="b">
        <v>0</v>
      </c>
      <c r="AA104" s="295">
        <v>5</v>
      </c>
      <c r="AB104" s="295">
        <v>0.479999989271164</v>
      </c>
      <c r="AD104" s="295">
        <v>0.479999989271164</v>
      </c>
      <c r="AG104" s="295">
        <v>40</v>
      </c>
      <c r="AH104" s="295">
        <v>0.40000000596046398</v>
      </c>
      <c r="AI104" s="295" t="s">
        <v>6157</v>
      </c>
      <c r="AJ104" s="295">
        <f>VLOOKUP(A104,'RBSA Weights'!$A$2:$N$322,8,FALSE)</f>
        <v>1211.2822265625</v>
      </c>
    </row>
    <row r="105" spans="1:36">
      <c r="A105" s="295">
        <v>21088</v>
      </c>
      <c r="B105" s="295" t="s">
        <v>6058</v>
      </c>
      <c r="C105" s="295" t="b">
        <v>0</v>
      </c>
      <c r="D105" s="295">
        <v>1300</v>
      </c>
      <c r="E105" s="295">
        <v>7.5</v>
      </c>
      <c r="G105" s="295">
        <v>49</v>
      </c>
      <c r="H105" s="295" t="s">
        <v>6057</v>
      </c>
      <c r="I105" s="295">
        <v>2.60000005364418E-2</v>
      </c>
      <c r="J105" s="295" t="b">
        <v>0</v>
      </c>
      <c r="K105" s="295">
        <v>1168</v>
      </c>
      <c r="L105" s="295" t="s">
        <v>6045</v>
      </c>
      <c r="N105" s="295">
        <v>33</v>
      </c>
      <c r="O105" s="295" t="s">
        <v>162</v>
      </c>
      <c r="P105" s="295">
        <v>2.9999999329447701E-2</v>
      </c>
      <c r="Q105" s="295" t="b">
        <v>0</v>
      </c>
      <c r="R105" s="295">
        <v>1346</v>
      </c>
      <c r="T105" s="295">
        <v>21</v>
      </c>
      <c r="U105" s="295" t="s">
        <v>6051</v>
      </c>
      <c r="V105" s="295">
        <v>5.6000001728534698E-2</v>
      </c>
      <c r="W105" s="295">
        <v>174</v>
      </c>
      <c r="Z105" s="295" t="b">
        <v>0</v>
      </c>
      <c r="AA105" s="295">
        <v>40</v>
      </c>
      <c r="AB105" s="295">
        <v>0.34999999403953602</v>
      </c>
      <c r="AD105" s="295">
        <v>0.34999999403953602</v>
      </c>
      <c r="AG105" s="295">
        <v>40</v>
      </c>
      <c r="AH105" s="295">
        <v>0.40000000596046398</v>
      </c>
      <c r="AI105" s="295" t="s">
        <v>6156</v>
      </c>
      <c r="AJ105" s="295">
        <f>VLOOKUP(A105,'RBSA Weights'!$A$2:$N$322,8,FALSE)</f>
        <v>868.428955078125</v>
      </c>
    </row>
    <row r="106" spans="1:36">
      <c r="A106" s="295">
        <v>21096</v>
      </c>
      <c r="B106" s="295" t="s">
        <v>6042</v>
      </c>
      <c r="C106" s="295" t="b">
        <v>0</v>
      </c>
      <c r="D106" s="295">
        <v>883</v>
      </c>
      <c r="E106" s="295">
        <v>7.5</v>
      </c>
      <c r="G106" s="295">
        <v>11</v>
      </c>
      <c r="H106" s="295" t="s">
        <v>6040</v>
      </c>
      <c r="I106" s="295">
        <v>0.10000000149011599</v>
      </c>
      <c r="J106" s="295" t="b">
        <v>0</v>
      </c>
      <c r="K106" s="295">
        <v>873</v>
      </c>
      <c r="L106" s="295" t="s">
        <v>6050</v>
      </c>
      <c r="N106" s="295">
        <v>11</v>
      </c>
      <c r="O106" s="295" t="s">
        <v>6040</v>
      </c>
      <c r="P106" s="295">
        <v>0.108999997377396</v>
      </c>
      <c r="Q106" s="295" t="b">
        <v>0</v>
      </c>
      <c r="R106" s="295">
        <v>1078</v>
      </c>
      <c r="T106" s="295">
        <v>11</v>
      </c>
      <c r="U106" s="295" t="s">
        <v>6040</v>
      </c>
      <c r="V106" s="295">
        <v>9.00000035762787E-2</v>
      </c>
      <c r="W106" s="295">
        <v>124</v>
      </c>
      <c r="Z106" s="295" t="b">
        <v>0</v>
      </c>
      <c r="AA106" s="295">
        <v>15</v>
      </c>
      <c r="AB106" s="295">
        <v>0.75</v>
      </c>
      <c r="AC106" s="295">
        <v>0.69999998807907104</v>
      </c>
      <c r="AD106" s="295">
        <v>0.75</v>
      </c>
      <c r="AG106" s="295">
        <v>40</v>
      </c>
      <c r="AH106" s="295">
        <v>0.40000000596046398</v>
      </c>
      <c r="AJ106" s="295">
        <f>VLOOKUP(A106,'RBSA Weights'!$A$2:$N$322,8,FALSE)</f>
        <v>2128.94555664063</v>
      </c>
    </row>
    <row r="107" spans="1:36">
      <c r="A107" s="295">
        <v>21110</v>
      </c>
      <c r="B107" s="295" t="s">
        <v>6056</v>
      </c>
      <c r="C107" s="295" t="b">
        <v>0</v>
      </c>
      <c r="D107" s="295">
        <v>1152</v>
      </c>
      <c r="E107" s="295">
        <v>8</v>
      </c>
      <c r="G107" s="295">
        <v>7</v>
      </c>
      <c r="H107" s="295" t="s">
        <v>6055</v>
      </c>
      <c r="I107" s="295">
        <v>0.129999995231628</v>
      </c>
      <c r="J107" s="295" t="b">
        <v>0</v>
      </c>
      <c r="K107" s="295">
        <v>1152</v>
      </c>
      <c r="L107" s="295" t="s">
        <v>6041</v>
      </c>
      <c r="N107" s="295">
        <v>7</v>
      </c>
      <c r="O107" s="295" t="s">
        <v>6055</v>
      </c>
      <c r="P107" s="295">
        <v>9.4999998807907104E-2</v>
      </c>
      <c r="Q107" s="295" t="b">
        <v>0</v>
      </c>
      <c r="R107" s="295">
        <v>1152</v>
      </c>
      <c r="T107" s="295">
        <v>7</v>
      </c>
      <c r="U107" s="295" t="s">
        <v>6055</v>
      </c>
      <c r="V107" s="295">
        <v>0.119999997317791</v>
      </c>
      <c r="W107" s="295">
        <v>201</v>
      </c>
      <c r="Z107" s="295" t="b">
        <v>0</v>
      </c>
      <c r="AB107" s="295">
        <v>1.25</v>
      </c>
      <c r="AD107" s="295">
        <v>1.25</v>
      </c>
      <c r="AG107" s="295">
        <v>40</v>
      </c>
      <c r="AH107" s="295">
        <v>0.40000000596046398</v>
      </c>
      <c r="AJ107" s="295">
        <f>VLOOKUP(A107,'RBSA Weights'!$A$2:$N$322,8,FALSE)</f>
        <v>2914.5654296875</v>
      </c>
    </row>
    <row r="108" spans="1:36">
      <c r="A108" s="295">
        <v>21123</v>
      </c>
      <c r="B108" s="295" t="s">
        <v>6042</v>
      </c>
      <c r="C108" s="295" t="b">
        <v>1</v>
      </c>
      <c r="D108" s="295">
        <v>1396</v>
      </c>
      <c r="E108" s="295">
        <v>8</v>
      </c>
      <c r="F108" s="295" t="s">
        <v>157</v>
      </c>
      <c r="G108" s="295">
        <v>19</v>
      </c>
      <c r="H108" s="295" t="s">
        <v>6051</v>
      </c>
      <c r="I108" s="295">
        <v>5.6000001728534698E-2</v>
      </c>
      <c r="J108" s="295" t="b">
        <v>0</v>
      </c>
      <c r="K108" s="295">
        <v>1396</v>
      </c>
      <c r="L108" s="295" t="s">
        <v>6060</v>
      </c>
      <c r="N108" s="295">
        <v>11</v>
      </c>
      <c r="O108" s="295" t="s">
        <v>6040</v>
      </c>
      <c r="P108" s="295">
        <v>0.14300000667571999</v>
      </c>
      <c r="Q108" s="295" t="b">
        <v>1</v>
      </c>
      <c r="R108" s="295">
        <v>1760</v>
      </c>
      <c r="S108" s="295" t="s">
        <v>156</v>
      </c>
      <c r="T108" s="295">
        <v>11</v>
      </c>
      <c r="U108" s="295" t="s">
        <v>6040</v>
      </c>
      <c r="V108" s="295">
        <v>9.00000035762787E-2</v>
      </c>
      <c r="W108" s="295">
        <v>137</v>
      </c>
      <c r="Z108" s="295" t="b">
        <v>0</v>
      </c>
      <c r="AB108" s="295">
        <v>0.75</v>
      </c>
      <c r="AD108" s="295">
        <v>0.75</v>
      </c>
      <c r="AG108" s="295">
        <v>40</v>
      </c>
      <c r="AH108" s="295">
        <v>0.40000000596046398</v>
      </c>
      <c r="AI108" s="295" t="s">
        <v>6155</v>
      </c>
      <c r="AJ108" s="295">
        <f>VLOOKUP(A108,'RBSA Weights'!$A$2:$N$322,8,FALSE)</f>
        <v>1211.2822265625</v>
      </c>
    </row>
    <row r="109" spans="1:36">
      <c r="A109" s="295">
        <v>21126</v>
      </c>
      <c r="B109" s="295" t="s">
        <v>6056</v>
      </c>
      <c r="C109" s="295" t="b">
        <v>1</v>
      </c>
      <c r="D109" s="295">
        <v>880</v>
      </c>
      <c r="E109" s="295">
        <v>7</v>
      </c>
      <c r="F109" s="295" t="s">
        <v>158</v>
      </c>
      <c r="G109" s="295">
        <v>30</v>
      </c>
      <c r="H109" s="295" t="s">
        <v>6046</v>
      </c>
      <c r="I109" s="295">
        <v>4.39999997615814E-2</v>
      </c>
      <c r="J109" s="295" t="b">
        <v>1</v>
      </c>
      <c r="K109" s="295">
        <v>868</v>
      </c>
      <c r="L109" s="295" t="s">
        <v>6045</v>
      </c>
      <c r="M109" s="295" t="s">
        <v>156</v>
      </c>
      <c r="N109" s="295">
        <v>11</v>
      </c>
      <c r="O109" s="295" t="s">
        <v>6040</v>
      </c>
      <c r="P109" s="295">
        <v>6.7000001668930095E-2</v>
      </c>
      <c r="Q109" s="295" t="b">
        <v>1</v>
      </c>
      <c r="R109" s="295">
        <v>1064</v>
      </c>
      <c r="S109" s="295" t="s">
        <v>156</v>
      </c>
      <c r="T109" s="295">
        <v>11</v>
      </c>
      <c r="U109" s="295" t="s">
        <v>6040</v>
      </c>
      <c r="V109" s="295">
        <v>9.00000035762787E-2</v>
      </c>
      <c r="W109" s="295">
        <v>115</v>
      </c>
      <c r="Z109" s="295" t="b">
        <v>0</v>
      </c>
      <c r="AA109" s="295">
        <v>10</v>
      </c>
      <c r="AB109" s="295">
        <v>1.25</v>
      </c>
      <c r="AD109" s="295">
        <v>1.25</v>
      </c>
      <c r="AG109" s="295">
        <v>40</v>
      </c>
      <c r="AH109" s="295">
        <v>0.40000000596046398</v>
      </c>
      <c r="AI109" s="295" t="s">
        <v>6154</v>
      </c>
      <c r="AJ109" s="295">
        <f>VLOOKUP(A109,'RBSA Weights'!$A$2:$N$322,8,FALSE)</f>
        <v>868.428955078125</v>
      </c>
    </row>
    <row r="110" spans="1:36">
      <c r="A110" s="295">
        <v>21133</v>
      </c>
      <c r="B110" s="295" t="s">
        <v>6042</v>
      </c>
      <c r="C110" s="295" t="b">
        <v>1</v>
      </c>
      <c r="D110" s="295">
        <v>1080</v>
      </c>
      <c r="E110" s="295">
        <v>8</v>
      </c>
      <c r="F110" s="295" t="s">
        <v>157</v>
      </c>
      <c r="G110" s="295">
        <v>19</v>
      </c>
      <c r="H110" s="295" t="s">
        <v>6051</v>
      </c>
      <c r="I110" s="295">
        <v>5.6000001728534698E-2</v>
      </c>
      <c r="J110" s="295" t="b">
        <v>0</v>
      </c>
      <c r="K110" s="295">
        <v>1080</v>
      </c>
      <c r="L110" s="295" t="s">
        <v>6045</v>
      </c>
      <c r="N110" s="295">
        <v>11</v>
      </c>
      <c r="O110" s="295" t="s">
        <v>6040</v>
      </c>
      <c r="P110" s="295">
        <v>6.7000001668930095E-2</v>
      </c>
      <c r="Q110" s="295" t="b">
        <v>1</v>
      </c>
      <c r="R110" s="295">
        <v>1072</v>
      </c>
      <c r="S110" s="295" t="s">
        <v>156</v>
      </c>
      <c r="T110" s="295">
        <v>11</v>
      </c>
      <c r="U110" s="295" t="s">
        <v>6040</v>
      </c>
      <c r="V110" s="295">
        <v>9.00000035762787E-2</v>
      </c>
      <c r="W110" s="295">
        <v>134</v>
      </c>
      <c r="Z110" s="295" t="b">
        <v>0</v>
      </c>
      <c r="AA110" s="295">
        <v>5</v>
      </c>
      <c r="AB110" s="295">
        <v>0.75</v>
      </c>
      <c r="AD110" s="295">
        <v>0.75</v>
      </c>
      <c r="AG110" s="295">
        <v>40</v>
      </c>
      <c r="AH110" s="295">
        <v>0.40000000596046398</v>
      </c>
      <c r="AJ110" s="295">
        <f>VLOOKUP(A110,'RBSA Weights'!$A$2:$N$322,8,FALSE)</f>
        <v>1211.2822265625</v>
      </c>
    </row>
    <row r="111" spans="1:36">
      <c r="A111" s="295">
        <v>21140</v>
      </c>
      <c r="B111" s="295" t="s">
        <v>6042</v>
      </c>
      <c r="C111" s="295" t="b">
        <v>0</v>
      </c>
      <c r="D111" s="295">
        <v>950</v>
      </c>
      <c r="E111" s="295">
        <v>7.5</v>
      </c>
      <c r="G111" s="295">
        <v>11</v>
      </c>
      <c r="H111" s="295" t="s">
        <v>6040</v>
      </c>
      <c r="I111" s="295">
        <v>0.10000000149011599</v>
      </c>
      <c r="J111" s="295" t="b">
        <v>1</v>
      </c>
      <c r="K111" s="295">
        <v>950</v>
      </c>
      <c r="L111" s="295" t="s">
        <v>6045</v>
      </c>
      <c r="M111" s="295" t="s">
        <v>157</v>
      </c>
      <c r="N111" s="295">
        <v>19</v>
      </c>
      <c r="O111" s="295" t="s">
        <v>6051</v>
      </c>
      <c r="P111" s="295">
        <v>5.6000001728534698E-2</v>
      </c>
      <c r="Q111" s="295" t="b">
        <v>0</v>
      </c>
      <c r="R111" s="295">
        <v>1215</v>
      </c>
      <c r="T111" s="295">
        <v>11</v>
      </c>
      <c r="U111" s="295" t="s">
        <v>6040</v>
      </c>
      <c r="V111" s="295">
        <v>9.00000035762787E-2</v>
      </c>
      <c r="W111" s="295">
        <v>100</v>
      </c>
      <c r="Z111" s="295" t="b">
        <v>0</v>
      </c>
      <c r="AA111" s="295">
        <v>10</v>
      </c>
      <c r="AB111" s="295">
        <v>0.75</v>
      </c>
      <c r="AC111" s="295">
        <v>0.34999999403953602</v>
      </c>
      <c r="AD111" s="295">
        <v>0.75</v>
      </c>
      <c r="AE111" s="295">
        <v>24</v>
      </c>
      <c r="AF111" s="295">
        <v>0.60000002384185802</v>
      </c>
      <c r="AG111" s="295">
        <v>40</v>
      </c>
      <c r="AH111" s="295">
        <v>0.40000000596046398</v>
      </c>
      <c r="AI111" s="295" t="s">
        <v>6153</v>
      </c>
      <c r="AJ111" s="295">
        <f>VLOOKUP(A111,'RBSA Weights'!$A$2:$N$322,8,FALSE)</f>
        <v>2319.07739257813</v>
      </c>
    </row>
    <row r="112" spans="1:36">
      <c r="A112" s="295">
        <v>21226</v>
      </c>
      <c r="B112" s="295" t="s">
        <v>6052</v>
      </c>
      <c r="C112" s="295" t="b">
        <v>0</v>
      </c>
      <c r="D112" s="295">
        <v>1727</v>
      </c>
      <c r="E112" s="295">
        <v>8.5</v>
      </c>
      <c r="G112" s="295">
        <v>38</v>
      </c>
      <c r="H112" s="295" t="s">
        <v>162</v>
      </c>
      <c r="I112" s="295">
        <v>3.5000000149011598E-2</v>
      </c>
      <c r="J112" s="295" t="b">
        <v>0</v>
      </c>
      <c r="K112" s="295">
        <v>1716</v>
      </c>
      <c r="L112" s="295" t="s">
        <v>6045</v>
      </c>
      <c r="N112" s="295">
        <v>33</v>
      </c>
      <c r="O112" s="295" t="s">
        <v>162</v>
      </c>
      <c r="P112" s="295">
        <v>2.9999999329447701E-2</v>
      </c>
      <c r="Q112" s="295" t="b">
        <v>0</v>
      </c>
      <c r="R112" s="295">
        <v>1425</v>
      </c>
      <c r="T112" s="295">
        <v>21</v>
      </c>
      <c r="U112" s="295" t="s">
        <v>6051</v>
      </c>
      <c r="V112" s="295">
        <v>5.6000001728534698E-2</v>
      </c>
      <c r="X112" s="295">
        <v>235</v>
      </c>
      <c r="Y112" s="295" t="s">
        <v>6048</v>
      </c>
      <c r="Z112" s="295" t="b">
        <v>1</v>
      </c>
      <c r="AA112" s="295">
        <v>25</v>
      </c>
      <c r="AB112" s="295">
        <v>0.37999999523162797</v>
      </c>
      <c r="AC112" s="295">
        <v>0.55000001192092896</v>
      </c>
      <c r="AD112" s="295">
        <v>0.55000001192092896</v>
      </c>
      <c r="AE112" s="295">
        <v>16</v>
      </c>
      <c r="AF112" s="295">
        <v>0.60000002384185802</v>
      </c>
      <c r="AG112" s="295">
        <v>40</v>
      </c>
      <c r="AH112" s="295">
        <v>0.40000000596046398</v>
      </c>
      <c r="AJ112" s="295">
        <f>VLOOKUP(A112,'RBSA Weights'!$A$2:$N$322,8,FALSE)</f>
        <v>2319.07739257813</v>
      </c>
    </row>
    <row r="113" spans="1:36">
      <c r="A113" s="295">
        <v>21235</v>
      </c>
      <c r="B113" s="295" t="s">
        <v>6052</v>
      </c>
      <c r="C113" s="295" t="b">
        <v>0</v>
      </c>
      <c r="D113" s="295">
        <v>1333</v>
      </c>
      <c r="E113" s="295">
        <v>8</v>
      </c>
      <c r="G113" s="295">
        <v>38</v>
      </c>
      <c r="H113" s="295" t="s">
        <v>162</v>
      </c>
      <c r="I113" s="295">
        <v>3.5000000149011598E-2</v>
      </c>
      <c r="J113" s="295" t="b">
        <v>0</v>
      </c>
      <c r="K113" s="295">
        <v>1189</v>
      </c>
      <c r="L113" s="295" t="s">
        <v>6045</v>
      </c>
      <c r="N113" s="295">
        <v>33</v>
      </c>
      <c r="O113" s="295" t="s">
        <v>162</v>
      </c>
      <c r="P113" s="295">
        <v>2.9999999329447701E-2</v>
      </c>
      <c r="Q113" s="295" t="b">
        <v>0</v>
      </c>
      <c r="R113" s="295">
        <v>1216</v>
      </c>
      <c r="T113" s="295">
        <v>21</v>
      </c>
      <c r="U113" s="295" t="s">
        <v>6051</v>
      </c>
      <c r="V113" s="295">
        <v>5.6000001728534698E-2</v>
      </c>
      <c r="W113" s="295">
        <v>123</v>
      </c>
      <c r="Z113" s="295" t="b">
        <v>0</v>
      </c>
      <c r="AB113" s="295">
        <v>0.37999999523162797</v>
      </c>
      <c r="AD113" s="295">
        <v>0.37999999523162797</v>
      </c>
      <c r="AE113" s="295">
        <v>8</v>
      </c>
      <c r="AF113" s="295">
        <v>0.60000002384185802</v>
      </c>
      <c r="AG113" s="295">
        <v>40</v>
      </c>
      <c r="AH113" s="295">
        <v>0.40000000596046398</v>
      </c>
      <c r="AJ113" s="295">
        <f>VLOOKUP(A113,'RBSA Weights'!$A$2:$N$322,8,FALSE)</f>
        <v>2914.5654296875</v>
      </c>
    </row>
    <row r="114" spans="1:36">
      <c r="A114" s="295">
        <v>21241</v>
      </c>
      <c r="B114" s="295" t="s">
        <v>6056</v>
      </c>
      <c r="C114" s="295" t="b">
        <v>0</v>
      </c>
      <c r="D114" s="295">
        <v>684</v>
      </c>
      <c r="E114" s="295">
        <v>8</v>
      </c>
      <c r="G114" s="295">
        <v>7</v>
      </c>
      <c r="H114" s="295" t="s">
        <v>6055</v>
      </c>
      <c r="I114" s="295">
        <v>0.129999995231628</v>
      </c>
      <c r="J114" s="295" t="b">
        <v>0</v>
      </c>
      <c r="K114" s="295">
        <v>684</v>
      </c>
      <c r="L114" s="295" t="s">
        <v>6050</v>
      </c>
      <c r="N114" s="295">
        <v>7</v>
      </c>
      <c r="O114" s="295" t="s">
        <v>6055</v>
      </c>
      <c r="P114" s="295">
        <v>0.11599999666214</v>
      </c>
      <c r="Q114" s="295" t="b">
        <v>0</v>
      </c>
      <c r="R114" s="295">
        <v>138</v>
      </c>
      <c r="T114" s="295">
        <v>7</v>
      </c>
      <c r="U114" s="295" t="s">
        <v>6055</v>
      </c>
      <c r="V114" s="295">
        <v>0.119999997317791</v>
      </c>
      <c r="W114" s="295">
        <v>113</v>
      </c>
      <c r="Z114" s="295" t="b">
        <v>0</v>
      </c>
      <c r="AA114" s="295">
        <v>5</v>
      </c>
      <c r="AB114" s="295">
        <v>1.25</v>
      </c>
      <c r="AD114" s="295">
        <v>1.25</v>
      </c>
      <c r="AG114" s="295">
        <v>40</v>
      </c>
      <c r="AH114" s="295">
        <v>0.40000000596046398</v>
      </c>
      <c r="AI114" s="295" t="s">
        <v>6152</v>
      </c>
      <c r="AJ114" s="295">
        <f>VLOOKUP(A114,'RBSA Weights'!$A$2:$N$322,8,FALSE)</f>
        <v>3065.64990234375</v>
      </c>
    </row>
    <row r="115" spans="1:36">
      <c r="A115" s="295">
        <v>21278</v>
      </c>
      <c r="B115" s="295" t="s">
        <v>6042</v>
      </c>
      <c r="C115" s="295" t="b">
        <v>1</v>
      </c>
      <c r="D115" s="295">
        <v>1600</v>
      </c>
      <c r="E115" s="295">
        <v>9</v>
      </c>
      <c r="J115" s="295" t="b">
        <v>1</v>
      </c>
      <c r="K115" s="295">
        <v>1600</v>
      </c>
      <c r="L115" s="295" t="s">
        <v>6045</v>
      </c>
      <c r="Q115" s="295" t="b">
        <v>0</v>
      </c>
      <c r="R115" s="295">
        <v>1200</v>
      </c>
      <c r="T115" s="295">
        <v>11</v>
      </c>
      <c r="U115" s="295" t="s">
        <v>6040</v>
      </c>
      <c r="V115" s="295">
        <v>9.00000035762787E-2</v>
      </c>
      <c r="W115" s="295">
        <v>191</v>
      </c>
      <c r="X115" s="295">
        <v>9</v>
      </c>
      <c r="Y115" s="295" t="s">
        <v>6048</v>
      </c>
      <c r="Z115" s="295" t="b">
        <v>1</v>
      </c>
      <c r="AA115" s="295">
        <v>16</v>
      </c>
      <c r="AB115" s="295">
        <v>0.75</v>
      </c>
      <c r="AC115" s="295">
        <v>0.55000001192092896</v>
      </c>
      <c r="AD115" s="295">
        <v>0.74099999666214</v>
      </c>
      <c r="AG115" s="295">
        <v>40</v>
      </c>
      <c r="AH115" s="295">
        <v>0.40000000596046398</v>
      </c>
      <c r="AI115" s="295" t="s">
        <v>6151</v>
      </c>
      <c r="AJ115" s="295">
        <f>VLOOKUP(A115,'RBSA Weights'!$A$2:$N$322,8,FALSE)</f>
        <v>1211.2822265625</v>
      </c>
    </row>
    <row r="116" spans="1:36">
      <c r="A116" s="295">
        <v>21279</v>
      </c>
      <c r="B116" s="295" t="s">
        <v>6056</v>
      </c>
      <c r="C116" s="295" t="b">
        <v>0</v>
      </c>
      <c r="D116" s="295">
        <v>1092</v>
      </c>
      <c r="E116" s="295">
        <v>8</v>
      </c>
      <c r="G116" s="295">
        <v>7</v>
      </c>
      <c r="H116" s="295" t="s">
        <v>6055</v>
      </c>
      <c r="I116" s="295">
        <v>0.129999995231628</v>
      </c>
      <c r="J116" s="295" t="b">
        <v>0</v>
      </c>
      <c r="K116" s="295">
        <v>1092</v>
      </c>
      <c r="L116" s="295" t="s">
        <v>6050</v>
      </c>
      <c r="N116" s="295">
        <v>7</v>
      </c>
      <c r="O116" s="295" t="s">
        <v>6055</v>
      </c>
      <c r="P116" s="295">
        <v>0.11599999666214</v>
      </c>
      <c r="Q116" s="295" t="b">
        <v>0</v>
      </c>
      <c r="R116" s="295">
        <v>1088</v>
      </c>
      <c r="T116" s="295">
        <v>7</v>
      </c>
      <c r="U116" s="295" t="s">
        <v>6055</v>
      </c>
      <c r="V116" s="295">
        <v>0.119999997317791</v>
      </c>
      <c r="W116" s="295">
        <v>170</v>
      </c>
      <c r="Z116" s="295" t="b">
        <v>0</v>
      </c>
      <c r="AA116" s="295">
        <v>10</v>
      </c>
      <c r="AB116" s="295">
        <v>1.25</v>
      </c>
      <c r="AD116" s="295">
        <v>1.25</v>
      </c>
      <c r="AG116" s="295">
        <v>40</v>
      </c>
      <c r="AH116" s="295">
        <v>0.40000000596046398</v>
      </c>
      <c r="AJ116" s="295">
        <f>VLOOKUP(A116,'RBSA Weights'!$A$2:$N$322,8,FALSE)</f>
        <v>1211.2822265625</v>
      </c>
    </row>
    <row r="117" spans="1:36">
      <c r="A117" s="295">
        <v>21288</v>
      </c>
      <c r="B117" s="295" t="s">
        <v>6056</v>
      </c>
      <c r="C117" s="295" t="b">
        <v>0</v>
      </c>
      <c r="D117" s="295">
        <v>896</v>
      </c>
      <c r="E117" s="295">
        <v>7</v>
      </c>
      <c r="G117" s="295">
        <v>7</v>
      </c>
      <c r="H117" s="295" t="s">
        <v>6055</v>
      </c>
      <c r="I117" s="295">
        <v>0.129999995231628</v>
      </c>
      <c r="J117" s="295" t="b">
        <v>0</v>
      </c>
      <c r="K117" s="295">
        <v>896</v>
      </c>
      <c r="L117" s="295" t="s">
        <v>6045</v>
      </c>
      <c r="N117" s="295">
        <v>7</v>
      </c>
      <c r="O117" s="295" t="s">
        <v>6055</v>
      </c>
      <c r="P117" s="295">
        <v>9.3000002205371898E-2</v>
      </c>
      <c r="Q117" s="295" t="b">
        <v>0</v>
      </c>
      <c r="R117" s="295">
        <v>1316</v>
      </c>
      <c r="T117" s="295">
        <v>7</v>
      </c>
      <c r="U117" s="295" t="s">
        <v>6055</v>
      </c>
      <c r="V117" s="295">
        <v>0.119999997317791</v>
      </c>
      <c r="W117" s="295">
        <v>122</v>
      </c>
      <c r="Y117" s="295" t="s">
        <v>6048</v>
      </c>
      <c r="Z117" s="295" t="b">
        <v>1</v>
      </c>
      <c r="AA117" s="295">
        <v>0</v>
      </c>
      <c r="AB117" s="295">
        <v>1.25</v>
      </c>
      <c r="AC117" s="295">
        <v>0.55000001192092896</v>
      </c>
      <c r="AD117" s="295">
        <v>1.25</v>
      </c>
      <c r="AG117" s="295">
        <v>40</v>
      </c>
      <c r="AH117" s="295">
        <v>0.40000000596046398</v>
      </c>
      <c r="AJ117" s="295">
        <f>VLOOKUP(A117,'RBSA Weights'!$A$2:$N$322,8,FALSE)</f>
        <v>868.428955078125</v>
      </c>
    </row>
    <row r="118" spans="1:36">
      <c r="A118" s="295">
        <v>21315</v>
      </c>
      <c r="B118" s="295" t="s">
        <v>6056</v>
      </c>
      <c r="C118" s="295" t="b">
        <v>0</v>
      </c>
      <c r="D118" s="295">
        <v>1184</v>
      </c>
      <c r="E118" s="295">
        <v>7.5</v>
      </c>
      <c r="G118" s="295">
        <v>7</v>
      </c>
      <c r="H118" s="295" t="s">
        <v>6055</v>
      </c>
      <c r="I118" s="295">
        <v>0.129999995231628</v>
      </c>
      <c r="J118" s="295" t="b">
        <v>0</v>
      </c>
      <c r="K118" s="295">
        <v>1184</v>
      </c>
      <c r="L118" s="295" t="s">
        <v>6045</v>
      </c>
      <c r="M118" s="295" t="s">
        <v>157</v>
      </c>
      <c r="N118" s="295">
        <v>7</v>
      </c>
      <c r="O118" s="295" t="s">
        <v>6055</v>
      </c>
      <c r="P118" s="295">
        <v>9.3000002205371898E-2</v>
      </c>
      <c r="Q118" s="295" t="b">
        <v>0</v>
      </c>
      <c r="R118" s="295">
        <v>1440</v>
      </c>
      <c r="T118" s="295">
        <v>7</v>
      </c>
      <c r="U118" s="295" t="s">
        <v>6055</v>
      </c>
      <c r="V118" s="295">
        <v>0.119999997317791</v>
      </c>
      <c r="W118" s="295">
        <v>30</v>
      </c>
      <c r="X118" s="295">
        <v>123</v>
      </c>
      <c r="Y118" s="295" t="s">
        <v>6048</v>
      </c>
      <c r="Z118" s="295" t="b">
        <v>1</v>
      </c>
      <c r="AA118" s="295">
        <v>50</v>
      </c>
      <c r="AB118" s="295">
        <v>1.25</v>
      </c>
      <c r="AC118" s="295">
        <v>0.55000001192092896</v>
      </c>
      <c r="AD118" s="295">
        <v>0.68725490570068404</v>
      </c>
      <c r="AG118" s="295">
        <v>40</v>
      </c>
      <c r="AH118" s="295">
        <v>0.40000000596046398</v>
      </c>
      <c r="AJ118" s="295">
        <f>VLOOKUP(A118,'RBSA Weights'!$A$2:$N$322,8,FALSE)</f>
        <v>868.428955078125</v>
      </c>
    </row>
    <row r="119" spans="1:36">
      <c r="A119" s="295">
        <v>21354</v>
      </c>
      <c r="B119" s="295" t="s">
        <v>6042</v>
      </c>
      <c r="C119" s="295" t="b">
        <v>0</v>
      </c>
      <c r="D119" s="295">
        <v>1344</v>
      </c>
      <c r="E119" s="295">
        <v>8</v>
      </c>
      <c r="G119" s="295">
        <v>11</v>
      </c>
      <c r="H119" s="295" t="s">
        <v>6040</v>
      </c>
      <c r="I119" s="295">
        <v>0.10000000149011599</v>
      </c>
      <c r="J119" s="295" t="b">
        <v>0</v>
      </c>
      <c r="K119" s="295">
        <v>1344</v>
      </c>
      <c r="L119" s="295" t="s">
        <v>6050</v>
      </c>
      <c r="N119" s="295">
        <v>11</v>
      </c>
      <c r="O119" s="295" t="s">
        <v>6040</v>
      </c>
      <c r="P119" s="295">
        <v>0.108999997377396</v>
      </c>
      <c r="Q119" s="295" t="b">
        <v>0</v>
      </c>
      <c r="R119" s="295">
        <v>1280</v>
      </c>
      <c r="T119" s="295">
        <v>11</v>
      </c>
      <c r="U119" s="295" t="s">
        <v>6040</v>
      </c>
      <c r="V119" s="295">
        <v>9.00000035762787E-2</v>
      </c>
      <c r="W119" s="295">
        <v>168</v>
      </c>
      <c r="Y119" s="295" t="s">
        <v>6048</v>
      </c>
      <c r="Z119" s="295" t="b">
        <v>1</v>
      </c>
      <c r="AA119" s="295">
        <v>10</v>
      </c>
      <c r="AB119" s="295">
        <v>0.75</v>
      </c>
      <c r="AC119" s="295">
        <v>0.55000001192092896</v>
      </c>
      <c r="AD119" s="295">
        <v>0.75</v>
      </c>
      <c r="AG119" s="295">
        <v>40</v>
      </c>
      <c r="AH119" s="295">
        <v>0.40000000596046398</v>
      </c>
      <c r="AJ119" s="295">
        <f>VLOOKUP(A119,'RBSA Weights'!$A$2:$N$322,8,FALSE)</f>
        <v>1211.2822265625</v>
      </c>
    </row>
    <row r="120" spans="1:36">
      <c r="A120" s="295">
        <v>21369</v>
      </c>
      <c r="B120" s="295" t="s">
        <v>6058</v>
      </c>
      <c r="C120" s="295" t="b">
        <v>0</v>
      </c>
      <c r="D120" s="295">
        <v>1410</v>
      </c>
      <c r="E120" s="295">
        <v>7</v>
      </c>
      <c r="G120" s="295">
        <v>49</v>
      </c>
      <c r="H120" s="295" t="s">
        <v>6057</v>
      </c>
      <c r="I120" s="295">
        <v>2.60000005364418E-2</v>
      </c>
      <c r="J120" s="295" t="b">
        <v>0</v>
      </c>
      <c r="K120" s="295">
        <v>1175</v>
      </c>
      <c r="L120" s="295" t="s">
        <v>6045</v>
      </c>
      <c r="N120" s="295">
        <v>33</v>
      </c>
      <c r="O120" s="295" t="s">
        <v>162</v>
      </c>
      <c r="P120" s="295">
        <v>2.9999999329447701E-2</v>
      </c>
      <c r="Q120" s="295" t="b">
        <v>0</v>
      </c>
      <c r="R120" s="295">
        <v>1008</v>
      </c>
      <c r="T120" s="295">
        <v>21</v>
      </c>
      <c r="U120" s="295" t="s">
        <v>6051</v>
      </c>
      <c r="V120" s="295">
        <v>5.6000001728534698E-2</v>
      </c>
      <c r="W120" s="295">
        <v>149</v>
      </c>
      <c r="Z120" s="295" t="b">
        <v>0</v>
      </c>
      <c r="AA120" s="295">
        <v>62</v>
      </c>
      <c r="AB120" s="295">
        <v>0.34999999403953602</v>
      </c>
      <c r="AC120" s="295">
        <v>0.55000001192092896</v>
      </c>
      <c r="AD120" s="295">
        <v>0.34999999403953602</v>
      </c>
      <c r="AE120" s="295">
        <v>8</v>
      </c>
      <c r="AF120" s="295">
        <v>0.60000002384185802</v>
      </c>
      <c r="AG120" s="295">
        <v>40</v>
      </c>
      <c r="AH120" s="295">
        <v>0.40000000596046398</v>
      </c>
      <c r="AJ120" s="295">
        <f>VLOOKUP(A120,'RBSA Weights'!$A$2:$N$322,8,FALSE)</f>
        <v>868.428955078125</v>
      </c>
    </row>
    <row r="121" spans="1:36">
      <c r="A121" s="295">
        <v>21395</v>
      </c>
      <c r="B121" s="295" t="s">
        <v>6056</v>
      </c>
      <c r="C121" s="295" t="b">
        <v>0</v>
      </c>
      <c r="D121" s="295">
        <v>1440</v>
      </c>
      <c r="E121" s="295">
        <v>8</v>
      </c>
      <c r="G121" s="295">
        <v>7</v>
      </c>
      <c r="H121" s="295" t="s">
        <v>6055</v>
      </c>
      <c r="I121" s="295">
        <v>0.129999995231628</v>
      </c>
      <c r="J121" s="295" t="b">
        <v>0</v>
      </c>
      <c r="K121" s="295">
        <v>1440</v>
      </c>
      <c r="L121" s="295" t="s">
        <v>6041</v>
      </c>
      <c r="N121" s="295">
        <v>7</v>
      </c>
      <c r="O121" s="295" t="s">
        <v>6055</v>
      </c>
      <c r="P121" s="295">
        <v>9.4999998807907104E-2</v>
      </c>
      <c r="Q121" s="295" t="b">
        <v>0</v>
      </c>
      <c r="R121" s="295">
        <v>1344</v>
      </c>
      <c r="T121" s="295">
        <v>7</v>
      </c>
      <c r="U121" s="295" t="s">
        <v>6055</v>
      </c>
      <c r="V121" s="295">
        <v>0.119999997317791</v>
      </c>
      <c r="W121" s="295">
        <v>159</v>
      </c>
      <c r="X121" s="295">
        <v>6</v>
      </c>
      <c r="Y121" s="295" t="s">
        <v>6048</v>
      </c>
      <c r="Z121" s="295" t="b">
        <v>1</v>
      </c>
      <c r="AA121" s="295">
        <v>10</v>
      </c>
      <c r="AB121" s="295">
        <v>1.25</v>
      </c>
      <c r="AC121" s="295">
        <v>0.55000001192092896</v>
      </c>
      <c r="AD121" s="295">
        <v>1.2245454788207999</v>
      </c>
      <c r="AG121" s="295">
        <v>40</v>
      </c>
      <c r="AH121" s="295">
        <v>0.40000000596046398</v>
      </c>
      <c r="AI121" s="295" t="s">
        <v>6150</v>
      </c>
      <c r="AJ121" s="295">
        <f>VLOOKUP(A121,'RBSA Weights'!$A$2:$N$322,8,FALSE)</f>
        <v>1211.2822265625</v>
      </c>
    </row>
    <row r="122" spans="1:36">
      <c r="A122" s="295">
        <v>21429</v>
      </c>
      <c r="B122" s="295" t="s">
        <v>6053</v>
      </c>
      <c r="C122" s="295" t="b">
        <v>0</v>
      </c>
      <c r="D122" s="295">
        <v>1848</v>
      </c>
      <c r="E122" s="295">
        <v>8.5</v>
      </c>
      <c r="G122" s="295">
        <v>22</v>
      </c>
      <c r="H122" s="295" t="s">
        <v>6046</v>
      </c>
      <c r="I122" s="295">
        <v>5.2000001072883599E-2</v>
      </c>
      <c r="J122" s="295" t="b">
        <v>0</v>
      </c>
      <c r="K122" s="295">
        <v>1835</v>
      </c>
      <c r="L122" s="295" t="s">
        <v>6045</v>
      </c>
      <c r="N122" s="295">
        <v>22</v>
      </c>
      <c r="O122" s="295" t="s">
        <v>6046</v>
      </c>
      <c r="P122" s="295">
        <v>5.0999999046325697E-2</v>
      </c>
      <c r="Q122" s="295" t="b">
        <v>0</v>
      </c>
      <c r="R122" s="295">
        <v>1504</v>
      </c>
      <c r="T122" s="295">
        <v>11</v>
      </c>
      <c r="U122" s="295" t="s">
        <v>6040</v>
      </c>
      <c r="V122" s="295">
        <v>9.00000035762787E-2</v>
      </c>
      <c r="W122" s="295">
        <v>214</v>
      </c>
      <c r="Z122" s="295" t="b">
        <v>0</v>
      </c>
      <c r="AA122" s="295">
        <v>5</v>
      </c>
      <c r="AB122" s="295">
        <v>0.479999989271164</v>
      </c>
      <c r="AD122" s="295">
        <v>0.480000019073486</v>
      </c>
      <c r="AE122" s="295">
        <v>8</v>
      </c>
      <c r="AF122" s="295">
        <v>1.29999995231628</v>
      </c>
      <c r="AG122" s="295">
        <v>40</v>
      </c>
      <c r="AH122" s="295">
        <v>0.40000000596046398</v>
      </c>
      <c r="AI122" s="295" t="s">
        <v>6149</v>
      </c>
      <c r="AJ122" s="295">
        <f>VLOOKUP(A122,'RBSA Weights'!$A$2:$N$322,8,FALSE)</f>
        <v>3065.64990234375</v>
      </c>
    </row>
    <row r="123" spans="1:36">
      <c r="A123" s="295">
        <v>21518</v>
      </c>
      <c r="B123" s="295" t="s">
        <v>6042</v>
      </c>
      <c r="C123" s="295" t="b">
        <v>1</v>
      </c>
      <c r="D123" s="295">
        <v>1160</v>
      </c>
      <c r="E123" s="295">
        <v>8</v>
      </c>
      <c r="F123" s="295" t="s">
        <v>157</v>
      </c>
      <c r="G123" s="295">
        <v>19</v>
      </c>
      <c r="H123" s="295" t="s">
        <v>6051</v>
      </c>
      <c r="I123" s="295">
        <v>5.6000001728534698E-2</v>
      </c>
      <c r="J123" s="295" t="b">
        <v>0</v>
      </c>
      <c r="K123" s="295">
        <v>1160</v>
      </c>
      <c r="L123" s="295" t="s">
        <v>6045</v>
      </c>
      <c r="N123" s="295">
        <v>11</v>
      </c>
      <c r="O123" s="295" t="s">
        <v>6040</v>
      </c>
      <c r="P123" s="295">
        <v>6.7000001668930095E-2</v>
      </c>
      <c r="Q123" s="295" t="b">
        <v>1</v>
      </c>
      <c r="R123" s="295">
        <v>1152</v>
      </c>
      <c r="S123" s="295" t="s">
        <v>156</v>
      </c>
      <c r="T123" s="295">
        <v>11</v>
      </c>
      <c r="U123" s="295" t="s">
        <v>6040</v>
      </c>
      <c r="V123" s="295">
        <v>9.00000035762787E-2</v>
      </c>
      <c r="W123" s="295">
        <v>100</v>
      </c>
      <c r="Y123" s="295" t="s">
        <v>6088</v>
      </c>
      <c r="Z123" s="295" t="b">
        <v>1</v>
      </c>
      <c r="AA123" s="295">
        <v>10</v>
      </c>
      <c r="AB123" s="295">
        <v>0.75</v>
      </c>
      <c r="AC123" s="295">
        <v>0.34999999403953602</v>
      </c>
      <c r="AD123" s="295">
        <v>0.75</v>
      </c>
      <c r="AG123" s="295">
        <v>40</v>
      </c>
      <c r="AH123" s="295">
        <v>0.34999999403953602</v>
      </c>
      <c r="AI123" s="295" t="s">
        <v>6148</v>
      </c>
      <c r="AJ123" s="295">
        <f>VLOOKUP(A123,'RBSA Weights'!$A$2:$N$322,8,FALSE)</f>
        <v>2319.07739257813</v>
      </c>
    </row>
    <row r="124" spans="1:36">
      <c r="A124" s="295">
        <v>21535</v>
      </c>
      <c r="B124" s="295" t="s">
        <v>6042</v>
      </c>
      <c r="C124" s="295" t="b">
        <v>0</v>
      </c>
      <c r="D124" s="295">
        <v>1400</v>
      </c>
      <c r="E124" s="295">
        <v>9</v>
      </c>
      <c r="G124" s="295">
        <v>11</v>
      </c>
      <c r="H124" s="295" t="s">
        <v>6040</v>
      </c>
      <c r="I124" s="295">
        <v>0.10000000149011599</v>
      </c>
      <c r="J124" s="295" t="b">
        <v>0</v>
      </c>
      <c r="K124" s="295">
        <v>1400</v>
      </c>
      <c r="L124" s="295" t="s">
        <v>6041</v>
      </c>
      <c r="N124" s="295">
        <v>11</v>
      </c>
      <c r="O124" s="295" t="s">
        <v>6040</v>
      </c>
      <c r="P124" s="295">
        <v>8.5000000894069699E-2</v>
      </c>
      <c r="Q124" s="295" t="b">
        <v>0</v>
      </c>
      <c r="R124" s="295">
        <v>1264</v>
      </c>
      <c r="T124" s="295">
        <v>11</v>
      </c>
      <c r="U124" s="295" t="s">
        <v>6040</v>
      </c>
      <c r="V124" s="295">
        <v>9.00000035762787E-2</v>
      </c>
      <c r="W124" s="295">
        <v>219</v>
      </c>
      <c r="X124" s="295">
        <v>7</v>
      </c>
      <c r="Y124" s="295" t="s">
        <v>6048</v>
      </c>
      <c r="Z124" s="295" t="b">
        <v>1</v>
      </c>
      <c r="AA124" s="295">
        <v>0</v>
      </c>
      <c r="AB124" s="295">
        <v>0.75</v>
      </c>
      <c r="AC124" s="295">
        <v>0.55000001192092896</v>
      </c>
      <c r="AD124" s="295">
        <v>0.74380534887313798</v>
      </c>
      <c r="AE124" s="295">
        <v>8</v>
      </c>
      <c r="AF124" s="295">
        <v>0.60000002384185802</v>
      </c>
      <c r="AG124" s="295">
        <v>40</v>
      </c>
      <c r="AH124" s="295">
        <v>0.40000000596046398</v>
      </c>
      <c r="AJ124" s="295">
        <f>VLOOKUP(A124,'RBSA Weights'!$A$2:$N$322,8,FALSE)</f>
        <v>2128.94555664063</v>
      </c>
    </row>
    <row r="125" spans="1:36">
      <c r="A125" s="295">
        <v>21548</v>
      </c>
      <c r="B125" s="295" t="s">
        <v>6042</v>
      </c>
      <c r="C125" s="295" t="b">
        <v>0</v>
      </c>
      <c r="D125" s="295">
        <v>1701</v>
      </c>
      <c r="E125" s="295">
        <v>8.5</v>
      </c>
      <c r="G125" s="295">
        <v>11</v>
      </c>
      <c r="H125" s="295" t="s">
        <v>6040</v>
      </c>
      <c r="I125" s="295">
        <v>0.10000000149011599</v>
      </c>
      <c r="J125" s="295" t="b">
        <v>0</v>
      </c>
      <c r="K125" s="295">
        <v>1848</v>
      </c>
      <c r="L125" s="295" t="s">
        <v>6050</v>
      </c>
      <c r="N125" s="295">
        <v>11</v>
      </c>
      <c r="O125" s="295" t="s">
        <v>6040</v>
      </c>
      <c r="P125" s="295">
        <v>0.108999997377396</v>
      </c>
      <c r="Q125" s="295" t="b">
        <v>0</v>
      </c>
      <c r="R125" s="295">
        <v>1468</v>
      </c>
      <c r="T125" s="295">
        <v>11</v>
      </c>
      <c r="U125" s="295" t="s">
        <v>6040</v>
      </c>
      <c r="V125" s="295">
        <v>9.00000035762787E-2</v>
      </c>
      <c r="W125" s="295">
        <v>258</v>
      </c>
      <c r="Z125" s="295" t="b">
        <v>0</v>
      </c>
      <c r="AA125" s="295">
        <v>45</v>
      </c>
      <c r="AB125" s="295">
        <v>0.75</v>
      </c>
      <c r="AD125" s="295">
        <v>0.75</v>
      </c>
      <c r="AE125" s="295">
        <v>8</v>
      </c>
      <c r="AF125" s="295">
        <v>0.60000002384185802</v>
      </c>
      <c r="AG125" s="295">
        <v>40</v>
      </c>
      <c r="AH125" s="295">
        <v>0.40000000596046398</v>
      </c>
      <c r="AI125" s="295" t="s">
        <v>6147</v>
      </c>
      <c r="AJ125" s="295">
        <f>VLOOKUP(A125,'RBSA Weights'!$A$2:$N$322,8,FALSE)</f>
        <v>3065.64990234375</v>
      </c>
    </row>
    <row r="126" spans="1:36">
      <c r="A126" s="295">
        <v>21555</v>
      </c>
      <c r="B126" s="295" t="s">
        <v>6042</v>
      </c>
      <c r="C126" s="295" t="b">
        <v>0</v>
      </c>
      <c r="D126" s="295">
        <v>1404</v>
      </c>
      <c r="E126" s="295">
        <v>8.5</v>
      </c>
      <c r="G126" s="295">
        <v>11</v>
      </c>
      <c r="H126" s="295" t="s">
        <v>6040</v>
      </c>
      <c r="I126" s="295">
        <v>0.10000000149011599</v>
      </c>
      <c r="J126" s="295" t="b">
        <v>0</v>
      </c>
      <c r="K126" s="295">
        <v>1404</v>
      </c>
      <c r="L126" s="295" t="s">
        <v>6041</v>
      </c>
      <c r="N126" s="295">
        <v>11</v>
      </c>
      <c r="O126" s="295" t="s">
        <v>6040</v>
      </c>
      <c r="P126" s="295">
        <v>8.5000000894069699E-2</v>
      </c>
      <c r="Q126" s="295" t="b">
        <v>0</v>
      </c>
      <c r="R126" s="295">
        <v>1104</v>
      </c>
      <c r="T126" s="295">
        <v>11</v>
      </c>
      <c r="U126" s="295" t="s">
        <v>6040</v>
      </c>
      <c r="V126" s="295">
        <v>9.00000035762787E-2</v>
      </c>
      <c r="W126" s="295">
        <v>156</v>
      </c>
      <c r="Z126" s="295" t="b">
        <v>0</v>
      </c>
      <c r="AA126" s="295">
        <v>0</v>
      </c>
      <c r="AB126" s="295">
        <v>0.75</v>
      </c>
      <c r="AD126" s="295">
        <v>0.75</v>
      </c>
      <c r="AE126" s="295">
        <v>14</v>
      </c>
      <c r="AF126" s="295">
        <v>0.60000002384185802</v>
      </c>
      <c r="AG126" s="295">
        <v>40</v>
      </c>
      <c r="AH126" s="295">
        <v>0.40000000596046398</v>
      </c>
      <c r="AI126" s="295" t="s">
        <v>6146</v>
      </c>
      <c r="AJ126" s="295">
        <f>VLOOKUP(A126,'RBSA Weights'!$A$2:$N$322,8,FALSE)</f>
        <v>3065.64990234375</v>
      </c>
    </row>
    <row r="127" spans="1:36">
      <c r="A127" s="295">
        <v>21559</v>
      </c>
      <c r="B127" s="295" t="s">
        <v>6042</v>
      </c>
      <c r="C127" s="295" t="b">
        <v>1</v>
      </c>
      <c r="D127" s="295">
        <v>968</v>
      </c>
      <c r="E127" s="295">
        <v>8</v>
      </c>
      <c r="F127" s="295" t="s">
        <v>157</v>
      </c>
      <c r="G127" s="295">
        <v>19</v>
      </c>
      <c r="H127" s="295" t="s">
        <v>6051</v>
      </c>
      <c r="I127" s="295">
        <v>5.6000001728534698E-2</v>
      </c>
      <c r="J127" s="295" t="b">
        <v>0</v>
      </c>
      <c r="K127" s="295">
        <v>968</v>
      </c>
      <c r="L127" s="295" t="s">
        <v>6041</v>
      </c>
      <c r="N127" s="295">
        <v>11</v>
      </c>
      <c r="O127" s="295" t="s">
        <v>6040</v>
      </c>
      <c r="P127" s="295">
        <v>8.5000000894069699E-2</v>
      </c>
      <c r="Q127" s="295" t="b">
        <v>0</v>
      </c>
      <c r="R127" s="295">
        <v>1312</v>
      </c>
      <c r="T127" s="295">
        <v>11</v>
      </c>
      <c r="U127" s="295" t="s">
        <v>6040</v>
      </c>
      <c r="V127" s="295">
        <v>9.00000035762787E-2</v>
      </c>
      <c r="W127" s="295">
        <v>102</v>
      </c>
      <c r="X127" s="295">
        <v>4</v>
      </c>
      <c r="Y127" s="295" t="s">
        <v>6048</v>
      </c>
      <c r="Z127" s="295" t="b">
        <v>1</v>
      </c>
      <c r="AA127" s="295">
        <v>0</v>
      </c>
      <c r="AB127" s="295">
        <v>0.75</v>
      </c>
      <c r="AC127" s="295">
        <v>0.55000001192092896</v>
      </c>
      <c r="AD127" s="295">
        <v>0.74245280027389504</v>
      </c>
      <c r="AG127" s="295">
        <v>40</v>
      </c>
      <c r="AH127" s="295">
        <v>0.40000000596046398</v>
      </c>
      <c r="AI127" s="295" t="s">
        <v>6145</v>
      </c>
      <c r="AJ127" s="295">
        <f>VLOOKUP(A127,'RBSA Weights'!$A$2:$N$322,8,FALSE)</f>
        <v>1211.2822265625</v>
      </c>
    </row>
    <row r="128" spans="1:36">
      <c r="A128" s="295">
        <v>21571</v>
      </c>
      <c r="B128" s="295" t="s">
        <v>6042</v>
      </c>
      <c r="C128" s="295" t="b">
        <v>0</v>
      </c>
      <c r="D128" s="295">
        <v>1224</v>
      </c>
      <c r="E128" s="295">
        <v>8</v>
      </c>
      <c r="G128" s="295">
        <v>11</v>
      </c>
      <c r="H128" s="295" t="s">
        <v>6040</v>
      </c>
      <c r="I128" s="295">
        <v>0.10000000149011599</v>
      </c>
      <c r="J128" s="295" t="b">
        <v>0</v>
      </c>
      <c r="K128" s="295">
        <v>1224</v>
      </c>
      <c r="L128" s="295" t="s">
        <v>6050</v>
      </c>
      <c r="N128" s="295">
        <v>11</v>
      </c>
      <c r="O128" s="295" t="s">
        <v>6040</v>
      </c>
      <c r="P128" s="295">
        <v>0.108999997377396</v>
      </c>
      <c r="Q128" s="295" t="b">
        <v>0</v>
      </c>
      <c r="R128" s="295">
        <v>1200</v>
      </c>
      <c r="T128" s="295">
        <v>11</v>
      </c>
      <c r="U128" s="295" t="s">
        <v>6040</v>
      </c>
      <c r="V128" s="295">
        <v>9.00000035762787E-2</v>
      </c>
      <c r="W128" s="295">
        <v>114</v>
      </c>
      <c r="Y128" s="295" t="s">
        <v>6048</v>
      </c>
      <c r="Z128" s="295" t="b">
        <v>1</v>
      </c>
      <c r="AA128" s="295">
        <v>10</v>
      </c>
      <c r="AB128" s="295">
        <v>0.75</v>
      </c>
      <c r="AC128" s="295">
        <v>0.55000001192092896</v>
      </c>
      <c r="AD128" s="295">
        <v>0.75</v>
      </c>
      <c r="AG128" s="295">
        <v>40</v>
      </c>
      <c r="AH128" s="295">
        <v>0.40000000596046398</v>
      </c>
      <c r="AJ128" s="295">
        <f>VLOOKUP(A128,'RBSA Weights'!$A$2:$N$322,8,FALSE)</f>
        <v>2914.5654296875</v>
      </c>
    </row>
    <row r="129" spans="1:36">
      <c r="A129" s="295">
        <v>21580</v>
      </c>
      <c r="B129" s="295" t="s">
        <v>6042</v>
      </c>
      <c r="C129" s="295" t="b">
        <v>0</v>
      </c>
      <c r="D129" s="295">
        <v>840</v>
      </c>
      <c r="E129" s="295">
        <v>8</v>
      </c>
      <c r="G129" s="295">
        <v>11</v>
      </c>
      <c r="H129" s="295" t="s">
        <v>6040</v>
      </c>
      <c r="I129" s="295">
        <v>0.10000000149011599</v>
      </c>
      <c r="J129" s="295" t="b">
        <v>0</v>
      </c>
      <c r="K129" s="295">
        <v>840</v>
      </c>
      <c r="L129" s="295" t="s">
        <v>6045</v>
      </c>
      <c r="N129" s="295">
        <v>11</v>
      </c>
      <c r="O129" s="295" t="s">
        <v>6040</v>
      </c>
      <c r="P129" s="295">
        <v>6.7000001668930095E-2</v>
      </c>
      <c r="Q129" s="295" t="b">
        <v>0</v>
      </c>
      <c r="R129" s="295">
        <v>1184</v>
      </c>
      <c r="T129" s="295">
        <v>11</v>
      </c>
      <c r="U129" s="295" t="s">
        <v>6040</v>
      </c>
      <c r="V129" s="295">
        <v>9.00000035762787E-2</v>
      </c>
      <c r="W129" s="295">
        <v>10</v>
      </c>
      <c r="X129" s="295">
        <v>80</v>
      </c>
      <c r="Y129" s="295" t="s">
        <v>6048</v>
      </c>
      <c r="Z129" s="295" t="b">
        <v>1</v>
      </c>
      <c r="AA129" s="295">
        <v>10</v>
      </c>
      <c r="AB129" s="295">
        <v>0.75</v>
      </c>
      <c r="AC129" s="295">
        <v>0.55000001192092896</v>
      </c>
      <c r="AD129" s="295">
        <v>0.57222223281860396</v>
      </c>
      <c r="AG129" s="295">
        <v>40</v>
      </c>
      <c r="AH129" s="295">
        <v>0.40000000596046398</v>
      </c>
      <c r="AJ129" s="295">
        <f>VLOOKUP(A129,'RBSA Weights'!$A$2:$N$322,8,FALSE)</f>
        <v>2319.07739257813</v>
      </c>
    </row>
    <row r="130" spans="1:36">
      <c r="A130" s="295">
        <v>21594</v>
      </c>
      <c r="B130" s="295" t="s">
        <v>6056</v>
      </c>
      <c r="C130" s="295" t="b">
        <v>0</v>
      </c>
      <c r="D130" s="295">
        <v>1050</v>
      </c>
      <c r="E130" s="295">
        <v>7</v>
      </c>
      <c r="G130" s="295">
        <v>7</v>
      </c>
      <c r="H130" s="295" t="s">
        <v>6055</v>
      </c>
      <c r="I130" s="295">
        <v>0.129999995231628</v>
      </c>
      <c r="J130" s="295" t="b">
        <v>0</v>
      </c>
      <c r="K130" s="295">
        <v>1050</v>
      </c>
      <c r="L130" s="295" t="s">
        <v>6041</v>
      </c>
      <c r="N130" s="295">
        <v>7</v>
      </c>
      <c r="O130" s="295" t="s">
        <v>6055</v>
      </c>
      <c r="P130" s="295">
        <v>9.4999998807907104E-2</v>
      </c>
      <c r="Q130" s="295" t="b">
        <v>0</v>
      </c>
      <c r="R130" s="295">
        <v>595</v>
      </c>
      <c r="T130" s="295">
        <v>7</v>
      </c>
      <c r="U130" s="295" t="s">
        <v>6055</v>
      </c>
      <c r="V130" s="295">
        <v>0.119999997317791</v>
      </c>
      <c r="W130" s="295">
        <v>145</v>
      </c>
      <c r="X130" s="295">
        <v>15</v>
      </c>
      <c r="Y130" s="295" t="s">
        <v>6044</v>
      </c>
      <c r="Z130" s="295" t="b">
        <v>1</v>
      </c>
      <c r="AA130" s="295">
        <v>10</v>
      </c>
      <c r="AB130" s="295">
        <v>1.25</v>
      </c>
      <c r="AC130" s="295">
        <v>0.69999998807907104</v>
      </c>
      <c r="AD130" s="295">
        <v>1.19843745231628</v>
      </c>
      <c r="AG130" s="295">
        <v>40</v>
      </c>
      <c r="AH130" s="295">
        <v>0.40000000596046398</v>
      </c>
      <c r="AJ130" s="295">
        <f>VLOOKUP(A130,'RBSA Weights'!$A$2:$N$322,8,FALSE)</f>
        <v>2319.07739257813</v>
      </c>
    </row>
    <row r="131" spans="1:36">
      <c r="A131" s="295">
        <v>21599</v>
      </c>
      <c r="B131" s="295" t="s">
        <v>6053</v>
      </c>
      <c r="C131" s="295" t="b">
        <v>0</v>
      </c>
      <c r="D131" s="295">
        <v>1359</v>
      </c>
      <c r="E131" s="295">
        <v>9</v>
      </c>
      <c r="G131" s="295">
        <v>22</v>
      </c>
      <c r="H131" s="295" t="s">
        <v>6046</v>
      </c>
      <c r="I131" s="295">
        <v>5.2000001072883599E-2</v>
      </c>
      <c r="J131" s="295" t="b">
        <v>0</v>
      </c>
      <c r="K131" s="295">
        <v>1890</v>
      </c>
      <c r="L131" s="295" t="s">
        <v>6045</v>
      </c>
      <c r="N131" s="295">
        <v>22</v>
      </c>
      <c r="O131" s="295" t="s">
        <v>6046</v>
      </c>
      <c r="P131" s="295">
        <v>5.0999999046325697E-2</v>
      </c>
      <c r="Q131" s="295" t="b">
        <v>0</v>
      </c>
      <c r="R131" s="295">
        <v>1488</v>
      </c>
      <c r="T131" s="295">
        <v>11</v>
      </c>
      <c r="U131" s="295" t="s">
        <v>6040</v>
      </c>
      <c r="V131" s="295">
        <v>9.00000035762787E-2</v>
      </c>
      <c r="W131" s="295">
        <v>327</v>
      </c>
      <c r="X131" s="295">
        <v>9</v>
      </c>
      <c r="Y131" s="295" t="s">
        <v>6048</v>
      </c>
      <c r="Z131" s="295" t="b">
        <v>1</v>
      </c>
      <c r="AA131" s="295">
        <v>40</v>
      </c>
      <c r="AB131" s="295">
        <v>0.479999989271164</v>
      </c>
      <c r="AC131" s="295">
        <v>0.55000001192092896</v>
      </c>
      <c r="AD131" s="295">
        <v>0.48187497258186301</v>
      </c>
      <c r="AE131" s="295">
        <v>50</v>
      </c>
      <c r="AF131" s="295">
        <v>0.60000002384185802</v>
      </c>
      <c r="AG131" s="295">
        <v>40</v>
      </c>
      <c r="AH131" s="295">
        <v>0.40000000596046398</v>
      </c>
      <c r="AJ131" s="295">
        <f>VLOOKUP(A131,'RBSA Weights'!$A$2:$N$322,8,FALSE)</f>
        <v>2128.88549804688</v>
      </c>
    </row>
    <row r="132" spans="1:36">
      <c r="A132" s="295">
        <v>21630</v>
      </c>
      <c r="B132" s="295" t="s">
        <v>6053</v>
      </c>
      <c r="C132" s="295" t="b">
        <v>0</v>
      </c>
      <c r="D132" s="295">
        <v>944</v>
      </c>
      <c r="E132" s="295">
        <v>8</v>
      </c>
      <c r="G132" s="295">
        <v>22</v>
      </c>
      <c r="H132" s="295" t="s">
        <v>6046</v>
      </c>
      <c r="I132" s="295">
        <v>5.2000001072883599E-2</v>
      </c>
      <c r="J132" s="295" t="b">
        <v>0</v>
      </c>
      <c r="K132" s="295">
        <v>924</v>
      </c>
      <c r="L132" s="295" t="s">
        <v>6045</v>
      </c>
      <c r="N132" s="295">
        <v>22</v>
      </c>
      <c r="O132" s="295" t="s">
        <v>6046</v>
      </c>
      <c r="P132" s="295">
        <v>5.0999999046325697E-2</v>
      </c>
      <c r="Q132" s="295" t="b">
        <v>0</v>
      </c>
      <c r="R132" s="295">
        <v>1288</v>
      </c>
      <c r="T132" s="295">
        <v>11</v>
      </c>
      <c r="U132" s="295" t="s">
        <v>6040</v>
      </c>
      <c r="V132" s="295">
        <v>9.00000035762787E-2</v>
      </c>
      <c r="W132" s="295">
        <v>87</v>
      </c>
      <c r="Z132" s="295" t="b">
        <v>0</v>
      </c>
      <c r="AA132" s="295">
        <v>10</v>
      </c>
      <c r="AB132" s="295">
        <v>0.479999989271164</v>
      </c>
      <c r="AD132" s="295">
        <v>0.479999989271164</v>
      </c>
      <c r="AG132" s="295">
        <v>40</v>
      </c>
      <c r="AH132" s="295">
        <v>0.40000000596046398</v>
      </c>
      <c r="AI132" s="295" t="s">
        <v>6144</v>
      </c>
      <c r="AJ132" s="295">
        <f>VLOOKUP(A132,'RBSA Weights'!$A$2:$N$322,8,FALSE)</f>
        <v>3065.64990234375</v>
      </c>
    </row>
    <row r="133" spans="1:36">
      <c r="A133" s="295">
        <v>21631</v>
      </c>
      <c r="B133" s="295" t="s">
        <v>6042</v>
      </c>
      <c r="C133" s="295" t="b">
        <v>0</v>
      </c>
      <c r="D133" s="295">
        <v>1752</v>
      </c>
      <c r="E133" s="295">
        <v>8</v>
      </c>
      <c r="G133" s="295">
        <v>11</v>
      </c>
      <c r="H133" s="295" t="s">
        <v>6040</v>
      </c>
      <c r="I133" s="295">
        <v>0.10000000149011599</v>
      </c>
      <c r="J133" s="295" t="b">
        <v>0</v>
      </c>
      <c r="K133" s="295">
        <v>1752</v>
      </c>
      <c r="L133" s="295" t="s">
        <v>6060</v>
      </c>
      <c r="N133" s="295">
        <v>11</v>
      </c>
      <c r="O133" s="295" t="s">
        <v>6040</v>
      </c>
      <c r="P133" s="295">
        <v>0.14300000667571999</v>
      </c>
      <c r="Q133" s="295" t="b">
        <v>0</v>
      </c>
      <c r="R133" s="295">
        <v>1358</v>
      </c>
      <c r="T133" s="295">
        <v>11</v>
      </c>
      <c r="U133" s="295" t="s">
        <v>6040</v>
      </c>
      <c r="V133" s="295">
        <v>9.00000035762787E-2</v>
      </c>
      <c r="W133" s="295">
        <v>194</v>
      </c>
      <c r="X133" s="295">
        <v>40</v>
      </c>
      <c r="Y133" s="295" t="s">
        <v>6044</v>
      </c>
      <c r="Z133" s="295" t="b">
        <v>1</v>
      </c>
      <c r="AA133" s="295">
        <v>50</v>
      </c>
      <c r="AB133" s="295">
        <v>0.75</v>
      </c>
      <c r="AC133" s="295">
        <v>0.69999998807907104</v>
      </c>
      <c r="AD133" s="295">
        <v>0.74145299196243297</v>
      </c>
      <c r="AG133" s="295">
        <v>40</v>
      </c>
      <c r="AH133" s="295">
        <v>0.40000000596046398</v>
      </c>
      <c r="AI133" s="295" t="s">
        <v>6143</v>
      </c>
      <c r="AJ133" s="295">
        <f>VLOOKUP(A133,'RBSA Weights'!$A$2:$N$322,8,FALSE)</f>
        <v>3065.64990234375</v>
      </c>
    </row>
    <row r="134" spans="1:36">
      <c r="A134" s="295">
        <v>21676</v>
      </c>
      <c r="B134" s="295" t="s">
        <v>6056</v>
      </c>
      <c r="C134" s="295" t="b">
        <v>0</v>
      </c>
      <c r="D134" s="295">
        <v>980</v>
      </c>
      <c r="E134" s="295">
        <v>8</v>
      </c>
      <c r="G134" s="295">
        <v>7</v>
      </c>
      <c r="H134" s="295" t="s">
        <v>6055</v>
      </c>
      <c r="I134" s="295">
        <v>0.129999995231628</v>
      </c>
      <c r="J134" s="295" t="b">
        <v>0</v>
      </c>
      <c r="K134" s="295">
        <v>980</v>
      </c>
      <c r="L134" s="295" t="s">
        <v>6045</v>
      </c>
      <c r="N134" s="295">
        <v>7</v>
      </c>
      <c r="O134" s="295" t="s">
        <v>6055</v>
      </c>
      <c r="P134" s="295">
        <v>9.3000002205371898E-2</v>
      </c>
      <c r="Q134" s="295" t="b">
        <v>0</v>
      </c>
      <c r="R134" s="295">
        <v>1344</v>
      </c>
      <c r="T134" s="295">
        <v>7</v>
      </c>
      <c r="U134" s="295" t="s">
        <v>6055</v>
      </c>
      <c r="V134" s="295">
        <v>0.119999997317791</v>
      </c>
      <c r="W134" s="295">
        <v>146</v>
      </c>
      <c r="Z134" s="295" t="b">
        <v>0</v>
      </c>
      <c r="AA134" s="295">
        <v>5</v>
      </c>
      <c r="AB134" s="295">
        <v>1.25</v>
      </c>
      <c r="AD134" s="295">
        <v>1.25</v>
      </c>
      <c r="AG134" s="295">
        <v>40</v>
      </c>
      <c r="AH134" s="295">
        <v>0.40000000596046398</v>
      </c>
      <c r="AI134" s="295" t="s">
        <v>6142</v>
      </c>
      <c r="AJ134" s="295">
        <f>VLOOKUP(A134,'RBSA Weights'!$A$2:$N$322,8,FALSE)</f>
        <v>1211.2822265625</v>
      </c>
    </row>
    <row r="135" spans="1:36">
      <c r="A135" s="295">
        <v>21723</v>
      </c>
      <c r="B135" s="295" t="s">
        <v>6058</v>
      </c>
      <c r="C135" s="295" t="b">
        <v>0</v>
      </c>
      <c r="D135" s="295">
        <v>3264</v>
      </c>
      <c r="E135" s="295">
        <v>9</v>
      </c>
      <c r="G135" s="295">
        <v>49</v>
      </c>
      <c r="H135" s="295" t="s">
        <v>6057</v>
      </c>
      <c r="I135" s="295">
        <v>2.60000005364418E-2</v>
      </c>
      <c r="J135" s="295" t="b">
        <v>0</v>
      </c>
      <c r="K135" s="295">
        <v>2720</v>
      </c>
      <c r="L135" s="295" t="s">
        <v>6045</v>
      </c>
      <c r="N135" s="295">
        <v>33</v>
      </c>
      <c r="O135" s="295" t="s">
        <v>162</v>
      </c>
      <c r="P135" s="295">
        <v>2.9999999329447701E-2</v>
      </c>
      <c r="Q135" s="295" t="b">
        <v>0</v>
      </c>
      <c r="R135" s="295">
        <v>1728</v>
      </c>
      <c r="T135" s="295">
        <v>21</v>
      </c>
      <c r="U135" s="295" t="s">
        <v>6051</v>
      </c>
      <c r="V135" s="295">
        <v>5.6000001728534698E-2</v>
      </c>
      <c r="W135" s="295">
        <v>384</v>
      </c>
      <c r="Z135" s="295" t="b">
        <v>0</v>
      </c>
      <c r="AA135" s="295">
        <v>15</v>
      </c>
      <c r="AB135" s="295">
        <v>0.34999999403953602</v>
      </c>
      <c r="AD135" s="295">
        <v>0.34999999403953602</v>
      </c>
      <c r="AG135" s="295">
        <v>40</v>
      </c>
      <c r="AH135" s="295">
        <v>0.40000000596046398</v>
      </c>
      <c r="AJ135" s="295">
        <f>VLOOKUP(A135,'RBSA Weights'!$A$2:$N$322,8,FALSE)</f>
        <v>2914.5654296875</v>
      </c>
    </row>
    <row r="136" spans="1:36">
      <c r="A136" s="295">
        <v>21729</v>
      </c>
      <c r="B136" s="295" t="s">
        <v>6056</v>
      </c>
      <c r="C136" s="295" t="b">
        <v>0</v>
      </c>
      <c r="D136" s="295">
        <v>816</v>
      </c>
      <c r="E136" s="295">
        <v>8</v>
      </c>
      <c r="G136" s="295">
        <v>7</v>
      </c>
      <c r="H136" s="295" t="s">
        <v>6055</v>
      </c>
      <c r="I136" s="295">
        <v>0.129999995231628</v>
      </c>
      <c r="J136" s="295" t="b">
        <v>0</v>
      </c>
      <c r="K136" s="295">
        <v>816</v>
      </c>
      <c r="L136" s="295" t="s">
        <v>6045</v>
      </c>
      <c r="N136" s="295">
        <v>7</v>
      </c>
      <c r="O136" s="295" t="s">
        <v>6055</v>
      </c>
      <c r="P136" s="295">
        <v>9.3000002205371898E-2</v>
      </c>
      <c r="Q136" s="295" t="b">
        <v>0</v>
      </c>
      <c r="R136" s="295">
        <v>1232</v>
      </c>
      <c r="T136" s="295">
        <v>7</v>
      </c>
      <c r="U136" s="295" t="s">
        <v>6055</v>
      </c>
      <c r="V136" s="295">
        <v>0.119999997317791</v>
      </c>
      <c r="W136" s="295">
        <v>70</v>
      </c>
      <c r="Z136" s="295" t="b">
        <v>0</v>
      </c>
      <c r="AA136" s="295">
        <v>10</v>
      </c>
      <c r="AB136" s="295">
        <v>1.25</v>
      </c>
      <c r="AD136" s="295">
        <v>1.25</v>
      </c>
      <c r="AE136" s="295">
        <v>2</v>
      </c>
      <c r="AF136" s="295">
        <v>1.29999995231628</v>
      </c>
      <c r="AG136" s="295">
        <v>40</v>
      </c>
      <c r="AH136" s="295">
        <v>0.40000000596046398</v>
      </c>
      <c r="AI136" s="295" t="s">
        <v>6141</v>
      </c>
      <c r="AJ136" s="295">
        <f>VLOOKUP(A136,'RBSA Weights'!$A$2:$N$322,8,FALSE)</f>
        <v>2319.07739257813</v>
      </c>
    </row>
    <row r="137" spans="1:36">
      <c r="A137" s="295">
        <v>21731</v>
      </c>
      <c r="B137" s="295" t="s">
        <v>6056</v>
      </c>
      <c r="C137" s="295" t="b">
        <v>1</v>
      </c>
      <c r="D137" s="295">
        <v>1480</v>
      </c>
      <c r="E137" s="295">
        <v>8</v>
      </c>
      <c r="F137" s="295" t="s">
        <v>6063</v>
      </c>
      <c r="G137" s="295">
        <v>22</v>
      </c>
      <c r="H137" s="295" t="s">
        <v>6046</v>
      </c>
      <c r="I137" s="295">
        <v>5.2000001072883599E-2</v>
      </c>
      <c r="J137" s="295" t="b">
        <v>0</v>
      </c>
      <c r="K137" s="295">
        <v>1480</v>
      </c>
      <c r="L137" s="295" t="s">
        <v>6050</v>
      </c>
      <c r="N137" s="295">
        <v>7</v>
      </c>
      <c r="O137" s="295" t="s">
        <v>6055</v>
      </c>
      <c r="P137" s="295">
        <v>0.11599999666214</v>
      </c>
      <c r="Q137" s="295" t="b">
        <v>0</v>
      </c>
      <c r="R137" s="295">
        <v>1360</v>
      </c>
      <c r="T137" s="295">
        <v>7</v>
      </c>
      <c r="U137" s="295" t="s">
        <v>6055</v>
      </c>
      <c r="V137" s="295">
        <v>0.119999997317791</v>
      </c>
      <c r="W137" s="295">
        <v>208</v>
      </c>
      <c r="Z137" s="295" t="b">
        <v>0</v>
      </c>
      <c r="AA137" s="295">
        <v>10</v>
      </c>
      <c r="AB137" s="295">
        <v>1.25</v>
      </c>
      <c r="AD137" s="295">
        <v>1.25</v>
      </c>
      <c r="AE137" s="295">
        <v>8</v>
      </c>
      <c r="AF137" s="295">
        <v>1.29999995231628</v>
      </c>
      <c r="AG137" s="295">
        <v>40</v>
      </c>
      <c r="AH137" s="295">
        <v>0.40000000596046398</v>
      </c>
      <c r="AI137" s="295" t="s">
        <v>6140</v>
      </c>
      <c r="AJ137" s="295">
        <f>VLOOKUP(A137,'RBSA Weights'!$A$2:$N$322,8,FALSE)</f>
        <v>3065.64990234375</v>
      </c>
    </row>
    <row r="138" spans="1:36">
      <c r="A138" s="295">
        <v>21745</v>
      </c>
      <c r="B138" s="295" t="s">
        <v>6042</v>
      </c>
      <c r="C138" s="295" t="b">
        <v>0</v>
      </c>
      <c r="D138" s="295">
        <v>1092</v>
      </c>
      <c r="E138" s="295">
        <v>8.5</v>
      </c>
      <c r="G138" s="295">
        <v>11</v>
      </c>
      <c r="H138" s="295" t="s">
        <v>6040</v>
      </c>
      <c r="I138" s="295">
        <v>0.10000000149011599</v>
      </c>
      <c r="J138" s="295" t="b">
        <v>0</v>
      </c>
      <c r="K138" s="295">
        <v>1134</v>
      </c>
      <c r="L138" s="295" t="s">
        <v>6045</v>
      </c>
      <c r="N138" s="295">
        <v>11</v>
      </c>
      <c r="O138" s="295" t="s">
        <v>6040</v>
      </c>
      <c r="P138" s="295">
        <v>6.7000001668930095E-2</v>
      </c>
      <c r="Q138" s="295" t="b">
        <v>0</v>
      </c>
      <c r="R138" s="295">
        <v>1103</v>
      </c>
      <c r="T138" s="295">
        <v>11</v>
      </c>
      <c r="U138" s="295" t="s">
        <v>6040</v>
      </c>
      <c r="V138" s="295">
        <v>9.00000035762787E-2</v>
      </c>
      <c r="W138" s="295">
        <v>158</v>
      </c>
      <c r="Y138" s="295" t="s">
        <v>6048</v>
      </c>
      <c r="Z138" s="295" t="b">
        <v>1</v>
      </c>
      <c r="AA138" s="295">
        <v>30</v>
      </c>
      <c r="AB138" s="295">
        <v>0.75</v>
      </c>
      <c r="AC138" s="295">
        <v>0.55000001192092896</v>
      </c>
      <c r="AD138" s="295">
        <v>0.75</v>
      </c>
      <c r="AE138" s="295">
        <v>24</v>
      </c>
      <c r="AF138" s="295">
        <v>0.60000002384185802</v>
      </c>
      <c r="AG138" s="295">
        <v>40</v>
      </c>
      <c r="AH138" s="295">
        <v>0.40000000596046398</v>
      </c>
      <c r="AJ138" s="295">
        <f>VLOOKUP(A138,'RBSA Weights'!$A$2:$N$322,8,FALSE)</f>
        <v>3065.64990234375</v>
      </c>
    </row>
    <row r="139" spans="1:36">
      <c r="A139" s="295">
        <v>21760</v>
      </c>
      <c r="B139" s="295" t="s">
        <v>6042</v>
      </c>
      <c r="C139" s="295" t="b">
        <v>0</v>
      </c>
      <c r="D139" s="295">
        <v>780</v>
      </c>
      <c r="E139" s="295">
        <v>8</v>
      </c>
      <c r="G139" s="295">
        <v>11</v>
      </c>
      <c r="H139" s="295" t="s">
        <v>6040</v>
      </c>
      <c r="I139" s="295">
        <v>0.10000000149011599</v>
      </c>
      <c r="J139" s="295" t="b">
        <v>0</v>
      </c>
      <c r="K139" s="295">
        <v>780</v>
      </c>
      <c r="L139" s="295" t="s">
        <v>6091</v>
      </c>
      <c r="N139" s="295">
        <v>7</v>
      </c>
      <c r="O139" s="295" t="s">
        <v>6055</v>
      </c>
      <c r="P139" s="295">
        <v>0.196999996900558</v>
      </c>
      <c r="Q139" s="295" t="b">
        <v>0</v>
      </c>
      <c r="R139" s="295">
        <v>6240</v>
      </c>
      <c r="T139" s="295">
        <v>11</v>
      </c>
      <c r="U139" s="295" t="s">
        <v>6040</v>
      </c>
      <c r="V139" s="295">
        <v>9.00000035762787E-2</v>
      </c>
      <c r="W139" s="295">
        <v>154</v>
      </c>
      <c r="Z139" s="295" t="b">
        <v>0</v>
      </c>
      <c r="AA139" s="295">
        <v>30</v>
      </c>
      <c r="AB139" s="295">
        <v>0.75</v>
      </c>
      <c r="AC139" s="295">
        <v>0.34999999403953602</v>
      </c>
      <c r="AD139" s="295">
        <v>0.75</v>
      </c>
      <c r="AG139" s="295">
        <v>40</v>
      </c>
      <c r="AH139" s="295">
        <v>0.40000000596046398</v>
      </c>
      <c r="AJ139" s="295">
        <f>VLOOKUP(A139,'RBSA Weights'!$A$2:$N$322,8,FALSE)</f>
        <v>1211.2822265625</v>
      </c>
    </row>
    <row r="140" spans="1:36">
      <c r="A140" s="295">
        <v>21765</v>
      </c>
      <c r="B140" s="295" t="s">
        <v>6056</v>
      </c>
      <c r="C140" s="295" t="b">
        <v>0</v>
      </c>
      <c r="D140" s="295">
        <v>576</v>
      </c>
      <c r="E140" s="295">
        <v>7</v>
      </c>
      <c r="G140" s="295">
        <v>7</v>
      </c>
      <c r="H140" s="295" t="s">
        <v>6055</v>
      </c>
      <c r="I140" s="295">
        <v>0.129999995231628</v>
      </c>
      <c r="J140" s="295" t="b">
        <v>0</v>
      </c>
      <c r="K140" s="295">
        <v>576</v>
      </c>
      <c r="L140" s="295" t="s">
        <v>6041</v>
      </c>
      <c r="N140" s="295">
        <v>7</v>
      </c>
      <c r="O140" s="295" t="s">
        <v>6055</v>
      </c>
      <c r="P140" s="295">
        <v>9.4999998807907104E-2</v>
      </c>
      <c r="Q140" s="295" t="b">
        <v>0</v>
      </c>
      <c r="R140" s="295">
        <v>840</v>
      </c>
      <c r="T140" s="295">
        <v>7</v>
      </c>
      <c r="U140" s="295" t="s">
        <v>6055</v>
      </c>
      <c r="V140" s="295">
        <v>0.119999997317791</v>
      </c>
      <c r="W140" s="295">
        <v>91</v>
      </c>
      <c r="Z140" s="295" t="b">
        <v>0</v>
      </c>
      <c r="AA140" s="295">
        <v>25</v>
      </c>
      <c r="AB140" s="295">
        <v>1.25</v>
      </c>
      <c r="AD140" s="295">
        <v>1.25</v>
      </c>
      <c r="AG140" s="295">
        <v>40</v>
      </c>
      <c r="AH140" s="295">
        <v>0.40000000596046398</v>
      </c>
      <c r="AI140" s="295" t="s">
        <v>6139</v>
      </c>
      <c r="AJ140" s="295">
        <f>VLOOKUP(A140,'RBSA Weights'!$A$2:$N$322,8,FALSE)</f>
        <v>868.428955078125</v>
      </c>
    </row>
    <row r="141" spans="1:36">
      <c r="A141" s="295">
        <v>21766</v>
      </c>
      <c r="B141" s="295" t="s">
        <v>6042</v>
      </c>
      <c r="C141" s="295" t="b">
        <v>0</v>
      </c>
      <c r="D141" s="295">
        <v>924</v>
      </c>
      <c r="E141" s="295">
        <v>8</v>
      </c>
      <c r="G141" s="295">
        <v>11</v>
      </c>
      <c r="H141" s="295" t="s">
        <v>6040</v>
      </c>
      <c r="I141" s="295">
        <v>0.10000000149011599</v>
      </c>
      <c r="J141" s="295" t="b">
        <v>0</v>
      </c>
      <c r="K141" s="295">
        <v>924</v>
      </c>
      <c r="L141" s="295" t="s">
        <v>6091</v>
      </c>
      <c r="N141" s="295">
        <v>7</v>
      </c>
      <c r="O141" s="295" t="s">
        <v>6055</v>
      </c>
      <c r="P141" s="295">
        <v>0.196999996900558</v>
      </c>
      <c r="Q141" s="295" t="b">
        <v>0</v>
      </c>
      <c r="R141" s="295">
        <v>160</v>
      </c>
      <c r="T141" s="295">
        <v>11</v>
      </c>
      <c r="U141" s="295" t="s">
        <v>6040</v>
      </c>
      <c r="V141" s="295">
        <v>9.00000035762787E-2</v>
      </c>
      <c r="W141" s="295">
        <v>68</v>
      </c>
      <c r="X141" s="295">
        <v>69</v>
      </c>
      <c r="Y141" s="295" t="s">
        <v>6048</v>
      </c>
      <c r="Z141" s="295" t="b">
        <v>1</v>
      </c>
      <c r="AA141" s="295">
        <v>10</v>
      </c>
      <c r="AB141" s="295">
        <v>0.75</v>
      </c>
      <c r="AC141" s="295">
        <v>0.55000001192092896</v>
      </c>
      <c r="AD141" s="295">
        <v>0.64927005767822299</v>
      </c>
      <c r="AG141" s="295">
        <v>40</v>
      </c>
      <c r="AH141" s="295">
        <v>0.40000000596046398</v>
      </c>
      <c r="AI141" s="295" t="s">
        <v>6138</v>
      </c>
      <c r="AJ141" s="295">
        <f>VLOOKUP(A141,'RBSA Weights'!$A$2:$N$322,8,FALSE)</f>
        <v>1211.2822265625</v>
      </c>
    </row>
    <row r="142" spans="1:36">
      <c r="A142" s="295">
        <v>21774</v>
      </c>
      <c r="B142" s="295" t="s">
        <v>6056</v>
      </c>
      <c r="C142" s="295" t="b">
        <v>1</v>
      </c>
      <c r="D142" s="295">
        <v>1082</v>
      </c>
      <c r="E142" s="295">
        <v>7.25</v>
      </c>
      <c r="F142" s="295" t="s">
        <v>156</v>
      </c>
      <c r="G142" s="295">
        <v>11</v>
      </c>
      <c r="H142" s="295" t="s">
        <v>6040</v>
      </c>
      <c r="I142" s="295">
        <v>0.10000000149011599</v>
      </c>
      <c r="J142" s="295" t="b">
        <v>1</v>
      </c>
      <c r="K142" s="295">
        <v>1082</v>
      </c>
      <c r="L142" s="295" t="s">
        <v>6041</v>
      </c>
      <c r="M142" s="295" t="s">
        <v>6070</v>
      </c>
      <c r="N142" s="295">
        <v>14</v>
      </c>
      <c r="O142" s="295" t="s">
        <v>6040</v>
      </c>
      <c r="P142" s="295">
        <v>7.9999998211860698E-2</v>
      </c>
      <c r="Q142" s="295" t="b">
        <v>1</v>
      </c>
      <c r="R142" s="295">
        <v>1331</v>
      </c>
      <c r="S142" s="295" t="s">
        <v>156</v>
      </c>
      <c r="T142" s="295">
        <v>11</v>
      </c>
      <c r="U142" s="295" t="s">
        <v>6040</v>
      </c>
      <c r="V142" s="295">
        <v>9.00000035762787E-2</v>
      </c>
      <c r="W142" s="295">
        <v>204</v>
      </c>
      <c r="X142" s="295">
        <v>32</v>
      </c>
      <c r="Y142" s="295" t="s">
        <v>6044</v>
      </c>
      <c r="Z142" s="295" t="b">
        <v>1</v>
      </c>
      <c r="AA142" s="295">
        <v>15</v>
      </c>
      <c r="AB142" s="295">
        <v>1.25</v>
      </c>
      <c r="AC142" s="295">
        <v>0.69999998807907104</v>
      </c>
      <c r="AD142" s="295">
        <v>1.1754237413406401</v>
      </c>
      <c r="AG142" s="295">
        <v>40</v>
      </c>
      <c r="AH142" s="295">
        <v>0.40000000596046398</v>
      </c>
      <c r="AI142" s="295" t="s">
        <v>6137</v>
      </c>
      <c r="AJ142" s="295">
        <f>VLOOKUP(A142,'RBSA Weights'!$A$2:$N$322,8,FALSE)</f>
        <v>3065.64990234375</v>
      </c>
    </row>
    <row r="143" spans="1:36">
      <c r="A143" s="295">
        <v>21819</v>
      </c>
      <c r="B143" s="295" t="s">
        <v>6056</v>
      </c>
      <c r="C143" s="295" t="b">
        <v>0</v>
      </c>
      <c r="D143" s="295">
        <v>840</v>
      </c>
      <c r="E143" s="295">
        <v>7</v>
      </c>
      <c r="G143" s="295">
        <v>7</v>
      </c>
      <c r="H143" s="295" t="s">
        <v>6055</v>
      </c>
      <c r="I143" s="295">
        <v>0.129999995231628</v>
      </c>
      <c r="J143" s="295" t="b">
        <v>0</v>
      </c>
      <c r="K143" s="295">
        <v>840</v>
      </c>
      <c r="L143" s="295" t="s">
        <v>6045</v>
      </c>
      <c r="N143" s="295">
        <v>7</v>
      </c>
      <c r="O143" s="295" t="s">
        <v>6055</v>
      </c>
      <c r="P143" s="295">
        <v>9.3000002205371898E-2</v>
      </c>
      <c r="Q143" s="295" t="b">
        <v>0</v>
      </c>
      <c r="R143" s="295">
        <v>1232</v>
      </c>
      <c r="T143" s="295">
        <v>7</v>
      </c>
      <c r="U143" s="295" t="s">
        <v>6055</v>
      </c>
      <c r="V143" s="295">
        <v>0.119999997317791</v>
      </c>
      <c r="W143" s="295">
        <v>66</v>
      </c>
      <c r="Z143" s="295" t="b">
        <v>0</v>
      </c>
      <c r="AA143" s="295">
        <v>25</v>
      </c>
      <c r="AB143" s="295">
        <v>1.25</v>
      </c>
      <c r="AD143" s="295">
        <v>1.25</v>
      </c>
      <c r="AG143" s="295">
        <v>40</v>
      </c>
      <c r="AH143" s="295">
        <v>0.40000000596046398</v>
      </c>
      <c r="AI143" s="295" t="s">
        <v>6136</v>
      </c>
      <c r="AJ143" s="295">
        <f>VLOOKUP(A143,'RBSA Weights'!$A$2:$N$322,8,FALSE)</f>
        <v>868.428955078125</v>
      </c>
    </row>
    <row r="144" spans="1:36">
      <c r="A144" s="295">
        <v>21820</v>
      </c>
      <c r="B144" s="295" t="s">
        <v>6042</v>
      </c>
      <c r="C144" s="295" t="b">
        <v>1</v>
      </c>
      <c r="D144" s="295">
        <v>864</v>
      </c>
      <c r="E144" s="295">
        <v>7</v>
      </c>
      <c r="F144" s="295" t="s">
        <v>157</v>
      </c>
      <c r="G144" s="295">
        <v>19</v>
      </c>
      <c r="H144" s="295" t="s">
        <v>6051</v>
      </c>
      <c r="I144" s="295">
        <v>5.6000001728534698E-2</v>
      </c>
      <c r="J144" s="295" t="b">
        <v>1</v>
      </c>
      <c r="K144" s="295">
        <v>864</v>
      </c>
      <c r="L144" s="295" t="s">
        <v>6045</v>
      </c>
      <c r="M144" s="295" t="s">
        <v>157</v>
      </c>
      <c r="N144" s="295">
        <v>19</v>
      </c>
      <c r="O144" s="295" t="s">
        <v>6051</v>
      </c>
      <c r="P144" s="295">
        <v>5.6000001728534698E-2</v>
      </c>
      <c r="Q144" s="295" t="b">
        <v>0</v>
      </c>
      <c r="R144" s="295">
        <v>784</v>
      </c>
      <c r="T144" s="295">
        <v>11</v>
      </c>
      <c r="U144" s="295" t="s">
        <v>6040</v>
      </c>
      <c r="V144" s="295">
        <v>9.00000035762787E-2</v>
      </c>
      <c r="W144" s="295">
        <v>77</v>
      </c>
      <c r="Z144" s="295" t="b">
        <v>0</v>
      </c>
      <c r="AA144" s="295">
        <v>0</v>
      </c>
      <c r="AB144" s="295">
        <v>0.75</v>
      </c>
      <c r="AC144" s="295">
        <v>0.69999998807907104</v>
      </c>
      <c r="AD144" s="295">
        <v>0.75</v>
      </c>
      <c r="AE144" s="295">
        <v>10</v>
      </c>
      <c r="AF144" s="295">
        <v>0.60000002384185802</v>
      </c>
      <c r="AG144" s="295">
        <v>40</v>
      </c>
      <c r="AH144" s="295">
        <v>0.40000000596046398</v>
      </c>
      <c r="AJ144" s="295">
        <f>VLOOKUP(A144,'RBSA Weights'!$A$2:$N$322,8,FALSE)</f>
        <v>3065.64990234375</v>
      </c>
    </row>
    <row r="145" spans="1:36">
      <c r="A145" s="295">
        <v>21846</v>
      </c>
      <c r="B145" s="295" t="s">
        <v>6042</v>
      </c>
      <c r="C145" s="295" t="b">
        <v>0</v>
      </c>
      <c r="D145" s="295">
        <v>1656</v>
      </c>
      <c r="E145" s="295">
        <v>8</v>
      </c>
      <c r="G145" s="295">
        <v>11</v>
      </c>
      <c r="H145" s="295" t="s">
        <v>6040</v>
      </c>
      <c r="I145" s="295">
        <v>0.10000000149011599</v>
      </c>
      <c r="J145" s="295" t="b">
        <v>0</v>
      </c>
      <c r="K145" s="295">
        <v>1360</v>
      </c>
      <c r="L145" s="295" t="s">
        <v>6045</v>
      </c>
      <c r="N145" s="295">
        <v>11</v>
      </c>
      <c r="O145" s="295" t="s">
        <v>6040</v>
      </c>
      <c r="P145" s="295">
        <v>6.7000001668930095E-2</v>
      </c>
      <c r="Q145" s="295" t="b">
        <v>0</v>
      </c>
      <c r="R145" s="295">
        <v>1360</v>
      </c>
      <c r="T145" s="295">
        <v>11</v>
      </c>
      <c r="U145" s="295" t="s">
        <v>6040</v>
      </c>
      <c r="V145" s="295">
        <v>9.00000035762787E-2</v>
      </c>
      <c r="X145" s="295">
        <v>267</v>
      </c>
      <c r="Y145" s="295" t="s">
        <v>6048</v>
      </c>
      <c r="Z145" s="295" t="b">
        <v>1</v>
      </c>
      <c r="AA145" s="295">
        <v>49</v>
      </c>
      <c r="AB145" s="295">
        <v>0.75</v>
      </c>
      <c r="AC145" s="295">
        <v>0.55000001192092896</v>
      </c>
      <c r="AD145" s="295">
        <v>0.55000001192092896</v>
      </c>
      <c r="AE145" s="295">
        <v>8</v>
      </c>
      <c r="AF145" s="295">
        <v>0.60000002384185802</v>
      </c>
      <c r="AG145" s="295">
        <v>40</v>
      </c>
      <c r="AH145" s="295">
        <v>0.40000000596046398</v>
      </c>
      <c r="AJ145" s="295">
        <f>VLOOKUP(A145,'RBSA Weights'!$A$2:$N$322,8,FALSE)</f>
        <v>2128.88549804688</v>
      </c>
    </row>
    <row r="146" spans="1:36">
      <c r="A146" s="295">
        <v>21855</v>
      </c>
      <c r="B146" s="295" t="s">
        <v>6053</v>
      </c>
      <c r="C146" s="295" t="b">
        <v>0</v>
      </c>
      <c r="D146" s="295">
        <v>812</v>
      </c>
      <c r="E146" s="295">
        <v>8.5</v>
      </c>
      <c r="G146" s="295">
        <v>22</v>
      </c>
      <c r="H146" s="295" t="s">
        <v>6046</v>
      </c>
      <c r="I146" s="295">
        <v>5.2000001072883599E-2</v>
      </c>
      <c r="J146" s="295" t="b">
        <v>0</v>
      </c>
      <c r="K146" s="295">
        <v>812</v>
      </c>
      <c r="L146" s="295" t="s">
        <v>6045</v>
      </c>
      <c r="N146" s="295">
        <v>22</v>
      </c>
      <c r="O146" s="295" t="s">
        <v>6046</v>
      </c>
      <c r="P146" s="295">
        <v>5.0999999046325697E-2</v>
      </c>
      <c r="Q146" s="295" t="b">
        <v>0</v>
      </c>
      <c r="R146" s="295">
        <v>1152</v>
      </c>
      <c r="T146" s="295">
        <v>11</v>
      </c>
      <c r="U146" s="295" t="s">
        <v>6040</v>
      </c>
      <c r="V146" s="295">
        <v>9.00000035762787E-2</v>
      </c>
      <c r="X146" s="295">
        <v>69</v>
      </c>
      <c r="Y146" s="295" t="s">
        <v>6048</v>
      </c>
      <c r="Z146" s="295" t="b">
        <v>1</v>
      </c>
      <c r="AA146" s="295">
        <v>0</v>
      </c>
      <c r="AB146" s="295">
        <v>0.479999989271164</v>
      </c>
      <c r="AC146" s="295">
        <v>0.55000001192092896</v>
      </c>
      <c r="AD146" s="295">
        <v>0.55000001192092896</v>
      </c>
      <c r="AG146" s="295">
        <v>40</v>
      </c>
      <c r="AH146" s="295">
        <v>0.40000000596046398</v>
      </c>
      <c r="AI146" s="295" t="s">
        <v>6135</v>
      </c>
      <c r="AJ146" s="295">
        <f>VLOOKUP(A146,'RBSA Weights'!$A$2:$N$322,8,FALSE)</f>
        <v>3065.64990234375</v>
      </c>
    </row>
    <row r="147" spans="1:36">
      <c r="A147" s="295">
        <v>21870</v>
      </c>
      <c r="B147" s="295" t="s">
        <v>6042</v>
      </c>
      <c r="C147" s="295" t="b">
        <v>0</v>
      </c>
      <c r="D147" s="295">
        <v>1269</v>
      </c>
      <c r="E147" s="295">
        <v>9</v>
      </c>
      <c r="G147" s="295">
        <v>11</v>
      </c>
      <c r="H147" s="295" t="s">
        <v>6040</v>
      </c>
      <c r="I147" s="295">
        <v>0.10000000149011599</v>
      </c>
      <c r="J147" s="295" t="b">
        <v>1</v>
      </c>
      <c r="K147" s="295">
        <v>1269</v>
      </c>
      <c r="L147" s="295" t="s">
        <v>6045</v>
      </c>
      <c r="M147" s="295" t="s">
        <v>6063</v>
      </c>
      <c r="N147" s="295">
        <v>22</v>
      </c>
      <c r="O147" s="295" t="s">
        <v>6046</v>
      </c>
      <c r="P147" s="295">
        <v>5.0999999046325697E-2</v>
      </c>
      <c r="Q147" s="295" t="b">
        <v>0</v>
      </c>
      <c r="R147" s="295">
        <v>1242</v>
      </c>
      <c r="T147" s="295">
        <v>11</v>
      </c>
      <c r="U147" s="295" t="s">
        <v>6040</v>
      </c>
      <c r="V147" s="295">
        <v>9.00000035762787E-2</v>
      </c>
      <c r="W147" s="295">
        <v>4</v>
      </c>
      <c r="X147" s="295">
        <v>152</v>
      </c>
      <c r="Y147" s="295" t="s">
        <v>6048</v>
      </c>
      <c r="Z147" s="295" t="b">
        <v>1</v>
      </c>
      <c r="AA147" s="295">
        <v>10</v>
      </c>
      <c r="AB147" s="295">
        <v>0.75</v>
      </c>
      <c r="AC147" s="295">
        <v>0.55000001192092896</v>
      </c>
      <c r="AD147" s="295">
        <v>0.55512821674346902</v>
      </c>
      <c r="AG147" s="295">
        <v>40</v>
      </c>
      <c r="AH147" s="295">
        <v>0.40000000596046398</v>
      </c>
      <c r="AJ147" s="295">
        <f>VLOOKUP(A147,'RBSA Weights'!$A$2:$N$322,8,FALSE)</f>
        <v>2128.88549804688</v>
      </c>
    </row>
    <row r="148" spans="1:36">
      <c r="A148" s="295">
        <v>21893</v>
      </c>
      <c r="B148" s="295" t="s">
        <v>6052</v>
      </c>
      <c r="C148" s="295" t="b">
        <v>0</v>
      </c>
      <c r="D148" s="295">
        <v>1944</v>
      </c>
      <c r="E148" s="295">
        <v>8</v>
      </c>
      <c r="G148" s="295">
        <v>38</v>
      </c>
      <c r="H148" s="295" t="s">
        <v>162</v>
      </c>
      <c r="I148" s="295">
        <v>3.5000000149011598E-2</v>
      </c>
      <c r="J148" s="295" t="b">
        <v>0</v>
      </c>
      <c r="K148" s="295">
        <v>1620</v>
      </c>
      <c r="L148" s="295" t="s">
        <v>6045</v>
      </c>
      <c r="N148" s="295">
        <v>33</v>
      </c>
      <c r="O148" s="295" t="s">
        <v>162</v>
      </c>
      <c r="P148" s="295">
        <v>2.9999999329447701E-2</v>
      </c>
      <c r="Q148" s="295" t="b">
        <v>0</v>
      </c>
      <c r="R148" s="295">
        <v>1392</v>
      </c>
      <c r="T148" s="295">
        <v>21</v>
      </c>
      <c r="U148" s="295" t="s">
        <v>6051</v>
      </c>
      <c r="V148" s="295">
        <v>5.6000001728534698E-2</v>
      </c>
      <c r="W148" s="295">
        <v>93</v>
      </c>
      <c r="Z148" s="295" t="b">
        <v>0</v>
      </c>
      <c r="AA148" s="295">
        <v>0</v>
      </c>
      <c r="AB148" s="295">
        <v>0.37999999523162797</v>
      </c>
      <c r="AD148" s="295">
        <v>0.37999999523162797</v>
      </c>
      <c r="AE148" s="295">
        <v>19</v>
      </c>
      <c r="AF148" s="295">
        <v>1.29999995231628</v>
      </c>
      <c r="AG148" s="295">
        <v>40</v>
      </c>
      <c r="AH148" s="295">
        <v>0.40000000596046398</v>
      </c>
      <c r="AI148" s="295" t="s">
        <v>6134</v>
      </c>
      <c r="AJ148" s="295">
        <f>VLOOKUP(A148,'RBSA Weights'!$A$2:$N$322,8,FALSE)</f>
        <v>2914.5654296875</v>
      </c>
    </row>
    <row r="149" spans="1:36">
      <c r="A149" s="295">
        <v>21913</v>
      </c>
      <c r="B149" s="295" t="s">
        <v>6042</v>
      </c>
      <c r="C149" s="295" t="b">
        <v>0</v>
      </c>
      <c r="D149" s="295">
        <v>1296</v>
      </c>
      <c r="E149" s="295">
        <v>8</v>
      </c>
      <c r="G149" s="295">
        <v>11</v>
      </c>
      <c r="H149" s="295" t="s">
        <v>6040</v>
      </c>
      <c r="I149" s="295">
        <v>0.10000000149011599</v>
      </c>
      <c r="J149" s="295" t="b">
        <v>1</v>
      </c>
      <c r="K149" s="295">
        <v>1296</v>
      </c>
      <c r="L149" s="295" t="s">
        <v>6045</v>
      </c>
      <c r="M149" s="295" t="s">
        <v>157</v>
      </c>
      <c r="N149" s="295">
        <v>19</v>
      </c>
      <c r="O149" s="295" t="s">
        <v>6051</v>
      </c>
      <c r="P149" s="295">
        <v>5.6000001728534698E-2</v>
      </c>
      <c r="Q149" s="295" t="b">
        <v>0</v>
      </c>
      <c r="R149" s="295">
        <v>1170</v>
      </c>
      <c r="T149" s="295">
        <v>11</v>
      </c>
      <c r="U149" s="295" t="s">
        <v>6040</v>
      </c>
      <c r="V149" s="295">
        <v>9.00000035762787E-2</v>
      </c>
      <c r="W149" s="295">
        <v>5</v>
      </c>
      <c r="X149" s="295">
        <v>146</v>
      </c>
      <c r="Y149" s="295" t="s">
        <v>6048</v>
      </c>
      <c r="Z149" s="295" t="b">
        <v>1</v>
      </c>
      <c r="AA149" s="295">
        <v>30</v>
      </c>
      <c r="AB149" s="295">
        <v>0.75</v>
      </c>
      <c r="AC149" s="295">
        <v>0.55000001192092896</v>
      </c>
      <c r="AD149" s="295">
        <v>0.55662256479263295</v>
      </c>
      <c r="AG149" s="295">
        <v>40</v>
      </c>
      <c r="AH149" s="295">
        <v>0.40000000596046398</v>
      </c>
      <c r="AJ149" s="295">
        <f>VLOOKUP(A149,'RBSA Weights'!$A$2:$N$322,8,FALSE)</f>
        <v>3065.64990234375</v>
      </c>
    </row>
    <row r="150" spans="1:36">
      <c r="A150" s="295">
        <v>21942</v>
      </c>
      <c r="B150" s="295" t="s">
        <v>6058</v>
      </c>
      <c r="C150" s="295" t="b">
        <v>0</v>
      </c>
      <c r="D150" s="295">
        <v>2500</v>
      </c>
      <c r="E150" s="295">
        <v>8</v>
      </c>
      <c r="G150" s="295">
        <v>49</v>
      </c>
      <c r="H150" s="295" t="s">
        <v>6057</v>
      </c>
      <c r="I150" s="295">
        <v>2.60000005364418E-2</v>
      </c>
      <c r="J150" s="295" t="b">
        <v>1</v>
      </c>
      <c r="K150" s="295">
        <v>2430</v>
      </c>
      <c r="L150" s="295" t="s">
        <v>6045</v>
      </c>
      <c r="M150" s="295" t="s">
        <v>6063</v>
      </c>
      <c r="N150" s="295">
        <v>22</v>
      </c>
      <c r="O150" s="295" t="s">
        <v>6046</v>
      </c>
      <c r="P150" s="295">
        <v>5.0999999046325697E-2</v>
      </c>
      <c r="Q150" s="295" t="b">
        <v>0</v>
      </c>
      <c r="R150" s="295">
        <v>1899</v>
      </c>
      <c r="T150" s="295">
        <v>21</v>
      </c>
      <c r="U150" s="295" t="s">
        <v>6051</v>
      </c>
      <c r="V150" s="295">
        <v>5.6000001728534698E-2</v>
      </c>
      <c r="W150" s="295">
        <v>194</v>
      </c>
      <c r="Z150" s="295" t="b">
        <v>0</v>
      </c>
      <c r="AA150" s="295">
        <v>35</v>
      </c>
      <c r="AB150" s="295">
        <v>0.34999999403953602</v>
      </c>
      <c r="AD150" s="295">
        <v>0.34999999403953602</v>
      </c>
      <c r="AE150" s="295">
        <v>4</v>
      </c>
      <c r="AF150" s="295">
        <v>0.60000002384185802</v>
      </c>
      <c r="AG150" s="295">
        <v>40</v>
      </c>
      <c r="AH150" s="295">
        <v>0.40000000596046398</v>
      </c>
      <c r="AJ150" s="295">
        <f>VLOOKUP(A150,'RBSA Weights'!$A$2:$N$322,8,FALSE)</f>
        <v>868.428955078125</v>
      </c>
    </row>
    <row r="151" spans="1:36">
      <c r="A151" s="295">
        <v>21960</v>
      </c>
      <c r="B151" s="295" t="s">
        <v>6042</v>
      </c>
      <c r="C151" s="295" t="b">
        <v>0</v>
      </c>
      <c r="D151" s="295">
        <v>1680</v>
      </c>
      <c r="E151" s="295">
        <v>8</v>
      </c>
      <c r="G151" s="295">
        <v>11</v>
      </c>
      <c r="H151" s="295" t="s">
        <v>6040</v>
      </c>
      <c r="I151" s="295">
        <v>0.10000000149011599</v>
      </c>
      <c r="J151" s="295" t="b">
        <v>0</v>
      </c>
      <c r="K151" s="295">
        <v>1680</v>
      </c>
      <c r="L151" s="295" t="s">
        <v>6045</v>
      </c>
      <c r="N151" s="295">
        <v>11</v>
      </c>
      <c r="O151" s="295" t="s">
        <v>6040</v>
      </c>
      <c r="P151" s="295">
        <v>6.7000001668930095E-2</v>
      </c>
      <c r="Q151" s="295" t="b">
        <v>0</v>
      </c>
      <c r="R151" s="295">
        <v>1408</v>
      </c>
      <c r="T151" s="295">
        <v>11</v>
      </c>
      <c r="U151" s="295" t="s">
        <v>6040</v>
      </c>
      <c r="V151" s="295">
        <v>9.00000035762787E-2</v>
      </c>
      <c r="W151" s="295">
        <v>210</v>
      </c>
      <c r="Y151" s="295" t="s">
        <v>6088</v>
      </c>
      <c r="Z151" s="295" t="b">
        <v>1</v>
      </c>
      <c r="AA151" s="295">
        <v>20</v>
      </c>
      <c r="AB151" s="295">
        <v>0.75</v>
      </c>
      <c r="AC151" s="295">
        <v>0.34999999403953602</v>
      </c>
      <c r="AD151" s="295">
        <v>0.75</v>
      </c>
      <c r="AG151" s="295">
        <v>40</v>
      </c>
      <c r="AH151" s="295">
        <v>0.40000000596046398</v>
      </c>
      <c r="AJ151" s="295">
        <f>VLOOKUP(A151,'RBSA Weights'!$A$2:$N$322,8,FALSE)</f>
        <v>2319.07739257813</v>
      </c>
    </row>
    <row r="152" spans="1:36">
      <c r="A152" s="295">
        <v>21970</v>
      </c>
      <c r="B152" s="295" t="s">
        <v>6042</v>
      </c>
      <c r="C152" s="295" t="b">
        <v>0</v>
      </c>
      <c r="D152" s="295">
        <v>1230</v>
      </c>
      <c r="E152" s="295">
        <v>7</v>
      </c>
      <c r="G152" s="295">
        <v>11</v>
      </c>
      <c r="H152" s="295" t="s">
        <v>6040</v>
      </c>
      <c r="I152" s="295">
        <v>0.10000000149011599</v>
      </c>
      <c r="J152" s="295" t="b">
        <v>0</v>
      </c>
      <c r="K152" s="295">
        <v>1025</v>
      </c>
      <c r="L152" s="295" t="s">
        <v>6045</v>
      </c>
      <c r="N152" s="295">
        <v>11</v>
      </c>
      <c r="O152" s="295" t="s">
        <v>6040</v>
      </c>
      <c r="P152" s="295">
        <v>6.7000001668930095E-2</v>
      </c>
      <c r="Q152" s="295" t="b">
        <v>0</v>
      </c>
      <c r="R152" s="295">
        <v>924</v>
      </c>
      <c r="T152" s="295">
        <v>11</v>
      </c>
      <c r="U152" s="295" t="s">
        <v>6040</v>
      </c>
      <c r="V152" s="295">
        <v>9.00000035762787E-2</v>
      </c>
      <c r="W152" s="295">
        <v>115</v>
      </c>
      <c r="Z152" s="295" t="b">
        <v>0</v>
      </c>
      <c r="AA152" s="295">
        <v>36</v>
      </c>
      <c r="AB152" s="295">
        <v>0.75</v>
      </c>
      <c r="AC152" s="295">
        <v>0.55000001192092896</v>
      </c>
      <c r="AD152" s="295">
        <v>0.75</v>
      </c>
      <c r="AE152" s="295">
        <v>8</v>
      </c>
      <c r="AF152" s="295">
        <v>0.60000002384185802</v>
      </c>
      <c r="AG152" s="295">
        <v>40</v>
      </c>
      <c r="AH152" s="295">
        <v>0.40000000596046398</v>
      </c>
      <c r="AJ152" s="295">
        <f>VLOOKUP(A152,'RBSA Weights'!$A$2:$N$322,8,FALSE)</f>
        <v>868.428955078125</v>
      </c>
    </row>
    <row r="153" spans="1:36">
      <c r="A153" s="295">
        <v>21971</v>
      </c>
      <c r="B153" s="295" t="s">
        <v>6042</v>
      </c>
      <c r="C153" s="295" t="b">
        <v>0</v>
      </c>
      <c r="D153" s="295">
        <v>672</v>
      </c>
      <c r="E153" s="295">
        <v>8</v>
      </c>
      <c r="G153" s="295">
        <v>11</v>
      </c>
      <c r="H153" s="295" t="s">
        <v>6040</v>
      </c>
      <c r="I153" s="295">
        <v>0.10000000149011599</v>
      </c>
      <c r="J153" s="295" t="b">
        <v>0</v>
      </c>
      <c r="K153" s="295">
        <v>672</v>
      </c>
      <c r="L153" s="295" t="s">
        <v>6041</v>
      </c>
      <c r="N153" s="295">
        <v>11</v>
      </c>
      <c r="O153" s="295" t="s">
        <v>6040</v>
      </c>
      <c r="P153" s="295">
        <v>8.5000000894069699E-2</v>
      </c>
      <c r="Q153" s="295" t="b">
        <v>0</v>
      </c>
      <c r="R153" s="295">
        <v>992</v>
      </c>
      <c r="T153" s="295">
        <v>11</v>
      </c>
      <c r="U153" s="295" t="s">
        <v>6040</v>
      </c>
      <c r="V153" s="295">
        <v>9.00000035762787E-2</v>
      </c>
      <c r="X153" s="295">
        <v>113</v>
      </c>
      <c r="Y153" s="295" t="s">
        <v>6048</v>
      </c>
      <c r="Z153" s="295" t="b">
        <v>1</v>
      </c>
      <c r="AA153" s="295">
        <v>5</v>
      </c>
      <c r="AB153" s="295">
        <v>0.75</v>
      </c>
      <c r="AC153" s="295">
        <v>0.55000001192092896</v>
      </c>
      <c r="AD153" s="295">
        <v>0.55000001192092896</v>
      </c>
      <c r="AG153" s="295">
        <v>40</v>
      </c>
      <c r="AH153" s="295">
        <v>0.34999999403953602</v>
      </c>
      <c r="AJ153" s="295">
        <f>VLOOKUP(A153,'RBSA Weights'!$A$2:$N$322,8,FALSE)</f>
        <v>1211.2822265625</v>
      </c>
    </row>
    <row r="154" spans="1:36">
      <c r="A154" s="295">
        <v>21982</v>
      </c>
      <c r="B154" s="295" t="s">
        <v>6053</v>
      </c>
      <c r="C154" s="295" t="b">
        <v>0</v>
      </c>
      <c r="D154" s="295">
        <v>1620</v>
      </c>
      <c r="E154" s="295">
        <v>10</v>
      </c>
      <c r="G154" s="295">
        <v>22</v>
      </c>
      <c r="H154" s="295" t="s">
        <v>6046</v>
      </c>
      <c r="I154" s="295">
        <v>5.2000001072883599E-2</v>
      </c>
      <c r="J154" s="295" t="b">
        <v>0</v>
      </c>
      <c r="K154" s="295">
        <v>1620</v>
      </c>
      <c r="L154" s="295" t="s">
        <v>6045</v>
      </c>
      <c r="N154" s="295">
        <v>22</v>
      </c>
      <c r="O154" s="295" t="s">
        <v>6046</v>
      </c>
      <c r="P154" s="295">
        <v>5.0999999046325697E-2</v>
      </c>
      <c r="Q154" s="295" t="b">
        <v>0</v>
      </c>
      <c r="R154" s="295">
        <v>1540</v>
      </c>
      <c r="T154" s="295">
        <v>11</v>
      </c>
      <c r="U154" s="295" t="s">
        <v>6040</v>
      </c>
      <c r="V154" s="295">
        <v>9.00000035762787E-2</v>
      </c>
      <c r="W154" s="295">
        <v>321</v>
      </c>
      <c r="X154" s="295">
        <v>7</v>
      </c>
      <c r="Y154" s="295" t="s">
        <v>6048</v>
      </c>
      <c r="Z154" s="295" t="b">
        <v>1</v>
      </c>
      <c r="AA154" s="295">
        <v>10</v>
      </c>
      <c r="AB154" s="295">
        <v>0.479999989271164</v>
      </c>
      <c r="AC154" s="295">
        <v>0.55000001192092896</v>
      </c>
      <c r="AD154" s="295">
        <v>0.481493920087814</v>
      </c>
      <c r="AE154" s="295">
        <v>8</v>
      </c>
      <c r="AF154" s="295">
        <v>0.60000002384185802</v>
      </c>
      <c r="AG154" s="295">
        <v>40</v>
      </c>
      <c r="AH154" s="295">
        <v>0.40000000596046398</v>
      </c>
      <c r="AJ154" s="295">
        <f>VLOOKUP(A154,'RBSA Weights'!$A$2:$N$322,8,FALSE)</f>
        <v>3065.64990234375</v>
      </c>
    </row>
    <row r="155" spans="1:36">
      <c r="A155" s="295">
        <v>21984</v>
      </c>
      <c r="B155" s="295" t="s">
        <v>6056</v>
      </c>
      <c r="C155" s="295" t="b">
        <v>1</v>
      </c>
      <c r="D155" s="295">
        <v>1760</v>
      </c>
      <c r="E155" s="295">
        <v>7</v>
      </c>
      <c r="F155" s="295" t="s">
        <v>156</v>
      </c>
      <c r="G155" s="295">
        <v>11</v>
      </c>
      <c r="H155" s="295" t="s">
        <v>6040</v>
      </c>
      <c r="I155" s="295">
        <v>0.10000000149011599</v>
      </c>
      <c r="J155" s="295" t="b">
        <v>0</v>
      </c>
      <c r="K155" s="295">
        <v>1760</v>
      </c>
      <c r="L155" s="295" t="s">
        <v>6045</v>
      </c>
      <c r="N155" s="295">
        <v>7</v>
      </c>
      <c r="O155" s="295" t="s">
        <v>6055</v>
      </c>
      <c r="P155" s="295">
        <v>9.3000002205371898E-2</v>
      </c>
      <c r="Q155" s="295" t="b">
        <v>1</v>
      </c>
      <c r="R155" s="295">
        <v>980</v>
      </c>
      <c r="S155" s="295" t="s">
        <v>156</v>
      </c>
      <c r="T155" s="295">
        <v>11</v>
      </c>
      <c r="U155" s="295" t="s">
        <v>6040</v>
      </c>
      <c r="V155" s="295">
        <v>9.00000035762787E-2</v>
      </c>
      <c r="W155" s="295">
        <v>45</v>
      </c>
      <c r="Z155" s="295" t="b">
        <v>0</v>
      </c>
      <c r="AA155" s="295">
        <v>15</v>
      </c>
      <c r="AB155" s="295">
        <v>1.25</v>
      </c>
      <c r="AD155" s="295">
        <v>1.25</v>
      </c>
      <c r="AG155" s="295">
        <v>40</v>
      </c>
      <c r="AH155" s="295">
        <v>0.40000000596046398</v>
      </c>
      <c r="AI155" s="295" t="s">
        <v>6133</v>
      </c>
      <c r="AJ155" s="295">
        <f>VLOOKUP(A155,'RBSA Weights'!$A$2:$N$322,8,FALSE)</f>
        <v>868.428955078125</v>
      </c>
    </row>
    <row r="156" spans="1:36">
      <c r="A156" s="295">
        <v>21997</v>
      </c>
      <c r="B156" s="295" t="s">
        <v>6078</v>
      </c>
      <c r="C156" s="295" t="b">
        <v>0</v>
      </c>
      <c r="D156" s="295">
        <v>9</v>
      </c>
      <c r="E156" s="295">
        <v>9</v>
      </c>
      <c r="G156" s="295">
        <v>38</v>
      </c>
      <c r="H156" s="295" t="s">
        <v>162</v>
      </c>
      <c r="I156" s="295">
        <v>3.5000000149011598E-2</v>
      </c>
      <c r="J156" s="295" t="b">
        <v>0</v>
      </c>
      <c r="K156" s="295">
        <v>2277</v>
      </c>
      <c r="L156" s="295" t="s">
        <v>6091</v>
      </c>
      <c r="N156" s="295">
        <v>7</v>
      </c>
      <c r="O156" s="295" t="s">
        <v>6055</v>
      </c>
      <c r="P156" s="295">
        <v>0.196999996900558</v>
      </c>
      <c r="Q156" s="295" t="b">
        <v>0</v>
      </c>
      <c r="R156" s="295">
        <v>1632</v>
      </c>
      <c r="T156" s="295">
        <v>21</v>
      </c>
      <c r="U156" s="295" t="s">
        <v>6051</v>
      </c>
      <c r="V156" s="295">
        <v>5.6000001728534698E-2</v>
      </c>
      <c r="W156" s="295">
        <v>208</v>
      </c>
      <c r="X156" s="295">
        <v>2</v>
      </c>
      <c r="Y156" s="295" t="s">
        <v>6088</v>
      </c>
      <c r="Z156" s="295" t="b">
        <v>1</v>
      </c>
      <c r="AB156" s="295">
        <v>0.37999999523162797</v>
      </c>
      <c r="AC156" s="295">
        <v>0.34999999403953602</v>
      </c>
      <c r="AD156" s="295">
        <v>0.37971428036689803</v>
      </c>
      <c r="AE156" s="295">
        <v>6</v>
      </c>
      <c r="AF156" s="295">
        <v>0.60000002384185802</v>
      </c>
      <c r="AG156" s="295">
        <v>40</v>
      </c>
      <c r="AH156" s="295">
        <v>0.40000000596046398</v>
      </c>
      <c r="AI156" s="295" t="s">
        <v>6132</v>
      </c>
      <c r="AJ156" s="295">
        <f>VLOOKUP(A156,'RBSA Weights'!$A$2:$N$322,8,FALSE)</f>
        <v>2128.88549804688</v>
      </c>
    </row>
    <row r="157" spans="1:36">
      <c r="A157" s="295">
        <v>22004</v>
      </c>
      <c r="B157" s="295" t="s">
        <v>6042</v>
      </c>
      <c r="C157" s="295" t="b">
        <v>0</v>
      </c>
      <c r="D157" s="295">
        <v>700</v>
      </c>
      <c r="E157" s="295">
        <v>7</v>
      </c>
      <c r="G157" s="295">
        <v>11</v>
      </c>
      <c r="H157" s="295" t="s">
        <v>6040</v>
      </c>
      <c r="I157" s="295">
        <v>0.10000000149011599</v>
      </c>
      <c r="J157" s="295" t="b">
        <v>0</v>
      </c>
      <c r="K157" s="295">
        <v>700</v>
      </c>
      <c r="L157" s="295" t="s">
        <v>6041</v>
      </c>
      <c r="N157" s="295">
        <v>11</v>
      </c>
      <c r="O157" s="295" t="s">
        <v>6040</v>
      </c>
      <c r="P157" s="295">
        <v>8.5000000894069699E-2</v>
      </c>
      <c r="Q157" s="295" t="b">
        <v>0</v>
      </c>
      <c r="R157" s="295">
        <v>896</v>
      </c>
      <c r="T157" s="295">
        <v>11</v>
      </c>
      <c r="U157" s="295" t="s">
        <v>6040</v>
      </c>
      <c r="V157" s="295">
        <v>9.00000035762787E-2</v>
      </c>
      <c r="W157" s="295">
        <v>127</v>
      </c>
      <c r="Y157" s="295" t="s">
        <v>6048</v>
      </c>
      <c r="Z157" s="295" t="b">
        <v>1</v>
      </c>
      <c r="AA157" s="295">
        <v>40</v>
      </c>
      <c r="AB157" s="295">
        <v>0.75</v>
      </c>
      <c r="AC157" s="295">
        <v>0.55000001192092896</v>
      </c>
      <c r="AD157" s="295">
        <v>0.75</v>
      </c>
      <c r="AG157" s="295">
        <v>40</v>
      </c>
      <c r="AH157" s="295">
        <v>0.40000000596046398</v>
      </c>
      <c r="AJ157" s="295">
        <f>VLOOKUP(A157,'RBSA Weights'!$A$2:$N$322,8,FALSE)</f>
        <v>2128.88549804688</v>
      </c>
    </row>
    <row r="158" spans="1:36">
      <c r="A158" s="295">
        <v>22013</v>
      </c>
      <c r="B158" s="295" t="s">
        <v>6042</v>
      </c>
      <c r="C158" s="295" t="b">
        <v>0</v>
      </c>
      <c r="D158" s="295">
        <v>840</v>
      </c>
      <c r="E158" s="295">
        <v>7</v>
      </c>
      <c r="G158" s="295">
        <v>11</v>
      </c>
      <c r="H158" s="295" t="s">
        <v>6040</v>
      </c>
      <c r="I158" s="295">
        <v>0.10000000149011599</v>
      </c>
      <c r="J158" s="295" t="b">
        <v>0</v>
      </c>
      <c r="K158" s="295">
        <v>840</v>
      </c>
      <c r="L158" s="295" t="s">
        <v>6041</v>
      </c>
      <c r="N158" s="295">
        <v>11</v>
      </c>
      <c r="O158" s="295" t="s">
        <v>6040</v>
      </c>
      <c r="P158" s="295">
        <v>8.5000000894069699E-2</v>
      </c>
      <c r="Q158" s="295" t="b">
        <v>0</v>
      </c>
      <c r="R158" s="295">
        <v>1184</v>
      </c>
      <c r="T158" s="295">
        <v>11</v>
      </c>
      <c r="U158" s="295" t="s">
        <v>6040</v>
      </c>
      <c r="V158" s="295">
        <v>9.00000035762787E-2</v>
      </c>
      <c r="W158" s="295">
        <v>43</v>
      </c>
      <c r="X158" s="295">
        <v>76</v>
      </c>
      <c r="Y158" s="295" t="s">
        <v>6048</v>
      </c>
      <c r="Z158" s="295" t="b">
        <v>1</v>
      </c>
      <c r="AA158" s="295">
        <v>10</v>
      </c>
      <c r="AB158" s="295">
        <v>0.75</v>
      </c>
      <c r="AC158" s="295">
        <v>0.55000001192092896</v>
      </c>
      <c r="AD158" s="295">
        <v>0.62226891517639205</v>
      </c>
      <c r="AG158" s="295">
        <v>40</v>
      </c>
      <c r="AH158" s="295">
        <v>0.40000000596046398</v>
      </c>
      <c r="AJ158" s="295">
        <f>VLOOKUP(A158,'RBSA Weights'!$A$2:$N$322,8,FALSE)</f>
        <v>868.428955078125</v>
      </c>
    </row>
    <row r="159" spans="1:36">
      <c r="A159" s="295">
        <v>22017</v>
      </c>
      <c r="B159" s="295" t="s">
        <v>6078</v>
      </c>
      <c r="C159" s="295" t="b">
        <v>0</v>
      </c>
      <c r="D159" s="295">
        <v>1540</v>
      </c>
      <c r="E159" s="295">
        <v>9</v>
      </c>
      <c r="G159" s="295">
        <v>38</v>
      </c>
      <c r="H159" s="295" t="s">
        <v>162</v>
      </c>
      <c r="I159" s="295">
        <v>3.5000000149011598E-2</v>
      </c>
      <c r="J159" s="295" t="b">
        <v>0</v>
      </c>
      <c r="K159" s="295">
        <v>1540</v>
      </c>
      <c r="L159" s="295" t="s">
        <v>6045</v>
      </c>
      <c r="N159" s="295">
        <v>33</v>
      </c>
      <c r="O159" s="295" t="s">
        <v>162</v>
      </c>
      <c r="P159" s="295">
        <v>2.9999999329447701E-2</v>
      </c>
      <c r="Q159" s="295" t="b">
        <v>0</v>
      </c>
      <c r="R159" s="295">
        <v>1376</v>
      </c>
      <c r="T159" s="295">
        <v>21</v>
      </c>
      <c r="U159" s="295" t="s">
        <v>6051</v>
      </c>
      <c r="V159" s="295">
        <v>5.6000001728534698E-2</v>
      </c>
      <c r="W159" s="295">
        <v>185</v>
      </c>
      <c r="Z159" s="295" t="b">
        <v>0</v>
      </c>
      <c r="AA159" s="295">
        <v>5</v>
      </c>
      <c r="AB159" s="295">
        <v>0.37999999523162797</v>
      </c>
      <c r="AD159" s="295">
        <v>0.37999996542930597</v>
      </c>
      <c r="AE159" s="295">
        <v>8</v>
      </c>
      <c r="AF159" s="295">
        <v>1.29999995231628</v>
      </c>
      <c r="AG159" s="295">
        <v>40</v>
      </c>
      <c r="AH159" s="295">
        <v>0.40000000596046398</v>
      </c>
      <c r="AI159" s="295" t="s">
        <v>6131</v>
      </c>
      <c r="AJ159" s="295">
        <f>VLOOKUP(A159,'RBSA Weights'!$A$2:$N$322,8,FALSE)</f>
        <v>1211.2822265625</v>
      </c>
    </row>
    <row r="160" spans="1:36">
      <c r="A160" s="295">
        <v>22028</v>
      </c>
      <c r="B160" s="295" t="s">
        <v>6056</v>
      </c>
      <c r="C160" s="295" t="b">
        <v>1</v>
      </c>
      <c r="D160" s="295">
        <v>1300</v>
      </c>
      <c r="E160" s="295">
        <v>7</v>
      </c>
      <c r="F160" s="295" t="s">
        <v>157</v>
      </c>
      <c r="G160" s="295">
        <v>19</v>
      </c>
      <c r="H160" s="295" t="s">
        <v>6051</v>
      </c>
      <c r="I160" s="295">
        <v>5.6000001728534698E-2</v>
      </c>
      <c r="J160" s="295" t="b">
        <v>1</v>
      </c>
      <c r="K160" s="295">
        <v>1104</v>
      </c>
      <c r="L160" s="295" t="s">
        <v>6045</v>
      </c>
      <c r="M160" s="295" t="s">
        <v>156</v>
      </c>
      <c r="N160" s="295">
        <v>11</v>
      </c>
      <c r="O160" s="295" t="s">
        <v>6040</v>
      </c>
      <c r="P160" s="295">
        <v>6.7000001668930095E-2</v>
      </c>
      <c r="Q160" s="295" t="b">
        <v>0</v>
      </c>
      <c r="R160" s="295">
        <v>1260</v>
      </c>
      <c r="T160" s="295">
        <v>7</v>
      </c>
      <c r="U160" s="295" t="s">
        <v>6055</v>
      </c>
      <c r="V160" s="295">
        <v>0.119999997317791</v>
      </c>
      <c r="W160" s="295">
        <v>25</v>
      </c>
      <c r="X160" s="295">
        <v>64</v>
      </c>
      <c r="Y160" s="295" t="s">
        <v>6048</v>
      </c>
      <c r="Z160" s="295" t="b">
        <v>1</v>
      </c>
      <c r="AA160" s="295">
        <v>40</v>
      </c>
      <c r="AB160" s="295">
        <v>1.25</v>
      </c>
      <c r="AC160" s="295">
        <v>0.55000001192092896</v>
      </c>
      <c r="AD160" s="295">
        <v>0.746629178524017</v>
      </c>
      <c r="AG160" s="295">
        <v>40</v>
      </c>
      <c r="AH160" s="295">
        <v>0.40000000596046398</v>
      </c>
      <c r="AI160" s="295" t="s">
        <v>6130</v>
      </c>
      <c r="AJ160" s="295">
        <f>VLOOKUP(A160,'RBSA Weights'!$A$2:$N$322,8,FALSE)</f>
        <v>868.428955078125</v>
      </c>
    </row>
    <row r="161" spans="1:36">
      <c r="A161" s="295">
        <v>22048</v>
      </c>
      <c r="B161" s="295" t="s">
        <v>6053</v>
      </c>
      <c r="C161" s="295" t="b">
        <v>0</v>
      </c>
      <c r="D161" s="295">
        <v>1296</v>
      </c>
      <c r="E161" s="295">
        <v>8</v>
      </c>
      <c r="G161" s="295">
        <v>22</v>
      </c>
      <c r="H161" s="295" t="s">
        <v>6046</v>
      </c>
      <c r="I161" s="295">
        <v>5.2000001072883599E-2</v>
      </c>
      <c r="J161" s="295" t="b">
        <v>0</v>
      </c>
      <c r="K161" s="295">
        <v>1296</v>
      </c>
      <c r="L161" s="295" t="s">
        <v>6041</v>
      </c>
      <c r="N161" s="295">
        <v>22</v>
      </c>
      <c r="O161" s="295" t="s">
        <v>6046</v>
      </c>
      <c r="P161" s="295">
        <v>6.1999998986720997E-2</v>
      </c>
      <c r="Q161" s="295" t="b">
        <v>0</v>
      </c>
      <c r="R161" s="295">
        <v>1200</v>
      </c>
      <c r="T161" s="295">
        <v>11</v>
      </c>
      <c r="U161" s="295" t="s">
        <v>6040</v>
      </c>
      <c r="V161" s="295">
        <v>9.00000035762787E-2</v>
      </c>
      <c r="W161" s="295">
        <v>121</v>
      </c>
      <c r="Z161" s="295" t="b">
        <v>0</v>
      </c>
      <c r="AA161" s="295">
        <v>25</v>
      </c>
      <c r="AB161" s="295">
        <v>0.479999989271164</v>
      </c>
      <c r="AC161" s="295">
        <v>0.69999998807907104</v>
      </c>
      <c r="AD161" s="295">
        <v>0.479999989271164</v>
      </c>
      <c r="AG161" s="295">
        <v>40</v>
      </c>
      <c r="AH161" s="295">
        <v>0.40000000596046398</v>
      </c>
      <c r="AJ161" s="295">
        <f>VLOOKUP(A161,'RBSA Weights'!$A$2:$N$322,8,FALSE)</f>
        <v>2319.07739257813</v>
      </c>
    </row>
    <row r="162" spans="1:36">
      <c r="A162" s="295">
        <v>22056</v>
      </c>
      <c r="B162" s="295" t="s">
        <v>6056</v>
      </c>
      <c r="C162" s="295" t="b">
        <v>0</v>
      </c>
      <c r="D162" s="295">
        <v>800</v>
      </c>
      <c r="E162" s="295">
        <v>8</v>
      </c>
      <c r="G162" s="295">
        <v>7</v>
      </c>
      <c r="H162" s="295" t="s">
        <v>6055</v>
      </c>
      <c r="I162" s="295">
        <v>0.129999995231628</v>
      </c>
      <c r="J162" s="295" t="b">
        <v>0</v>
      </c>
      <c r="K162" s="295">
        <v>800</v>
      </c>
      <c r="L162" s="295" t="s">
        <v>6060</v>
      </c>
      <c r="N162" s="295">
        <v>7</v>
      </c>
      <c r="O162" s="295" t="s">
        <v>6055</v>
      </c>
      <c r="P162" s="295">
        <v>0.14699999988079099</v>
      </c>
      <c r="Q162" s="295" t="b">
        <v>0</v>
      </c>
      <c r="R162" s="295">
        <v>1152</v>
      </c>
      <c r="T162" s="295">
        <v>7</v>
      </c>
      <c r="U162" s="295" t="s">
        <v>6055</v>
      </c>
      <c r="V162" s="295">
        <v>0.119999997317791</v>
      </c>
      <c r="W162" s="295">
        <v>71</v>
      </c>
      <c r="Z162" s="295" t="b">
        <v>0</v>
      </c>
      <c r="AA162" s="295">
        <v>5</v>
      </c>
      <c r="AB162" s="295">
        <v>1.25</v>
      </c>
      <c r="AD162" s="295">
        <v>1.25</v>
      </c>
      <c r="AG162" s="295">
        <v>40</v>
      </c>
      <c r="AH162" s="295">
        <v>0.40000000596046398</v>
      </c>
      <c r="AJ162" s="295">
        <f>VLOOKUP(A162,'RBSA Weights'!$A$2:$N$322,8,FALSE)</f>
        <v>1211.2822265625</v>
      </c>
    </row>
    <row r="163" spans="1:36">
      <c r="A163" s="295">
        <v>22067</v>
      </c>
      <c r="B163" s="295" t="s">
        <v>6042</v>
      </c>
      <c r="C163" s="295" t="b">
        <v>0</v>
      </c>
      <c r="D163" s="295">
        <v>1152</v>
      </c>
      <c r="E163" s="295">
        <v>8</v>
      </c>
      <c r="G163" s="295">
        <v>11</v>
      </c>
      <c r="H163" s="295" t="s">
        <v>6040</v>
      </c>
      <c r="I163" s="295">
        <v>0.10000000149011599</v>
      </c>
      <c r="J163" s="295" t="b">
        <v>0</v>
      </c>
      <c r="K163" s="295">
        <v>1152</v>
      </c>
      <c r="L163" s="295" t="s">
        <v>6041</v>
      </c>
      <c r="N163" s="295">
        <v>11</v>
      </c>
      <c r="O163" s="295" t="s">
        <v>6040</v>
      </c>
      <c r="P163" s="295">
        <v>8.5000000894069699E-2</v>
      </c>
      <c r="Q163" s="295" t="b">
        <v>0</v>
      </c>
      <c r="R163" s="295">
        <v>1296</v>
      </c>
      <c r="T163" s="295">
        <v>11</v>
      </c>
      <c r="U163" s="295" t="s">
        <v>6040</v>
      </c>
      <c r="V163" s="295">
        <v>9.00000035762787E-2</v>
      </c>
      <c r="W163" s="295">
        <v>218</v>
      </c>
      <c r="Z163" s="295" t="b">
        <v>0</v>
      </c>
      <c r="AA163" s="295">
        <v>50</v>
      </c>
      <c r="AB163" s="295">
        <v>0.75</v>
      </c>
      <c r="AD163" s="295">
        <v>0.75</v>
      </c>
      <c r="AG163" s="295">
        <v>40</v>
      </c>
      <c r="AH163" s="295">
        <v>0.40000000596046398</v>
      </c>
      <c r="AI163" s="295" t="s">
        <v>6084</v>
      </c>
      <c r="AJ163" s="295">
        <f>VLOOKUP(A163,'RBSA Weights'!$A$2:$N$322,8,FALSE)</f>
        <v>868.428955078125</v>
      </c>
    </row>
    <row r="164" spans="1:36">
      <c r="A164" s="295">
        <v>22073</v>
      </c>
      <c r="B164" s="295" t="s">
        <v>6053</v>
      </c>
      <c r="C164" s="295" t="b">
        <v>0</v>
      </c>
      <c r="D164" s="295">
        <v>1960</v>
      </c>
      <c r="E164" s="295">
        <v>9</v>
      </c>
      <c r="G164" s="295">
        <v>22</v>
      </c>
      <c r="H164" s="295" t="s">
        <v>6046</v>
      </c>
      <c r="I164" s="295">
        <v>5.2000001072883599E-2</v>
      </c>
      <c r="J164" s="295" t="b">
        <v>0</v>
      </c>
      <c r="K164" s="295">
        <v>1782</v>
      </c>
      <c r="L164" s="295" t="s">
        <v>6045</v>
      </c>
      <c r="N164" s="295">
        <v>22</v>
      </c>
      <c r="O164" s="295" t="s">
        <v>6046</v>
      </c>
      <c r="P164" s="295">
        <v>5.0999999046325697E-2</v>
      </c>
      <c r="Q164" s="295" t="b">
        <v>0</v>
      </c>
      <c r="R164" s="295">
        <v>1545</v>
      </c>
      <c r="T164" s="295">
        <v>11</v>
      </c>
      <c r="U164" s="295" t="s">
        <v>6040</v>
      </c>
      <c r="V164" s="295">
        <v>9.00000035762787E-2</v>
      </c>
      <c r="W164" s="295">
        <v>130</v>
      </c>
      <c r="Z164" s="295" t="b">
        <v>0</v>
      </c>
      <c r="AA164" s="295">
        <v>40</v>
      </c>
      <c r="AB164" s="295">
        <v>0.479999989271164</v>
      </c>
      <c r="AC164" s="295">
        <v>0.55000001192092896</v>
      </c>
      <c r="AD164" s="295">
        <v>0.479999989271164</v>
      </c>
      <c r="AE164" s="295">
        <v>4</v>
      </c>
      <c r="AF164" s="295">
        <v>1.29999995231628</v>
      </c>
      <c r="AG164" s="295">
        <v>40</v>
      </c>
      <c r="AH164" s="295">
        <v>0.40000000596046398</v>
      </c>
      <c r="AI164" s="295" t="s">
        <v>6129</v>
      </c>
      <c r="AJ164" s="295">
        <f>VLOOKUP(A164,'RBSA Weights'!$A$2:$N$322,8,FALSE)</f>
        <v>868.428955078125</v>
      </c>
    </row>
    <row r="165" spans="1:36">
      <c r="A165" s="295">
        <v>22112</v>
      </c>
      <c r="B165" s="295" t="s">
        <v>6052</v>
      </c>
      <c r="C165" s="295" t="b">
        <v>0</v>
      </c>
      <c r="D165" s="295">
        <v>1484</v>
      </c>
      <c r="E165" s="295">
        <v>9</v>
      </c>
      <c r="G165" s="295">
        <v>38</v>
      </c>
      <c r="H165" s="295" t="s">
        <v>162</v>
      </c>
      <c r="I165" s="295">
        <v>3.5000000149011598E-2</v>
      </c>
      <c r="J165" s="295" t="b">
        <v>1</v>
      </c>
      <c r="K165" s="295">
        <v>1484</v>
      </c>
      <c r="L165" s="295" t="s">
        <v>6045</v>
      </c>
      <c r="M165" s="295" t="s">
        <v>158</v>
      </c>
      <c r="N165" s="295">
        <v>30</v>
      </c>
      <c r="O165" s="295" t="s">
        <v>6046</v>
      </c>
      <c r="P165" s="295">
        <v>3.5000000149011598E-2</v>
      </c>
      <c r="Q165" s="295" t="b">
        <v>0</v>
      </c>
      <c r="R165" s="295">
        <v>1296</v>
      </c>
      <c r="T165" s="295">
        <v>21</v>
      </c>
      <c r="U165" s="295" t="s">
        <v>6051</v>
      </c>
      <c r="V165" s="295">
        <v>5.6000001728534698E-2</v>
      </c>
      <c r="W165" s="295">
        <v>91</v>
      </c>
      <c r="X165" s="295">
        <v>60</v>
      </c>
      <c r="Y165" s="295" t="s">
        <v>6088</v>
      </c>
      <c r="Z165" s="295" t="b">
        <v>1</v>
      </c>
      <c r="AA165" s="295">
        <v>20</v>
      </c>
      <c r="AB165" s="295">
        <v>0.37999999523162797</v>
      </c>
      <c r="AC165" s="295">
        <v>0.34999999403953602</v>
      </c>
      <c r="AD165" s="295">
        <v>0.368079453706741</v>
      </c>
      <c r="AE165" s="295">
        <v>12</v>
      </c>
      <c r="AF165" s="295">
        <v>1.29999995231628</v>
      </c>
      <c r="AG165" s="295">
        <v>40</v>
      </c>
      <c r="AH165" s="295">
        <v>0.40000000596046398</v>
      </c>
      <c r="AI165" s="295" t="s">
        <v>6128</v>
      </c>
      <c r="AJ165" s="295">
        <f>VLOOKUP(A165,'RBSA Weights'!$A$2:$N$322,8,FALSE)</f>
        <v>2319.07739257813</v>
      </c>
    </row>
    <row r="166" spans="1:36">
      <c r="A166" s="295">
        <v>22119</v>
      </c>
      <c r="B166" s="295" t="s">
        <v>6053</v>
      </c>
      <c r="C166" s="295" t="b">
        <v>0</v>
      </c>
      <c r="D166" s="295">
        <v>1248</v>
      </c>
      <c r="E166" s="295">
        <v>8.25</v>
      </c>
      <c r="G166" s="295">
        <v>22</v>
      </c>
      <c r="H166" s="295" t="s">
        <v>6046</v>
      </c>
      <c r="I166" s="295">
        <v>5.2000001072883599E-2</v>
      </c>
      <c r="J166" s="295" t="b">
        <v>0</v>
      </c>
      <c r="K166" s="295">
        <v>1248</v>
      </c>
      <c r="L166" s="295" t="s">
        <v>6045</v>
      </c>
      <c r="N166" s="295">
        <v>22</v>
      </c>
      <c r="O166" s="295" t="s">
        <v>6046</v>
      </c>
      <c r="P166" s="295">
        <v>5.0999999046325697E-2</v>
      </c>
      <c r="Q166" s="295" t="b">
        <v>0</v>
      </c>
      <c r="R166" s="295">
        <v>2146</v>
      </c>
      <c r="T166" s="295">
        <v>11</v>
      </c>
      <c r="U166" s="295" t="s">
        <v>6040</v>
      </c>
      <c r="V166" s="295">
        <v>9.00000035762787E-2</v>
      </c>
      <c r="W166" s="295">
        <v>279</v>
      </c>
      <c r="Z166" s="295" t="b">
        <v>0</v>
      </c>
      <c r="AA166" s="295">
        <v>55</v>
      </c>
      <c r="AB166" s="295">
        <v>0.479999989271164</v>
      </c>
      <c r="AD166" s="295">
        <v>0.479999989271164</v>
      </c>
      <c r="AE166" s="295">
        <v>18</v>
      </c>
      <c r="AF166" s="295">
        <v>0.60000002384185802</v>
      </c>
      <c r="AG166" s="295">
        <v>40</v>
      </c>
      <c r="AH166" s="295">
        <v>0.40000000596046398</v>
      </c>
      <c r="AI166" s="295" t="s">
        <v>6127</v>
      </c>
      <c r="AJ166" s="295">
        <f>VLOOKUP(A166,'RBSA Weights'!$A$2:$N$322,8,FALSE)</f>
        <v>868.428955078125</v>
      </c>
    </row>
    <row r="167" spans="1:36">
      <c r="A167" s="295">
        <v>22190</v>
      </c>
      <c r="B167" s="295" t="s">
        <v>6056</v>
      </c>
      <c r="C167" s="295" t="b">
        <v>0</v>
      </c>
      <c r="D167" s="295">
        <v>2136</v>
      </c>
      <c r="E167" s="295">
        <v>7</v>
      </c>
      <c r="G167" s="295">
        <v>7</v>
      </c>
      <c r="H167" s="295" t="s">
        <v>6055</v>
      </c>
      <c r="I167" s="295">
        <v>0.129999995231628</v>
      </c>
      <c r="J167" s="295" t="b">
        <v>0</v>
      </c>
      <c r="K167" s="295">
        <v>1780</v>
      </c>
      <c r="L167" s="295" t="s">
        <v>6045</v>
      </c>
      <c r="N167" s="295">
        <v>7</v>
      </c>
      <c r="O167" s="295" t="s">
        <v>6055</v>
      </c>
      <c r="P167" s="295">
        <v>9.3000002205371898E-2</v>
      </c>
      <c r="Q167" s="295" t="b">
        <v>1</v>
      </c>
      <c r="R167" s="295">
        <v>1274</v>
      </c>
      <c r="S167" s="295" t="s">
        <v>6118</v>
      </c>
      <c r="T167" s="295">
        <v>7</v>
      </c>
      <c r="U167" s="295" t="s">
        <v>6055</v>
      </c>
      <c r="V167" s="295">
        <v>0.119999997317791</v>
      </c>
      <c r="W167" s="295">
        <v>140</v>
      </c>
      <c r="Y167" s="295" t="s">
        <v>6048</v>
      </c>
      <c r="Z167" s="295" t="b">
        <v>1</v>
      </c>
      <c r="AA167" s="295">
        <v>34</v>
      </c>
      <c r="AB167" s="295">
        <v>1.25</v>
      </c>
      <c r="AC167" s="295">
        <v>0.55000001192092896</v>
      </c>
      <c r="AD167" s="295">
        <v>1.25</v>
      </c>
      <c r="AG167" s="295">
        <v>40</v>
      </c>
      <c r="AH167" s="295">
        <v>0.40000000596046398</v>
      </c>
      <c r="AJ167" s="295">
        <f>VLOOKUP(A167,'RBSA Weights'!$A$2:$N$322,8,FALSE)</f>
        <v>868.428955078125</v>
      </c>
    </row>
    <row r="168" spans="1:36">
      <c r="A168" s="295">
        <v>22192</v>
      </c>
      <c r="B168" s="295" t="s">
        <v>6053</v>
      </c>
      <c r="C168" s="295" t="b">
        <v>0</v>
      </c>
      <c r="D168" s="295">
        <v>1370</v>
      </c>
      <c r="E168" s="295">
        <v>9</v>
      </c>
      <c r="G168" s="295">
        <v>22</v>
      </c>
      <c r="H168" s="295" t="s">
        <v>6046</v>
      </c>
      <c r="I168" s="295">
        <v>5.2000001072883599E-2</v>
      </c>
      <c r="J168" s="295" t="b">
        <v>0</v>
      </c>
      <c r="K168" s="295">
        <v>1302</v>
      </c>
      <c r="L168" s="295" t="s">
        <v>6045</v>
      </c>
      <c r="N168" s="295">
        <v>22</v>
      </c>
      <c r="O168" s="295" t="s">
        <v>6046</v>
      </c>
      <c r="P168" s="295">
        <v>5.0999999046325697E-2</v>
      </c>
      <c r="Q168" s="295" t="b">
        <v>0</v>
      </c>
      <c r="R168" s="295">
        <v>1264</v>
      </c>
      <c r="T168" s="295">
        <v>11</v>
      </c>
      <c r="U168" s="295" t="s">
        <v>6040</v>
      </c>
      <c r="V168" s="295">
        <v>9.00000035762787E-2</v>
      </c>
      <c r="W168" s="295">
        <v>203</v>
      </c>
      <c r="Z168" s="295" t="b">
        <v>0</v>
      </c>
      <c r="AA168" s="295">
        <v>12</v>
      </c>
      <c r="AB168" s="295">
        <v>0.479999989271164</v>
      </c>
      <c r="AD168" s="295">
        <v>0.479999989271164</v>
      </c>
      <c r="AG168" s="295">
        <v>40</v>
      </c>
      <c r="AH168" s="295">
        <v>0.40000000596046398</v>
      </c>
      <c r="AI168" s="295" t="s">
        <v>6126</v>
      </c>
      <c r="AJ168" s="295">
        <f>VLOOKUP(A168,'RBSA Weights'!$A$2:$N$322,8,FALSE)</f>
        <v>2128.94555664063</v>
      </c>
    </row>
    <row r="169" spans="1:36">
      <c r="A169" s="295">
        <v>22204</v>
      </c>
      <c r="B169" s="295" t="s">
        <v>6056</v>
      </c>
      <c r="C169" s="295" t="b">
        <v>1</v>
      </c>
      <c r="D169" s="295">
        <v>800</v>
      </c>
      <c r="E169" s="295">
        <v>7.5</v>
      </c>
      <c r="F169" s="295" t="s">
        <v>157</v>
      </c>
      <c r="G169" s="295">
        <v>19</v>
      </c>
      <c r="H169" s="295" t="s">
        <v>6051</v>
      </c>
      <c r="I169" s="295">
        <v>5.6000001728534698E-2</v>
      </c>
      <c r="J169" s="295" t="b">
        <v>0</v>
      </c>
      <c r="K169" s="295">
        <v>800</v>
      </c>
      <c r="L169" s="295" t="s">
        <v>6050</v>
      </c>
      <c r="N169" s="295">
        <v>7</v>
      </c>
      <c r="O169" s="295" t="s">
        <v>6055</v>
      </c>
      <c r="P169" s="295">
        <v>0.11599999666214</v>
      </c>
      <c r="Q169" s="295" t="b">
        <v>0</v>
      </c>
      <c r="R169" s="295">
        <v>900</v>
      </c>
      <c r="T169" s="295">
        <v>7</v>
      </c>
      <c r="U169" s="295" t="s">
        <v>6055</v>
      </c>
      <c r="V169" s="295">
        <v>0.119999997317791</v>
      </c>
      <c r="X169" s="295">
        <v>99</v>
      </c>
      <c r="Y169" s="295" t="s">
        <v>6048</v>
      </c>
      <c r="Z169" s="295" t="b">
        <v>1</v>
      </c>
      <c r="AA169" s="295">
        <v>40</v>
      </c>
      <c r="AB169" s="295">
        <v>1.25</v>
      </c>
      <c r="AC169" s="295">
        <v>0.55000001192092896</v>
      </c>
      <c r="AD169" s="295">
        <v>0.55000001192092896</v>
      </c>
      <c r="AG169" s="295">
        <v>40</v>
      </c>
      <c r="AH169" s="295">
        <v>0.40000000596046398</v>
      </c>
      <c r="AI169" s="295" t="s">
        <v>6125</v>
      </c>
      <c r="AJ169" s="295">
        <f>VLOOKUP(A169,'RBSA Weights'!$A$2:$N$322,8,FALSE)</f>
        <v>2319.07739257813</v>
      </c>
    </row>
    <row r="170" spans="1:36">
      <c r="A170" s="295">
        <v>22236</v>
      </c>
      <c r="B170" s="295" t="s">
        <v>6056</v>
      </c>
      <c r="C170" s="295" t="b">
        <v>0</v>
      </c>
      <c r="D170" s="295">
        <v>1368</v>
      </c>
      <c r="E170" s="295">
        <v>8</v>
      </c>
      <c r="G170" s="295">
        <v>7</v>
      </c>
      <c r="H170" s="295" t="s">
        <v>6055</v>
      </c>
      <c r="I170" s="295">
        <v>0.129999995231628</v>
      </c>
      <c r="J170" s="295" t="b">
        <v>0</v>
      </c>
      <c r="K170" s="295">
        <v>1368</v>
      </c>
      <c r="L170" s="295" t="s">
        <v>6045</v>
      </c>
      <c r="N170" s="295">
        <v>7</v>
      </c>
      <c r="O170" s="295" t="s">
        <v>6055</v>
      </c>
      <c r="P170" s="295">
        <v>9.3000002205371898E-2</v>
      </c>
      <c r="Q170" s="295" t="b">
        <v>0</v>
      </c>
      <c r="R170" s="295">
        <v>1296</v>
      </c>
      <c r="T170" s="295">
        <v>7</v>
      </c>
      <c r="U170" s="295" t="s">
        <v>6055</v>
      </c>
      <c r="V170" s="295">
        <v>0.119999997317791</v>
      </c>
      <c r="X170" s="295">
        <v>181</v>
      </c>
      <c r="Y170" s="295" t="s">
        <v>6048</v>
      </c>
      <c r="Z170" s="295" t="b">
        <v>1</v>
      </c>
      <c r="AA170" s="295">
        <v>25</v>
      </c>
      <c r="AB170" s="295">
        <v>1.25</v>
      </c>
      <c r="AC170" s="295">
        <v>0.55000001192092896</v>
      </c>
      <c r="AD170" s="295">
        <v>0.55000001192092896</v>
      </c>
      <c r="AE170" s="295">
        <v>11</v>
      </c>
      <c r="AF170" s="295">
        <v>0.60000002384185802</v>
      </c>
      <c r="AG170" s="295">
        <v>40</v>
      </c>
      <c r="AH170" s="295">
        <v>0.40000000596046398</v>
      </c>
      <c r="AJ170" s="295">
        <f>VLOOKUP(A170,'RBSA Weights'!$A$2:$N$322,8,FALSE)</f>
        <v>3065.64990234375</v>
      </c>
    </row>
    <row r="171" spans="1:36">
      <c r="A171" s="295">
        <v>22277</v>
      </c>
      <c r="B171" s="295" t="s">
        <v>6056</v>
      </c>
      <c r="C171" s="295" t="b">
        <v>0</v>
      </c>
      <c r="D171" s="295">
        <v>1380</v>
      </c>
      <c r="E171" s="295">
        <v>7.5</v>
      </c>
      <c r="G171" s="295">
        <v>7</v>
      </c>
      <c r="H171" s="295" t="s">
        <v>6055</v>
      </c>
      <c r="I171" s="295">
        <v>0.129999995231628</v>
      </c>
      <c r="J171" s="295" t="b">
        <v>0</v>
      </c>
      <c r="K171" s="295">
        <v>1380</v>
      </c>
      <c r="L171" s="295" t="s">
        <v>6045</v>
      </c>
      <c r="N171" s="295">
        <v>7</v>
      </c>
      <c r="O171" s="295" t="s">
        <v>6055</v>
      </c>
      <c r="P171" s="295">
        <v>9.3000002205371898E-2</v>
      </c>
      <c r="Q171" s="295" t="b">
        <v>0</v>
      </c>
      <c r="R171" s="295">
        <v>1200</v>
      </c>
      <c r="T171" s="295">
        <v>7</v>
      </c>
      <c r="U171" s="295" t="s">
        <v>6055</v>
      </c>
      <c r="V171" s="295">
        <v>0.119999997317791</v>
      </c>
      <c r="W171" s="295">
        <v>148</v>
      </c>
      <c r="Y171" s="295" t="s">
        <v>6044</v>
      </c>
      <c r="Z171" s="295" t="b">
        <v>1</v>
      </c>
      <c r="AA171" s="295">
        <v>0</v>
      </c>
      <c r="AB171" s="295">
        <v>1.25</v>
      </c>
      <c r="AC171" s="295">
        <v>0.69999998807907104</v>
      </c>
      <c r="AD171" s="295">
        <v>1.25</v>
      </c>
      <c r="AG171" s="295">
        <v>40</v>
      </c>
      <c r="AH171" s="295">
        <v>0.40000000596046398</v>
      </c>
      <c r="AJ171" s="295">
        <f>VLOOKUP(A171,'RBSA Weights'!$A$2:$N$322,8,FALSE)</f>
        <v>2319.07739257813</v>
      </c>
    </row>
    <row r="172" spans="1:36">
      <c r="A172" s="295">
        <v>22313</v>
      </c>
      <c r="B172" s="295" t="s">
        <v>6053</v>
      </c>
      <c r="C172" s="295" t="b">
        <v>0</v>
      </c>
      <c r="D172" s="295">
        <v>1536</v>
      </c>
      <c r="E172" s="295">
        <v>9</v>
      </c>
      <c r="G172" s="295">
        <v>22</v>
      </c>
      <c r="H172" s="295" t="s">
        <v>6046</v>
      </c>
      <c r="I172" s="295">
        <v>5.2000001072883599E-2</v>
      </c>
      <c r="J172" s="295" t="b">
        <v>0</v>
      </c>
      <c r="K172" s="295">
        <v>1536</v>
      </c>
      <c r="L172" s="295" t="s">
        <v>6045</v>
      </c>
      <c r="N172" s="295">
        <v>22</v>
      </c>
      <c r="O172" s="295" t="s">
        <v>6046</v>
      </c>
      <c r="P172" s="295">
        <v>5.0999999046325697E-2</v>
      </c>
      <c r="Q172" s="295" t="b">
        <v>0</v>
      </c>
      <c r="R172" s="295">
        <v>1764</v>
      </c>
      <c r="T172" s="295">
        <v>11</v>
      </c>
      <c r="U172" s="295" t="s">
        <v>6040</v>
      </c>
      <c r="V172" s="295">
        <v>9.00000035762787E-2</v>
      </c>
      <c r="W172" s="295">
        <v>290</v>
      </c>
      <c r="Z172" s="295" t="b">
        <v>0</v>
      </c>
      <c r="AA172" s="295">
        <v>10</v>
      </c>
      <c r="AB172" s="295">
        <v>0.479999989271164</v>
      </c>
      <c r="AD172" s="295">
        <v>0.479999989271164</v>
      </c>
      <c r="AG172" s="295">
        <v>40</v>
      </c>
      <c r="AH172" s="295">
        <v>0.40000000596046398</v>
      </c>
      <c r="AI172" s="295" t="s">
        <v>6124</v>
      </c>
      <c r="AJ172" s="295">
        <f>VLOOKUP(A172,'RBSA Weights'!$A$2:$N$322,8,FALSE)</f>
        <v>1211.2822265625</v>
      </c>
    </row>
    <row r="173" spans="1:36">
      <c r="A173" s="295">
        <v>22320</v>
      </c>
      <c r="B173" s="295" t="s">
        <v>6056</v>
      </c>
      <c r="C173" s="295" t="b">
        <v>0</v>
      </c>
      <c r="D173" s="295">
        <v>910</v>
      </c>
      <c r="E173" s="295">
        <v>7.5</v>
      </c>
      <c r="G173" s="295">
        <v>7</v>
      </c>
      <c r="H173" s="295" t="s">
        <v>6055</v>
      </c>
      <c r="I173" s="295">
        <v>0.129999995231628</v>
      </c>
      <c r="J173" s="295" t="b">
        <v>0</v>
      </c>
      <c r="K173" s="295">
        <v>910</v>
      </c>
      <c r="L173" s="295" t="s">
        <v>6041</v>
      </c>
      <c r="N173" s="295">
        <v>7</v>
      </c>
      <c r="O173" s="295" t="s">
        <v>6055</v>
      </c>
      <c r="P173" s="295">
        <v>9.4999998807907104E-2</v>
      </c>
      <c r="Q173" s="295" t="b">
        <v>0</v>
      </c>
      <c r="R173" s="295">
        <v>1185</v>
      </c>
      <c r="T173" s="295">
        <v>7</v>
      </c>
      <c r="U173" s="295" t="s">
        <v>6055</v>
      </c>
      <c r="V173" s="295">
        <v>0.119999997317791</v>
      </c>
      <c r="W173" s="295">
        <v>112</v>
      </c>
      <c r="Z173" s="295" t="b">
        <v>0</v>
      </c>
      <c r="AA173" s="295">
        <v>40</v>
      </c>
      <c r="AB173" s="295">
        <v>1.25</v>
      </c>
      <c r="AD173" s="295">
        <v>1.25</v>
      </c>
      <c r="AG173" s="295">
        <v>40</v>
      </c>
      <c r="AH173" s="295">
        <v>0.40000000596046398</v>
      </c>
      <c r="AI173" s="295" t="s">
        <v>6123</v>
      </c>
      <c r="AJ173" s="295">
        <f>VLOOKUP(A173,'RBSA Weights'!$A$2:$N$322,8,FALSE)</f>
        <v>2319.07739257813</v>
      </c>
    </row>
    <row r="174" spans="1:36">
      <c r="A174" s="295">
        <v>22342</v>
      </c>
      <c r="B174" s="295" t="s">
        <v>6042</v>
      </c>
      <c r="C174" s="295" t="b">
        <v>0</v>
      </c>
      <c r="D174" s="295">
        <v>2256</v>
      </c>
      <c r="E174" s="295">
        <v>9</v>
      </c>
      <c r="G174" s="295">
        <v>11</v>
      </c>
      <c r="H174" s="295" t="s">
        <v>6040</v>
      </c>
      <c r="I174" s="295">
        <v>0.10000000149011599</v>
      </c>
      <c r="J174" s="295" t="b">
        <v>0</v>
      </c>
      <c r="K174" s="295">
        <v>1920</v>
      </c>
      <c r="L174" s="295" t="s">
        <v>6045</v>
      </c>
      <c r="N174" s="295">
        <v>11</v>
      </c>
      <c r="O174" s="295" t="s">
        <v>6040</v>
      </c>
      <c r="P174" s="295">
        <v>6.7000001668930095E-2</v>
      </c>
      <c r="Q174" s="295" t="b">
        <v>0</v>
      </c>
      <c r="R174" s="295">
        <v>1448</v>
      </c>
      <c r="T174" s="295">
        <v>11</v>
      </c>
      <c r="U174" s="295" t="s">
        <v>6040</v>
      </c>
      <c r="V174" s="295">
        <v>9.00000035762787E-2</v>
      </c>
      <c r="W174" s="295">
        <v>242</v>
      </c>
      <c r="Z174" s="295" t="b">
        <v>0</v>
      </c>
      <c r="AA174" s="295">
        <v>10</v>
      </c>
      <c r="AB174" s="295">
        <v>0.75</v>
      </c>
      <c r="AD174" s="295">
        <v>0.75</v>
      </c>
      <c r="AE174" s="295">
        <v>12</v>
      </c>
      <c r="AF174" s="295">
        <v>0.5</v>
      </c>
      <c r="AG174" s="295">
        <v>40</v>
      </c>
      <c r="AH174" s="295">
        <v>0.40000000596046398</v>
      </c>
      <c r="AI174" s="295" t="s">
        <v>6122</v>
      </c>
      <c r="AJ174" s="295">
        <f>VLOOKUP(A174,'RBSA Weights'!$A$2:$N$322,8,FALSE)</f>
        <v>2319.07739257813</v>
      </c>
    </row>
    <row r="175" spans="1:36">
      <c r="A175" s="295">
        <v>22358</v>
      </c>
      <c r="B175" s="295" t="s">
        <v>6056</v>
      </c>
      <c r="C175" s="295" t="b">
        <v>1</v>
      </c>
      <c r="D175" s="295">
        <v>1664</v>
      </c>
      <c r="E175" s="295">
        <v>8</v>
      </c>
      <c r="F175" s="295" t="s">
        <v>157</v>
      </c>
      <c r="G175" s="295">
        <v>19</v>
      </c>
      <c r="H175" s="295" t="s">
        <v>6051</v>
      </c>
      <c r="I175" s="295">
        <v>5.6000001728534698E-2</v>
      </c>
      <c r="J175" s="295" t="b">
        <v>1</v>
      </c>
      <c r="K175" s="295">
        <v>1664</v>
      </c>
      <c r="L175" s="295" t="s">
        <v>6050</v>
      </c>
      <c r="M175" s="295" t="s">
        <v>157</v>
      </c>
      <c r="N175" s="295">
        <v>19</v>
      </c>
      <c r="O175" s="295" t="s">
        <v>6051</v>
      </c>
      <c r="P175" s="295">
        <v>0.10199999809265101</v>
      </c>
      <c r="Q175" s="295" t="b">
        <v>1</v>
      </c>
      <c r="R175" s="295">
        <v>1440</v>
      </c>
      <c r="S175" s="295" t="s">
        <v>156</v>
      </c>
      <c r="T175" s="295">
        <v>11</v>
      </c>
      <c r="U175" s="295" t="s">
        <v>6040</v>
      </c>
      <c r="V175" s="295">
        <v>9.00000035762787E-2</v>
      </c>
      <c r="W175" s="295">
        <v>162</v>
      </c>
      <c r="Z175" s="295" t="b">
        <v>0</v>
      </c>
      <c r="AA175" s="295">
        <v>50</v>
      </c>
      <c r="AB175" s="295">
        <v>1.25</v>
      </c>
      <c r="AD175" s="295">
        <v>1.25</v>
      </c>
      <c r="AG175" s="295">
        <v>40</v>
      </c>
      <c r="AH175" s="295">
        <v>0.40000000596046398</v>
      </c>
      <c r="AI175" s="295" t="s">
        <v>6121</v>
      </c>
      <c r="AJ175" s="295">
        <f>VLOOKUP(A175,'RBSA Weights'!$A$2:$N$322,8,FALSE)</f>
        <v>1211.2822265625</v>
      </c>
    </row>
    <row r="176" spans="1:36">
      <c r="A176" s="295">
        <v>22370</v>
      </c>
      <c r="B176" s="295" t="s">
        <v>6042</v>
      </c>
      <c r="C176" s="295" t="b">
        <v>0</v>
      </c>
      <c r="D176" s="295">
        <v>1440</v>
      </c>
      <c r="E176" s="295">
        <v>8</v>
      </c>
      <c r="G176" s="295">
        <v>11</v>
      </c>
      <c r="H176" s="295" t="s">
        <v>6040</v>
      </c>
      <c r="I176" s="295">
        <v>0.10000000149011599</v>
      </c>
      <c r="J176" s="295" t="b">
        <v>0</v>
      </c>
      <c r="K176" s="295">
        <v>1340</v>
      </c>
      <c r="L176" s="295" t="s">
        <v>6045</v>
      </c>
      <c r="N176" s="295">
        <v>11</v>
      </c>
      <c r="O176" s="295" t="s">
        <v>6040</v>
      </c>
      <c r="P176" s="295">
        <v>6.7000001668930095E-2</v>
      </c>
      <c r="Q176" s="295" t="b">
        <v>0</v>
      </c>
      <c r="R176" s="295">
        <v>1340</v>
      </c>
      <c r="T176" s="295">
        <v>11</v>
      </c>
      <c r="U176" s="295" t="s">
        <v>6040</v>
      </c>
      <c r="V176" s="295">
        <v>9.00000035762787E-2</v>
      </c>
      <c r="W176" s="295">
        <v>194</v>
      </c>
      <c r="Z176" s="295" t="b">
        <v>0</v>
      </c>
      <c r="AA176" s="295">
        <v>1</v>
      </c>
      <c r="AB176" s="295">
        <v>0.75</v>
      </c>
      <c r="AC176" s="295">
        <v>0.69999998807907104</v>
      </c>
      <c r="AD176" s="295">
        <v>0.75</v>
      </c>
      <c r="AG176" s="295">
        <v>40</v>
      </c>
      <c r="AH176" s="295">
        <v>0.40000000596046398</v>
      </c>
      <c r="AJ176" s="295">
        <f>VLOOKUP(A176,'RBSA Weights'!$A$2:$N$322,8,FALSE)</f>
        <v>2319.07739257813</v>
      </c>
    </row>
    <row r="177" spans="1:36">
      <c r="A177" s="295">
        <v>22397</v>
      </c>
      <c r="B177" s="295" t="s">
        <v>6042</v>
      </c>
      <c r="C177" s="295" t="b">
        <v>0</v>
      </c>
      <c r="D177" s="295">
        <v>924</v>
      </c>
      <c r="E177" s="295">
        <v>8</v>
      </c>
      <c r="G177" s="295">
        <v>11</v>
      </c>
      <c r="H177" s="295" t="s">
        <v>6040</v>
      </c>
      <c r="I177" s="295">
        <v>0.10000000149011599</v>
      </c>
      <c r="J177" s="295" t="b">
        <v>0</v>
      </c>
      <c r="K177" s="295">
        <v>924</v>
      </c>
      <c r="L177" s="295" t="s">
        <v>6041</v>
      </c>
      <c r="N177" s="295">
        <v>11</v>
      </c>
      <c r="O177" s="295" t="s">
        <v>6040</v>
      </c>
      <c r="P177" s="295">
        <v>8.5000000894069699E-2</v>
      </c>
      <c r="Q177" s="295" t="b">
        <v>0</v>
      </c>
      <c r="R177" s="295">
        <v>1280</v>
      </c>
      <c r="T177" s="295">
        <v>11</v>
      </c>
      <c r="U177" s="295" t="s">
        <v>6040</v>
      </c>
      <c r="V177" s="295">
        <v>9.00000035762787E-2</v>
      </c>
      <c r="W177" s="295">
        <v>149</v>
      </c>
      <c r="Z177" s="295" t="b">
        <v>0</v>
      </c>
      <c r="AA177" s="295">
        <v>0</v>
      </c>
      <c r="AB177" s="295">
        <v>0.75</v>
      </c>
      <c r="AD177" s="295">
        <v>0.75</v>
      </c>
      <c r="AG177" s="295">
        <v>40</v>
      </c>
      <c r="AH177" s="295">
        <v>0.40000000596046398</v>
      </c>
      <c r="AJ177" s="295">
        <f>VLOOKUP(A177,'RBSA Weights'!$A$2:$N$322,8,FALSE)</f>
        <v>2914.5654296875</v>
      </c>
    </row>
    <row r="178" spans="1:36">
      <c r="A178" s="295">
        <v>22403</v>
      </c>
      <c r="B178" s="295" t="s">
        <v>6058</v>
      </c>
      <c r="C178" s="295" t="b">
        <v>0</v>
      </c>
      <c r="D178" s="295">
        <v>1782</v>
      </c>
      <c r="E178" s="295">
        <v>8</v>
      </c>
      <c r="G178" s="295">
        <v>49</v>
      </c>
      <c r="H178" s="295" t="s">
        <v>6057</v>
      </c>
      <c r="I178" s="295">
        <v>2.60000005364418E-2</v>
      </c>
      <c r="J178" s="295" t="b">
        <v>0</v>
      </c>
      <c r="K178" s="295">
        <v>1782</v>
      </c>
      <c r="L178" s="295" t="s">
        <v>6041</v>
      </c>
      <c r="N178" s="295">
        <v>33</v>
      </c>
      <c r="O178" s="295" t="s">
        <v>162</v>
      </c>
      <c r="P178" s="295">
        <v>5.4000001400709201E-2</v>
      </c>
      <c r="Q178" s="295" t="b">
        <v>0</v>
      </c>
      <c r="R178" s="295">
        <v>1488</v>
      </c>
      <c r="T178" s="295">
        <v>21</v>
      </c>
      <c r="U178" s="295" t="s">
        <v>6051</v>
      </c>
      <c r="V178" s="295">
        <v>5.6000001728534698E-2</v>
      </c>
      <c r="W178" s="295">
        <v>120</v>
      </c>
      <c r="X178" s="295">
        <v>32</v>
      </c>
      <c r="Y178" s="295" t="s">
        <v>6048</v>
      </c>
      <c r="Z178" s="295" t="b">
        <v>1</v>
      </c>
      <c r="AA178" s="295">
        <v>15</v>
      </c>
      <c r="AB178" s="295">
        <v>0.34999999403953602</v>
      </c>
      <c r="AC178" s="295">
        <v>0.55000001192092896</v>
      </c>
      <c r="AD178" s="295">
        <v>0.39210525155067399</v>
      </c>
      <c r="AE178" s="295">
        <v>1</v>
      </c>
      <c r="AF178" s="295">
        <v>0.5</v>
      </c>
      <c r="AG178" s="295">
        <v>40</v>
      </c>
      <c r="AH178" s="295">
        <v>0.40000000596046398</v>
      </c>
      <c r="AI178" s="295" t="s">
        <v>6120</v>
      </c>
      <c r="AJ178" s="295">
        <f>VLOOKUP(A178,'RBSA Weights'!$A$2:$N$322,8,FALSE)</f>
        <v>2128.94555664063</v>
      </c>
    </row>
    <row r="179" spans="1:36">
      <c r="A179" s="295">
        <v>22412</v>
      </c>
      <c r="B179" s="295" t="s">
        <v>6042</v>
      </c>
      <c r="C179" s="295" t="b">
        <v>0</v>
      </c>
      <c r="D179" s="295">
        <v>1200</v>
      </c>
      <c r="E179" s="295">
        <v>8.75</v>
      </c>
      <c r="G179" s="295">
        <v>11</v>
      </c>
      <c r="H179" s="295" t="s">
        <v>6040</v>
      </c>
      <c r="I179" s="295">
        <v>0.10000000149011599</v>
      </c>
      <c r="J179" s="295" t="b">
        <v>0</v>
      </c>
      <c r="K179" s="295">
        <v>1200</v>
      </c>
      <c r="L179" s="295" t="s">
        <v>6050</v>
      </c>
      <c r="N179" s="295">
        <v>11</v>
      </c>
      <c r="O179" s="295" t="s">
        <v>6040</v>
      </c>
      <c r="P179" s="295">
        <v>0.108999997377396</v>
      </c>
      <c r="Q179" s="295" t="b">
        <v>0</v>
      </c>
      <c r="R179" s="295">
        <v>1168</v>
      </c>
      <c r="T179" s="295">
        <v>11</v>
      </c>
      <c r="U179" s="295" t="s">
        <v>6040</v>
      </c>
      <c r="V179" s="295">
        <v>9.00000035762787E-2</v>
      </c>
      <c r="W179" s="295">
        <v>94</v>
      </c>
      <c r="Z179" s="295" t="b">
        <v>0</v>
      </c>
      <c r="AA179" s="295">
        <v>20</v>
      </c>
      <c r="AB179" s="295">
        <v>0.75</v>
      </c>
      <c r="AD179" s="295">
        <v>0.75</v>
      </c>
      <c r="AE179" s="295">
        <v>8</v>
      </c>
      <c r="AF179" s="295">
        <v>0.60000002384185802</v>
      </c>
      <c r="AG179" s="295">
        <v>40</v>
      </c>
      <c r="AH179" s="295">
        <v>0.40000000596046398</v>
      </c>
      <c r="AI179" s="295" t="s">
        <v>6119</v>
      </c>
      <c r="AJ179" s="295">
        <f>VLOOKUP(A179,'RBSA Weights'!$A$2:$N$322,8,FALSE)</f>
        <v>3065.64990234375</v>
      </c>
    </row>
    <row r="180" spans="1:36">
      <c r="A180" s="295">
        <v>22418</v>
      </c>
      <c r="B180" s="295" t="s">
        <v>6056</v>
      </c>
      <c r="C180" s="295" t="b">
        <v>0</v>
      </c>
      <c r="D180" s="295">
        <v>1425</v>
      </c>
      <c r="E180" s="295">
        <v>7</v>
      </c>
      <c r="G180" s="295">
        <v>7</v>
      </c>
      <c r="H180" s="295" t="s">
        <v>6055</v>
      </c>
      <c r="I180" s="295">
        <v>0.129999995231628</v>
      </c>
      <c r="J180" s="295" t="b">
        <v>0</v>
      </c>
      <c r="K180" s="295">
        <v>1425</v>
      </c>
      <c r="L180" s="295" t="s">
        <v>6050</v>
      </c>
      <c r="N180" s="295">
        <v>7</v>
      </c>
      <c r="O180" s="295" t="s">
        <v>6055</v>
      </c>
      <c r="P180" s="295">
        <v>0.11599999666214</v>
      </c>
      <c r="Q180" s="295" t="b">
        <v>0</v>
      </c>
      <c r="R180" s="295">
        <v>1148</v>
      </c>
      <c r="T180" s="295">
        <v>7</v>
      </c>
      <c r="U180" s="295" t="s">
        <v>6055</v>
      </c>
      <c r="V180" s="295">
        <v>0.119999997317791</v>
      </c>
      <c r="W180" s="295">
        <v>89</v>
      </c>
      <c r="Z180" s="295" t="b">
        <v>0</v>
      </c>
      <c r="AA180" s="295">
        <v>60</v>
      </c>
      <c r="AB180" s="295">
        <v>1.25</v>
      </c>
      <c r="AC180" s="295">
        <v>0.34999999403953602</v>
      </c>
      <c r="AD180" s="295">
        <v>1.25</v>
      </c>
      <c r="AG180" s="295">
        <v>40</v>
      </c>
      <c r="AH180" s="295">
        <v>0.40000000596046398</v>
      </c>
      <c r="AJ180" s="295">
        <f>VLOOKUP(A180,'RBSA Weights'!$A$2:$N$322,8,FALSE)</f>
        <v>868.428955078125</v>
      </c>
    </row>
    <row r="181" spans="1:36">
      <c r="A181" s="295">
        <v>22419</v>
      </c>
      <c r="B181" s="295" t="s">
        <v>6056</v>
      </c>
      <c r="C181" s="295" t="b">
        <v>0</v>
      </c>
      <c r="D181" s="295">
        <v>1120</v>
      </c>
      <c r="E181" s="295">
        <v>8</v>
      </c>
      <c r="G181" s="295">
        <v>7</v>
      </c>
      <c r="H181" s="295" t="s">
        <v>6055</v>
      </c>
      <c r="I181" s="295">
        <v>0.129999995231628</v>
      </c>
      <c r="J181" s="295" t="b">
        <v>0</v>
      </c>
      <c r="K181" s="295">
        <v>1120</v>
      </c>
      <c r="L181" s="295" t="s">
        <v>6041</v>
      </c>
      <c r="N181" s="295">
        <v>7</v>
      </c>
      <c r="O181" s="295" t="s">
        <v>6055</v>
      </c>
      <c r="P181" s="295">
        <v>9.4999998807907104E-2</v>
      </c>
      <c r="Q181" s="295" t="b">
        <v>0</v>
      </c>
      <c r="R181" s="295">
        <v>1140</v>
      </c>
      <c r="T181" s="295">
        <v>7</v>
      </c>
      <c r="U181" s="295" t="s">
        <v>6055</v>
      </c>
      <c r="V181" s="295">
        <v>0.119999997317791</v>
      </c>
      <c r="W181" s="295">
        <v>182</v>
      </c>
      <c r="Z181" s="295" t="b">
        <v>0</v>
      </c>
      <c r="AA181" s="295">
        <v>10</v>
      </c>
      <c r="AB181" s="295">
        <v>1.25</v>
      </c>
      <c r="AC181" s="295">
        <v>0.69999998807907104</v>
      </c>
      <c r="AD181" s="295">
        <v>1.25</v>
      </c>
      <c r="AG181" s="295">
        <v>40</v>
      </c>
      <c r="AH181" s="295">
        <v>0.40000000596046398</v>
      </c>
      <c r="AJ181" s="295">
        <f>VLOOKUP(A181,'RBSA Weights'!$A$2:$N$322,8,FALSE)</f>
        <v>2914.5654296875</v>
      </c>
    </row>
    <row r="182" spans="1:36">
      <c r="A182" s="295">
        <v>22463</v>
      </c>
      <c r="B182" s="295" t="s">
        <v>6042</v>
      </c>
      <c r="C182" s="295" t="b">
        <v>1</v>
      </c>
      <c r="D182" s="295">
        <v>1978</v>
      </c>
      <c r="E182" s="295">
        <v>9</v>
      </c>
      <c r="F182" s="295" t="s">
        <v>6118</v>
      </c>
      <c r="G182" s="295">
        <v>7</v>
      </c>
      <c r="H182" s="295" t="s">
        <v>6055</v>
      </c>
      <c r="I182" s="295">
        <v>0.129999995231628</v>
      </c>
      <c r="J182" s="295" t="b">
        <v>1</v>
      </c>
      <c r="K182" s="295">
        <v>1854</v>
      </c>
      <c r="L182" s="295" t="s">
        <v>6045</v>
      </c>
      <c r="M182" s="295" t="s">
        <v>157</v>
      </c>
      <c r="N182" s="295">
        <v>19</v>
      </c>
      <c r="O182" s="295" t="s">
        <v>6051</v>
      </c>
      <c r="P182" s="295">
        <v>5.6000001728534698E-2</v>
      </c>
      <c r="Q182" s="295" t="b">
        <v>1</v>
      </c>
      <c r="R182" s="295">
        <v>1408</v>
      </c>
      <c r="S182" s="295" t="s">
        <v>6118</v>
      </c>
      <c r="T182" s="295">
        <v>7</v>
      </c>
      <c r="U182" s="295" t="s">
        <v>6055</v>
      </c>
      <c r="V182" s="295">
        <v>0.119999997317791</v>
      </c>
      <c r="W182" s="295">
        <v>233</v>
      </c>
      <c r="X182" s="295">
        <v>64</v>
      </c>
      <c r="Y182" s="295" t="s">
        <v>6048</v>
      </c>
      <c r="Z182" s="295" t="b">
        <v>1</v>
      </c>
      <c r="AA182" s="295">
        <v>0</v>
      </c>
      <c r="AB182" s="295">
        <v>0.75</v>
      </c>
      <c r="AC182" s="295">
        <v>0.55000001192092896</v>
      </c>
      <c r="AD182" s="295">
        <v>0.70690232515335105</v>
      </c>
      <c r="AG182" s="295">
        <v>40</v>
      </c>
      <c r="AH182" s="295">
        <v>0.40000000596046398</v>
      </c>
      <c r="AJ182" s="295">
        <f>VLOOKUP(A182,'RBSA Weights'!$A$2:$N$322,8,FALSE)</f>
        <v>1211.2822265625</v>
      </c>
    </row>
    <row r="183" spans="1:36">
      <c r="A183" s="295">
        <v>22464</v>
      </c>
      <c r="B183" s="295" t="s">
        <v>6042</v>
      </c>
      <c r="C183" s="295" t="b">
        <v>0</v>
      </c>
      <c r="D183" s="295">
        <v>1344</v>
      </c>
      <c r="E183" s="295">
        <v>8</v>
      </c>
      <c r="G183" s="295">
        <v>11</v>
      </c>
      <c r="H183" s="295" t="s">
        <v>6040</v>
      </c>
      <c r="I183" s="295">
        <v>0.10000000149011599</v>
      </c>
      <c r="J183" s="295" t="b">
        <v>0</v>
      </c>
      <c r="K183" s="295">
        <v>1344</v>
      </c>
      <c r="L183" s="295" t="s">
        <v>6045</v>
      </c>
      <c r="N183" s="295">
        <v>11</v>
      </c>
      <c r="O183" s="295" t="s">
        <v>6040</v>
      </c>
      <c r="P183" s="295">
        <v>6.7000001668930095E-2</v>
      </c>
      <c r="Q183" s="295" t="b">
        <v>0</v>
      </c>
      <c r="R183" s="295">
        <v>1248</v>
      </c>
      <c r="T183" s="295">
        <v>11</v>
      </c>
      <c r="U183" s="295" t="s">
        <v>6040</v>
      </c>
      <c r="V183" s="295">
        <v>9.00000035762787E-2</v>
      </c>
      <c r="W183" s="295">
        <v>98</v>
      </c>
      <c r="Z183" s="295" t="b">
        <v>0</v>
      </c>
      <c r="AA183" s="295">
        <v>30</v>
      </c>
      <c r="AB183" s="295">
        <v>0.75</v>
      </c>
      <c r="AC183" s="295">
        <v>0.69999998807907104</v>
      </c>
      <c r="AD183" s="295">
        <v>0.75</v>
      </c>
      <c r="AG183" s="295">
        <v>40</v>
      </c>
      <c r="AH183" s="295">
        <v>0.40000000596046398</v>
      </c>
      <c r="AJ183" s="295">
        <f>VLOOKUP(A183,'RBSA Weights'!$A$2:$N$322,8,FALSE)</f>
        <v>1211.2822265625</v>
      </c>
    </row>
    <row r="184" spans="1:36">
      <c r="A184" s="295">
        <v>22465</v>
      </c>
      <c r="B184" s="295" t="s">
        <v>6042</v>
      </c>
      <c r="C184" s="295" t="b">
        <v>0</v>
      </c>
      <c r="D184" s="295">
        <v>1612</v>
      </c>
      <c r="E184" s="295">
        <v>8.5</v>
      </c>
      <c r="G184" s="295">
        <v>11</v>
      </c>
      <c r="H184" s="295" t="s">
        <v>6040</v>
      </c>
      <c r="I184" s="295">
        <v>0.10000000149011599</v>
      </c>
      <c r="J184" s="295" t="b">
        <v>0</v>
      </c>
      <c r="K184" s="295">
        <v>1612</v>
      </c>
      <c r="L184" s="295" t="s">
        <v>6045</v>
      </c>
      <c r="N184" s="295">
        <v>11</v>
      </c>
      <c r="O184" s="295" t="s">
        <v>6040</v>
      </c>
      <c r="P184" s="295">
        <v>6.7000001668930095E-2</v>
      </c>
      <c r="Q184" s="295" t="b">
        <v>0</v>
      </c>
      <c r="R184" s="295">
        <v>1408</v>
      </c>
      <c r="T184" s="295">
        <v>11</v>
      </c>
      <c r="U184" s="295" t="s">
        <v>6040</v>
      </c>
      <c r="V184" s="295">
        <v>9.00000035762787E-2</v>
      </c>
      <c r="W184" s="295">
        <v>184</v>
      </c>
      <c r="Z184" s="295" t="b">
        <v>0</v>
      </c>
      <c r="AA184" s="295">
        <v>50</v>
      </c>
      <c r="AB184" s="295">
        <v>0.75</v>
      </c>
      <c r="AD184" s="295">
        <v>0.75</v>
      </c>
      <c r="AE184" s="295">
        <v>14</v>
      </c>
      <c r="AF184" s="295">
        <v>1</v>
      </c>
      <c r="AG184" s="295">
        <v>40</v>
      </c>
      <c r="AH184" s="295">
        <v>0.40000000596046398</v>
      </c>
      <c r="AI184" s="295" t="s">
        <v>6117</v>
      </c>
      <c r="AJ184" s="295">
        <f>VLOOKUP(A184,'RBSA Weights'!$A$2:$N$322,8,FALSE)</f>
        <v>3065.64990234375</v>
      </c>
    </row>
    <row r="185" spans="1:36">
      <c r="A185" s="295">
        <v>22468</v>
      </c>
      <c r="B185" s="295" t="s">
        <v>6056</v>
      </c>
      <c r="C185" s="295" t="b">
        <v>0</v>
      </c>
      <c r="D185" s="295">
        <v>800</v>
      </c>
      <c r="E185" s="295">
        <v>8</v>
      </c>
      <c r="G185" s="295">
        <v>7</v>
      </c>
      <c r="H185" s="295" t="s">
        <v>6055</v>
      </c>
      <c r="I185" s="295">
        <v>0.129999995231628</v>
      </c>
      <c r="J185" s="295" t="b">
        <v>0</v>
      </c>
      <c r="K185" s="295">
        <v>800</v>
      </c>
      <c r="L185" s="295" t="s">
        <v>6050</v>
      </c>
      <c r="N185" s="295">
        <v>7</v>
      </c>
      <c r="O185" s="295" t="s">
        <v>6055</v>
      </c>
      <c r="P185" s="295">
        <v>0.11599999666214</v>
      </c>
      <c r="Q185" s="295" t="b">
        <v>0</v>
      </c>
      <c r="R185" s="295">
        <v>960</v>
      </c>
      <c r="T185" s="295">
        <v>7</v>
      </c>
      <c r="U185" s="295" t="s">
        <v>6055</v>
      </c>
      <c r="V185" s="295">
        <v>0.119999997317791</v>
      </c>
      <c r="W185" s="295">
        <v>122</v>
      </c>
      <c r="Z185" s="295" t="b">
        <v>0</v>
      </c>
      <c r="AA185" s="295">
        <v>50</v>
      </c>
      <c r="AB185" s="295">
        <v>1.25</v>
      </c>
      <c r="AD185" s="295">
        <v>1.25</v>
      </c>
      <c r="AG185" s="295">
        <v>40</v>
      </c>
      <c r="AH185" s="295">
        <v>0.40000000596046398</v>
      </c>
      <c r="AI185" s="295" t="s">
        <v>6116</v>
      </c>
      <c r="AJ185" s="295">
        <f>VLOOKUP(A185,'RBSA Weights'!$A$2:$N$322,8,FALSE)</f>
        <v>1211.2822265625</v>
      </c>
    </row>
    <row r="186" spans="1:36">
      <c r="A186" s="295">
        <v>22472</v>
      </c>
      <c r="B186" s="295" t="s">
        <v>6058</v>
      </c>
      <c r="C186" s="295" t="b">
        <v>0</v>
      </c>
      <c r="D186" s="295">
        <v>1125</v>
      </c>
      <c r="E186" s="295">
        <v>8</v>
      </c>
      <c r="G186" s="295">
        <v>49</v>
      </c>
      <c r="H186" s="295" t="s">
        <v>6057</v>
      </c>
      <c r="I186" s="295">
        <v>2.60000005364418E-2</v>
      </c>
      <c r="J186" s="295" t="b">
        <v>0</v>
      </c>
      <c r="K186" s="295">
        <v>1125</v>
      </c>
      <c r="L186" s="295" t="s">
        <v>6045</v>
      </c>
      <c r="N186" s="295">
        <v>33</v>
      </c>
      <c r="O186" s="295" t="s">
        <v>162</v>
      </c>
      <c r="P186" s="295">
        <v>2.9999999329447701E-2</v>
      </c>
      <c r="Q186" s="295" t="b">
        <v>0</v>
      </c>
      <c r="R186" s="295">
        <v>1440</v>
      </c>
      <c r="T186" s="295">
        <v>21</v>
      </c>
      <c r="U186" s="295" t="s">
        <v>6051</v>
      </c>
      <c r="V186" s="295">
        <v>5.6000001728534698E-2</v>
      </c>
      <c r="W186" s="295">
        <v>104</v>
      </c>
      <c r="Z186" s="295" t="b">
        <v>0</v>
      </c>
      <c r="AA186" s="295">
        <v>35</v>
      </c>
      <c r="AB186" s="295">
        <v>0.34999999403953602</v>
      </c>
      <c r="AC186" s="295">
        <v>0.55000001192092896</v>
      </c>
      <c r="AD186" s="295">
        <v>0.34999996423721302</v>
      </c>
      <c r="AG186" s="295">
        <v>40</v>
      </c>
      <c r="AH186" s="295">
        <v>0.40000000596046398</v>
      </c>
      <c r="AI186" s="295" t="s">
        <v>6115</v>
      </c>
      <c r="AJ186" s="295">
        <f>VLOOKUP(A186,'RBSA Weights'!$A$2:$N$322,8,FALSE)</f>
        <v>868.428955078125</v>
      </c>
    </row>
    <row r="187" spans="1:36">
      <c r="A187" s="295">
        <v>22484</v>
      </c>
      <c r="B187" s="295" t="s">
        <v>6056</v>
      </c>
      <c r="C187" s="295" t="b">
        <v>1</v>
      </c>
      <c r="D187" s="295">
        <v>1150</v>
      </c>
      <c r="E187" s="295">
        <v>8</v>
      </c>
      <c r="F187" s="295" t="s">
        <v>156</v>
      </c>
      <c r="G187" s="295">
        <v>11</v>
      </c>
      <c r="H187" s="295" t="s">
        <v>6040</v>
      </c>
      <c r="I187" s="295">
        <v>0.10000000149011599</v>
      </c>
      <c r="J187" s="295" t="b">
        <v>0</v>
      </c>
      <c r="K187" s="295">
        <v>1150</v>
      </c>
      <c r="L187" s="295" t="s">
        <v>6091</v>
      </c>
      <c r="N187" s="295">
        <v>7</v>
      </c>
      <c r="O187" s="295" t="s">
        <v>6055</v>
      </c>
      <c r="P187" s="295">
        <v>0.196999996900558</v>
      </c>
      <c r="Q187" s="295" t="b">
        <v>0</v>
      </c>
      <c r="R187" s="295">
        <v>1168</v>
      </c>
      <c r="T187" s="295">
        <v>7</v>
      </c>
      <c r="U187" s="295" t="s">
        <v>6055</v>
      </c>
      <c r="V187" s="295">
        <v>0.119999997317791</v>
      </c>
      <c r="W187" s="295">
        <v>122</v>
      </c>
      <c r="Z187" s="295" t="b">
        <v>0</v>
      </c>
      <c r="AB187" s="295">
        <v>1.25</v>
      </c>
      <c r="AD187" s="295">
        <v>1.25</v>
      </c>
      <c r="AG187" s="295">
        <v>40</v>
      </c>
      <c r="AH187" s="295">
        <v>0.40000000596046398</v>
      </c>
      <c r="AI187" s="295" t="s">
        <v>6114</v>
      </c>
      <c r="AJ187" s="295">
        <f>VLOOKUP(A187,'RBSA Weights'!$A$2:$N$322,8,FALSE)</f>
        <v>1211.2822265625</v>
      </c>
    </row>
    <row r="188" spans="1:36">
      <c r="A188" s="295">
        <v>22508</v>
      </c>
      <c r="B188" s="295" t="s">
        <v>6052</v>
      </c>
      <c r="C188" s="295" t="b">
        <v>0</v>
      </c>
      <c r="D188" s="295">
        <v>1680</v>
      </c>
      <c r="E188" s="295">
        <v>8</v>
      </c>
      <c r="G188" s="295">
        <v>38</v>
      </c>
      <c r="H188" s="295" t="s">
        <v>162</v>
      </c>
      <c r="I188" s="295">
        <v>3.5000000149011598E-2</v>
      </c>
      <c r="J188" s="295" t="b">
        <v>0</v>
      </c>
      <c r="K188" s="295">
        <v>1680</v>
      </c>
      <c r="L188" s="295" t="s">
        <v>6041</v>
      </c>
      <c r="N188" s="295">
        <v>33</v>
      </c>
      <c r="O188" s="295" t="s">
        <v>162</v>
      </c>
      <c r="P188" s="295">
        <v>5.4000001400709201E-2</v>
      </c>
      <c r="Q188" s="295" t="b">
        <v>0</v>
      </c>
      <c r="R188" s="295">
        <v>704</v>
      </c>
      <c r="T188" s="295">
        <v>21</v>
      </c>
      <c r="U188" s="295" t="s">
        <v>6051</v>
      </c>
      <c r="V188" s="295">
        <v>5.6000001728534698E-2</v>
      </c>
      <c r="X188" s="295">
        <v>199</v>
      </c>
      <c r="Y188" s="295" t="s">
        <v>6048</v>
      </c>
      <c r="Z188" s="295" t="b">
        <v>1</v>
      </c>
      <c r="AA188" s="295">
        <v>50</v>
      </c>
      <c r="AB188" s="295">
        <v>0.37999999523162797</v>
      </c>
      <c r="AC188" s="295">
        <v>0.55000001192092896</v>
      </c>
      <c r="AD188" s="295">
        <v>0.55000001192092896</v>
      </c>
      <c r="AE188" s="295">
        <v>36</v>
      </c>
      <c r="AF188" s="295">
        <v>1.29999995231628</v>
      </c>
      <c r="AG188" s="295">
        <v>40</v>
      </c>
      <c r="AH188" s="295">
        <v>0.40000000596046398</v>
      </c>
      <c r="AJ188" s="295">
        <f>VLOOKUP(A188,'RBSA Weights'!$A$2:$N$322,8,FALSE)</f>
        <v>2128.88549804688</v>
      </c>
    </row>
    <row r="189" spans="1:36">
      <c r="A189" s="295">
        <v>22511</v>
      </c>
      <c r="B189" s="295" t="s">
        <v>6042</v>
      </c>
      <c r="C189" s="295" t="b">
        <v>0</v>
      </c>
      <c r="D189" s="295">
        <v>1344</v>
      </c>
      <c r="E189" s="295">
        <v>7.1999998092651403</v>
      </c>
      <c r="G189" s="295">
        <v>11</v>
      </c>
      <c r="H189" s="295" t="s">
        <v>6040</v>
      </c>
      <c r="I189" s="295">
        <v>0.10000000149011599</v>
      </c>
      <c r="J189" s="295" t="b">
        <v>1</v>
      </c>
      <c r="K189" s="295">
        <v>1344</v>
      </c>
      <c r="L189" s="295" t="s">
        <v>6045</v>
      </c>
      <c r="Q189" s="295" t="b">
        <v>1</v>
      </c>
      <c r="R189" s="295">
        <v>1152</v>
      </c>
      <c r="S189" s="295" t="s">
        <v>156</v>
      </c>
      <c r="T189" s="295">
        <v>11</v>
      </c>
      <c r="U189" s="295" t="s">
        <v>6040</v>
      </c>
      <c r="V189" s="295">
        <v>9.00000035762787E-2</v>
      </c>
      <c r="W189" s="295">
        <v>94</v>
      </c>
      <c r="Y189" s="295" t="s">
        <v>6048</v>
      </c>
      <c r="Z189" s="295" t="b">
        <v>1</v>
      </c>
      <c r="AA189" s="295">
        <v>10</v>
      </c>
      <c r="AB189" s="295">
        <v>0.75</v>
      </c>
      <c r="AC189" s="295">
        <v>0.55000001192092896</v>
      </c>
      <c r="AD189" s="295">
        <v>0.75</v>
      </c>
      <c r="AG189" s="295">
        <v>40</v>
      </c>
      <c r="AH189" s="295">
        <v>0.40000000596046398</v>
      </c>
      <c r="AJ189" s="295">
        <f>VLOOKUP(A189,'RBSA Weights'!$A$2:$N$322,8,FALSE)</f>
        <v>2319.07739257813</v>
      </c>
    </row>
    <row r="190" spans="1:36">
      <c r="A190" s="295">
        <v>22552</v>
      </c>
      <c r="B190" s="295" t="s">
        <v>6058</v>
      </c>
      <c r="C190" s="295" t="b">
        <v>0</v>
      </c>
      <c r="D190" s="295">
        <v>1152</v>
      </c>
      <c r="E190" s="295">
        <v>8</v>
      </c>
      <c r="G190" s="295">
        <v>49</v>
      </c>
      <c r="H190" s="295" t="s">
        <v>6057</v>
      </c>
      <c r="I190" s="295">
        <v>2.60000005364418E-2</v>
      </c>
      <c r="J190" s="295" t="b">
        <v>0</v>
      </c>
      <c r="K190" s="295">
        <v>1152</v>
      </c>
      <c r="L190" s="295" t="s">
        <v>6045</v>
      </c>
      <c r="N190" s="295">
        <v>33</v>
      </c>
      <c r="O190" s="295" t="s">
        <v>162</v>
      </c>
      <c r="P190" s="295">
        <v>2.9999999329447701E-2</v>
      </c>
      <c r="Q190" s="295" t="b">
        <v>0</v>
      </c>
      <c r="R190" s="295">
        <v>1408</v>
      </c>
      <c r="T190" s="295">
        <v>21</v>
      </c>
      <c r="U190" s="295" t="s">
        <v>6051</v>
      </c>
      <c r="V190" s="295">
        <v>5.6000001728534698E-2</v>
      </c>
      <c r="W190" s="295">
        <v>194</v>
      </c>
      <c r="Z190" s="295" t="b">
        <v>0</v>
      </c>
      <c r="AA190" s="295">
        <v>50</v>
      </c>
      <c r="AB190" s="295">
        <v>0.34999999403953602</v>
      </c>
      <c r="AD190" s="295">
        <v>0.34999999403953602</v>
      </c>
      <c r="AG190" s="295">
        <v>40</v>
      </c>
      <c r="AH190" s="295">
        <v>0.40000000596046398</v>
      </c>
      <c r="AJ190" s="295">
        <f>VLOOKUP(A190,'RBSA Weights'!$A$2:$N$322,8,FALSE)</f>
        <v>868.428955078125</v>
      </c>
    </row>
    <row r="191" spans="1:36">
      <c r="A191" s="295">
        <v>22565</v>
      </c>
      <c r="B191" s="295" t="s">
        <v>6052</v>
      </c>
      <c r="C191" s="295" t="b">
        <v>0</v>
      </c>
      <c r="D191" s="295">
        <v>1570</v>
      </c>
      <c r="E191" s="295">
        <v>7.5</v>
      </c>
      <c r="G191" s="295">
        <v>38</v>
      </c>
      <c r="H191" s="295" t="s">
        <v>162</v>
      </c>
      <c r="I191" s="295">
        <v>3.5000000149011598E-2</v>
      </c>
      <c r="J191" s="295" t="b">
        <v>0</v>
      </c>
      <c r="K191" s="295">
        <v>1570</v>
      </c>
      <c r="L191" s="295" t="s">
        <v>6045</v>
      </c>
      <c r="N191" s="295">
        <v>33</v>
      </c>
      <c r="O191" s="295" t="s">
        <v>162</v>
      </c>
      <c r="P191" s="295">
        <v>2.9999999329447701E-2</v>
      </c>
      <c r="Q191" s="295" t="b">
        <v>0</v>
      </c>
      <c r="R191" s="295">
        <v>1395</v>
      </c>
      <c r="T191" s="295">
        <v>21</v>
      </c>
      <c r="U191" s="295" t="s">
        <v>6051</v>
      </c>
      <c r="V191" s="295">
        <v>5.6000001728534698E-2</v>
      </c>
      <c r="W191" s="295">
        <v>168</v>
      </c>
      <c r="Z191" s="295" t="b">
        <v>0</v>
      </c>
      <c r="AA191" s="295">
        <v>15</v>
      </c>
      <c r="AB191" s="295">
        <v>0.37999999523162797</v>
      </c>
      <c r="AD191" s="295">
        <v>0.37999999523162797</v>
      </c>
      <c r="AG191" s="295">
        <v>40</v>
      </c>
      <c r="AH191" s="295">
        <v>0.34999999403953602</v>
      </c>
      <c r="AJ191" s="295">
        <f>VLOOKUP(A191,'RBSA Weights'!$A$2:$N$322,8,FALSE)</f>
        <v>868.428955078125</v>
      </c>
    </row>
    <row r="192" spans="1:36">
      <c r="A192" s="295">
        <v>22605</v>
      </c>
      <c r="B192" s="295" t="s">
        <v>6042</v>
      </c>
      <c r="C192" s="295" t="b">
        <v>1</v>
      </c>
      <c r="D192" s="295">
        <v>936</v>
      </c>
      <c r="E192" s="295">
        <v>8</v>
      </c>
      <c r="J192" s="295" t="b">
        <v>0</v>
      </c>
      <c r="K192" s="295">
        <v>936</v>
      </c>
      <c r="L192" s="295" t="s">
        <v>6060</v>
      </c>
      <c r="N192" s="295">
        <v>11</v>
      </c>
      <c r="O192" s="295" t="s">
        <v>6040</v>
      </c>
      <c r="P192" s="295">
        <v>0.14300000667571999</v>
      </c>
      <c r="Q192" s="295" t="b">
        <v>1</v>
      </c>
      <c r="R192" s="295">
        <v>490</v>
      </c>
      <c r="S192" s="295" t="s">
        <v>157</v>
      </c>
      <c r="T192" s="295">
        <v>19</v>
      </c>
      <c r="U192" s="295" t="s">
        <v>6051</v>
      </c>
      <c r="V192" s="295">
        <v>5.9999998658895499E-2</v>
      </c>
      <c r="W192" s="295">
        <v>66</v>
      </c>
      <c r="X192" s="295">
        <v>75</v>
      </c>
      <c r="Y192" s="295" t="s">
        <v>6044</v>
      </c>
      <c r="Z192" s="295" t="b">
        <v>1</v>
      </c>
      <c r="AA192" s="295">
        <v>10</v>
      </c>
      <c r="AB192" s="295">
        <v>0.75</v>
      </c>
      <c r="AC192" s="295">
        <v>0.69999998807907104</v>
      </c>
      <c r="AD192" s="295">
        <v>0.72340422868728604</v>
      </c>
      <c r="AG192" s="295">
        <v>40</v>
      </c>
      <c r="AH192" s="295">
        <v>0.40000000596046398</v>
      </c>
      <c r="AI192" s="295" t="s">
        <v>6113</v>
      </c>
      <c r="AJ192" s="295">
        <f>VLOOKUP(A192,'RBSA Weights'!$A$2:$N$322,8,FALSE)</f>
        <v>2319.07739257813</v>
      </c>
    </row>
    <row r="193" spans="1:36">
      <c r="A193" s="295">
        <v>22630</v>
      </c>
      <c r="B193" s="295" t="s">
        <v>6052</v>
      </c>
      <c r="C193" s="295" t="b">
        <v>0</v>
      </c>
      <c r="D193" s="295">
        <v>2540</v>
      </c>
      <c r="E193" s="295">
        <v>8</v>
      </c>
      <c r="G193" s="295">
        <v>38</v>
      </c>
      <c r="H193" s="295" t="s">
        <v>162</v>
      </c>
      <c r="I193" s="295">
        <v>3.5000000149011598E-2</v>
      </c>
      <c r="J193" s="295" t="b">
        <v>0</v>
      </c>
      <c r="K193" s="295">
        <v>2117</v>
      </c>
      <c r="L193" s="295" t="s">
        <v>6045</v>
      </c>
      <c r="N193" s="295">
        <v>33</v>
      </c>
      <c r="O193" s="295" t="s">
        <v>162</v>
      </c>
      <c r="P193" s="295">
        <v>2.9999999329447701E-2</v>
      </c>
      <c r="Q193" s="295" t="b">
        <v>0</v>
      </c>
      <c r="R193" s="295">
        <v>1338</v>
      </c>
      <c r="T193" s="295">
        <v>21</v>
      </c>
      <c r="U193" s="295" t="s">
        <v>6051</v>
      </c>
      <c r="V193" s="295">
        <v>5.6000001728534698E-2</v>
      </c>
      <c r="W193" s="295">
        <v>153</v>
      </c>
      <c r="Z193" s="295" t="b">
        <v>0</v>
      </c>
      <c r="AA193" s="295">
        <v>28</v>
      </c>
      <c r="AB193" s="295">
        <v>0.37999999523162797</v>
      </c>
      <c r="AC193" s="295">
        <v>0.55000001192092896</v>
      </c>
      <c r="AD193" s="295">
        <v>0.37999999523162797</v>
      </c>
      <c r="AE193" s="295">
        <v>4</v>
      </c>
      <c r="AF193" s="295">
        <v>1.29999995231628</v>
      </c>
      <c r="AG193" s="295">
        <v>40</v>
      </c>
      <c r="AH193" s="295">
        <v>0.40000000596046398</v>
      </c>
      <c r="AJ193" s="295">
        <f>VLOOKUP(A193,'RBSA Weights'!$A$2:$N$322,8,FALSE)</f>
        <v>868.428955078125</v>
      </c>
    </row>
    <row r="194" spans="1:36">
      <c r="A194" s="295">
        <v>22639</v>
      </c>
      <c r="B194" s="295" t="s">
        <v>6042</v>
      </c>
      <c r="C194" s="295" t="b">
        <v>0</v>
      </c>
      <c r="D194" s="295">
        <v>1296</v>
      </c>
      <c r="E194" s="295">
        <v>8</v>
      </c>
      <c r="G194" s="295">
        <v>11</v>
      </c>
      <c r="H194" s="295" t="s">
        <v>6040</v>
      </c>
      <c r="I194" s="295">
        <v>0.10000000149011599</v>
      </c>
      <c r="J194" s="295" t="b">
        <v>0</v>
      </c>
      <c r="K194" s="295">
        <v>1296</v>
      </c>
      <c r="L194" s="295" t="s">
        <v>6081</v>
      </c>
      <c r="N194" s="295">
        <v>11</v>
      </c>
      <c r="O194" s="295" t="s">
        <v>6040</v>
      </c>
      <c r="P194" s="295">
        <v>0.17200000584125499</v>
      </c>
      <c r="Q194" s="295" t="b">
        <v>0</v>
      </c>
      <c r="R194" s="295">
        <v>1200</v>
      </c>
      <c r="T194" s="295">
        <v>11</v>
      </c>
      <c r="U194" s="295" t="s">
        <v>6040</v>
      </c>
      <c r="V194" s="295">
        <v>9.00000035762787E-2</v>
      </c>
      <c r="W194" s="295">
        <v>208</v>
      </c>
      <c r="X194" s="295">
        <v>2</v>
      </c>
      <c r="Y194" s="295" t="s">
        <v>6048</v>
      </c>
      <c r="Z194" s="295" t="b">
        <v>1</v>
      </c>
      <c r="AA194" s="295">
        <v>15</v>
      </c>
      <c r="AB194" s="295">
        <v>0.75</v>
      </c>
      <c r="AC194" s="295">
        <v>0.55000001192092896</v>
      </c>
      <c r="AD194" s="295">
        <v>0.74809527397155795</v>
      </c>
      <c r="AG194" s="295">
        <v>40</v>
      </c>
      <c r="AH194" s="295">
        <v>0.40000000596046398</v>
      </c>
      <c r="AJ194" s="295">
        <f>VLOOKUP(A194,'RBSA Weights'!$A$2:$N$322,8,FALSE)</f>
        <v>3065.64990234375</v>
      </c>
    </row>
    <row r="195" spans="1:36">
      <c r="A195" s="295">
        <v>22643</v>
      </c>
      <c r="B195" s="295" t="s">
        <v>6052</v>
      </c>
      <c r="C195" s="295" t="b">
        <v>0</v>
      </c>
      <c r="D195" s="295">
        <v>1600</v>
      </c>
      <c r="E195" s="295">
        <v>9</v>
      </c>
      <c r="G195" s="295">
        <v>38</v>
      </c>
      <c r="H195" s="295" t="s">
        <v>162</v>
      </c>
      <c r="I195" s="295">
        <v>3.5000000149011598E-2</v>
      </c>
      <c r="J195" s="295" t="b">
        <v>0</v>
      </c>
      <c r="K195" s="295">
        <v>1536</v>
      </c>
      <c r="L195" s="295" t="s">
        <v>6045</v>
      </c>
      <c r="N195" s="295">
        <v>33</v>
      </c>
      <c r="O195" s="295" t="s">
        <v>162</v>
      </c>
      <c r="P195" s="295">
        <v>2.9999999329447701E-2</v>
      </c>
      <c r="Q195" s="295" t="b">
        <v>0</v>
      </c>
      <c r="R195" s="295">
        <v>1494</v>
      </c>
      <c r="T195" s="295">
        <v>21</v>
      </c>
      <c r="U195" s="295" t="s">
        <v>6051</v>
      </c>
      <c r="V195" s="295">
        <v>5.6000001728534698E-2</v>
      </c>
      <c r="W195" s="295">
        <v>190</v>
      </c>
      <c r="Z195" s="295" t="b">
        <v>0</v>
      </c>
      <c r="AA195" s="295">
        <v>5</v>
      </c>
      <c r="AB195" s="295">
        <v>0.37999999523162797</v>
      </c>
      <c r="AD195" s="295">
        <v>0.37999999523162797</v>
      </c>
      <c r="AE195" s="295">
        <v>8</v>
      </c>
      <c r="AF195" s="295">
        <v>1.29999995231628</v>
      </c>
      <c r="AG195" s="295">
        <v>40</v>
      </c>
      <c r="AH195" s="295">
        <v>0.40000000596046398</v>
      </c>
      <c r="AI195" s="295" t="s">
        <v>6112</v>
      </c>
      <c r="AJ195" s="295">
        <f>VLOOKUP(A195,'RBSA Weights'!$A$2:$N$322,8,FALSE)</f>
        <v>1211.2822265625</v>
      </c>
    </row>
    <row r="196" spans="1:36">
      <c r="A196" s="295">
        <v>22647</v>
      </c>
      <c r="B196" s="295" t="s">
        <v>6058</v>
      </c>
      <c r="C196" s="295" t="b">
        <v>0</v>
      </c>
      <c r="D196" s="295">
        <v>1836</v>
      </c>
      <c r="E196" s="295">
        <v>9</v>
      </c>
      <c r="G196" s="295">
        <v>49</v>
      </c>
      <c r="H196" s="295" t="s">
        <v>6057</v>
      </c>
      <c r="I196" s="295">
        <v>2.60000005364418E-2</v>
      </c>
      <c r="J196" s="295" t="b">
        <v>0</v>
      </c>
      <c r="K196" s="295">
        <v>1836</v>
      </c>
      <c r="L196" s="295" t="s">
        <v>6045</v>
      </c>
      <c r="N196" s="295">
        <v>33</v>
      </c>
      <c r="O196" s="295" t="s">
        <v>162</v>
      </c>
      <c r="P196" s="295">
        <v>2.9999999329447701E-2</v>
      </c>
      <c r="Q196" s="295" t="b">
        <v>0</v>
      </c>
      <c r="R196" s="295">
        <v>1710</v>
      </c>
      <c r="T196" s="295">
        <v>21</v>
      </c>
      <c r="U196" s="295" t="s">
        <v>6051</v>
      </c>
      <c r="V196" s="295">
        <v>5.6000001728534698E-2</v>
      </c>
      <c r="W196" s="295">
        <v>231</v>
      </c>
      <c r="Z196" s="295" t="b">
        <v>0</v>
      </c>
      <c r="AA196" s="295">
        <v>40</v>
      </c>
      <c r="AB196" s="295">
        <v>0.34999999403953602</v>
      </c>
      <c r="AD196" s="295">
        <v>0.34999999403953602</v>
      </c>
      <c r="AG196" s="295">
        <v>40</v>
      </c>
      <c r="AH196" s="295">
        <v>0.40000000596046398</v>
      </c>
      <c r="AJ196" s="295">
        <f>VLOOKUP(A196,'RBSA Weights'!$A$2:$N$322,8,FALSE)</f>
        <v>1211.2822265625</v>
      </c>
    </row>
    <row r="197" spans="1:36">
      <c r="A197" s="295">
        <v>22657</v>
      </c>
      <c r="B197" s="295" t="s">
        <v>6042</v>
      </c>
      <c r="C197" s="295" t="b">
        <v>0</v>
      </c>
      <c r="D197" s="295">
        <v>2280</v>
      </c>
      <c r="E197" s="295">
        <v>9</v>
      </c>
      <c r="G197" s="295">
        <v>11</v>
      </c>
      <c r="H197" s="295" t="s">
        <v>6040</v>
      </c>
      <c r="I197" s="295">
        <v>0.10000000149011599</v>
      </c>
      <c r="J197" s="295" t="b">
        <v>0</v>
      </c>
      <c r="K197" s="295">
        <v>2280</v>
      </c>
      <c r="L197" s="295" t="s">
        <v>6045</v>
      </c>
      <c r="N197" s="295">
        <v>11</v>
      </c>
      <c r="O197" s="295" t="s">
        <v>6040</v>
      </c>
      <c r="P197" s="295">
        <v>6.7000001668930095E-2</v>
      </c>
      <c r="Q197" s="295" t="b">
        <v>0</v>
      </c>
      <c r="R197" s="295">
        <v>1296</v>
      </c>
      <c r="T197" s="295">
        <v>11</v>
      </c>
      <c r="U197" s="295" t="s">
        <v>6040</v>
      </c>
      <c r="V197" s="295">
        <v>9.00000035762787E-2</v>
      </c>
      <c r="W197" s="295">
        <v>229</v>
      </c>
      <c r="Z197" s="295" t="b">
        <v>0</v>
      </c>
      <c r="AA197" s="295">
        <v>13</v>
      </c>
      <c r="AB197" s="295">
        <v>0.75</v>
      </c>
      <c r="AC197" s="295">
        <v>0.55000001192092896</v>
      </c>
      <c r="AD197" s="295">
        <v>0.75</v>
      </c>
      <c r="AE197" s="295">
        <v>8</v>
      </c>
      <c r="AF197" s="295">
        <v>1.29999995231628</v>
      </c>
      <c r="AG197" s="295">
        <v>40</v>
      </c>
      <c r="AH197" s="295">
        <v>0.40000000596046398</v>
      </c>
      <c r="AI197" s="295" t="s">
        <v>6111</v>
      </c>
      <c r="AJ197" s="295">
        <f>VLOOKUP(A197,'RBSA Weights'!$A$2:$N$322,8,FALSE)</f>
        <v>1211.2822265625</v>
      </c>
    </row>
    <row r="198" spans="1:36">
      <c r="A198" s="295">
        <v>22674</v>
      </c>
      <c r="B198" s="295" t="s">
        <v>6056</v>
      </c>
      <c r="C198" s="295" t="b">
        <v>0</v>
      </c>
      <c r="D198" s="295">
        <v>924</v>
      </c>
      <c r="E198" s="295">
        <v>7</v>
      </c>
      <c r="G198" s="295">
        <v>7</v>
      </c>
      <c r="H198" s="295" t="s">
        <v>6055</v>
      </c>
      <c r="I198" s="295">
        <v>0.129999995231628</v>
      </c>
      <c r="J198" s="295" t="b">
        <v>0</v>
      </c>
      <c r="K198" s="295">
        <v>924</v>
      </c>
      <c r="L198" s="295" t="s">
        <v>6041</v>
      </c>
      <c r="N198" s="295">
        <v>7</v>
      </c>
      <c r="O198" s="295" t="s">
        <v>6055</v>
      </c>
      <c r="P198" s="295">
        <v>9.4999998807907104E-2</v>
      </c>
      <c r="Q198" s="295" t="b">
        <v>0</v>
      </c>
      <c r="R198" s="295">
        <v>1120</v>
      </c>
      <c r="T198" s="295">
        <v>7</v>
      </c>
      <c r="U198" s="295" t="s">
        <v>6055</v>
      </c>
      <c r="V198" s="295">
        <v>0.119999997317791</v>
      </c>
      <c r="W198" s="295">
        <v>152</v>
      </c>
      <c r="Y198" s="295" t="s">
        <v>6048</v>
      </c>
      <c r="Z198" s="295" t="b">
        <v>1</v>
      </c>
      <c r="AA198" s="295">
        <v>9</v>
      </c>
      <c r="AB198" s="295">
        <v>1.25</v>
      </c>
      <c r="AC198" s="295">
        <v>0.55000001192092896</v>
      </c>
      <c r="AD198" s="295">
        <v>1.25</v>
      </c>
      <c r="AG198" s="295">
        <v>40</v>
      </c>
      <c r="AH198" s="295">
        <v>0.40000000596046398</v>
      </c>
      <c r="AJ198" s="295">
        <f>VLOOKUP(A198,'RBSA Weights'!$A$2:$N$322,8,FALSE)</f>
        <v>2914.5654296875</v>
      </c>
    </row>
    <row r="199" spans="1:36">
      <c r="A199" s="295">
        <v>22682</v>
      </c>
      <c r="B199" s="295" t="s">
        <v>6056</v>
      </c>
      <c r="C199" s="295" t="b">
        <v>0</v>
      </c>
      <c r="D199" s="295">
        <v>450</v>
      </c>
      <c r="E199" s="295">
        <v>7</v>
      </c>
      <c r="G199" s="295">
        <v>7</v>
      </c>
      <c r="H199" s="295" t="s">
        <v>6055</v>
      </c>
      <c r="I199" s="295">
        <v>0.129999995231628</v>
      </c>
      <c r="J199" s="295" t="b">
        <v>0</v>
      </c>
      <c r="K199" s="295">
        <v>450</v>
      </c>
      <c r="L199" s="295" t="s">
        <v>6091</v>
      </c>
      <c r="N199" s="295">
        <v>7</v>
      </c>
      <c r="O199" s="295" t="s">
        <v>6055</v>
      </c>
      <c r="P199" s="295">
        <v>0.196999996900558</v>
      </c>
      <c r="Q199" s="295" t="b">
        <v>0</v>
      </c>
      <c r="R199" s="295">
        <v>700</v>
      </c>
      <c r="T199" s="295">
        <v>7</v>
      </c>
      <c r="U199" s="295" t="s">
        <v>6055</v>
      </c>
      <c r="V199" s="295">
        <v>0.119999997317791</v>
      </c>
      <c r="W199" s="295">
        <v>93</v>
      </c>
      <c r="Y199" s="295" t="s">
        <v>6048</v>
      </c>
      <c r="Z199" s="295" t="b">
        <v>1</v>
      </c>
      <c r="AA199" s="295">
        <v>0</v>
      </c>
      <c r="AB199" s="295">
        <v>1.25</v>
      </c>
      <c r="AC199" s="295">
        <v>0.55000001192092896</v>
      </c>
      <c r="AD199" s="295">
        <v>1.25</v>
      </c>
      <c r="AE199" s="295">
        <v>1</v>
      </c>
      <c r="AF199" s="295">
        <v>0.60000002384185802</v>
      </c>
      <c r="AG199" s="295">
        <v>40</v>
      </c>
      <c r="AH199" s="295">
        <v>0.40000000596046398</v>
      </c>
      <c r="AJ199" s="295">
        <f>VLOOKUP(A199,'RBSA Weights'!$A$2:$N$322,8,FALSE)</f>
        <v>2319.07739257813</v>
      </c>
    </row>
    <row r="200" spans="1:36">
      <c r="A200" s="295">
        <v>22690</v>
      </c>
      <c r="B200" s="295" t="s">
        <v>6052</v>
      </c>
      <c r="C200" s="295" t="b">
        <v>0</v>
      </c>
      <c r="D200" s="295">
        <v>1573</v>
      </c>
      <c r="E200" s="295">
        <v>8</v>
      </c>
      <c r="G200" s="295">
        <v>38</v>
      </c>
      <c r="H200" s="295" t="s">
        <v>162</v>
      </c>
      <c r="I200" s="295">
        <v>3.5000000149011598E-2</v>
      </c>
      <c r="J200" s="295" t="b">
        <v>0</v>
      </c>
      <c r="K200" s="295">
        <v>1311</v>
      </c>
      <c r="L200" s="295" t="s">
        <v>6045</v>
      </c>
      <c r="N200" s="295">
        <v>33</v>
      </c>
      <c r="O200" s="295" t="s">
        <v>162</v>
      </c>
      <c r="P200" s="295">
        <v>2.9999999329447701E-2</v>
      </c>
      <c r="Q200" s="295" t="b">
        <v>0</v>
      </c>
      <c r="R200" s="295">
        <v>1280</v>
      </c>
      <c r="T200" s="295">
        <v>21</v>
      </c>
      <c r="U200" s="295" t="s">
        <v>6051</v>
      </c>
      <c r="V200" s="295">
        <v>5.6000001728534698E-2</v>
      </c>
      <c r="W200" s="295">
        <v>128</v>
      </c>
      <c r="Z200" s="295" t="b">
        <v>0</v>
      </c>
      <c r="AB200" s="295">
        <v>0.37999999523162797</v>
      </c>
      <c r="AD200" s="295">
        <v>0.37999999523162797</v>
      </c>
      <c r="AG200" s="295">
        <v>40</v>
      </c>
      <c r="AH200" s="295">
        <v>0.40000000596046398</v>
      </c>
      <c r="AJ200" s="295">
        <f>VLOOKUP(A200,'RBSA Weights'!$A$2:$N$322,8,FALSE)</f>
        <v>2914.5654296875</v>
      </c>
    </row>
    <row r="201" spans="1:36">
      <c r="A201" s="295">
        <v>22707</v>
      </c>
      <c r="B201" s="295" t="s">
        <v>6042</v>
      </c>
      <c r="C201" s="295" t="b">
        <v>0</v>
      </c>
      <c r="D201" s="295">
        <v>1215</v>
      </c>
      <c r="E201" s="295">
        <v>9</v>
      </c>
      <c r="G201" s="295">
        <v>11</v>
      </c>
      <c r="H201" s="295" t="s">
        <v>6040</v>
      </c>
      <c r="I201" s="295">
        <v>0.10000000149011599</v>
      </c>
      <c r="J201" s="295" t="b">
        <v>0</v>
      </c>
      <c r="K201" s="295">
        <v>1188</v>
      </c>
      <c r="L201" s="295" t="s">
        <v>6041</v>
      </c>
      <c r="N201" s="295">
        <v>11</v>
      </c>
      <c r="O201" s="295" t="s">
        <v>6040</v>
      </c>
      <c r="P201" s="295">
        <v>8.5000000894069699E-2</v>
      </c>
      <c r="Q201" s="295" t="b">
        <v>0</v>
      </c>
      <c r="R201" s="295">
        <v>1136</v>
      </c>
      <c r="T201" s="295">
        <v>11</v>
      </c>
      <c r="U201" s="295" t="s">
        <v>6040</v>
      </c>
      <c r="V201" s="295">
        <v>9.00000035762787E-2</v>
      </c>
      <c r="W201" s="295">
        <v>12</v>
      </c>
      <c r="X201" s="295">
        <v>93</v>
      </c>
      <c r="Y201" s="295" t="s">
        <v>6044</v>
      </c>
      <c r="Z201" s="295" t="b">
        <v>1</v>
      </c>
      <c r="AA201" s="295">
        <v>0</v>
      </c>
      <c r="AB201" s="295">
        <v>0.75</v>
      </c>
      <c r="AC201" s="295">
        <v>0.69999998807907104</v>
      </c>
      <c r="AD201" s="295">
        <v>0.70571428537368797</v>
      </c>
      <c r="AE201" s="295">
        <v>8</v>
      </c>
      <c r="AF201" s="295">
        <v>1.29999995231628</v>
      </c>
      <c r="AG201" s="295">
        <v>40</v>
      </c>
      <c r="AH201" s="295">
        <v>0.40000000596046398</v>
      </c>
      <c r="AJ201" s="295">
        <f>VLOOKUP(A201,'RBSA Weights'!$A$2:$N$322,8,FALSE)</f>
        <v>2319.07739257813</v>
      </c>
    </row>
    <row r="202" spans="1:36">
      <c r="A202" s="295">
        <v>22713</v>
      </c>
      <c r="B202" s="295" t="s">
        <v>6058</v>
      </c>
      <c r="C202" s="295" t="b">
        <v>0</v>
      </c>
      <c r="D202" s="295">
        <v>1765</v>
      </c>
      <c r="E202" s="295">
        <v>9</v>
      </c>
      <c r="G202" s="295">
        <v>49</v>
      </c>
      <c r="H202" s="295" t="s">
        <v>6057</v>
      </c>
      <c r="I202" s="295">
        <v>2.60000005364418E-2</v>
      </c>
      <c r="J202" s="295" t="b">
        <v>0</v>
      </c>
      <c r="K202" s="295">
        <v>1644</v>
      </c>
      <c r="L202" s="295" t="s">
        <v>6045</v>
      </c>
      <c r="N202" s="295">
        <v>33</v>
      </c>
      <c r="O202" s="295" t="s">
        <v>162</v>
      </c>
      <c r="P202" s="295">
        <v>2.9999999329447701E-2</v>
      </c>
      <c r="Q202" s="295" t="b">
        <v>0</v>
      </c>
      <c r="R202" s="295">
        <v>1456</v>
      </c>
      <c r="T202" s="295">
        <v>21</v>
      </c>
      <c r="U202" s="295" t="s">
        <v>6051</v>
      </c>
      <c r="V202" s="295">
        <v>5.6000001728534698E-2</v>
      </c>
      <c r="W202" s="295">
        <v>302</v>
      </c>
      <c r="Z202" s="295" t="b">
        <v>0</v>
      </c>
      <c r="AA202" s="295">
        <v>5</v>
      </c>
      <c r="AB202" s="295">
        <v>0.34999999403953602</v>
      </c>
      <c r="AD202" s="295">
        <v>0.34999999403953602</v>
      </c>
      <c r="AG202" s="295">
        <v>40</v>
      </c>
      <c r="AH202" s="295">
        <v>0.40000000596046398</v>
      </c>
      <c r="AJ202" s="295">
        <f>VLOOKUP(A202,'RBSA Weights'!$A$2:$N$322,8,FALSE)</f>
        <v>1211.2822265625</v>
      </c>
    </row>
    <row r="203" spans="1:36">
      <c r="A203" s="295">
        <v>22716</v>
      </c>
      <c r="B203" s="295" t="s">
        <v>6056</v>
      </c>
      <c r="C203" s="295" t="b">
        <v>0</v>
      </c>
      <c r="D203" s="295">
        <v>1728</v>
      </c>
      <c r="E203" s="295">
        <v>7.5</v>
      </c>
      <c r="G203" s="295">
        <v>7</v>
      </c>
      <c r="H203" s="295" t="s">
        <v>6055</v>
      </c>
      <c r="I203" s="295">
        <v>0.129999995231628</v>
      </c>
      <c r="J203" s="295" t="b">
        <v>0</v>
      </c>
      <c r="K203" s="295">
        <v>864</v>
      </c>
      <c r="L203" s="295" t="s">
        <v>6091</v>
      </c>
      <c r="N203" s="295">
        <v>7</v>
      </c>
      <c r="O203" s="295" t="s">
        <v>6055</v>
      </c>
      <c r="P203" s="295">
        <v>0.196999996900558</v>
      </c>
      <c r="Q203" s="295" t="b">
        <v>0</v>
      </c>
      <c r="R203" s="295">
        <v>1080</v>
      </c>
      <c r="T203" s="295">
        <v>7</v>
      </c>
      <c r="U203" s="295" t="s">
        <v>6055</v>
      </c>
      <c r="V203" s="295">
        <v>0.119999997317791</v>
      </c>
      <c r="W203" s="295">
        <v>156</v>
      </c>
      <c r="Z203" s="295" t="b">
        <v>0</v>
      </c>
      <c r="AA203" s="295">
        <v>50</v>
      </c>
      <c r="AB203" s="295">
        <v>1.25</v>
      </c>
      <c r="AD203" s="295">
        <v>1.25</v>
      </c>
      <c r="AG203" s="295">
        <v>40</v>
      </c>
      <c r="AH203" s="295">
        <v>0.40000000596046398</v>
      </c>
      <c r="AI203" s="295" t="s">
        <v>6110</v>
      </c>
      <c r="AJ203" s="295">
        <f>VLOOKUP(A203,'RBSA Weights'!$A$2:$N$322,8,FALSE)</f>
        <v>868.428955078125</v>
      </c>
    </row>
    <row r="204" spans="1:36">
      <c r="A204" s="295">
        <v>22730</v>
      </c>
      <c r="B204" s="295" t="s">
        <v>6042</v>
      </c>
      <c r="C204" s="295" t="b">
        <v>0</v>
      </c>
      <c r="D204" s="295">
        <v>720</v>
      </c>
      <c r="E204" s="295">
        <v>7</v>
      </c>
      <c r="G204" s="295">
        <v>11</v>
      </c>
      <c r="H204" s="295" t="s">
        <v>6040</v>
      </c>
      <c r="I204" s="295">
        <v>0.10000000149011599</v>
      </c>
      <c r="J204" s="295" t="b">
        <v>0</v>
      </c>
      <c r="K204" s="295">
        <v>720</v>
      </c>
      <c r="L204" s="295" t="s">
        <v>6050</v>
      </c>
      <c r="N204" s="295">
        <v>11</v>
      </c>
      <c r="O204" s="295" t="s">
        <v>6040</v>
      </c>
      <c r="P204" s="295">
        <v>0.108999997377396</v>
      </c>
      <c r="Q204" s="295" t="b">
        <v>0</v>
      </c>
      <c r="R204" s="295">
        <v>1008</v>
      </c>
      <c r="T204" s="295">
        <v>11</v>
      </c>
      <c r="U204" s="295" t="s">
        <v>6040</v>
      </c>
      <c r="V204" s="295">
        <v>9.00000035762787E-2</v>
      </c>
      <c r="W204" s="295">
        <v>123</v>
      </c>
      <c r="Z204" s="295" t="b">
        <v>0</v>
      </c>
      <c r="AA204" s="295">
        <v>40</v>
      </c>
      <c r="AB204" s="295">
        <v>0.75</v>
      </c>
      <c r="AD204" s="295">
        <v>0.75</v>
      </c>
      <c r="AG204" s="295">
        <v>40</v>
      </c>
      <c r="AH204" s="295">
        <v>0.40000000596046398</v>
      </c>
      <c r="AJ204" s="295">
        <f>VLOOKUP(A204,'RBSA Weights'!$A$2:$N$322,8,FALSE)</f>
        <v>868.428955078125</v>
      </c>
    </row>
    <row r="205" spans="1:36">
      <c r="A205" s="295">
        <v>22732</v>
      </c>
      <c r="B205" s="295" t="s">
        <v>6053</v>
      </c>
      <c r="C205" s="295" t="b">
        <v>0</v>
      </c>
      <c r="D205" s="295">
        <v>2192</v>
      </c>
      <c r="E205" s="295">
        <v>9</v>
      </c>
      <c r="G205" s="295">
        <v>22</v>
      </c>
      <c r="H205" s="295" t="s">
        <v>6046</v>
      </c>
      <c r="I205" s="295">
        <v>5.2000001072883599E-2</v>
      </c>
      <c r="J205" s="295" t="b">
        <v>0</v>
      </c>
      <c r="K205" s="295">
        <v>2160</v>
      </c>
      <c r="L205" s="295" t="s">
        <v>6045</v>
      </c>
      <c r="N205" s="295">
        <v>22</v>
      </c>
      <c r="O205" s="295" t="s">
        <v>6046</v>
      </c>
      <c r="P205" s="295">
        <v>5.0999999046325697E-2</v>
      </c>
      <c r="Q205" s="295" t="b">
        <v>0</v>
      </c>
      <c r="R205" s="295">
        <v>1470</v>
      </c>
      <c r="T205" s="295">
        <v>11</v>
      </c>
      <c r="U205" s="295" t="s">
        <v>6040</v>
      </c>
      <c r="V205" s="295">
        <v>9.00000035762787E-2</v>
      </c>
      <c r="W205" s="295">
        <v>159</v>
      </c>
      <c r="Z205" s="295" t="b">
        <v>0</v>
      </c>
      <c r="AA205" s="295">
        <v>0</v>
      </c>
      <c r="AB205" s="295">
        <v>0.479999989271164</v>
      </c>
      <c r="AC205" s="295">
        <v>0.55000001192092896</v>
      </c>
      <c r="AD205" s="295">
        <v>0.479999989271164</v>
      </c>
      <c r="AE205" s="295">
        <v>29</v>
      </c>
      <c r="AF205" s="295">
        <v>0.60000002384185802</v>
      </c>
      <c r="AG205" s="295">
        <v>40</v>
      </c>
      <c r="AH205" s="295">
        <v>0.40000000596046398</v>
      </c>
      <c r="AJ205" s="295">
        <f>VLOOKUP(A205,'RBSA Weights'!$A$2:$N$322,8,FALSE)</f>
        <v>3065.64990234375</v>
      </c>
    </row>
    <row r="206" spans="1:36">
      <c r="A206" s="295">
        <v>22736</v>
      </c>
      <c r="B206" s="295" t="s">
        <v>6056</v>
      </c>
      <c r="C206" s="295" t="b">
        <v>0</v>
      </c>
      <c r="D206" s="295">
        <v>817.5</v>
      </c>
      <c r="E206" s="295">
        <v>8</v>
      </c>
      <c r="G206" s="295">
        <v>7</v>
      </c>
      <c r="H206" s="295" t="s">
        <v>6055</v>
      </c>
      <c r="I206" s="295">
        <v>0.129999995231628</v>
      </c>
      <c r="J206" s="295" t="b">
        <v>0</v>
      </c>
      <c r="K206" s="295">
        <v>817.5</v>
      </c>
      <c r="L206" s="295" t="s">
        <v>6050</v>
      </c>
      <c r="N206" s="295">
        <v>7</v>
      </c>
      <c r="O206" s="295" t="s">
        <v>6055</v>
      </c>
      <c r="P206" s="295">
        <v>0.11599999666214</v>
      </c>
      <c r="Q206" s="295" t="b">
        <v>0</v>
      </c>
      <c r="R206" s="295">
        <v>1272</v>
      </c>
      <c r="T206" s="295">
        <v>7</v>
      </c>
      <c r="U206" s="295" t="s">
        <v>6055</v>
      </c>
      <c r="V206" s="295">
        <v>0.119999997317791</v>
      </c>
      <c r="W206" s="295">
        <v>102</v>
      </c>
      <c r="X206" s="295">
        <v>8</v>
      </c>
      <c r="Y206" s="295" t="s">
        <v>6048</v>
      </c>
      <c r="Z206" s="295" t="b">
        <v>1</v>
      </c>
      <c r="AA206" s="295">
        <v>50</v>
      </c>
      <c r="AB206" s="295">
        <v>1.25</v>
      </c>
      <c r="AC206" s="295">
        <v>0.55000001192092896</v>
      </c>
      <c r="AD206" s="295">
        <v>1.19909083843231</v>
      </c>
      <c r="AG206" s="295">
        <v>40</v>
      </c>
      <c r="AH206" s="295">
        <v>0.40000000596046398</v>
      </c>
      <c r="AI206" s="295" t="s">
        <v>6109</v>
      </c>
      <c r="AJ206" s="295">
        <f>VLOOKUP(A206,'RBSA Weights'!$A$2:$N$322,8,FALSE)</f>
        <v>1211.2822265625</v>
      </c>
    </row>
    <row r="207" spans="1:36">
      <c r="A207" s="295">
        <v>22772</v>
      </c>
      <c r="B207" s="295" t="s">
        <v>6042</v>
      </c>
      <c r="C207" s="295" t="b">
        <v>1</v>
      </c>
      <c r="D207" s="295">
        <v>994</v>
      </c>
      <c r="E207" s="295">
        <v>8</v>
      </c>
      <c r="F207" s="295" t="s">
        <v>158</v>
      </c>
      <c r="G207" s="295">
        <v>30</v>
      </c>
      <c r="H207" s="295" t="s">
        <v>6046</v>
      </c>
      <c r="I207" s="295">
        <v>4.39999997615814E-2</v>
      </c>
      <c r="J207" s="295" t="b">
        <v>1</v>
      </c>
      <c r="K207" s="295">
        <v>994</v>
      </c>
      <c r="L207" s="295" t="s">
        <v>6045</v>
      </c>
      <c r="M207" s="295" t="s">
        <v>6063</v>
      </c>
      <c r="N207" s="295">
        <v>22</v>
      </c>
      <c r="O207" s="295" t="s">
        <v>6046</v>
      </c>
      <c r="P207" s="295">
        <v>5.0999999046325697E-2</v>
      </c>
      <c r="Q207" s="295" t="b">
        <v>0</v>
      </c>
      <c r="R207" s="295">
        <v>1312</v>
      </c>
      <c r="T207" s="295">
        <v>11</v>
      </c>
      <c r="U207" s="295" t="s">
        <v>6040</v>
      </c>
      <c r="V207" s="295">
        <v>9.00000035762787E-2</v>
      </c>
      <c r="W207" s="295">
        <v>134</v>
      </c>
      <c r="Z207" s="295" t="b">
        <v>0</v>
      </c>
      <c r="AA207" s="295">
        <v>0</v>
      </c>
      <c r="AB207" s="295">
        <v>0.75</v>
      </c>
      <c r="AD207" s="295">
        <v>0.75</v>
      </c>
      <c r="AG207" s="295">
        <v>40</v>
      </c>
      <c r="AH207" s="295">
        <v>0.40000000596046398</v>
      </c>
      <c r="AI207" s="295" t="s">
        <v>6108</v>
      </c>
      <c r="AJ207" s="295">
        <f>VLOOKUP(A207,'RBSA Weights'!$A$2:$N$322,8,FALSE)</f>
        <v>1211.2822265625</v>
      </c>
    </row>
    <row r="208" spans="1:36">
      <c r="A208" s="295">
        <v>22773</v>
      </c>
      <c r="B208" s="295" t="s">
        <v>6042</v>
      </c>
      <c r="C208" s="295" t="b">
        <v>0</v>
      </c>
      <c r="D208" s="295">
        <v>675</v>
      </c>
      <c r="E208" s="295">
        <v>8</v>
      </c>
      <c r="G208" s="295">
        <v>11</v>
      </c>
      <c r="H208" s="295" t="s">
        <v>6040</v>
      </c>
      <c r="I208" s="295">
        <v>0.10000000149011599</v>
      </c>
      <c r="J208" s="295" t="b">
        <v>0</v>
      </c>
      <c r="K208" s="295">
        <v>675</v>
      </c>
      <c r="L208" s="295" t="s">
        <v>6045</v>
      </c>
      <c r="N208" s="295">
        <v>11</v>
      </c>
      <c r="O208" s="295" t="s">
        <v>6040</v>
      </c>
      <c r="P208" s="295">
        <v>6.7000001668930095E-2</v>
      </c>
      <c r="Q208" s="295" t="b">
        <v>1</v>
      </c>
      <c r="R208" s="295">
        <v>1024</v>
      </c>
      <c r="S208" s="295" t="s">
        <v>156</v>
      </c>
      <c r="T208" s="295">
        <v>11</v>
      </c>
      <c r="U208" s="295" t="s">
        <v>6040</v>
      </c>
      <c r="V208" s="295">
        <v>9.00000035762787E-2</v>
      </c>
      <c r="W208" s="295">
        <v>91</v>
      </c>
      <c r="Z208" s="295" t="b">
        <v>0</v>
      </c>
      <c r="AA208" s="295">
        <v>20</v>
      </c>
      <c r="AB208" s="295">
        <v>0.75</v>
      </c>
      <c r="AC208" s="295">
        <v>0.34999999403953602</v>
      </c>
      <c r="AD208" s="295">
        <v>0.75</v>
      </c>
      <c r="AG208" s="295">
        <v>40</v>
      </c>
      <c r="AH208" s="295">
        <v>0.40000000596046398</v>
      </c>
      <c r="AJ208" s="295">
        <f>VLOOKUP(A208,'RBSA Weights'!$A$2:$N$322,8,FALSE)</f>
        <v>2319.07739257813</v>
      </c>
    </row>
    <row r="209" spans="1:36">
      <c r="A209" s="295">
        <v>22775</v>
      </c>
      <c r="B209" s="295" t="s">
        <v>6056</v>
      </c>
      <c r="C209" s="295" t="b">
        <v>0</v>
      </c>
      <c r="D209" s="295">
        <v>924</v>
      </c>
      <c r="E209" s="295">
        <v>7.25</v>
      </c>
      <c r="G209" s="295">
        <v>7</v>
      </c>
      <c r="H209" s="295" t="s">
        <v>6055</v>
      </c>
      <c r="I209" s="295">
        <v>0.129999995231628</v>
      </c>
      <c r="J209" s="295" t="b">
        <v>0</v>
      </c>
      <c r="K209" s="295">
        <v>924</v>
      </c>
      <c r="L209" s="295" t="s">
        <v>6050</v>
      </c>
      <c r="N209" s="295">
        <v>7</v>
      </c>
      <c r="O209" s="295" t="s">
        <v>6055</v>
      </c>
      <c r="P209" s="295">
        <v>0.11599999666214</v>
      </c>
      <c r="Q209" s="295" t="b">
        <v>0</v>
      </c>
      <c r="R209" s="295">
        <v>1120</v>
      </c>
      <c r="T209" s="295">
        <v>7</v>
      </c>
      <c r="U209" s="295" t="s">
        <v>6055</v>
      </c>
      <c r="V209" s="295">
        <v>0.119999997317791</v>
      </c>
      <c r="W209" s="295">
        <v>99</v>
      </c>
      <c r="Y209" s="295" t="s">
        <v>6048</v>
      </c>
      <c r="Z209" s="295" t="b">
        <v>1</v>
      </c>
      <c r="AA209" s="295">
        <v>10</v>
      </c>
      <c r="AB209" s="295">
        <v>1.25</v>
      </c>
      <c r="AC209" s="295">
        <v>0.55000001192092896</v>
      </c>
      <c r="AD209" s="295">
        <v>1.25</v>
      </c>
      <c r="AG209" s="295">
        <v>40</v>
      </c>
      <c r="AH209" s="295">
        <v>0.40000000596046398</v>
      </c>
      <c r="AJ209" s="295">
        <f>VLOOKUP(A209,'RBSA Weights'!$A$2:$N$322,8,FALSE)</f>
        <v>2128.94555664063</v>
      </c>
    </row>
    <row r="210" spans="1:36">
      <c r="A210" s="295">
        <v>22811</v>
      </c>
      <c r="B210" s="295" t="s">
        <v>6042</v>
      </c>
      <c r="C210" s="295" t="b">
        <v>0</v>
      </c>
      <c r="D210" s="295">
        <v>1320</v>
      </c>
      <c r="E210" s="295">
        <v>8.5</v>
      </c>
      <c r="G210" s="295">
        <v>11</v>
      </c>
      <c r="H210" s="295" t="s">
        <v>6040</v>
      </c>
      <c r="I210" s="295">
        <v>0.10000000149011599</v>
      </c>
      <c r="J210" s="295" t="b">
        <v>0</v>
      </c>
      <c r="K210" s="295">
        <v>1296</v>
      </c>
      <c r="L210" s="295" t="s">
        <v>6045</v>
      </c>
      <c r="N210" s="295">
        <v>11</v>
      </c>
      <c r="O210" s="295" t="s">
        <v>6040</v>
      </c>
      <c r="P210" s="295">
        <v>6.7000001668930095E-2</v>
      </c>
      <c r="Q210" s="295" t="b">
        <v>0</v>
      </c>
      <c r="R210" s="295">
        <v>1179</v>
      </c>
      <c r="T210" s="295">
        <v>11</v>
      </c>
      <c r="U210" s="295" t="s">
        <v>6040</v>
      </c>
      <c r="V210" s="295">
        <v>9.00000035762787E-2</v>
      </c>
      <c r="W210" s="295">
        <v>92</v>
      </c>
      <c r="Y210" s="295" t="s">
        <v>6048</v>
      </c>
      <c r="Z210" s="295" t="b">
        <v>1</v>
      </c>
      <c r="AA210" s="295">
        <v>15</v>
      </c>
      <c r="AB210" s="295">
        <v>0.75</v>
      </c>
      <c r="AC210" s="295">
        <v>0.55000001192092896</v>
      </c>
      <c r="AD210" s="295">
        <v>0.75</v>
      </c>
      <c r="AG210" s="295">
        <v>40</v>
      </c>
      <c r="AH210" s="295">
        <v>0.40000000596046398</v>
      </c>
      <c r="AJ210" s="295">
        <f>VLOOKUP(A210,'RBSA Weights'!$A$2:$N$322,8,FALSE)</f>
        <v>2128.94555664063</v>
      </c>
    </row>
    <row r="211" spans="1:36">
      <c r="A211" s="295">
        <v>22821</v>
      </c>
      <c r="B211" s="295" t="s">
        <v>6042</v>
      </c>
      <c r="C211" s="295" t="b">
        <v>0</v>
      </c>
      <c r="D211" s="295">
        <v>952</v>
      </c>
      <c r="E211" s="295">
        <v>7</v>
      </c>
      <c r="G211" s="295">
        <v>11</v>
      </c>
      <c r="H211" s="295" t="s">
        <v>6040</v>
      </c>
      <c r="I211" s="295">
        <v>0.10000000149011599</v>
      </c>
      <c r="J211" s="295" t="b">
        <v>0</v>
      </c>
      <c r="K211" s="295">
        <v>952</v>
      </c>
      <c r="L211" s="295" t="s">
        <v>6041</v>
      </c>
      <c r="N211" s="295">
        <v>11</v>
      </c>
      <c r="O211" s="295" t="s">
        <v>6040</v>
      </c>
      <c r="P211" s="295">
        <v>8.5000000894069699E-2</v>
      </c>
      <c r="Q211" s="295" t="b">
        <v>0</v>
      </c>
      <c r="R211" s="295">
        <v>1148</v>
      </c>
      <c r="T211" s="295">
        <v>11</v>
      </c>
      <c r="U211" s="295" t="s">
        <v>6040</v>
      </c>
      <c r="V211" s="295">
        <v>9.00000035762787E-2</v>
      </c>
      <c r="W211" s="295">
        <v>87</v>
      </c>
      <c r="X211" s="295">
        <v>16</v>
      </c>
      <c r="Y211" s="295" t="s">
        <v>6048</v>
      </c>
      <c r="Z211" s="295" t="b">
        <v>1</v>
      </c>
      <c r="AA211" s="295">
        <v>100</v>
      </c>
      <c r="AB211" s="295">
        <v>0.75</v>
      </c>
      <c r="AC211" s="295">
        <v>0.55000001192092896</v>
      </c>
      <c r="AD211" s="295">
        <v>0.71893209218978904</v>
      </c>
      <c r="AG211" s="295">
        <v>40</v>
      </c>
      <c r="AH211" s="295">
        <v>0.40000000596046398</v>
      </c>
      <c r="AJ211" s="295">
        <f>VLOOKUP(A211,'RBSA Weights'!$A$2:$N$322,8,FALSE)</f>
        <v>2914.5654296875</v>
      </c>
    </row>
    <row r="212" spans="1:36">
      <c r="A212" s="295">
        <v>22824</v>
      </c>
      <c r="B212" s="295" t="s">
        <v>6042</v>
      </c>
      <c r="C212" s="295" t="b">
        <v>1</v>
      </c>
      <c r="D212" s="295">
        <v>1267</v>
      </c>
      <c r="E212" s="295">
        <v>7.5</v>
      </c>
      <c r="F212" s="295" t="s">
        <v>157</v>
      </c>
      <c r="G212" s="295">
        <v>19</v>
      </c>
      <c r="H212" s="295" t="s">
        <v>6051</v>
      </c>
      <c r="I212" s="295">
        <v>5.6000001728534698E-2</v>
      </c>
      <c r="J212" s="295" t="b">
        <v>0</v>
      </c>
      <c r="K212" s="295">
        <v>1267</v>
      </c>
      <c r="L212" s="295" t="s">
        <v>6091</v>
      </c>
      <c r="N212" s="295">
        <v>7</v>
      </c>
      <c r="O212" s="295" t="s">
        <v>6055</v>
      </c>
      <c r="P212" s="295">
        <v>0.196999996900558</v>
      </c>
      <c r="Q212" s="295" t="b">
        <v>0</v>
      </c>
      <c r="R212" s="295">
        <v>1185</v>
      </c>
      <c r="T212" s="295">
        <v>11</v>
      </c>
      <c r="U212" s="295" t="s">
        <v>6040</v>
      </c>
      <c r="V212" s="295">
        <v>9.00000035762787E-2</v>
      </c>
      <c r="W212" s="295">
        <v>65</v>
      </c>
      <c r="X212" s="295">
        <v>72</v>
      </c>
      <c r="Y212" s="295" t="s">
        <v>6048</v>
      </c>
      <c r="Z212" s="295" t="b">
        <v>1</v>
      </c>
      <c r="AA212" s="295">
        <v>10</v>
      </c>
      <c r="AB212" s="295">
        <v>0.75</v>
      </c>
      <c r="AC212" s="295">
        <v>0.55000001192092896</v>
      </c>
      <c r="AD212" s="295">
        <v>0.64489054679870605</v>
      </c>
      <c r="AG212" s="295">
        <v>40</v>
      </c>
      <c r="AH212" s="295">
        <v>0.40000000596046398</v>
      </c>
      <c r="AJ212" s="295">
        <f>VLOOKUP(A212,'RBSA Weights'!$A$2:$N$322,8,FALSE)</f>
        <v>2128.94555664063</v>
      </c>
    </row>
    <row r="213" spans="1:36">
      <c r="A213" s="295">
        <v>22827</v>
      </c>
      <c r="B213" s="295" t="s">
        <v>6056</v>
      </c>
      <c r="C213" s="295" t="b">
        <v>0</v>
      </c>
      <c r="D213" s="295">
        <v>792</v>
      </c>
      <c r="E213" s="295">
        <v>8</v>
      </c>
      <c r="G213" s="295">
        <v>7</v>
      </c>
      <c r="H213" s="295" t="s">
        <v>6055</v>
      </c>
      <c r="I213" s="295">
        <v>0.129999995231628</v>
      </c>
      <c r="J213" s="295" t="b">
        <v>0</v>
      </c>
      <c r="K213" s="295">
        <v>792</v>
      </c>
      <c r="L213" s="295" t="s">
        <v>6045</v>
      </c>
      <c r="N213" s="295">
        <v>7</v>
      </c>
      <c r="O213" s="295" t="s">
        <v>6055</v>
      </c>
      <c r="P213" s="295">
        <v>9.3000002205371898E-2</v>
      </c>
      <c r="Q213" s="295" t="b">
        <v>0</v>
      </c>
      <c r="R213" s="295">
        <v>1248</v>
      </c>
      <c r="T213" s="295">
        <v>7</v>
      </c>
      <c r="U213" s="295" t="s">
        <v>6055</v>
      </c>
      <c r="V213" s="295">
        <v>0.119999997317791</v>
      </c>
      <c r="X213" s="295">
        <v>115</v>
      </c>
      <c r="Y213" s="295" t="s">
        <v>6048</v>
      </c>
      <c r="Z213" s="295" t="b">
        <v>1</v>
      </c>
      <c r="AA213" s="295">
        <v>40</v>
      </c>
      <c r="AB213" s="295">
        <v>1.25</v>
      </c>
      <c r="AC213" s="295">
        <v>0.55000001192092896</v>
      </c>
      <c r="AD213" s="295">
        <v>0.55000001192092896</v>
      </c>
      <c r="AG213" s="295">
        <v>40</v>
      </c>
      <c r="AH213" s="295">
        <v>0.40000000596046398</v>
      </c>
      <c r="AI213" s="295" t="s">
        <v>6107</v>
      </c>
      <c r="AJ213" s="295">
        <f>VLOOKUP(A213,'RBSA Weights'!$A$2:$N$322,8,FALSE)</f>
        <v>1211.2822265625</v>
      </c>
    </row>
    <row r="214" spans="1:36">
      <c r="A214" s="295">
        <v>22859</v>
      </c>
      <c r="B214" s="295" t="s">
        <v>6042</v>
      </c>
      <c r="C214" s="295" t="b">
        <v>0</v>
      </c>
      <c r="D214" s="295">
        <v>1440</v>
      </c>
      <c r="E214" s="295">
        <v>7.5</v>
      </c>
      <c r="G214" s="295">
        <v>11</v>
      </c>
      <c r="H214" s="295" t="s">
        <v>6040</v>
      </c>
      <c r="I214" s="295">
        <v>0.10000000149011599</v>
      </c>
      <c r="J214" s="295" t="b">
        <v>0</v>
      </c>
      <c r="K214" s="295">
        <v>1440</v>
      </c>
      <c r="L214" s="295" t="s">
        <v>6045</v>
      </c>
      <c r="N214" s="295">
        <v>11</v>
      </c>
      <c r="O214" s="295" t="s">
        <v>6040</v>
      </c>
      <c r="P214" s="295">
        <v>6.7000001668930095E-2</v>
      </c>
      <c r="Q214" s="295" t="b">
        <v>0</v>
      </c>
      <c r="R214" s="295">
        <v>1260</v>
      </c>
      <c r="T214" s="295">
        <v>11</v>
      </c>
      <c r="U214" s="295" t="s">
        <v>6040</v>
      </c>
      <c r="V214" s="295">
        <v>9.00000035762787E-2</v>
      </c>
      <c r="W214" s="295">
        <v>172</v>
      </c>
      <c r="Y214" s="295" t="s">
        <v>6088</v>
      </c>
      <c r="Z214" s="295" t="b">
        <v>1</v>
      </c>
      <c r="AA214" s="295">
        <v>25</v>
      </c>
      <c r="AB214" s="295">
        <v>0.75</v>
      </c>
      <c r="AC214" s="295">
        <v>0.34999999403953602</v>
      </c>
      <c r="AD214" s="295">
        <v>0.75</v>
      </c>
      <c r="AG214" s="295">
        <v>40</v>
      </c>
      <c r="AH214" s="295">
        <v>0.40000000596046398</v>
      </c>
      <c r="AJ214" s="295">
        <f>VLOOKUP(A214,'RBSA Weights'!$A$2:$N$322,8,FALSE)</f>
        <v>2319.07739257813</v>
      </c>
    </row>
    <row r="215" spans="1:36">
      <c r="A215" s="295">
        <v>22862</v>
      </c>
      <c r="B215" s="295" t="s">
        <v>6056</v>
      </c>
      <c r="C215" s="295" t="b">
        <v>0</v>
      </c>
      <c r="D215" s="295">
        <v>1100</v>
      </c>
      <c r="E215" s="295">
        <v>7</v>
      </c>
      <c r="G215" s="295">
        <v>7</v>
      </c>
      <c r="H215" s="295" t="s">
        <v>6055</v>
      </c>
      <c r="I215" s="295">
        <v>0.129999995231628</v>
      </c>
      <c r="J215" s="295" t="b">
        <v>1</v>
      </c>
      <c r="K215" s="295">
        <v>1100</v>
      </c>
      <c r="L215" s="295" t="s">
        <v>6045</v>
      </c>
      <c r="M215" s="295" t="s">
        <v>157</v>
      </c>
      <c r="N215" s="295">
        <v>19</v>
      </c>
      <c r="O215" s="295" t="s">
        <v>6051</v>
      </c>
      <c r="P215" s="295">
        <v>5.6000001728534698E-2</v>
      </c>
      <c r="Q215" s="295" t="b">
        <v>0</v>
      </c>
      <c r="R215" s="295">
        <v>1050</v>
      </c>
      <c r="T215" s="295">
        <v>7</v>
      </c>
      <c r="U215" s="295" t="s">
        <v>6055</v>
      </c>
      <c r="V215" s="295">
        <v>0.119999997317791</v>
      </c>
      <c r="W215" s="295">
        <v>144</v>
      </c>
      <c r="Z215" s="295" t="b">
        <v>0</v>
      </c>
      <c r="AA215" s="295">
        <v>20</v>
      </c>
      <c r="AB215" s="295">
        <v>1.25</v>
      </c>
      <c r="AC215" s="295">
        <v>0.69999998807907104</v>
      </c>
      <c r="AD215" s="295">
        <v>1.25</v>
      </c>
      <c r="AG215" s="295">
        <v>40</v>
      </c>
      <c r="AH215" s="295">
        <v>0.40000000596046398</v>
      </c>
      <c r="AJ215" s="295">
        <f>VLOOKUP(A215,'RBSA Weights'!$A$2:$N$322,8,FALSE)</f>
        <v>2319.07739257813</v>
      </c>
    </row>
    <row r="216" spans="1:36">
      <c r="A216" s="295">
        <v>22865</v>
      </c>
      <c r="B216" s="295" t="s">
        <v>6042</v>
      </c>
      <c r="C216" s="295" t="b">
        <v>0</v>
      </c>
      <c r="D216" s="295">
        <v>2100</v>
      </c>
      <c r="E216" s="295">
        <v>9</v>
      </c>
      <c r="G216" s="295">
        <v>11</v>
      </c>
      <c r="H216" s="295" t="s">
        <v>6040</v>
      </c>
      <c r="I216" s="295">
        <v>0.10000000149011599</v>
      </c>
      <c r="J216" s="295" t="b">
        <v>1</v>
      </c>
      <c r="K216" s="295">
        <v>2160</v>
      </c>
      <c r="L216" s="295" t="s">
        <v>6045</v>
      </c>
      <c r="M216" s="295" t="s">
        <v>157</v>
      </c>
      <c r="N216" s="295">
        <v>19</v>
      </c>
      <c r="O216" s="295" t="s">
        <v>6051</v>
      </c>
      <c r="P216" s="295">
        <v>5.6000001728534698E-2</v>
      </c>
      <c r="Q216" s="295" t="b">
        <v>0</v>
      </c>
      <c r="R216" s="295">
        <v>1836</v>
      </c>
      <c r="T216" s="295">
        <v>11</v>
      </c>
      <c r="U216" s="295" t="s">
        <v>6040</v>
      </c>
      <c r="V216" s="295">
        <v>9.00000035762787E-2</v>
      </c>
      <c r="W216" s="295">
        <v>173</v>
      </c>
      <c r="X216" s="295">
        <v>74</v>
      </c>
      <c r="Y216" s="295" t="s">
        <v>6088</v>
      </c>
      <c r="Z216" s="295" t="b">
        <v>1</v>
      </c>
      <c r="AA216" s="295">
        <v>40</v>
      </c>
      <c r="AB216" s="295">
        <v>0.75</v>
      </c>
      <c r="AC216" s="295">
        <v>0.34999999403953602</v>
      </c>
      <c r="AD216" s="295">
        <v>0.63016194105148304</v>
      </c>
      <c r="AE216" s="295">
        <v>18</v>
      </c>
      <c r="AF216" s="295">
        <v>0.60000002384185802</v>
      </c>
      <c r="AG216" s="295">
        <v>40</v>
      </c>
      <c r="AH216" s="295">
        <v>0.40000000596046398</v>
      </c>
      <c r="AJ216" s="295">
        <f>VLOOKUP(A216,'RBSA Weights'!$A$2:$N$322,8,FALSE)</f>
        <v>2128.88549804688</v>
      </c>
    </row>
    <row r="217" spans="1:36">
      <c r="A217" s="295">
        <v>22882</v>
      </c>
      <c r="B217" s="295" t="s">
        <v>6042</v>
      </c>
      <c r="C217" s="295" t="b">
        <v>0</v>
      </c>
      <c r="D217" s="295">
        <v>2448</v>
      </c>
      <c r="E217" s="295">
        <v>9</v>
      </c>
      <c r="G217" s="295">
        <v>11</v>
      </c>
      <c r="H217" s="295" t="s">
        <v>6040</v>
      </c>
      <c r="I217" s="295">
        <v>0.10000000149011599</v>
      </c>
      <c r="J217" s="295" t="b">
        <v>0</v>
      </c>
      <c r="K217" s="295">
        <v>2448</v>
      </c>
      <c r="L217" s="295" t="s">
        <v>6041</v>
      </c>
      <c r="N217" s="295">
        <v>11</v>
      </c>
      <c r="O217" s="295" t="s">
        <v>6040</v>
      </c>
      <c r="P217" s="295">
        <v>8.5000000894069699E-2</v>
      </c>
      <c r="Q217" s="295" t="b">
        <v>0</v>
      </c>
      <c r="R217" s="295">
        <v>891</v>
      </c>
      <c r="T217" s="295">
        <v>11</v>
      </c>
      <c r="U217" s="295" t="s">
        <v>6040</v>
      </c>
      <c r="V217" s="295">
        <v>9.00000035762787E-2</v>
      </c>
      <c r="W217" s="295">
        <v>162</v>
      </c>
      <c r="Z217" s="295" t="b">
        <v>0</v>
      </c>
      <c r="AA217" s="295">
        <v>40</v>
      </c>
      <c r="AB217" s="295">
        <v>0.75</v>
      </c>
      <c r="AC217" s="295">
        <v>0.69999998807907104</v>
      </c>
      <c r="AD217" s="295">
        <v>0.75</v>
      </c>
      <c r="AE217" s="295">
        <v>20</v>
      </c>
      <c r="AF217" s="295">
        <v>0.60000002384185802</v>
      </c>
      <c r="AG217" s="295">
        <v>40</v>
      </c>
      <c r="AH217" s="295">
        <v>0.40000000596046398</v>
      </c>
      <c r="AJ217" s="295">
        <f>VLOOKUP(A217,'RBSA Weights'!$A$2:$N$322,8,FALSE)</f>
        <v>2319.07739257813</v>
      </c>
    </row>
    <row r="218" spans="1:36">
      <c r="A218" s="295">
        <v>22910</v>
      </c>
      <c r="B218" s="295" t="s">
        <v>6042</v>
      </c>
      <c r="C218" s="295" t="b">
        <v>0</v>
      </c>
      <c r="D218" s="295">
        <v>1600</v>
      </c>
      <c r="E218" s="295">
        <v>8</v>
      </c>
      <c r="G218" s="295">
        <v>11</v>
      </c>
      <c r="H218" s="295" t="s">
        <v>6040</v>
      </c>
      <c r="I218" s="295">
        <v>0.10000000149011599</v>
      </c>
      <c r="J218" s="295" t="b">
        <v>0</v>
      </c>
      <c r="K218" s="295">
        <v>1592</v>
      </c>
      <c r="L218" s="295" t="s">
        <v>6045</v>
      </c>
      <c r="N218" s="295">
        <v>11</v>
      </c>
      <c r="O218" s="295" t="s">
        <v>6040</v>
      </c>
      <c r="P218" s="295">
        <v>6.7000001668930095E-2</v>
      </c>
      <c r="Q218" s="295" t="b">
        <v>0</v>
      </c>
      <c r="R218" s="295">
        <v>1472</v>
      </c>
      <c r="T218" s="295">
        <v>11</v>
      </c>
      <c r="U218" s="295" t="s">
        <v>6040</v>
      </c>
      <c r="V218" s="295">
        <v>9.00000035762787E-2</v>
      </c>
      <c r="W218" s="295">
        <v>296</v>
      </c>
      <c r="X218" s="295">
        <v>2</v>
      </c>
      <c r="Y218" s="295" t="s">
        <v>6048</v>
      </c>
      <c r="Z218" s="295" t="b">
        <v>1</v>
      </c>
      <c r="AA218" s="295">
        <v>15</v>
      </c>
      <c r="AB218" s="295">
        <v>0.75</v>
      </c>
      <c r="AC218" s="295">
        <v>0.55000001192092896</v>
      </c>
      <c r="AD218" s="295">
        <v>0.74865776300430298</v>
      </c>
      <c r="AE218" s="295">
        <v>16</v>
      </c>
      <c r="AF218" s="295">
        <v>0.5</v>
      </c>
      <c r="AG218" s="295">
        <v>40</v>
      </c>
      <c r="AH218" s="295">
        <v>0.40000000596046398</v>
      </c>
      <c r="AI218" s="295" t="s">
        <v>6106</v>
      </c>
      <c r="AJ218" s="295">
        <f>VLOOKUP(A218,'RBSA Weights'!$A$2:$N$322,8,FALSE)</f>
        <v>2319.07739257813</v>
      </c>
    </row>
    <row r="219" spans="1:36">
      <c r="A219" s="295">
        <v>22913</v>
      </c>
      <c r="B219" s="295" t="s">
        <v>6056</v>
      </c>
      <c r="C219" s="295" t="b">
        <v>0</v>
      </c>
      <c r="D219" s="295">
        <v>660</v>
      </c>
      <c r="E219" s="295">
        <v>8</v>
      </c>
      <c r="G219" s="295">
        <v>7</v>
      </c>
      <c r="H219" s="295" t="s">
        <v>6055</v>
      </c>
      <c r="I219" s="295">
        <v>0.129999995231628</v>
      </c>
      <c r="J219" s="295" t="b">
        <v>0</v>
      </c>
      <c r="K219" s="295">
        <v>660</v>
      </c>
      <c r="L219" s="295" t="s">
        <v>6041</v>
      </c>
      <c r="N219" s="295">
        <v>7</v>
      </c>
      <c r="O219" s="295" t="s">
        <v>6055</v>
      </c>
      <c r="P219" s="295">
        <v>9.4999998807907104E-2</v>
      </c>
      <c r="Q219" s="295" t="b">
        <v>0</v>
      </c>
      <c r="R219" s="295">
        <v>1024</v>
      </c>
      <c r="T219" s="295">
        <v>7</v>
      </c>
      <c r="U219" s="295" t="s">
        <v>6055</v>
      </c>
      <c r="V219" s="295">
        <v>0.119999997317791</v>
      </c>
      <c r="W219" s="295">
        <v>93</v>
      </c>
      <c r="Z219" s="295" t="b">
        <v>0</v>
      </c>
      <c r="AA219" s="295">
        <v>10</v>
      </c>
      <c r="AB219" s="295">
        <v>1.25</v>
      </c>
      <c r="AD219" s="295">
        <v>1.25</v>
      </c>
      <c r="AG219" s="295">
        <v>40</v>
      </c>
      <c r="AH219" s="295">
        <v>0.40000000596046398</v>
      </c>
      <c r="AJ219" s="295">
        <f>VLOOKUP(A219,'RBSA Weights'!$A$2:$N$322,8,FALSE)</f>
        <v>2128.88549804688</v>
      </c>
    </row>
    <row r="220" spans="1:36">
      <c r="A220" s="295">
        <v>22916</v>
      </c>
      <c r="B220" s="295" t="s">
        <v>6042</v>
      </c>
      <c r="C220" s="295" t="b">
        <v>0</v>
      </c>
      <c r="D220" s="295">
        <v>1566</v>
      </c>
      <c r="E220" s="295">
        <v>9</v>
      </c>
      <c r="G220" s="295">
        <v>11</v>
      </c>
      <c r="H220" s="295" t="s">
        <v>6040</v>
      </c>
      <c r="I220" s="295">
        <v>0.10000000149011599</v>
      </c>
      <c r="J220" s="295" t="b">
        <v>0</v>
      </c>
      <c r="K220" s="295">
        <v>1458</v>
      </c>
      <c r="L220" s="295" t="s">
        <v>6045</v>
      </c>
      <c r="N220" s="295">
        <v>11</v>
      </c>
      <c r="O220" s="295" t="s">
        <v>6040</v>
      </c>
      <c r="P220" s="295">
        <v>6.7000001668930095E-2</v>
      </c>
      <c r="Q220" s="295" t="b">
        <v>0</v>
      </c>
      <c r="R220" s="295">
        <v>1296</v>
      </c>
      <c r="T220" s="295">
        <v>11</v>
      </c>
      <c r="U220" s="295" t="s">
        <v>6040</v>
      </c>
      <c r="V220" s="295">
        <v>9.00000035762787E-2</v>
      </c>
      <c r="W220" s="295">
        <v>142</v>
      </c>
      <c r="Z220" s="295" t="b">
        <v>0</v>
      </c>
      <c r="AA220" s="295">
        <v>20</v>
      </c>
      <c r="AB220" s="295">
        <v>0.75</v>
      </c>
      <c r="AD220" s="295">
        <v>0.75</v>
      </c>
      <c r="AG220" s="295">
        <v>40</v>
      </c>
      <c r="AH220" s="295">
        <v>0.40000000596046398</v>
      </c>
      <c r="AJ220" s="295">
        <f>VLOOKUP(A220,'RBSA Weights'!$A$2:$N$322,8,FALSE)</f>
        <v>1211.2822265625</v>
      </c>
    </row>
    <row r="221" spans="1:36">
      <c r="A221" s="295">
        <v>22927</v>
      </c>
      <c r="B221" s="295" t="s">
        <v>6042</v>
      </c>
      <c r="C221" s="295" t="b">
        <v>0</v>
      </c>
      <c r="D221" s="295">
        <v>832</v>
      </c>
      <c r="E221" s="295">
        <v>7</v>
      </c>
      <c r="G221" s="295">
        <v>11</v>
      </c>
      <c r="H221" s="295" t="s">
        <v>6040</v>
      </c>
      <c r="I221" s="295">
        <v>0.10000000149011599</v>
      </c>
      <c r="J221" s="295" t="b">
        <v>0</v>
      </c>
      <c r="K221" s="295">
        <v>832</v>
      </c>
      <c r="L221" s="295" t="s">
        <v>6045</v>
      </c>
      <c r="N221" s="295">
        <v>11</v>
      </c>
      <c r="O221" s="295" t="s">
        <v>6040</v>
      </c>
      <c r="P221" s="295">
        <v>6.7000001668930095E-2</v>
      </c>
      <c r="Q221" s="295" t="b">
        <v>0</v>
      </c>
      <c r="R221" s="295">
        <v>1078</v>
      </c>
      <c r="T221" s="295">
        <v>11</v>
      </c>
      <c r="U221" s="295" t="s">
        <v>6040</v>
      </c>
      <c r="V221" s="295">
        <v>9.00000035762787E-2</v>
      </c>
      <c r="W221" s="295">
        <v>84</v>
      </c>
      <c r="Y221" s="295" t="s">
        <v>6048</v>
      </c>
      <c r="Z221" s="295" t="b">
        <v>1</v>
      </c>
      <c r="AA221" s="295">
        <v>40</v>
      </c>
      <c r="AB221" s="295">
        <v>0.75</v>
      </c>
      <c r="AC221" s="295">
        <v>0.55000001192092896</v>
      </c>
      <c r="AD221" s="295">
        <v>0.75</v>
      </c>
      <c r="AG221" s="295">
        <v>40</v>
      </c>
      <c r="AH221" s="295">
        <v>0.40000000596046398</v>
      </c>
      <c r="AJ221" s="295">
        <f>VLOOKUP(A221,'RBSA Weights'!$A$2:$N$322,8,FALSE)</f>
        <v>868.428955078125</v>
      </c>
    </row>
    <row r="222" spans="1:36">
      <c r="A222" s="295">
        <v>22928</v>
      </c>
      <c r="B222" s="295" t="s">
        <v>6042</v>
      </c>
      <c r="C222" s="295" t="b">
        <v>0</v>
      </c>
      <c r="D222" s="295">
        <v>1392</v>
      </c>
      <c r="E222" s="295">
        <v>7.5</v>
      </c>
      <c r="G222" s="295">
        <v>11</v>
      </c>
      <c r="H222" s="295" t="s">
        <v>6040</v>
      </c>
      <c r="I222" s="295">
        <v>0.10000000149011599</v>
      </c>
      <c r="J222" s="295" t="b">
        <v>0</v>
      </c>
      <c r="K222" s="295">
        <v>1392</v>
      </c>
      <c r="L222" s="295" t="s">
        <v>6045</v>
      </c>
      <c r="N222" s="295">
        <v>11</v>
      </c>
      <c r="O222" s="295" t="s">
        <v>6040</v>
      </c>
      <c r="P222" s="295">
        <v>6.7000001668930095E-2</v>
      </c>
      <c r="Q222" s="295" t="b">
        <v>0</v>
      </c>
      <c r="R222" s="295">
        <v>1230</v>
      </c>
      <c r="T222" s="295">
        <v>11</v>
      </c>
      <c r="U222" s="295" t="s">
        <v>6040</v>
      </c>
      <c r="V222" s="295">
        <v>9.00000035762787E-2</v>
      </c>
      <c r="X222" s="295">
        <v>152</v>
      </c>
      <c r="Y222" s="295" t="s">
        <v>6048</v>
      </c>
      <c r="Z222" s="295" t="b">
        <v>1</v>
      </c>
      <c r="AA222" s="295">
        <v>3</v>
      </c>
      <c r="AB222" s="295">
        <v>0.75</v>
      </c>
      <c r="AC222" s="295">
        <v>0.55000001192092896</v>
      </c>
      <c r="AD222" s="295">
        <v>0.55000001192092896</v>
      </c>
      <c r="AG222" s="295">
        <v>40</v>
      </c>
      <c r="AH222" s="295">
        <v>0.40000000596046398</v>
      </c>
      <c r="AJ222" s="295">
        <f>VLOOKUP(A222,'RBSA Weights'!$A$2:$N$322,8,FALSE)</f>
        <v>2914.5654296875</v>
      </c>
    </row>
    <row r="223" spans="1:36">
      <c r="A223" s="295">
        <v>22933</v>
      </c>
      <c r="B223" s="295" t="s">
        <v>6042</v>
      </c>
      <c r="C223" s="295" t="b">
        <v>0</v>
      </c>
      <c r="D223" s="295">
        <v>1440</v>
      </c>
      <c r="E223" s="295">
        <v>8</v>
      </c>
      <c r="G223" s="295">
        <v>11</v>
      </c>
      <c r="H223" s="295" t="s">
        <v>6040</v>
      </c>
      <c r="I223" s="295">
        <v>0.10000000149011599</v>
      </c>
      <c r="J223" s="295" t="b">
        <v>0</v>
      </c>
      <c r="K223" s="295">
        <v>1371</v>
      </c>
      <c r="L223" s="295" t="s">
        <v>6045</v>
      </c>
      <c r="N223" s="295">
        <v>11</v>
      </c>
      <c r="O223" s="295" t="s">
        <v>6040</v>
      </c>
      <c r="P223" s="295">
        <v>6.7000001668930095E-2</v>
      </c>
      <c r="Q223" s="295" t="b">
        <v>0</v>
      </c>
      <c r="R223" s="295">
        <v>1327</v>
      </c>
      <c r="T223" s="295">
        <v>11</v>
      </c>
      <c r="U223" s="295" t="s">
        <v>6040</v>
      </c>
      <c r="V223" s="295">
        <v>9.00000035762787E-2</v>
      </c>
      <c r="W223" s="295">
        <v>91</v>
      </c>
      <c r="Y223" s="295" t="s">
        <v>6048</v>
      </c>
      <c r="Z223" s="295" t="b">
        <v>1</v>
      </c>
      <c r="AA223" s="295">
        <v>50</v>
      </c>
      <c r="AB223" s="295">
        <v>0.75</v>
      </c>
      <c r="AC223" s="295">
        <v>0.55000001192092896</v>
      </c>
      <c r="AD223" s="295">
        <v>0.75</v>
      </c>
      <c r="AE223" s="295">
        <v>8</v>
      </c>
      <c r="AF223" s="295">
        <v>0.60000002384185802</v>
      </c>
      <c r="AG223" s="295">
        <v>40</v>
      </c>
      <c r="AH223" s="295">
        <v>0.40000000596046398</v>
      </c>
      <c r="AI223" s="295" t="s">
        <v>6105</v>
      </c>
      <c r="AJ223" s="295">
        <f>VLOOKUP(A223,'RBSA Weights'!$A$2:$N$322,8,FALSE)</f>
        <v>2128.88549804688</v>
      </c>
    </row>
    <row r="224" spans="1:36">
      <c r="A224" s="295">
        <v>22942</v>
      </c>
      <c r="B224" s="295" t="s">
        <v>6056</v>
      </c>
      <c r="C224" s="295" t="b">
        <v>0</v>
      </c>
      <c r="D224" s="295">
        <v>1200</v>
      </c>
      <c r="E224" s="295">
        <v>7.5</v>
      </c>
      <c r="G224" s="295">
        <v>7</v>
      </c>
      <c r="H224" s="295" t="s">
        <v>6055</v>
      </c>
      <c r="I224" s="295">
        <v>0.129999995231628</v>
      </c>
      <c r="J224" s="295" t="b">
        <v>0</v>
      </c>
      <c r="K224" s="295">
        <v>1200</v>
      </c>
      <c r="L224" s="295" t="s">
        <v>6041</v>
      </c>
      <c r="N224" s="295">
        <v>7</v>
      </c>
      <c r="O224" s="295" t="s">
        <v>6055</v>
      </c>
      <c r="P224" s="295">
        <v>9.4999998807907104E-2</v>
      </c>
      <c r="Q224" s="295" t="b">
        <v>0</v>
      </c>
      <c r="R224" s="295">
        <v>1155</v>
      </c>
      <c r="T224" s="295">
        <v>7</v>
      </c>
      <c r="U224" s="295" t="s">
        <v>6055</v>
      </c>
      <c r="V224" s="295">
        <v>0.119999997317791</v>
      </c>
      <c r="W224" s="295">
        <v>99</v>
      </c>
      <c r="Z224" s="295" t="b">
        <v>0</v>
      </c>
      <c r="AA224" s="295">
        <v>40</v>
      </c>
      <c r="AB224" s="295">
        <v>1.25</v>
      </c>
      <c r="AD224" s="295">
        <v>1.25</v>
      </c>
      <c r="AE224" s="295">
        <v>3</v>
      </c>
      <c r="AF224" s="295">
        <v>1.29999995231628</v>
      </c>
      <c r="AG224" s="295">
        <v>40</v>
      </c>
      <c r="AH224" s="295">
        <v>0.40000000596046398</v>
      </c>
      <c r="AI224" s="295" t="s">
        <v>6104</v>
      </c>
      <c r="AJ224" s="295">
        <f>VLOOKUP(A224,'RBSA Weights'!$A$2:$N$322,8,FALSE)</f>
        <v>868.428955078125</v>
      </c>
    </row>
    <row r="225" spans="1:36">
      <c r="A225" s="295">
        <v>22983</v>
      </c>
      <c r="B225" s="295" t="s">
        <v>6042</v>
      </c>
      <c r="C225" s="295" t="b">
        <v>0</v>
      </c>
      <c r="D225" s="295">
        <v>845</v>
      </c>
      <c r="E225" s="295">
        <v>8</v>
      </c>
      <c r="G225" s="295">
        <v>11</v>
      </c>
      <c r="H225" s="295" t="s">
        <v>6040</v>
      </c>
      <c r="I225" s="295">
        <v>0.10000000149011599</v>
      </c>
      <c r="J225" s="295" t="b">
        <v>0</v>
      </c>
      <c r="K225" s="295">
        <v>845</v>
      </c>
      <c r="L225" s="295" t="s">
        <v>6041</v>
      </c>
      <c r="N225" s="295">
        <v>11</v>
      </c>
      <c r="O225" s="295" t="s">
        <v>6040</v>
      </c>
      <c r="P225" s="295">
        <v>8.5000000894069699E-2</v>
      </c>
      <c r="Q225" s="295" t="b">
        <v>0</v>
      </c>
      <c r="R225" s="295">
        <v>1248</v>
      </c>
      <c r="T225" s="295">
        <v>11</v>
      </c>
      <c r="U225" s="295" t="s">
        <v>6040</v>
      </c>
      <c r="V225" s="295">
        <v>9.00000035762787E-2</v>
      </c>
      <c r="W225" s="295">
        <v>129</v>
      </c>
      <c r="Y225" s="295" t="s">
        <v>6048</v>
      </c>
      <c r="Z225" s="295" t="b">
        <v>1</v>
      </c>
      <c r="AA225" s="295">
        <v>15</v>
      </c>
      <c r="AB225" s="295">
        <v>0.75</v>
      </c>
      <c r="AC225" s="295">
        <v>0.55000001192092896</v>
      </c>
      <c r="AD225" s="295">
        <v>0.75</v>
      </c>
      <c r="AG225" s="295">
        <v>40</v>
      </c>
      <c r="AH225" s="295">
        <v>0.40000000596046398</v>
      </c>
      <c r="AJ225" s="295">
        <f>VLOOKUP(A225,'RBSA Weights'!$A$2:$N$322,8,FALSE)</f>
        <v>1211.2822265625</v>
      </c>
    </row>
    <row r="226" spans="1:36">
      <c r="A226" s="295">
        <v>23004</v>
      </c>
      <c r="B226" s="295" t="s">
        <v>6053</v>
      </c>
      <c r="C226" s="295" t="b">
        <v>0</v>
      </c>
      <c r="D226" s="295">
        <v>1248</v>
      </c>
      <c r="E226" s="295">
        <v>9</v>
      </c>
      <c r="G226" s="295">
        <v>22</v>
      </c>
      <c r="H226" s="295" t="s">
        <v>6046</v>
      </c>
      <c r="I226" s="295">
        <v>5.2000001072883599E-2</v>
      </c>
      <c r="J226" s="295" t="b">
        <v>0</v>
      </c>
      <c r="K226" s="295">
        <v>1516</v>
      </c>
      <c r="L226" s="295" t="s">
        <v>6045</v>
      </c>
      <c r="N226" s="295">
        <v>22</v>
      </c>
      <c r="O226" s="295" t="s">
        <v>6046</v>
      </c>
      <c r="P226" s="295">
        <v>5.0999999046325697E-2</v>
      </c>
      <c r="Q226" s="295" t="b">
        <v>0</v>
      </c>
      <c r="R226" s="295">
        <v>1312</v>
      </c>
      <c r="T226" s="295">
        <v>11</v>
      </c>
      <c r="U226" s="295" t="s">
        <v>6040</v>
      </c>
      <c r="V226" s="295">
        <v>9.00000035762787E-2</v>
      </c>
      <c r="W226" s="295">
        <v>130</v>
      </c>
      <c r="Z226" s="295" t="b">
        <v>0</v>
      </c>
      <c r="AA226" s="295">
        <v>10</v>
      </c>
      <c r="AB226" s="295">
        <v>0.479999989271164</v>
      </c>
      <c r="AD226" s="295">
        <v>0.479999989271164</v>
      </c>
      <c r="AG226" s="295">
        <v>40</v>
      </c>
      <c r="AH226" s="295">
        <v>0.40000000596046398</v>
      </c>
      <c r="AJ226" s="295">
        <f>VLOOKUP(A226,'RBSA Weights'!$A$2:$N$322,8,FALSE)</f>
        <v>2128.88549804688</v>
      </c>
    </row>
    <row r="227" spans="1:36">
      <c r="A227" s="295">
        <v>23025</v>
      </c>
      <c r="B227" s="295" t="s">
        <v>6042</v>
      </c>
      <c r="C227" s="295" t="b">
        <v>1</v>
      </c>
      <c r="D227" s="295">
        <v>1225</v>
      </c>
      <c r="E227" s="295">
        <v>8</v>
      </c>
      <c r="F227" s="295" t="s">
        <v>157</v>
      </c>
      <c r="G227" s="295">
        <v>19</v>
      </c>
      <c r="H227" s="295" t="s">
        <v>6051</v>
      </c>
      <c r="I227" s="295">
        <v>5.6000001728534698E-2</v>
      </c>
      <c r="J227" s="295" t="b">
        <v>0</v>
      </c>
      <c r="K227" s="295">
        <v>1225</v>
      </c>
      <c r="L227" s="295" t="s">
        <v>6091</v>
      </c>
      <c r="N227" s="295">
        <v>7</v>
      </c>
      <c r="O227" s="295" t="s">
        <v>6055</v>
      </c>
      <c r="P227" s="295">
        <v>0.196999996900558</v>
      </c>
      <c r="Q227" s="295" t="b">
        <v>1</v>
      </c>
      <c r="R227" s="295">
        <v>1192</v>
      </c>
      <c r="S227" s="295" t="s">
        <v>156</v>
      </c>
      <c r="T227" s="295">
        <v>11</v>
      </c>
      <c r="U227" s="295" t="s">
        <v>6040</v>
      </c>
      <c r="V227" s="295">
        <v>9.00000035762787E-2</v>
      </c>
      <c r="W227" s="295">
        <v>167</v>
      </c>
      <c r="Y227" s="295" t="s">
        <v>6088</v>
      </c>
      <c r="Z227" s="295" t="b">
        <v>1</v>
      </c>
      <c r="AA227" s="295">
        <v>40</v>
      </c>
      <c r="AB227" s="295">
        <v>0.75</v>
      </c>
      <c r="AC227" s="295">
        <v>0.34999999403953602</v>
      </c>
      <c r="AD227" s="295">
        <v>0.75</v>
      </c>
      <c r="AG227" s="295">
        <v>40</v>
      </c>
      <c r="AH227" s="295">
        <v>0.40000000596046398</v>
      </c>
      <c r="AI227" s="295" t="s">
        <v>6103</v>
      </c>
      <c r="AJ227" s="295">
        <f>VLOOKUP(A227,'RBSA Weights'!$A$2:$N$322,8,FALSE)</f>
        <v>1211.2822265625</v>
      </c>
    </row>
    <row r="228" spans="1:36">
      <c r="A228" s="295">
        <v>23035</v>
      </c>
      <c r="B228" s="295" t="s">
        <v>6058</v>
      </c>
      <c r="C228" s="295" t="b">
        <v>0</v>
      </c>
      <c r="D228" s="295">
        <v>1928</v>
      </c>
      <c r="E228" s="295">
        <v>9</v>
      </c>
      <c r="G228" s="295">
        <v>49</v>
      </c>
      <c r="H228" s="295" t="s">
        <v>6057</v>
      </c>
      <c r="I228" s="295">
        <v>2.60000005364418E-2</v>
      </c>
      <c r="J228" s="295" t="b">
        <v>0</v>
      </c>
      <c r="K228" s="295">
        <v>1782</v>
      </c>
      <c r="L228" s="295" t="s">
        <v>6045</v>
      </c>
      <c r="N228" s="295">
        <v>33</v>
      </c>
      <c r="O228" s="295" t="s">
        <v>162</v>
      </c>
      <c r="P228" s="295">
        <v>2.9999999329447701E-2</v>
      </c>
      <c r="Q228" s="295" t="b">
        <v>0</v>
      </c>
      <c r="R228" s="295">
        <v>1488</v>
      </c>
      <c r="T228" s="295">
        <v>21</v>
      </c>
      <c r="U228" s="295" t="s">
        <v>6051</v>
      </c>
      <c r="V228" s="295">
        <v>5.6000001728534698E-2</v>
      </c>
      <c r="W228" s="295">
        <v>199</v>
      </c>
      <c r="Z228" s="295" t="b">
        <v>0</v>
      </c>
      <c r="AA228" s="295">
        <v>50</v>
      </c>
      <c r="AB228" s="295">
        <v>0.34999999403953602</v>
      </c>
      <c r="AD228" s="295">
        <v>0.34999999403953602</v>
      </c>
      <c r="AE228" s="295">
        <v>12</v>
      </c>
      <c r="AF228" s="295">
        <v>0.71666663885116599</v>
      </c>
      <c r="AG228" s="295">
        <v>40</v>
      </c>
      <c r="AH228" s="295">
        <v>0.40000000596046398</v>
      </c>
      <c r="AI228" s="295" t="s">
        <v>6102</v>
      </c>
      <c r="AJ228" s="295">
        <f>VLOOKUP(A228,'RBSA Weights'!$A$2:$N$322,8,FALSE)</f>
        <v>2914.5654296875</v>
      </c>
    </row>
    <row r="229" spans="1:36">
      <c r="A229" s="295">
        <v>23061</v>
      </c>
      <c r="B229" s="295" t="s">
        <v>6053</v>
      </c>
      <c r="C229" s="295" t="b">
        <v>0</v>
      </c>
      <c r="D229" s="295">
        <v>1560</v>
      </c>
      <c r="E229" s="295">
        <v>7.5</v>
      </c>
      <c r="G229" s="295">
        <v>22</v>
      </c>
      <c r="H229" s="295" t="s">
        <v>6046</v>
      </c>
      <c r="I229" s="295">
        <v>5.2000001072883599E-2</v>
      </c>
      <c r="J229" s="295" t="b">
        <v>0</v>
      </c>
      <c r="K229" s="295">
        <v>1560</v>
      </c>
      <c r="L229" s="295" t="s">
        <v>6045</v>
      </c>
      <c r="N229" s="295">
        <v>22</v>
      </c>
      <c r="O229" s="295" t="s">
        <v>6046</v>
      </c>
      <c r="P229" s="295">
        <v>5.0999999046325697E-2</v>
      </c>
      <c r="Q229" s="295" t="b">
        <v>0</v>
      </c>
      <c r="R229" s="295">
        <v>11290</v>
      </c>
      <c r="T229" s="295">
        <v>11</v>
      </c>
      <c r="U229" s="295" t="s">
        <v>6040</v>
      </c>
      <c r="V229" s="295">
        <v>9.00000035762787E-2</v>
      </c>
      <c r="W229" s="295">
        <v>152</v>
      </c>
      <c r="Z229" s="295" t="b">
        <v>0</v>
      </c>
      <c r="AA229" s="295">
        <v>2</v>
      </c>
      <c r="AB229" s="295">
        <v>0.479999989271164</v>
      </c>
      <c r="AC229" s="295">
        <v>0.69999998807907104</v>
      </c>
      <c r="AD229" s="295">
        <v>0.479999989271164</v>
      </c>
      <c r="AG229" s="295">
        <v>40</v>
      </c>
      <c r="AH229" s="295">
        <v>0.40000000596046398</v>
      </c>
      <c r="AJ229" s="295">
        <f>VLOOKUP(A229,'RBSA Weights'!$A$2:$N$322,8,FALSE)</f>
        <v>2128.94555664063</v>
      </c>
    </row>
    <row r="230" spans="1:36">
      <c r="A230" s="295">
        <v>23063</v>
      </c>
      <c r="B230" s="295" t="s">
        <v>6056</v>
      </c>
      <c r="C230" s="295" t="b">
        <v>0</v>
      </c>
      <c r="D230" s="295">
        <v>573</v>
      </c>
      <c r="E230" s="295">
        <v>8</v>
      </c>
      <c r="G230" s="295">
        <v>7</v>
      </c>
      <c r="H230" s="295" t="s">
        <v>6055</v>
      </c>
      <c r="I230" s="295">
        <v>0.129999995231628</v>
      </c>
      <c r="J230" s="295" t="b">
        <v>0</v>
      </c>
      <c r="K230" s="295">
        <v>573</v>
      </c>
      <c r="L230" s="295" t="s">
        <v>6060</v>
      </c>
      <c r="N230" s="295">
        <v>7</v>
      </c>
      <c r="O230" s="295" t="s">
        <v>6055</v>
      </c>
      <c r="P230" s="295">
        <v>0.14699999988079099</v>
      </c>
      <c r="Q230" s="295" t="b">
        <v>0</v>
      </c>
      <c r="R230" s="295">
        <v>960</v>
      </c>
      <c r="T230" s="295">
        <v>7</v>
      </c>
      <c r="U230" s="295" t="s">
        <v>6055</v>
      </c>
      <c r="V230" s="295">
        <v>0.119999997317791</v>
      </c>
      <c r="W230" s="295">
        <v>92</v>
      </c>
      <c r="Y230" s="295" t="s">
        <v>6048</v>
      </c>
      <c r="Z230" s="295" t="b">
        <v>1</v>
      </c>
      <c r="AA230" s="295">
        <v>5</v>
      </c>
      <c r="AB230" s="295">
        <v>1.25</v>
      </c>
      <c r="AC230" s="295">
        <v>0.55000001192092896</v>
      </c>
      <c r="AD230" s="295">
        <v>1.25</v>
      </c>
      <c r="AG230" s="295">
        <v>40</v>
      </c>
      <c r="AH230" s="295">
        <v>0.40000000596046398</v>
      </c>
      <c r="AJ230" s="295">
        <f>VLOOKUP(A230,'RBSA Weights'!$A$2:$N$322,8,FALSE)</f>
        <v>2914.5654296875</v>
      </c>
    </row>
    <row r="231" spans="1:36">
      <c r="A231" s="295">
        <v>23069</v>
      </c>
      <c r="B231" s="295" t="s">
        <v>6056</v>
      </c>
      <c r="C231" s="295" t="b">
        <v>0</v>
      </c>
      <c r="D231" s="295">
        <v>484</v>
      </c>
      <c r="E231" s="295">
        <v>7</v>
      </c>
      <c r="G231" s="295">
        <v>7</v>
      </c>
      <c r="H231" s="295" t="s">
        <v>6055</v>
      </c>
      <c r="I231" s="295">
        <v>0.129999995231628</v>
      </c>
      <c r="J231" s="295" t="b">
        <v>0</v>
      </c>
      <c r="K231" s="295">
        <v>484</v>
      </c>
      <c r="L231" s="295" t="s">
        <v>6041</v>
      </c>
      <c r="N231" s="295">
        <v>7</v>
      </c>
      <c r="O231" s="295" t="s">
        <v>6055</v>
      </c>
      <c r="P231" s="295">
        <v>9.4999998807907104E-2</v>
      </c>
      <c r="Q231" s="295" t="b">
        <v>0</v>
      </c>
      <c r="R231" s="295">
        <v>770</v>
      </c>
      <c r="T231" s="295">
        <v>7</v>
      </c>
      <c r="U231" s="295" t="s">
        <v>6055</v>
      </c>
      <c r="V231" s="295">
        <v>0.119999997317791</v>
      </c>
      <c r="W231" s="295">
        <v>76</v>
      </c>
      <c r="Z231" s="295" t="b">
        <v>0</v>
      </c>
      <c r="AA231" s="295">
        <v>0</v>
      </c>
      <c r="AB231" s="295">
        <v>1.25</v>
      </c>
      <c r="AD231" s="295">
        <v>1.25</v>
      </c>
      <c r="AG231" s="295">
        <v>40</v>
      </c>
      <c r="AH231" s="295">
        <v>0.40000000596046398</v>
      </c>
      <c r="AI231" s="295" t="s">
        <v>6084</v>
      </c>
      <c r="AJ231" s="295">
        <f>VLOOKUP(A231,'RBSA Weights'!$A$2:$N$322,8,FALSE)</f>
        <v>2914.5654296875</v>
      </c>
    </row>
    <row r="232" spans="1:36">
      <c r="A232" s="295">
        <v>23072</v>
      </c>
      <c r="B232" s="295" t="s">
        <v>6058</v>
      </c>
      <c r="C232" s="295" t="b">
        <v>0</v>
      </c>
      <c r="D232" s="295">
        <v>1000</v>
      </c>
      <c r="E232" s="295">
        <v>9</v>
      </c>
      <c r="G232" s="295">
        <v>49</v>
      </c>
      <c r="H232" s="295" t="s">
        <v>6057</v>
      </c>
      <c r="I232" s="295">
        <v>2.60000005364418E-2</v>
      </c>
      <c r="J232" s="295" t="b">
        <v>0</v>
      </c>
      <c r="K232" s="295">
        <v>989</v>
      </c>
      <c r="L232" s="295" t="s">
        <v>6045</v>
      </c>
      <c r="N232" s="295">
        <v>33</v>
      </c>
      <c r="O232" s="295" t="s">
        <v>162</v>
      </c>
      <c r="P232" s="295">
        <v>2.9999999329447701E-2</v>
      </c>
      <c r="Q232" s="295" t="b">
        <v>0</v>
      </c>
      <c r="R232" s="295">
        <v>1056</v>
      </c>
      <c r="T232" s="295">
        <v>21</v>
      </c>
      <c r="U232" s="295" t="s">
        <v>6051</v>
      </c>
      <c r="V232" s="295">
        <v>5.6000001728534698E-2</v>
      </c>
      <c r="W232" s="295">
        <v>141</v>
      </c>
      <c r="Z232" s="295" t="b">
        <v>0</v>
      </c>
      <c r="AA232" s="295">
        <v>5</v>
      </c>
      <c r="AB232" s="295">
        <v>0.34999999403953602</v>
      </c>
      <c r="AD232" s="295">
        <v>0.34999999403953602</v>
      </c>
      <c r="AG232" s="295">
        <v>40</v>
      </c>
      <c r="AH232" s="295">
        <v>0.40000000596046398</v>
      </c>
      <c r="AI232" s="295" t="s">
        <v>6101</v>
      </c>
      <c r="AJ232" s="295">
        <f>VLOOKUP(A232,'RBSA Weights'!$A$2:$N$322,8,FALSE)</f>
        <v>1211.2822265625</v>
      </c>
    </row>
    <row r="233" spans="1:36">
      <c r="A233" s="295">
        <v>23167</v>
      </c>
      <c r="B233" s="295" t="s">
        <v>6056</v>
      </c>
      <c r="C233" s="295" t="b">
        <v>0</v>
      </c>
      <c r="D233" s="295">
        <v>1497</v>
      </c>
      <c r="E233" s="295">
        <v>7</v>
      </c>
      <c r="G233" s="295">
        <v>7</v>
      </c>
      <c r="H233" s="295" t="s">
        <v>6055</v>
      </c>
      <c r="I233" s="295">
        <v>0.129999995231628</v>
      </c>
      <c r="J233" s="295" t="b">
        <v>1</v>
      </c>
      <c r="K233" s="295">
        <v>1856</v>
      </c>
      <c r="L233" s="295" t="s">
        <v>6081</v>
      </c>
      <c r="M233" s="295" t="s">
        <v>157</v>
      </c>
      <c r="N233" s="295">
        <v>19</v>
      </c>
      <c r="O233" s="295" t="s">
        <v>6051</v>
      </c>
      <c r="P233" s="295">
        <v>0.17000000178813901</v>
      </c>
      <c r="Q233" s="295" t="b">
        <v>1</v>
      </c>
      <c r="R233" s="295">
        <v>2128</v>
      </c>
      <c r="S233" s="295" t="s">
        <v>157</v>
      </c>
      <c r="T233" s="295">
        <v>19</v>
      </c>
      <c r="U233" s="295" t="s">
        <v>6051</v>
      </c>
      <c r="V233" s="295">
        <v>5.9999998658895499E-2</v>
      </c>
      <c r="W233" s="295">
        <v>86</v>
      </c>
      <c r="Y233" s="295" t="s">
        <v>6048</v>
      </c>
      <c r="Z233" s="295" t="b">
        <v>1</v>
      </c>
      <c r="AA233" s="295">
        <v>52</v>
      </c>
      <c r="AB233" s="295">
        <v>1.25</v>
      </c>
      <c r="AC233" s="295">
        <v>0.55000001192092896</v>
      </c>
      <c r="AD233" s="295">
        <v>1.25</v>
      </c>
      <c r="AG233" s="295">
        <v>40</v>
      </c>
      <c r="AH233" s="295">
        <v>0.40000000596046398</v>
      </c>
      <c r="AJ233" s="295">
        <f>VLOOKUP(A233,'RBSA Weights'!$A$2:$N$322,8,FALSE)</f>
        <v>868.428955078125</v>
      </c>
    </row>
    <row r="234" spans="1:36">
      <c r="A234" s="295">
        <v>23169</v>
      </c>
      <c r="B234" s="295" t="s">
        <v>6053</v>
      </c>
      <c r="C234" s="295" t="b">
        <v>0</v>
      </c>
      <c r="D234" s="295">
        <v>2080</v>
      </c>
      <c r="E234" s="295">
        <v>9</v>
      </c>
      <c r="G234" s="295">
        <v>22</v>
      </c>
      <c r="H234" s="295" t="s">
        <v>6046</v>
      </c>
      <c r="I234" s="295">
        <v>5.2000001072883599E-2</v>
      </c>
      <c r="J234" s="295" t="b">
        <v>0</v>
      </c>
      <c r="K234" s="295">
        <v>1920</v>
      </c>
      <c r="L234" s="295" t="s">
        <v>6045</v>
      </c>
      <c r="N234" s="295">
        <v>22</v>
      </c>
      <c r="O234" s="295" t="s">
        <v>6046</v>
      </c>
      <c r="P234" s="295">
        <v>5.0999999046325697E-2</v>
      </c>
      <c r="Q234" s="295" t="b">
        <v>0</v>
      </c>
      <c r="R234" s="295">
        <v>1836</v>
      </c>
      <c r="T234" s="295">
        <v>11</v>
      </c>
      <c r="U234" s="295" t="s">
        <v>6040</v>
      </c>
      <c r="V234" s="295">
        <v>9.00000035762787E-2</v>
      </c>
      <c r="W234" s="295">
        <v>213</v>
      </c>
      <c r="Z234" s="295" t="b">
        <v>0</v>
      </c>
      <c r="AA234" s="295">
        <v>40</v>
      </c>
      <c r="AB234" s="295">
        <v>0.479999989271164</v>
      </c>
      <c r="AC234" s="295">
        <v>0.55000001192092896</v>
      </c>
      <c r="AD234" s="295">
        <v>0.479999989271164</v>
      </c>
      <c r="AG234" s="295">
        <v>40</v>
      </c>
      <c r="AH234" s="295">
        <v>0.40000000596046398</v>
      </c>
      <c r="AJ234" s="295">
        <f>VLOOKUP(A234,'RBSA Weights'!$A$2:$N$322,8,FALSE)</f>
        <v>1211.2822265625</v>
      </c>
    </row>
    <row r="235" spans="1:36">
      <c r="A235" s="295">
        <v>23182</v>
      </c>
      <c r="B235" s="295" t="s">
        <v>6056</v>
      </c>
      <c r="C235" s="295" t="b">
        <v>0</v>
      </c>
      <c r="D235" s="295">
        <v>900</v>
      </c>
      <c r="E235" s="295">
        <v>8</v>
      </c>
      <c r="G235" s="295">
        <v>7</v>
      </c>
      <c r="H235" s="295" t="s">
        <v>6055</v>
      </c>
      <c r="I235" s="295">
        <v>0.129999995231628</v>
      </c>
      <c r="J235" s="295" t="b">
        <v>0</v>
      </c>
      <c r="K235" s="295">
        <v>900</v>
      </c>
      <c r="L235" s="295" t="s">
        <v>6041</v>
      </c>
      <c r="N235" s="295">
        <v>7</v>
      </c>
      <c r="O235" s="295" t="s">
        <v>6055</v>
      </c>
      <c r="P235" s="295">
        <v>9.4999998807907104E-2</v>
      </c>
      <c r="Q235" s="295" t="b">
        <v>0</v>
      </c>
      <c r="R235" s="295">
        <v>1464</v>
      </c>
      <c r="T235" s="295">
        <v>7</v>
      </c>
      <c r="U235" s="295" t="s">
        <v>6055</v>
      </c>
      <c r="V235" s="295">
        <v>0.119999997317791</v>
      </c>
      <c r="X235" s="295">
        <v>131</v>
      </c>
      <c r="Y235" s="295" t="s">
        <v>6048</v>
      </c>
      <c r="Z235" s="295" t="b">
        <v>1</v>
      </c>
      <c r="AA235" s="295">
        <v>14</v>
      </c>
      <c r="AB235" s="295">
        <v>1.25</v>
      </c>
      <c r="AC235" s="295">
        <v>0.55000001192092896</v>
      </c>
      <c r="AD235" s="295">
        <v>0.55000001192092896</v>
      </c>
      <c r="AG235" s="295">
        <v>40</v>
      </c>
      <c r="AH235" s="295">
        <v>0.40000000596046398</v>
      </c>
      <c r="AJ235" s="295">
        <f>VLOOKUP(A235,'RBSA Weights'!$A$2:$N$322,8,FALSE)</f>
        <v>3065.64990234375</v>
      </c>
    </row>
    <row r="236" spans="1:36">
      <c r="A236" s="295">
        <v>23198</v>
      </c>
      <c r="B236" s="295" t="s">
        <v>6056</v>
      </c>
      <c r="C236" s="295" t="b">
        <v>0</v>
      </c>
      <c r="D236" s="295">
        <v>672</v>
      </c>
      <c r="E236" s="295">
        <v>7.5</v>
      </c>
      <c r="G236" s="295">
        <v>7</v>
      </c>
      <c r="H236" s="295" t="s">
        <v>6055</v>
      </c>
      <c r="I236" s="295">
        <v>0.129999995231628</v>
      </c>
      <c r="J236" s="295" t="b">
        <v>0</v>
      </c>
      <c r="K236" s="295">
        <v>672</v>
      </c>
      <c r="L236" s="295" t="s">
        <v>6050</v>
      </c>
      <c r="N236" s="295">
        <v>7</v>
      </c>
      <c r="O236" s="295" t="s">
        <v>6055</v>
      </c>
      <c r="P236" s="295">
        <v>0.11599999666214</v>
      </c>
      <c r="Q236" s="295" t="b">
        <v>0</v>
      </c>
      <c r="R236" s="295">
        <v>1043</v>
      </c>
      <c r="T236" s="295">
        <v>7</v>
      </c>
      <c r="U236" s="295" t="s">
        <v>6055</v>
      </c>
      <c r="V236" s="295">
        <v>0.119999997317791</v>
      </c>
      <c r="W236" s="295">
        <v>87</v>
      </c>
      <c r="Z236" s="295" t="b">
        <v>0</v>
      </c>
      <c r="AA236" s="295">
        <v>8</v>
      </c>
      <c r="AB236" s="295">
        <v>1.25</v>
      </c>
      <c r="AD236" s="295">
        <v>1.25</v>
      </c>
      <c r="AG236" s="295">
        <v>40</v>
      </c>
      <c r="AH236" s="295">
        <v>0.40000000596046398</v>
      </c>
      <c r="AI236" s="295" t="s">
        <v>6100</v>
      </c>
      <c r="AJ236" s="295">
        <f>VLOOKUP(A236,'RBSA Weights'!$A$2:$N$322,8,FALSE)</f>
        <v>868.428955078125</v>
      </c>
    </row>
    <row r="237" spans="1:36">
      <c r="A237" s="295">
        <v>23201</v>
      </c>
      <c r="B237" s="295" t="s">
        <v>6042</v>
      </c>
      <c r="C237" s="295" t="b">
        <v>0</v>
      </c>
      <c r="D237" s="295">
        <v>924</v>
      </c>
      <c r="E237" s="295">
        <v>8.25</v>
      </c>
      <c r="G237" s="295">
        <v>11</v>
      </c>
      <c r="H237" s="295" t="s">
        <v>6040</v>
      </c>
      <c r="I237" s="295">
        <v>0.10000000149011599</v>
      </c>
      <c r="J237" s="295" t="b">
        <v>0</v>
      </c>
      <c r="K237" s="295">
        <v>924</v>
      </c>
      <c r="L237" s="295" t="s">
        <v>6045</v>
      </c>
      <c r="N237" s="295">
        <v>11</v>
      </c>
      <c r="O237" s="295" t="s">
        <v>6040</v>
      </c>
      <c r="P237" s="295">
        <v>6.7000001668930095E-2</v>
      </c>
      <c r="Q237" s="295" t="b">
        <v>0</v>
      </c>
      <c r="R237" s="295">
        <v>1280</v>
      </c>
      <c r="T237" s="295">
        <v>11</v>
      </c>
      <c r="U237" s="295" t="s">
        <v>6040</v>
      </c>
      <c r="V237" s="295">
        <v>9.00000035762787E-2</v>
      </c>
      <c r="W237" s="295">
        <v>149</v>
      </c>
      <c r="Z237" s="295" t="b">
        <v>0</v>
      </c>
      <c r="AA237" s="295">
        <v>40</v>
      </c>
      <c r="AB237" s="295">
        <v>0.75</v>
      </c>
      <c r="AD237" s="295">
        <v>0.75</v>
      </c>
      <c r="AG237" s="295">
        <v>40</v>
      </c>
      <c r="AH237" s="295">
        <v>0.40000000596046398</v>
      </c>
      <c r="AI237" s="295" t="s">
        <v>6099</v>
      </c>
      <c r="AJ237" s="295">
        <f>VLOOKUP(A237,'RBSA Weights'!$A$2:$N$322,8,FALSE)</f>
        <v>3065.64990234375</v>
      </c>
    </row>
    <row r="238" spans="1:36">
      <c r="A238" s="295">
        <v>23210</v>
      </c>
      <c r="B238" s="295" t="s">
        <v>6042</v>
      </c>
      <c r="C238" s="295" t="b">
        <v>0</v>
      </c>
      <c r="D238" s="295">
        <v>1152</v>
      </c>
      <c r="E238" s="295">
        <v>7.5</v>
      </c>
      <c r="G238" s="295">
        <v>11</v>
      </c>
      <c r="H238" s="295" t="s">
        <v>6040</v>
      </c>
      <c r="I238" s="295">
        <v>0.10000000149011599</v>
      </c>
      <c r="J238" s="295" t="b">
        <v>0</v>
      </c>
      <c r="K238" s="295">
        <v>1144</v>
      </c>
      <c r="L238" s="295" t="s">
        <v>6045</v>
      </c>
      <c r="N238" s="295">
        <v>11</v>
      </c>
      <c r="O238" s="295" t="s">
        <v>6040</v>
      </c>
      <c r="P238" s="295">
        <v>6.7000001668930095E-2</v>
      </c>
      <c r="Q238" s="295" t="b">
        <v>0</v>
      </c>
      <c r="R238" s="295">
        <v>1110</v>
      </c>
      <c r="T238" s="295">
        <v>11</v>
      </c>
      <c r="U238" s="295" t="s">
        <v>6040</v>
      </c>
      <c r="V238" s="295">
        <v>9.00000035762787E-2</v>
      </c>
      <c r="W238" s="295">
        <v>22</v>
      </c>
      <c r="X238" s="295">
        <v>39</v>
      </c>
      <c r="Y238" s="295" t="s">
        <v>6048</v>
      </c>
      <c r="Z238" s="295" t="b">
        <v>1</v>
      </c>
      <c r="AA238" s="295">
        <v>25</v>
      </c>
      <c r="AB238" s="295">
        <v>0.75</v>
      </c>
      <c r="AC238" s="295">
        <v>0.55000001192092896</v>
      </c>
      <c r="AD238" s="295">
        <v>0.62213116884231601</v>
      </c>
      <c r="AE238" s="295">
        <v>16</v>
      </c>
      <c r="AF238" s="295">
        <v>0.60000002384185802</v>
      </c>
      <c r="AG238" s="295">
        <v>40</v>
      </c>
      <c r="AH238" s="295">
        <v>0.40000000596046398</v>
      </c>
      <c r="AJ238" s="295">
        <f>VLOOKUP(A238,'RBSA Weights'!$A$2:$N$322,8,FALSE)</f>
        <v>2319.07739257813</v>
      </c>
    </row>
    <row r="239" spans="1:36">
      <c r="A239" s="295">
        <v>23215</v>
      </c>
      <c r="B239" s="295" t="s">
        <v>6042</v>
      </c>
      <c r="C239" s="295" t="b">
        <v>0</v>
      </c>
      <c r="D239" s="295">
        <v>1704</v>
      </c>
      <c r="E239" s="295">
        <v>8</v>
      </c>
      <c r="G239" s="295">
        <v>11</v>
      </c>
      <c r="H239" s="295" t="s">
        <v>6040</v>
      </c>
      <c r="I239" s="295">
        <v>0.10000000149011599</v>
      </c>
      <c r="J239" s="295" t="b">
        <v>0</v>
      </c>
      <c r="K239" s="295">
        <v>1704</v>
      </c>
      <c r="L239" s="295" t="s">
        <v>6045</v>
      </c>
      <c r="N239" s="295">
        <v>11</v>
      </c>
      <c r="O239" s="295" t="s">
        <v>6040</v>
      </c>
      <c r="P239" s="295">
        <v>6.7000001668930095E-2</v>
      </c>
      <c r="Q239" s="295" t="b">
        <v>0</v>
      </c>
      <c r="R239" s="295">
        <v>1544</v>
      </c>
      <c r="T239" s="295">
        <v>11</v>
      </c>
      <c r="U239" s="295" t="s">
        <v>6040</v>
      </c>
      <c r="V239" s="295">
        <v>9.00000035762787E-2</v>
      </c>
      <c r="W239" s="295">
        <v>141</v>
      </c>
      <c r="X239" s="295">
        <v>30</v>
      </c>
      <c r="Y239" s="295" t="s">
        <v>6048</v>
      </c>
      <c r="Z239" s="295" t="b">
        <v>1</v>
      </c>
      <c r="AA239" s="295">
        <v>25</v>
      </c>
      <c r="AB239" s="295">
        <v>0.75</v>
      </c>
      <c r="AC239" s="295">
        <v>0.55000001192092896</v>
      </c>
      <c r="AD239" s="295">
        <v>0.71491229534149203</v>
      </c>
      <c r="AG239" s="295">
        <v>40</v>
      </c>
      <c r="AH239" s="295">
        <v>0.40000000596046398</v>
      </c>
      <c r="AJ239" s="295">
        <f>VLOOKUP(A239,'RBSA Weights'!$A$2:$N$322,8,FALSE)</f>
        <v>2319.07739257813</v>
      </c>
    </row>
    <row r="240" spans="1:36">
      <c r="A240" s="295">
        <v>23255</v>
      </c>
      <c r="B240" s="295" t="s">
        <v>6042</v>
      </c>
      <c r="C240" s="295" t="b">
        <v>0</v>
      </c>
      <c r="D240" s="295">
        <v>968</v>
      </c>
      <c r="E240" s="295">
        <v>8</v>
      </c>
      <c r="G240" s="295">
        <v>11</v>
      </c>
      <c r="H240" s="295" t="s">
        <v>6040</v>
      </c>
      <c r="I240" s="295">
        <v>0.10000000149011599</v>
      </c>
      <c r="J240" s="295" t="b">
        <v>0</v>
      </c>
      <c r="K240" s="295">
        <v>968</v>
      </c>
      <c r="L240" s="295" t="s">
        <v>6045</v>
      </c>
      <c r="N240" s="295">
        <v>11</v>
      </c>
      <c r="O240" s="295" t="s">
        <v>6040</v>
      </c>
      <c r="P240" s="295">
        <v>6.7000001668930095E-2</v>
      </c>
      <c r="Q240" s="295" t="b">
        <v>0</v>
      </c>
      <c r="R240" s="295">
        <v>1056</v>
      </c>
      <c r="T240" s="295">
        <v>11</v>
      </c>
      <c r="U240" s="295" t="s">
        <v>6040</v>
      </c>
      <c r="V240" s="295">
        <v>9.00000035762787E-2</v>
      </c>
      <c r="W240" s="295">
        <v>208</v>
      </c>
      <c r="Y240" s="295" t="s">
        <v>6048</v>
      </c>
      <c r="Z240" s="295" t="b">
        <v>1</v>
      </c>
      <c r="AA240" s="295">
        <v>10</v>
      </c>
      <c r="AB240" s="295">
        <v>0.75</v>
      </c>
      <c r="AC240" s="295">
        <v>0.55000001192092896</v>
      </c>
      <c r="AD240" s="295">
        <v>0.75</v>
      </c>
      <c r="AG240" s="295">
        <v>40</v>
      </c>
      <c r="AH240" s="295">
        <v>0.40000000596046398</v>
      </c>
      <c r="AJ240" s="295">
        <f>VLOOKUP(A240,'RBSA Weights'!$A$2:$N$322,8,FALSE)</f>
        <v>2914.5654296875</v>
      </c>
    </row>
    <row r="241" spans="1:36">
      <c r="A241" s="295">
        <v>23325</v>
      </c>
      <c r="B241" s="295" t="s">
        <v>6056</v>
      </c>
      <c r="C241" s="295" t="b">
        <v>1</v>
      </c>
      <c r="D241" s="295">
        <v>1200</v>
      </c>
      <c r="E241" s="295">
        <v>7</v>
      </c>
      <c r="F241" s="295" t="s">
        <v>6098</v>
      </c>
      <c r="J241" s="295" t="b">
        <v>0</v>
      </c>
      <c r="K241" s="295">
        <v>1200</v>
      </c>
      <c r="L241" s="295" t="s">
        <v>6045</v>
      </c>
      <c r="N241" s="295">
        <v>7</v>
      </c>
      <c r="O241" s="295" t="s">
        <v>6055</v>
      </c>
      <c r="P241" s="295">
        <v>9.3000002205371898E-2</v>
      </c>
      <c r="Q241" s="295" t="b">
        <v>1</v>
      </c>
      <c r="R241" s="295">
        <v>1036</v>
      </c>
      <c r="S241" s="295" t="s">
        <v>156</v>
      </c>
      <c r="T241" s="295">
        <v>11</v>
      </c>
      <c r="U241" s="295" t="s">
        <v>6040</v>
      </c>
      <c r="V241" s="295">
        <v>9.00000035762787E-2</v>
      </c>
      <c r="W241" s="295">
        <v>91</v>
      </c>
      <c r="Y241" s="295" t="s">
        <v>6048</v>
      </c>
      <c r="Z241" s="295" t="b">
        <v>1</v>
      </c>
      <c r="AA241" s="295">
        <v>15</v>
      </c>
      <c r="AB241" s="295">
        <v>1.25</v>
      </c>
      <c r="AC241" s="295">
        <v>0.55000001192092896</v>
      </c>
      <c r="AD241" s="295">
        <v>1.25</v>
      </c>
      <c r="AG241" s="295">
        <v>40</v>
      </c>
      <c r="AH241" s="295">
        <v>0.40000000596046398</v>
      </c>
      <c r="AI241" s="295" t="s">
        <v>6097</v>
      </c>
      <c r="AJ241" s="295">
        <f>VLOOKUP(A241,'RBSA Weights'!$A$2:$N$322,8,FALSE)</f>
        <v>2128.94555664063</v>
      </c>
    </row>
    <row r="242" spans="1:36">
      <c r="A242" s="295">
        <v>23332</v>
      </c>
      <c r="B242" s="295" t="s">
        <v>6053</v>
      </c>
      <c r="C242" s="295" t="b">
        <v>0</v>
      </c>
      <c r="D242" s="295">
        <v>590.40002441406295</v>
      </c>
      <c r="E242" s="295">
        <v>8.5</v>
      </c>
      <c r="G242" s="295">
        <v>22</v>
      </c>
      <c r="H242" s="295" t="s">
        <v>6046</v>
      </c>
      <c r="I242" s="295">
        <v>5.2000001072883599E-2</v>
      </c>
      <c r="J242" s="295" t="b">
        <v>0</v>
      </c>
      <c r="K242" s="295">
        <v>630</v>
      </c>
      <c r="L242" s="295" t="s">
        <v>6045</v>
      </c>
      <c r="N242" s="295">
        <v>22</v>
      </c>
      <c r="O242" s="295" t="s">
        <v>6046</v>
      </c>
      <c r="P242" s="295">
        <v>5.0999999046325697E-2</v>
      </c>
      <c r="Q242" s="295" t="b">
        <v>0</v>
      </c>
      <c r="R242" s="295">
        <v>889</v>
      </c>
      <c r="T242" s="295">
        <v>11</v>
      </c>
      <c r="U242" s="295" t="s">
        <v>6040</v>
      </c>
      <c r="V242" s="295">
        <v>9.00000035762787E-2</v>
      </c>
      <c r="W242" s="295">
        <v>58</v>
      </c>
      <c r="Z242" s="295" t="b">
        <v>0</v>
      </c>
      <c r="AA242" s="295">
        <v>70</v>
      </c>
      <c r="AB242" s="295">
        <v>0.479999989271164</v>
      </c>
      <c r="AC242" s="295">
        <v>0.55000001192092896</v>
      </c>
      <c r="AD242" s="295">
        <v>0.479999989271164</v>
      </c>
      <c r="AG242" s="295">
        <v>40</v>
      </c>
      <c r="AH242" s="295">
        <v>0.40000000596046398</v>
      </c>
      <c r="AI242" s="295" t="s">
        <v>6096</v>
      </c>
      <c r="AJ242" s="295">
        <f>VLOOKUP(A242,'RBSA Weights'!$A$2:$N$322,8,FALSE)</f>
        <v>3065.64990234375</v>
      </c>
    </row>
    <row r="243" spans="1:36">
      <c r="A243" s="295">
        <v>23340</v>
      </c>
      <c r="B243" s="295" t="s">
        <v>6052</v>
      </c>
      <c r="C243" s="295" t="b">
        <v>0</v>
      </c>
      <c r="D243" s="295">
        <v>1500</v>
      </c>
      <c r="E243" s="295">
        <v>8.5</v>
      </c>
      <c r="G243" s="295">
        <v>38</v>
      </c>
      <c r="H243" s="295" t="s">
        <v>162</v>
      </c>
      <c r="I243" s="295">
        <v>3.5000000149011598E-2</v>
      </c>
      <c r="J243" s="295" t="b">
        <v>0</v>
      </c>
      <c r="K243" s="295">
        <v>1450</v>
      </c>
      <c r="L243" s="295" t="s">
        <v>6041</v>
      </c>
      <c r="N243" s="295">
        <v>33</v>
      </c>
      <c r="O243" s="295" t="s">
        <v>162</v>
      </c>
      <c r="P243" s="295">
        <v>5.4000001400709201E-2</v>
      </c>
      <c r="Q243" s="295" t="b">
        <v>0</v>
      </c>
      <c r="R243" s="295">
        <v>1411</v>
      </c>
      <c r="T243" s="295">
        <v>21</v>
      </c>
      <c r="U243" s="295" t="s">
        <v>6051</v>
      </c>
      <c r="V243" s="295">
        <v>5.6000001728534698E-2</v>
      </c>
      <c r="W243" s="295">
        <v>160</v>
      </c>
      <c r="Z243" s="295" t="b">
        <v>0</v>
      </c>
      <c r="AA243" s="295">
        <v>0</v>
      </c>
      <c r="AB243" s="295">
        <v>0.37999999523162797</v>
      </c>
      <c r="AC243" s="295">
        <v>0.34999999403953602</v>
      </c>
      <c r="AD243" s="295">
        <v>0.37999999523162797</v>
      </c>
      <c r="AE243" s="295">
        <v>8</v>
      </c>
      <c r="AF243" s="295">
        <v>1.29999995231628</v>
      </c>
      <c r="AG243" s="295">
        <v>40</v>
      </c>
      <c r="AH243" s="295">
        <v>0.40000000596046398</v>
      </c>
      <c r="AJ243" s="295">
        <f>VLOOKUP(A243,'RBSA Weights'!$A$2:$N$322,8,FALSE)</f>
        <v>2319.07739257813</v>
      </c>
    </row>
    <row r="244" spans="1:36">
      <c r="A244" s="295">
        <v>23341</v>
      </c>
      <c r="B244" s="295" t="s">
        <v>6052</v>
      </c>
      <c r="C244" s="295" t="b">
        <v>0</v>
      </c>
      <c r="D244" s="295">
        <v>1782</v>
      </c>
      <c r="E244" s="295">
        <v>9</v>
      </c>
      <c r="G244" s="295">
        <v>38</v>
      </c>
      <c r="H244" s="295" t="s">
        <v>162</v>
      </c>
      <c r="I244" s="295">
        <v>3.5000000149011598E-2</v>
      </c>
      <c r="J244" s="295" t="b">
        <v>0</v>
      </c>
      <c r="K244" s="295">
        <v>1782</v>
      </c>
      <c r="L244" s="295" t="s">
        <v>6041</v>
      </c>
      <c r="N244" s="295">
        <v>33</v>
      </c>
      <c r="O244" s="295" t="s">
        <v>162</v>
      </c>
      <c r="P244" s="295">
        <v>5.4000001400709201E-2</v>
      </c>
      <c r="Q244" s="295" t="b">
        <v>0</v>
      </c>
      <c r="R244" s="295">
        <v>1488</v>
      </c>
      <c r="T244" s="295">
        <v>21</v>
      </c>
      <c r="U244" s="295" t="s">
        <v>6051</v>
      </c>
      <c r="V244" s="295">
        <v>5.6000001728534698E-2</v>
      </c>
      <c r="W244" s="295">
        <v>159</v>
      </c>
      <c r="Z244" s="295" t="b">
        <v>0</v>
      </c>
      <c r="AA244" s="295">
        <v>50</v>
      </c>
      <c r="AB244" s="295">
        <v>0.37999999523162797</v>
      </c>
      <c r="AD244" s="295">
        <v>0.37999999523162797</v>
      </c>
      <c r="AG244" s="295">
        <v>40</v>
      </c>
      <c r="AH244" s="295">
        <v>0.40000000596046398</v>
      </c>
      <c r="AI244" s="295" t="s">
        <v>6095</v>
      </c>
      <c r="AJ244" s="295">
        <f>VLOOKUP(A244,'RBSA Weights'!$A$2:$N$322,8,FALSE)</f>
        <v>1211.2822265625</v>
      </c>
    </row>
    <row r="245" spans="1:36">
      <c r="A245" s="295">
        <v>23362</v>
      </c>
      <c r="B245" s="295" t="s">
        <v>6042</v>
      </c>
      <c r="C245" s="295" t="b">
        <v>0</v>
      </c>
      <c r="D245" s="295">
        <v>1381</v>
      </c>
      <c r="E245" s="295">
        <v>8</v>
      </c>
      <c r="G245" s="295">
        <v>11</v>
      </c>
      <c r="H245" s="295" t="s">
        <v>6040</v>
      </c>
      <c r="I245" s="295">
        <v>0.10000000149011599</v>
      </c>
      <c r="J245" s="295" t="b">
        <v>0</v>
      </c>
      <c r="K245" s="295">
        <v>1381</v>
      </c>
      <c r="L245" s="295" t="s">
        <v>6050</v>
      </c>
      <c r="N245" s="295">
        <v>11</v>
      </c>
      <c r="O245" s="295" t="s">
        <v>6040</v>
      </c>
      <c r="P245" s="295">
        <v>0.108999997377396</v>
      </c>
      <c r="Q245" s="295" t="b">
        <v>0</v>
      </c>
      <c r="R245" s="295">
        <v>1280</v>
      </c>
      <c r="T245" s="295">
        <v>11</v>
      </c>
      <c r="U245" s="295" t="s">
        <v>6040</v>
      </c>
      <c r="V245" s="295">
        <v>9.00000035762787E-2</v>
      </c>
      <c r="W245" s="295">
        <v>182</v>
      </c>
      <c r="Z245" s="295" t="b">
        <v>0</v>
      </c>
      <c r="AA245" s="295">
        <v>25</v>
      </c>
      <c r="AB245" s="295">
        <v>0.75</v>
      </c>
      <c r="AD245" s="295">
        <v>0.75</v>
      </c>
      <c r="AE245" s="295">
        <v>9</v>
      </c>
      <c r="AF245" s="295">
        <v>1.29999995231628</v>
      </c>
      <c r="AG245" s="295">
        <v>40</v>
      </c>
      <c r="AH245" s="295">
        <v>0.40000000596046398</v>
      </c>
      <c r="AJ245" s="295">
        <f>VLOOKUP(A245,'RBSA Weights'!$A$2:$N$322,8,FALSE)</f>
        <v>2914.5654296875</v>
      </c>
    </row>
    <row r="246" spans="1:36">
      <c r="A246" s="295">
        <v>23397</v>
      </c>
      <c r="B246" s="295" t="s">
        <v>6056</v>
      </c>
      <c r="C246" s="295" t="b">
        <v>1</v>
      </c>
      <c r="D246" s="295">
        <v>910</v>
      </c>
      <c r="E246" s="295">
        <v>7.5</v>
      </c>
      <c r="F246" s="295" t="s">
        <v>157</v>
      </c>
      <c r="G246" s="295">
        <v>19</v>
      </c>
      <c r="H246" s="295" t="s">
        <v>6051</v>
      </c>
      <c r="I246" s="295">
        <v>5.6000001728534698E-2</v>
      </c>
      <c r="J246" s="295" t="b">
        <v>0</v>
      </c>
      <c r="K246" s="295">
        <v>910</v>
      </c>
      <c r="L246" s="295" t="s">
        <v>6041</v>
      </c>
      <c r="N246" s="295">
        <v>7</v>
      </c>
      <c r="O246" s="295" t="s">
        <v>6055</v>
      </c>
      <c r="P246" s="295">
        <v>9.4999998807907104E-2</v>
      </c>
      <c r="Q246" s="295" t="b">
        <v>0</v>
      </c>
      <c r="R246" s="295">
        <v>1264</v>
      </c>
      <c r="T246" s="295">
        <v>7</v>
      </c>
      <c r="U246" s="295" t="s">
        <v>6055</v>
      </c>
      <c r="V246" s="295">
        <v>0.119999997317791</v>
      </c>
      <c r="W246" s="295">
        <v>194</v>
      </c>
      <c r="Z246" s="295" t="b">
        <v>0</v>
      </c>
      <c r="AA246" s="295">
        <v>50</v>
      </c>
      <c r="AB246" s="295">
        <v>1.25</v>
      </c>
      <c r="AD246" s="295">
        <v>1.25</v>
      </c>
      <c r="AG246" s="295">
        <v>40</v>
      </c>
      <c r="AH246" s="295">
        <v>0.40000000596046398</v>
      </c>
      <c r="AJ246" s="295">
        <f>VLOOKUP(A246,'RBSA Weights'!$A$2:$N$322,8,FALSE)</f>
        <v>868.428955078125</v>
      </c>
    </row>
    <row r="247" spans="1:36">
      <c r="A247" s="295">
        <v>23457</v>
      </c>
      <c r="B247" s="295" t="s">
        <v>6042</v>
      </c>
      <c r="C247" s="295" t="b">
        <v>0</v>
      </c>
      <c r="D247" s="295">
        <v>2000</v>
      </c>
      <c r="E247" s="295">
        <v>9.5</v>
      </c>
      <c r="G247" s="295">
        <v>11</v>
      </c>
      <c r="H247" s="295" t="s">
        <v>6040</v>
      </c>
      <c r="I247" s="295">
        <v>0.10000000149011599</v>
      </c>
      <c r="J247" s="295" t="b">
        <v>0</v>
      </c>
      <c r="K247" s="295">
        <v>1620</v>
      </c>
      <c r="L247" s="295" t="s">
        <v>6045</v>
      </c>
      <c r="N247" s="295">
        <v>11</v>
      </c>
      <c r="O247" s="295" t="s">
        <v>6040</v>
      </c>
      <c r="P247" s="295">
        <v>6.7000001668930095E-2</v>
      </c>
      <c r="Q247" s="295" t="b">
        <v>0</v>
      </c>
      <c r="R247" s="295">
        <v>1392</v>
      </c>
      <c r="T247" s="295">
        <v>11</v>
      </c>
      <c r="U247" s="295" t="s">
        <v>6040</v>
      </c>
      <c r="V247" s="295">
        <v>9.00000035762787E-2</v>
      </c>
      <c r="W247" s="295">
        <v>126</v>
      </c>
      <c r="Z247" s="295" t="b">
        <v>0</v>
      </c>
      <c r="AA247" s="295">
        <v>30</v>
      </c>
      <c r="AB247" s="295">
        <v>0.75</v>
      </c>
      <c r="AC247" s="295">
        <v>0.69999998807907104</v>
      </c>
      <c r="AD247" s="295">
        <v>0.75</v>
      </c>
      <c r="AE247" s="295">
        <v>6</v>
      </c>
      <c r="AF247" s="295">
        <v>1.29999995231628</v>
      </c>
      <c r="AG247" s="295">
        <v>40</v>
      </c>
      <c r="AH247" s="295">
        <v>0.40000000596046398</v>
      </c>
      <c r="AJ247" s="295">
        <f>VLOOKUP(A247,'RBSA Weights'!$A$2:$N$322,8,FALSE)</f>
        <v>868.428955078125</v>
      </c>
    </row>
    <row r="248" spans="1:36">
      <c r="A248" s="295">
        <v>23471</v>
      </c>
      <c r="B248" s="295" t="s">
        <v>6053</v>
      </c>
      <c r="C248" s="295" t="b">
        <v>0</v>
      </c>
      <c r="D248" s="295">
        <v>1125</v>
      </c>
      <c r="E248" s="295">
        <v>8</v>
      </c>
      <c r="G248" s="295">
        <v>22</v>
      </c>
      <c r="H248" s="295" t="s">
        <v>6046</v>
      </c>
      <c r="I248" s="295">
        <v>5.2000001072883599E-2</v>
      </c>
      <c r="J248" s="295" t="b">
        <v>0</v>
      </c>
      <c r="K248" s="295">
        <v>1125</v>
      </c>
      <c r="L248" s="295" t="s">
        <v>6045</v>
      </c>
      <c r="N248" s="295">
        <v>22</v>
      </c>
      <c r="O248" s="295" t="s">
        <v>6046</v>
      </c>
      <c r="P248" s="295">
        <v>5.0999999046325697E-2</v>
      </c>
      <c r="Q248" s="295" t="b">
        <v>0</v>
      </c>
      <c r="R248" s="295">
        <v>1260</v>
      </c>
      <c r="T248" s="295">
        <v>11</v>
      </c>
      <c r="U248" s="295" t="s">
        <v>6040</v>
      </c>
      <c r="V248" s="295">
        <v>9.00000035762787E-2</v>
      </c>
      <c r="W248" s="295">
        <v>120</v>
      </c>
      <c r="Z248" s="295" t="b">
        <v>0</v>
      </c>
      <c r="AA248" s="295">
        <v>35</v>
      </c>
      <c r="AB248" s="295">
        <v>0.479999989271164</v>
      </c>
      <c r="AD248" s="295">
        <v>0.479999989271164</v>
      </c>
      <c r="AG248" s="295">
        <v>40</v>
      </c>
      <c r="AH248" s="295">
        <v>0.40000000596046398</v>
      </c>
      <c r="AI248" s="295" t="s">
        <v>6094</v>
      </c>
      <c r="AJ248" s="295">
        <f>VLOOKUP(A248,'RBSA Weights'!$A$2:$N$322,8,FALSE)</f>
        <v>868.428955078125</v>
      </c>
    </row>
    <row r="249" spans="1:36">
      <c r="A249" s="295">
        <v>23472</v>
      </c>
      <c r="B249" s="295" t="s">
        <v>6053</v>
      </c>
      <c r="C249" s="295" t="b">
        <v>0</v>
      </c>
      <c r="D249" s="295">
        <v>1114</v>
      </c>
      <c r="E249" s="295">
        <v>8</v>
      </c>
      <c r="G249" s="295">
        <v>22</v>
      </c>
      <c r="H249" s="295" t="s">
        <v>6046</v>
      </c>
      <c r="I249" s="295">
        <v>5.2000001072883599E-2</v>
      </c>
      <c r="J249" s="295" t="b">
        <v>0</v>
      </c>
      <c r="K249" s="295">
        <v>1100</v>
      </c>
      <c r="L249" s="295" t="s">
        <v>6045</v>
      </c>
      <c r="N249" s="295">
        <v>22</v>
      </c>
      <c r="O249" s="295" t="s">
        <v>6046</v>
      </c>
      <c r="P249" s="295">
        <v>5.0999999046325697E-2</v>
      </c>
      <c r="Q249" s="295" t="b">
        <v>0</v>
      </c>
      <c r="R249" s="295">
        <v>966</v>
      </c>
      <c r="T249" s="295">
        <v>11</v>
      </c>
      <c r="U249" s="295" t="s">
        <v>6040</v>
      </c>
      <c r="V249" s="295">
        <v>9.00000035762787E-2</v>
      </c>
      <c r="W249" s="295">
        <v>78</v>
      </c>
      <c r="Z249" s="295" t="b">
        <v>0</v>
      </c>
      <c r="AA249" s="295">
        <v>10</v>
      </c>
      <c r="AB249" s="295">
        <v>0.479999989271164</v>
      </c>
      <c r="AD249" s="295">
        <v>0.479999989271164</v>
      </c>
      <c r="AG249" s="295">
        <v>40</v>
      </c>
      <c r="AH249" s="295">
        <v>0.40000000596046398</v>
      </c>
      <c r="AI249" s="295" t="s">
        <v>6093</v>
      </c>
      <c r="AJ249" s="295">
        <f>VLOOKUP(A249,'RBSA Weights'!$A$2:$N$322,8,FALSE)</f>
        <v>2319.07739257813</v>
      </c>
    </row>
    <row r="250" spans="1:36">
      <c r="A250" s="295">
        <v>23481</v>
      </c>
      <c r="B250" s="295" t="s">
        <v>6053</v>
      </c>
      <c r="C250" s="295" t="b">
        <v>0</v>
      </c>
      <c r="D250" s="295">
        <v>2090</v>
      </c>
      <c r="E250" s="295">
        <v>8</v>
      </c>
      <c r="G250" s="295">
        <v>22</v>
      </c>
      <c r="H250" s="295" t="s">
        <v>6046</v>
      </c>
      <c r="I250" s="295">
        <v>5.2000001072883599E-2</v>
      </c>
      <c r="J250" s="295" t="b">
        <v>0</v>
      </c>
      <c r="K250" s="295">
        <v>2090</v>
      </c>
      <c r="L250" s="295" t="s">
        <v>6045</v>
      </c>
      <c r="N250" s="295">
        <v>22</v>
      </c>
      <c r="O250" s="295" t="s">
        <v>6046</v>
      </c>
      <c r="P250" s="295">
        <v>5.0999999046325697E-2</v>
      </c>
      <c r="Q250" s="295" t="b">
        <v>0</v>
      </c>
      <c r="R250" s="295">
        <v>1666</v>
      </c>
      <c r="T250" s="295">
        <v>11</v>
      </c>
      <c r="U250" s="295" t="s">
        <v>6040</v>
      </c>
      <c r="V250" s="295">
        <v>9.00000035762787E-2</v>
      </c>
      <c r="W250" s="295">
        <v>192</v>
      </c>
      <c r="Z250" s="295" t="b">
        <v>0</v>
      </c>
      <c r="AA250" s="295">
        <v>20</v>
      </c>
      <c r="AB250" s="295">
        <v>0.479999989271164</v>
      </c>
      <c r="AD250" s="295">
        <v>0.479999989271164</v>
      </c>
      <c r="AE250" s="295">
        <v>14</v>
      </c>
      <c r="AF250" s="295">
        <v>0.5</v>
      </c>
      <c r="AG250" s="295">
        <v>40</v>
      </c>
      <c r="AH250" s="295">
        <v>0.40000000596046398</v>
      </c>
      <c r="AJ250" s="295">
        <f>VLOOKUP(A250,'RBSA Weights'!$A$2:$N$322,8,FALSE)</f>
        <v>2128.94555664063</v>
      </c>
    </row>
    <row r="251" spans="1:36">
      <c r="A251" s="295">
        <v>23490</v>
      </c>
      <c r="B251" s="295" t="s">
        <v>6056</v>
      </c>
      <c r="C251" s="295" t="b">
        <v>1</v>
      </c>
      <c r="D251" s="295">
        <v>1100</v>
      </c>
      <c r="E251" s="295">
        <v>7.5</v>
      </c>
      <c r="J251" s="295" t="b">
        <v>0</v>
      </c>
      <c r="K251" s="295">
        <v>1100</v>
      </c>
      <c r="L251" s="295" t="s">
        <v>6045</v>
      </c>
      <c r="N251" s="295">
        <v>7</v>
      </c>
      <c r="O251" s="295" t="s">
        <v>6055</v>
      </c>
      <c r="P251" s="295">
        <v>9.3000002205371898E-2</v>
      </c>
      <c r="Q251" s="295" t="b">
        <v>0</v>
      </c>
      <c r="R251" s="295">
        <v>1050</v>
      </c>
      <c r="T251" s="295">
        <v>7</v>
      </c>
      <c r="U251" s="295" t="s">
        <v>6055</v>
      </c>
      <c r="V251" s="295">
        <v>0.119999997317791</v>
      </c>
      <c r="W251" s="295">
        <v>149</v>
      </c>
      <c r="Z251" s="295" t="b">
        <v>0</v>
      </c>
      <c r="AA251" s="295">
        <v>20</v>
      </c>
      <c r="AB251" s="295">
        <v>1.25</v>
      </c>
      <c r="AC251" s="295">
        <v>0.69999998807907104</v>
      </c>
      <c r="AD251" s="295">
        <v>1.25</v>
      </c>
      <c r="AG251" s="295">
        <v>40</v>
      </c>
      <c r="AH251" s="295">
        <v>0.40000000596046398</v>
      </c>
      <c r="AJ251" s="295">
        <f>VLOOKUP(A251,'RBSA Weights'!$A$2:$N$322,8,FALSE)</f>
        <v>2319.07739257813</v>
      </c>
    </row>
    <row r="252" spans="1:36">
      <c r="A252" s="295">
        <v>23497</v>
      </c>
      <c r="B252" s="295" t="s">
        <v>6042</v>
      </c>
      <c r="C252" s="295" t="b">
        <v>1</v>
      </c>
      <c r="D252" s="295">
        <v>840</v>
      </c>
      <c r="E252" s="295">
        <v>7.5</v>
      </c>
      <c r="F252" s="295" t="s">
        <v>6063</v>
      </c>
      <c r="G252" s="295">
        <v>22</v>
      </c>
      <c r="H252" s="295" t="s">
        <v>6046</v>
      </c>
      <c r="I252" s="295">
        <v>5.2000001072883599E-2</v>
      </c>
      <c r="J252" s="295" t="b">
        <v>1</v>
      </c>
      <c r="K252" s="295">
        <v>840</v>
      </c>
      <c r="L252" s="295" t="s">
        <v>6045</v>
      </c>
      <c r="M252" s="295" t="s">
        <v>158</v>
      </c>
      <c r="N252" s="295">
        <v>30</v>
      </c>
      <c r="O252" s="295" t="s">
        <v>6046</v>
      </c>
      <c r="P252" s="295">
        <v>3.5000000149011598E-2</v>
      </c>
      <c r="Q252" s="295" t="b">
        <v>0</v>
      </c>
      <c r="R252" s="295">
        <v>1184</v>
      </c>
      <c r="T252" s="295">
        <v>11</v>
      </c>
      <c r="U252" s="295" t="s">
        <v>6040</v>
      </c>
      <c r="V252" s="295">
        <v>9.00000035762787E-2</v>
      </c>
      <c r="W252" s="295">
        <v>148</v>
      </c>
      <c r="Z252" s="295" t="b">
        <v>0</v>
      </c>
      <c r="AA252" s="295">
        <v>50</v>
      </c>
      <c r="AB252" s="295">
        <v>0.75</v>
      </c>
      <c r="AD252" s="295">
        <v>0.75</v>
      </c>
      <c r="AG252" s="295">
        <v>40</v>
      </c>
      <c r="AH252" s="295">
        <v>0.34999999403953602</v>
      </c>
      <c r="AI252" s="295" t="s">
        <v>6092</v>
      </c>
      <c r="AJ252" s="295">
        <f>VLOOKUP(A252,'RBSA Weights'!$A$2:$N$322,8,FALSE)</f>
        <v>868.428955078125</v>
      </c>
    </row>
    <row r="253" spans="1:36">
      <c r="A253" s="295">
        <v>23525</v>
      </c>
      <c r="B253" s="295" t="s">
        <v>6056</v>
      </c>
      <c r="C253" s="295" t="b">
        <v>0</v>
      </c>
      <c r="D253" s="295">
        <v>1047</v>
      </c>
      <c r="E253" s="295">
        <v>7.5</v>
      </c>
      <c r="G253" s="295">
        <v>7</v>
      </c>
      <c r="H253" s="295" t="s">
        <v>6055</v>
      </c>
      <c r="I253" s="295">
        <v>0.129999995231628</v>
      </c>
      <c r="J253" s="295" t="b">
        <v>0</v>
      </c>
      <c r="K253" s="295">
        <v>672</v>
      </c>
      <c r="L253" s="295" t="s">
        <v>6045</v>
      </c>
      <c r="N253" s="295">
        <v>7</v>
      </c>
      <c r="O253" s="295" t="s">
        <v>6055</v>
      </c>
      <c r="P253" s="295">
        <v>9.3000002205371898E-2</v>
      </c>
      <c r="Q253" s="295" t="b">
        <v>0</v>
      </c>
      <c r="R253" s="295">
        <v>2047</v>
      </c>
      <c r="T253" s="295">
        <v>7</v>
      </c>
      <c r="U253" s="295" t="s">
        <v>6055</v>
      </c>
      <c r="V253" s="295">
        <v>0.119999997317791</v>
      </c>
      <c r="W253" s="295">
        <v>130</v>
      </c>
      <c r="Z253" s="295" t="b">
        <v>0</v>
      </c>
      <c r="AA253" s="295">
        <v>15</v>
      </c>
      <c r="AB253" s="295">
        <v>1.25</v>
      </c>
      <c r="AD253" s="295">
        <v>1.25</v>
      </c>
      <c r="AG253" s="295">
        <v>40</v>
      </c>
      <c r="AH253" s="295">
        <v>0.40000000596046398</v>
      </c>
      <c r="AJ253" s="295">
        <f>VLOOKUP(A253,'RBSA Weights'!$A$2:$N$322,8,FALSE)</f>
        <v>868.428955078125</v>
      </c>
    </row>
    <row r="254" spans="1:36">
      <c r="A254" s="295">
        <v>23560</v>
      </c>
      <c r="B254" s="295" t="s">
        <v>6053</v>
      </c>
      <c r="C254" s="295" t="b">
        <v>0</v>
      </c>
      <c r="D254" s="295">
        <v>1430</v>
      </c>
      <c r="E254" s="295">
        <v>8</v>
      </c>
      <c r="G254" s="295">
        <v>22</v>
      </c>
      <c r="H254" s="295" t="s">
        <v>6046</v>
      </c>
      <c r="I254" s="295">
        <v>5.2000001072883599E-2</v>
      </c>
      <c r="J254" s="295" t="b">
        <v>0</v>
      </c>
      <c r="K254" s="295">
        <v>1430</v>
      </c>
      <c r="L254" s="295" t="s">
        <v>6045</v>
      </c>
      <c r="N254" s="295">
        <v>22</v>
      </c>
      <c r="O254" s="295" t="s">
        <v>6046</v>
      </c>
      <c r="P254" s="295">
        <v>5.0999999046325697E-2</v>
      </c>
      <c r="Q254" s="295" t="b">
        <v>0</v>
      </c>
      <c r="R254" s="295">
        <v>1296</v>
      </c>
      <c r="T254" s="295">
        <v>11</v>
      </c>
      <c r="U254" s="295" t="s">
        <v>6040</v>
      </c>
      <c r="V254" s="295">
        <v>9.00000035762787E-2</v>
      </c>
      <c r="W254" s="295">
        <v>170</v>
      </c>
      <c r="X254" s="295">
        <v>1</v>
      </c>
      <c r="Y254" s="295" t="s">
        <v>6048</v>
      </c>
      <c r="Z254" s="295" t="b">
        <v>1</v>
      </c>
      <c r="AA254" s="295">
        <v>25</v>
      </c>
      <c r="AB254" s="295">
        <v>0.479999989271164</v>
      </c>
      <c r="AC254" s="295">
        <v>0.55000001192092896</v>
      </c>
      <c r="AD254" s="295">
        <v>0.48040935397148099</v>
      </c>
      <c r="AG254" s="295">
        <v>40</v>
      </c>
      <c r="AH254" s="295">
        <v>0.40000000596046398</v>
      </c>
      <c r="AJ254" s="295">
        <f>VLOOKUP(A254,'RBSA Weights'!$A$2:$N$322,8,FALSE)</f>
        <v>2128.94555664063</v>
      </c>
    </row>
    <row r="255" spans="1:36">
      <c r="A255" s="295">
        <v>23613</v>
      </c>
      <c r="B255" s="295" t="s">
        <v>6056</v>
      </c>
      <c r="C255" s="295" t="b">
        <v>1</v>
      </c>
      <c r="D255" s="295">
        <v>1440</v>
      </c>
      <c r="E255" s="295">
        <v>8</v>
      </c>
      <c r="F255" s="295" t="s">
        <v>158</v>
      </c>
      <c r="G255" s="295">
        <v>30</v>
      </c>
      <c r="H255" s="295" t="s">
        <v>6046</v>
      </c>
      <c r="I255" s="295">
        <v>4.39999997615814E-2</v>
      </c>
      <c r="J255" s="295" t="b">
        <v>0</v>
      </c>
      <c r="K255" s="295">
        <v>1440</v>
      </c>
      <c r="L255" s="295" t="s">
        <v>6091</v>
      </c>
      <c r="N255" s="295">
        <v>7</v>
      </c>
      <c r="O255" s="295" t="s">
        <v>6055</v>
      </c>
      <c r="P255" s="295">
        <v>0.196999996900558</v>
      </c>
      <c r="Q255" s="295" t="b">
        <v>0</v>
      </c>
      <c r="R255" s="295">
        <v>1344</v>
      </c>
      <c r="T255" s="295">
        <v>7</v>
      </c>
      <c r="U255" s="295" t="s">
        <v>6055</v>
      </c>
      <c r="V255" s="295">
        <v>0.119999997317791</v>
      </c>
      <c r="W255" s="295">
        <v>165</v>
      </c>
      <c r="Y255" s="295" t="s">
        <v>6048</v>
      </c>
      <c r="Z255" s="295" t="b">
        <v>1</v>
      </c>
      <c r="AA255" s="295">
        <v>5</v>
      </c>
      <c r="AB255" s="295">
        <v>1.25</v>
      </c>
      <c r="AC255" s="295">
        <v>0.55000001192092896</v>
      </c>
      <c r="AD255" s="295">
        <v>1.25</v>
      </c>
      <c r="AG255" s="295">
        <v>40</v>
      </c>
      <c r="AH255" s="295">
        <v>0.40000000596046398</v>
      </c>
      <c r="AI255" s="295" t="s">
        <v>6090</v>
      </c>
      <c r="AJ255" s="295">
        <f>VLOOKUP(A255,'RBSA Weights'!$A$2:$N$322,8,FALSE)</f>
        <v>1211.2822265625</v>
      </c>
    </row>
    <row r="256" spans="1:36">
      <c r="A256" s="295">
        <v>23614</v>
      </c>
      <c r="B256" s="295" t="s">
        <v>6056</v>
      </c>
      <c r="C256" s="295" t="b">
        <v>1</v>
      </c>
      <c r="D256" s="295">
        <v>1320</v>
      </c>
      <c r="E256" s="295">
        <v>8.5</v>
      </c>
      <c r="F256" s="295" t="s">
        <v>158</v>
      </c>
      <c r="G256" s="295">
        <v>30</v>
      </c>
      <c r="H256" s="295" t="s">
        <v>6046</v>
      </c>
      <c r="I256" s="295">
        <v>4.39999997615814E-2</v>
      </c>
      <c r="J256" s="295" t="b">
        <v>0</v>
      </c>
      <c r="K256" s="295">
        <v>1152</v>
      </c>
      <c r="L256" s="295" t="s">
        <v>6041</v>
      </c>
      <c r="N256" s="295">
        <v>7</v>
      </c>
      <c r="O256" s="295" t="s">
        <v>6055</v>
      </c>
      <c r="P256" s="295">
        <v>9.4999998807907104E-2</v>
      </c>
      <c r="Q256" s="295" t="b">
        <v>0</v>
      </c>
      <c r="R256" s="295">
        <v>1208</v>
      </c>
      <c r="T256" s="295">
        <v>7</v>
      </c>
      <c r="U256" s="295" t="s">
        <v>6055</v>
      </c>
      <c r="V256" s="295">
        <v>0.119999997317791</v>
      </c>
      <c r="W256" s="295">
        <v>83</v>
      </c>
      <c r="X256" s="295">
        <v>53</v>
      </c>
      <c r="Y256" s="295" t="s">
        <v>6048</v>
      </c>
      <c r="Z256" s="295" t="b">
        <v>1</v>
      </c>
      <c r="AA256" s="295">
        <v>10</v>
      </c>
      <c r="AB256" s="295">
        <v>1.25</v>
      </c>
      <c r="AC256" s="295">
        <v>0.55000001192092896</v>
      </c>
      <c r="AD256" s="295">
        <v>0.97720581293106101</v>
      </c>
      <c r="AG256" s="295">
        <v>40</v>
      </c>
      <c r="AH256" s="295">
        <v>0.40000000596046398</v>
      </c>
      <c r="AI256" s="295" t="s">
        <v>6089</v>
      </c>
      <c r="AJ256" s="295">
        <f>VLOOKUP(A256,'RBSA Weights'!$A$2:$N$322,8,FALSE)</f>
        <v>2914.5654296875</v>
      </c>
    </row>
    <row r="257" spans="1:36">
      <c r="A257" s="295">
        <v>23641</v>
      </c>
      <c r="B257" s="295" t="s">
        <v>6042</v>
      </c>
      <c r="C257" s="295" t="b">
        <v>0</v>
      </c>
      <c r="D257" s="295">
        <v>1980</v>
      </c>
      <c r="E257" s="295">
        <v>8</v>
      </c>
      <c r="G257" s="295">
        <v>11</v>
      </c>
      <c r="H257" s="295" t="s">
        <v>6040</v>
      </c>
      <c r="I257" s="295">
        <v>0.10000000149011599</v>
      </c>
      <c r="J257" s="295" t="b">
        <v>0</v>
      </c>
      <c r="K257" s="295">
        <v>1452</v>
      </c>
      <c r="L257" s="295" t="s">
        <v>6041</v>
      </c>
      <c r="N257" s="295">
        <v>11</v>
      </c>
      <c r="O257" s="295" t="s">
        <v>6040</v>
      </c>
      <c r="P257" s="295">
        <v>8.5000000894069699E-2</v>
      </c>
      <c r="Q257" s="295" t="b">
        <v>0</v>
      </c>
      <c r="R257" s="295">
        <v>1472</v>
      </c>
      <c r="T257" s="295">
        <v>11</v>
      </c>
      <c r="U257" s="295" t="s">
        <v>6040</v>
      </c>
      <c r="V257" s="295">
        <v>9.00000035762787E-2</v>
      </c>
      <c r="W257" s="295">
        <v>133</v>
      </c>
      <c r="X257" s="295">
        <v>15</v>
      </c>
      <c r="Y257" s="295" t="s">
        <v>6088</v>
      </c>
      <c r="Z257" s="295" t="b">
        <v>1</v>
      </c>
      <c r="AA257" s="295">
        <v>30</v>
      </c>
      <c r="AB257" s="295">
        <v>0.75</v>
      </c>
      <c r="AC257" s="295">
        <v>0.34999999403953602</v>
      </c>
      <c r="AD257" s="295">
        <v>0.70945948362350497</v>
      </c>
      <c r="AG257" s="295">
        <v>40</v>
      </c>
      <c r="AH257" s="295">
        <v>0.40000000596046398</v>
      </c>
      <c r="AJ257" s="295">
        <f>VLOOKUP(A257,'RBSA Weights'!$A$2:$N$322,8,FALSE)</f>
        <v>1211.2822265625</v>
      </c>
    </row>
    <row r="258" spans="1:36">
      <c r="A258" s="295">
        <v>23650</v>
      </c>
      <c r="B258" s="295" t="s">
        <v>6042</v>
      </c>
      <c r="C258" s="295" t="b">
        <v>0</v>
      </c>
      <c r="D258" s="295">
        <v>1125</v>
      </c>
      <c r="E258" s="295">
        <v>7</v>
      </c>
      <c r="G258" s="295">
        <v>11</v>
      </c>
      <c r="H258" s="295" t="s">
        <v>6040</v>
      </c>
      <c r="I258" s="295">
        <v>0.10000000149011599</v>
      </c>
      <c r="J258" s="295" t="b">
        <v>0</v>
      </c>
      <c r="K258" s="295">
        <v>1125</v>
      </c>
      <c r="L258" s="295" t="s">
        <v>6041</v>
      </c>
      <c r="N258" s="295">
        <v>11</v>
      </c>
      <c r="O258" s="295" t="s">
        <v>6040</v>
      </c>
      <c r="P258" s="295">
        <v>8.5000000894069699E-2</v>
      </c>
      <c r="Q258" s="295" t="b">
        <v>0</v>
      </c>
      <c r="R258" s="295">
        <v>1260</v>
      </c>
      <c r="T258" s="295">
        <v>11</v>
      </c>
      <c r="U258" s="295" t="s">
        <v>6040</v>
      </c>
      <c r="V258" s="295">
        <v>9.00000035762787E-2</v>
      </c>
      <c r="W258" s="295">
        <v>84</v>
      </c>
      <c r="Z258" s="295" t="b">
        <v>0</v>
      </c>
      <c r="AA258" s="295">
        <v>35</v>
      </c>
      <c r="AB258" s="295">
        <v>0.75</v>
      </c>
      <c r="AC258" s="295">
        <v>0.69999998807907104</v>
      </c>
      <c r="AD258" s="295">
        <v>0.75</v>
      </c>
      <c r="AG258" s="295">
        <v>40</v>
      </c>
      <c r="AH258" s="295">
        <v>0.40000000596046398</v>
      </c>
      <c r="AJ258" s="295">
        <f>VLOOKUP(A258,'RBSA Weights'!$A$2:$N$322,8,FALSE)</f>
        <v>868.428955078125</v>
      </c>
    </row>
    <row r="259" spans="1:36">
      <c r="A259" s="295">
        <v>23658</v>
      </c>
      <c r="B259" s="295" t="s">
        <v>6058</v>
      </c>
      <c r="C259" s="295" t="b">
        <v>0</v>
      </c>
      <c r="D259" s="295">
        <v>1591</v>
      </c>
      <c r="E259" s="295">
        <v>7</v>
      </c>
      <c r="G259" s="295">
        <v>49</v>
      </c>
      <c r="H259" s="295" t="s">
        <v>6057</v>
      </c>
      <c r="I259" s="295">
        <v>2.60000005364418E-2</v>
      </c>
      <c r="J259" s="295" t="b">
        <v>0</v>
      </c>
      <c r="K259" s="295">
        <v>1326</v>
      </c>
      <c r="L259" s="295" t="s">
        <v>6045</v>
      </c>
      <c r="N259" s="295">
        <v>33</v>
      </c>
      <c r="O259" s="295" t="s">
        <v>162</v>
      </c>
      <c r="P259" s="295">
        <v>2.9999999329447701E-2</v>
      </c>
      <c r="Q259" s="295" t="b">
        <v>0</v>
      </c>
      <c r="R259" s="295">
        <v>1078</v>
      </c>
      <c r="T259" s="295">
        <v>21</v>
      </c>
      <c r="U259" s="295" t="s">
        <v>6051</v>
      </c>
      <c r="V259" s="295">
        <v>5.6000001728534698E-2</v>
      </c>
      <c r="W259" s="295">
        <v>124</v>
      </c>
      <c r="Z259" s="295" t="b">
        <v>0</v>
      </c>
      <c r="AA259" s="295">
        <v>46</v>
      </c>
      <c r="AB259" s="295">
        <v>0.34999999403953602</v>
      </c>
      <c r="AC259" s="295">
        <v>0.55000001192092896</v>
      </c>
      <c r="AD259" s="295">
        <v>0.34999999403953602</v>
      </c>
      <c r="AE259" s="295">
        <v>4</v>
      </c>
      <c r="AF259" s="295">
        <v>1.29999995231628</v>
      </c>
      <c r="AG259" s="295">
        <v>40</v>
      </c>
      <c r="AH259" s="295">
        <v>0.40000000596046398</v>
      </c>
      <c r="AJ259" s="295">
        <f>VLOOKUP(A259,'RBSA Weights'!$A$2:$N$322,8,FALSE)</f>
        <v>868.428955078125</v>
      </c>
    </row>
    <row r="260" spans="1:36">
      <c r="A260" s="295">
        <v>23673</v>
      </c>
      <c r="B260" s="295" t="s">
        <v>6042</v>
      </c>
      <c r="C260" s="295" t="b">
        <v>0</v>
      </c>
      <c r="D260" s="295">
        <v>742</v>
      </c>
      <c r="E260" s="295">
        <v>8</v>
      </c>
      <c r="G260" s="295">
        <v>11</v>
      </c>
      <c r="H260" s="295" t="s">
        <v>6040</v>
      </c>
      <c r="I260" s="295">
        <v>0.10000000149011599</v>
      </c>
      <c r="J260" s="295" t="b">
        <v>0</v>
      </c>
      <c r="K260" s="295">
        <v>742</v>
      </c>
      <c r="L260" s="295" t="s">
        <v>6041</v>
      </c>
      <c r="N260" s="295">
        <v>11</v>
      </c>
      <c r="O260" s="295" t="s">
        <v>6040</v>
      </c>
      <c r="P260" s="295">
        <v>8.5000000894069699E-2</v>
      </c>
      <c r="Q260" s="295" t="b">
        <v>0</v>
      </c>
      <c r="R260" s="295">
        <v>1072</v>
      </c>
      <c r="T260" s="295">
        <v>11</v>
      </c>
      <c r="U260" s="295" t="s">
        <v>6040</v>
      </c>
      <c r="V260" s="295">
        <v>9.00000035762787E-2</v>
      </c>
      <c r="X260" s="295">
        <v>84</v>
      </c>
      <c r="Y260" s="295" t="s">
        <v>6048</v>
      </c>
      <c r="Z260" s="295" t="b">
        <v>1</v>
      </c>
      <c r="AA260" s="295">
        <v>12</v>
      </c>
      <c r="AB260" s="295">
        <v>0.75</v>
      </c>
      <c r="AC260" s="295">
        <v>0.55000001192092896</v>
      </c>
      <c r="AD260" s="295">
        <v>0.55000001192092896</v>
      </c>
      <c r="AG260" s="295">
        <v>40</v>
      </c>
      <c r="AH260" s="295">
        <v>0.40000000596046398</v>
      </c>
      <c r="AJ260" s="295">
        <f>VLOOKUP(A260,'RBSA Weights'!$A$2:$N$322,8,FALSE)</f>
        <v>2914.5654296875</v>
      </c>
    </row>
    <row r="261" spans="1:36">
      <c r="A261" s="295">
        <v>23726</v>
      </c>
      <c r="B261" s="295" t="s">
        <v>6078</v>
      </c>
      <c r="C261" s="295" t="b">
        <v>0</v>
      </c>
      <c r="D261" s="295">
        <v>1710</v>
      </c>
      <c r="E261" s="295">
        <v>9</v>
      </c>
      <c r="G261" s="295">
        <v>38</v>
      </c>
      <c r="H261" s="295" t="s">
        <v>162</v>
      </c>
      <c r="I261" s="295">
        <v>3.5000000149011598E-2</v>
      </c>
      <c r="J261" s="295" t="b">
        <v>0</v>
      </c>
      <c r="K261" s="295">
        <v>1710</v>
      </c>
      <c r="L261" s="295" t="s">
        <v>6041</v>
      </c>
      <c r="N261" s="295">
        <v>33</v>
      </c>
      <c r="O261" s="295" t="s">
        <v>162</v>
      </c>
      <c r="P261" s="295">
        <v>5.4000001400709201E-2</v>
      </c>
      <c r="Q261" s="295" t="b">
        <v>0</v>
      </c>
      <c r="R261" s="295">
        <v>696</v>
      </c>
      <c r="T261" s="295">
        <v>21</v>
      </c>
      <c r="U261" s="295" t="s">
        <v>6051</v>
      </c>
      <c r="V261" s="295">
        <v>5.6000001728534698E-2</v>
      </c>
      <c r="W261" s="295">
        <v>143</v>
      </c>
      <c r="X261" s="295">
        <v>16</v>
      </c>
      <c r="Y261" s="295" t="s">
        <v>6048</v>
      </c>
      <c r="Z261" s="295" t="b">
        <v>1</v>
      </c>
      <c r="AA261" s="295">
        <v>10</v>
      </c>
      <c r="AB261" s="295">
        <v>0.37999999523162797</v>
      </c>
      <c r="AC261" s="295">
        <v>0.55000001192092896</v>
      </c>
      <c r="AD261" s="295">
        <v>0.39710691571235701</v>
      </c>
      <c r="AG261" s="295">
        <v>40</v>
      </c>
      <c r="AH261" s="295">
        <v>0.40000000596046398</v>
      </c>
      <c r="AJ261" s="295">
        <f>VLOOKUP(A261,'RBSA Weights'!$A$2:$N$322,8,FALSE)</f>
        <v>2319.07739257813</v>
      </c>
    </row>
    <row r="262" spans="1:36">
      <c r="A262" s="295">
        <v>23757</v>
      </c>
      <c r="B262" s="295" t="s">
        <v>6042</v>
      </c>
      <c r="C262" s="295" t="b">
        <v>0</v>
      </c>
      <c r="D262" s="295">
        <v>1440</v>
      </c>
      <c r="E262" s="295">
        <v>8</v>
      </c>
      <c r="G262" s="295">
        <v>11</v>
      </c>
      <c r="H262" s="295" t="s">
        <v>6040</v>
      </c>
      <c r="I262" s="295">
        <v>0.10000000149011599</v>
      </c>
      <c r="J262" s="295" t="b">
        <v>1</v>
      </c>
      <c r="K262" s="295">
        <v>1440</v>
      </c>
      <c r="L262" s="295" t="s">
        <v>6045</v>
      </c>
      <c r="M262" s="295" t="s">
        <v>157</v>
      </c>
      <c r="N262" s="295">
        <v>19</v>
      </c>
      <c r="O262" s="295" t="s">
        <v>6051</v>
      </c>
      <c r="P262" s="295">
        <v>5.6000001728534698E-2</v>
      </c>
      <c r="Q262" s="295" t="b">
        <v>0</v>
      </c>
      <c r="R262" s="295">
        <v>1344</v>
      </c>
      <c r="T262" s="295">
        <v>11</v>
      </c>
      <c r="U262" s="295" t="s">
        <v>6040</v>
      </c>
      <c r="V262" s="295">
        <v>9.00000035762787E-2</v>
      </c>
      <c r="W262" s="295">
        <v>151</v>
      </c>
      <c r="X262" s="295">
        <v>2</v>
      </c>
      <c r="Y262" s="295" t="s">
        <v>6048</v>
      </c>
      <c r="Z262" s="295" t="b">
        <v>1</v>
      </c>
      <c r="AA262" s="295">
        <v>15</v>
      </c>
      <c r="AB262" s="295">
        <v>0.75</v>
      </c>
      <c r="AC262" s="295">
        <v>0.55000001192092896</v>
      </c>
      <c r="AD262" s="295">
        <v>0.74738562107086204</v>
      </c>
      <c r="AG262" s="295">
        <v>40</v>
      </c>
      <c r="AH262" s="295">
        <v>0.40000000596046398</v>
      </c>
      <c r="AI262" s="295" t="s">
        <v>6087</v>
      </c>
      <c r="AJ262" s="295">
        <f>VLOOKUP(A262,'RBSA Weights'!$A$2:$N$322,8,FALSE)</f>
        <v>2128.94555664063</v>
      </c>
    </row>
    <row r="263" spans="1:36">
      <c r="A263" s="295">
        <v>23767</v>
      </c>
      <c r="B263" s="295" t="s">
        <v>6042</v>
      </c>
      <c r="C263" s="295" t="b">
        <v>0</v>
      </c>
      <c r="D263" s="295">
        <v>1056</v>
      </c>
      <c r="E263" s="295">
        <v>7.5</v>
      </c>
      <c r="G263" s="295">
        <v>11</v>
      </c>
      <c r="H263" s="295" t="s">
        <v>6040</v>
      </c>
      <c r="I263" s="295">
        <v>0.10000000149011599</v>
      </c>
      <c r="J263" s="295" t="b">
        <v>0</v>
      </c>
      <c r="K263" s="295">
        <v>1056</v>
      </c>
      <c r="L263" s="295" t="s">
        <v>6045</v>
      </c>
      <c r="N263" s="295">
        <v>11</v>
      </c>
      <c r="O263" s="295" t="s">
        <v>6040</v>
      </c>
      <c r="P263" s="295">
        <v>6.7000001668930095E-2</v>
      </c>
      <c r="Q263" s="295" t="b">
        <v>0</v>
      </c>
      <c r="R263" s="295">
        <v>1050</v>
      </c>
      <c r="T263" s="295">
        <v>11</v>
      </c>
      <c r="U263" s="295" t="s">
        <v>6040</v>
      </c>
      <c r="V263" s="295">
        <v>9.00000035762787E-2</v>
      </c>
      <c r="W263" s="295">
        <v>140</v>
      </c>
      <c r="Z263" s="295" t="b">
        <v>0</v>
      </c>
      <c r="AA263" s="295">
        <v>10</v>
      </c>
      <c r="AB263" s="295">
        <v>0.75</v>
      </c>
      <c r="AC263" s="295">
        <v>0.69999998807907104</v>
      </c>
      <c r="AD263" s="295">
        <v>0.75</v>
      </c>
      <c r="AG263" s="295">
        <v>40</v>
      </c>
      <c r="AH263" s="295">
        <v>0.40000000596046398</v>
      </c>
      <c r="AJ263" s="295">
        <f>VLOOKUP(A263,'RBSA Weights'!$A$2:$N$322,8,FALSE)</f>
        <v>2319.07739257813</v>
      </c>
    </row>
    <row r="264" spans="1:36">
      <c r="A264" s="295">
        <v>23773</v>
      </c>
      <c r="B264" s="295" t="s">
        <v>6053</v>
      </c>
      <c r="C264" s="295" t="b">
        <v>0</v>
      </c>
      <c r="D264" s="295">
        <v>1232</v>
      </c>
      <c r="E264" s="295">
        <v>9</v>
      </c>
      <c r="G264" s="295">
        <v>22</v>
      </c>
      <c r="H264" s="295" t="s">
        <v>6046</v>
      </c>
      <c r="I264" s="295">
        <v>5.2000001072883599E-2</v>
      </c>
      <c r="J264" s="295" t="b">
        <v>0</v>
      </c>
      <c r="K264" s="295">
        <v>1232</v>
      </c>
      <c r="L264" s="295" t="s">
        <v>6045</v>
      </c>
      <c r="N264" s="295">
        <v>22</v>
      </c>
      <c r="O264" s="295" t="s">
        <v>6046</v>
      </c>
      <c r="P264" s="295">
        <v>5.0999999046325697E-2</v>
      </c>
      <c r="Q264" s="295" t="b">
        <v>0</v>
      </c>
      <c r="R264" s="295">
        <v>1612</v>
      </c>
      <c r="T264" s="295">
        <v>11</v>
      </c>
      <c r="U264" s="295" t="s">
        <v>6040</v>
      </c>
      <c r="V264" s="295">
        <v>9.00000035762787E-2</v>
      </c>
      <c r="W264" s="295">
        <v>199</v>
      </c>
      <c r="Z264" s="295" t="b">
        <v>0</v>
      </c>
      <c r="AA264" s="295">
        <v>25</v>
      </c>
      <c r="AB264" s="295">
        <v>0.479999989271164</v>
      </c>
      <c r="AD264" s="295">
        <v>0.479999989271164</v>
      </c>
      <c r="AG264" s="295">
        <v>40</v>
      </c>
      <c r="AH264" s="295">
        <v>0.40000000596046398</v>
      </c>
      <c r="AJ264" s="295">
        <f>VLOOKUP(A264,'RBSA Weights'!$A$2:$N$322,8,FALSE)</f>
        <v>868.428955078125</v>
      </c>
    </row>
    <row r="265" spans="1:36">
      <c r="A265" s="295">
        <v>23779</v>
      </c>
      <c r="B265" s="295" t="s">
        <v>6042</v>
      </c>
      <c r="C265" s="295" t="b">
        <v>0</v>
      </c>
      <c r="D265" s="295">
        <v>1512</v>
      </c>
      <c r="E265" s="295">
        <v>8</v>
      </c>
      <c r="G265" s="295">
        <v>11</v>
      </c>
      <c r="H265" s="295" t="s">
        <v>6040</v>
      </c>
      <c r="I265" s="295">
        <v>0.10000000149011599</v>
      </c>
      <c r="J265" s="295" t="b">
        <v>0</v>
      </c>
      <c r="K265" s="295">
        <v>1449</v>
      </c>
      <c r="L265" s="295" t="s">
        <v>6045</v>
      </c>
      <c r="N265" s="295">
        <v>11</v>
      </c>
      <c r="O265" s="295" t="s">
        <v>6040</v>
      </c>
      <c r="P265" s="295">
        <v>6.7000001668930095E-2</v>
      </c>
      <c r="Q265" s="295" t="b">
        <v>0</v>
      </c>
      <c r="R265" s="295">
        <v>1376</v>
      </c>
      <c r="T265" s="295">
        <v>11</v>
      </c>
      <c r="U265" s="295" t="s">
        <v>6040</v>
      </c>
      <c r="V265" s="295">
        <v>9.00000035762787E-2</v>
      </c>
      <c r="W265" s="295">
        <v>186</v>
      </c>
      <c r="Z265" s="295" t="b">
        <v>0</v>
      </c>
      <c r="AA265" s="295">
        <v>35</v>
      </c>
      <c r="AB265" s="295">
        <v>0.75</v>
      </c>
      <c r="AC265" s="295">
        <v>0.55000001192092896</v>
      </c>
      <c r="AD265" s="295">
        <v>0.75</v>
      </c>
      <c r="AE265" s="295">
        <v>12</v>
      </c>
      <c r="AF265" s="295">
        <v>0.53333336114883401</v>
      </c>
      <c r="AG265" s="295">
        <v>40</v>
      </c>
      <c r="AH265" s="295">
        <v>0.40000000596046398</v>
      </c>
      <c r="AJ265" s="295">
        <f>VLOOKUP(A265,'RBSA Weights'!$A$2:$N$322,8,FALSE)</f>
        <v>1211.2822265625</v>
      </c>
    </row>
    <row r="266" spans="1:36">
      <c r="A266" s="295">
        <v>23786</v>
      </c>
      <c r="B266" s="295" t="s">
        <v>6042</v>
      </c>
      <c r="C266" s="295" t="b">
        <v>0</v>
      </c>
      <c r="D266" s="295">
        <v>924</v>
      </c>
      <c r="E266" s="295">
        <v>8</v>
      </c>
      <c r="G266" s="295">
        <v>11</v>
      </c>
      <c r="H266" s="295" t="s">
        <v>6040</v>
      </c>
      <c r="I266" s="295">
        <v>0.10000000149011599</v>
      </c>
      <c r="J266" s="295" t="b">
        <v>0</v>
      </c>
      <c r="K266" s="295">
        <v>924</v>
      </c>
      <c r="L266" s="295" t="s">
        <v>6045</v>
      </c>
      <c r="N266" s="295">
        <v>11</v>
      </c>
      <c r="O266" s="295" t="s">
        <v>6040</v>
      </c>
      <c r="P266" s="295">
        <v>6.7000001668930095E-2</v>
      </c>
      <c r="Q266" s="295" t="b">
        <v>0</v>
      </c>
      <c r="R266" s="295">
        <v>1280</v>
      </c>
      <c r="T266" s="295">
        <v>11</v>
      </c>
      <c r="U266" s="295" t="s">
        <v>6040</v>
      </c>
      <c r="V266" s="295">
        <v>9.00000035762787E-2</v>
      </c>
      <c r="W266" s="295">
        <v>93</v>
      </c>
      <c r="X266" s="295">
        <v>40</v>
      </c>
      <c r="Y266" s="295" t="s">
        <v>6048</v>
      </c>
      <c r="Z266" s="295" t="b">
        <v>1</v>
      </c>
      <c r="AA266" s="295">
        <v>0</v>
      </c>
      <c r="AB266" s="295">
        <v>0.75</v>
      </c>
      <c r="AC266" s="295">
        <v>0.55000001192092896</v>
      </c>
      <c r="AD266" s="295">
        <v>0.68984961509704601</v>
      </c>
      <c r="AG266" s="295">
        <v>40</v>
      </c>
      <c r="AH266" s="295">
        <v>0.34999999403953602</v>
      </c>
      <c r="AJ266" s="295">
        <f>VLOOKUP(A266,'RBSA Weights'!$A$2:$N$322,8,FALSE)</f>
        <v>1211.2822265625</v>
      </c>
    </row>
    <row r="267" spans="1:36">
      <c r="A267" s="295">
        <v>23803</v>
      </c>
      <c r="B267" s="295" t="s">
        <v>6042</v>
      </c>
      <c r="C267" s="295" t="b">
        <v>0</v>
      </c>
      <c r="D267" s="295">
        <v>1152</v>
      </c>
      <c r="E267" s="295">
        <v>8</v>
      </c>
      <c r="G267" s="295">
        <v>11</v>
      </c>
      <c r="H267" s="295" t="s">
        <v>6040</v>
      </c>
      <c r="I267" s="295">
        <v>0.10000000149011599</v>
      </c>
      <c r="J267" s="295" t="b">
        <v>0</v>
      </c>
      <c r="K267" s="295">
        <v>1152</v>
      </c>
      <c r="L267" s="295" t="s">
        <v>6041</v>
      </c>
      <c r="N267" s="295">
        <v>11</v>
      </c>
      <c r="O267" s="295" t="s">
        <v>6040</v>
      </c>
      <c r="P267" s="295">
        <v>8.5000000894069699E-2</v>
      </c>
      <c r="Q267" s="295" t="b">
        <v>0</v>
      </c>
      <c r="R267" s="295">
        <v>1152</v>
      </c>
      <c r="T267" s="295">
        <v>11</v>
      </c>
      <c r="U267" s="295" t="s">
        <v>6040</v>
      </c>
      <c r="V267" s="295">
        <v>9.00000035762787E-2</v>
      </c>
      <c r="W267" s="295">
        <v>63</v>
      </c>
      <c r="X267" s="295">
        <v>32</v>
      </c>
      <c r="Y267" s="295" t="s">
        <v>6048</v>
      </c>
      <c r="Z267" s="295" t="b">
        <v>1</v>
      </c>
      <c r="AA267" s="295">
        <v>40</v>
      </c>
      <c r="AB267" s="295">
        <v>0.75</v>
      </c>
      <c r="AC267" s="295">
        <v>0.55000001192092896</v>
      </c>
      <c r="AD267" s="295">
        <v>0.68263155221939098</v>
      </c>
      <c r="AG267" s="295">
        <v>40</v>
      </c>
      <c r="AH267" s="295">
        <v>0.40000000596046398</v>
      </c>
      <c r="AJ267" s="295">
        <f>VLOOKUP(A267,'RBSA Weights'!$A$2:$N$322,8,FALSE)</f>
        <v>1211.2822265625</v>
      </c>
    </row>
    <row r="268" spans="1:36">
      <c r="A268" s="295">
        <v>23805</v>
      </c>
      <c r="B268" s="295" t="s">
        <v>6056</v>
      </c>
      <c r="C268" s="295" t="b">
        <v>0</v>
      </c>
      <c r="D268" s="295">
        <v>1150</v>
      </c>
      <c r="E268" s="295">
        <v>7</v>
      </c>
      <c r="G268" s="295">
        <v>7</v>
      </c>
      <c r="H268" s="295" t="s">
        <v>6055</v>
      </c>
      <c r="I268" s="295">
        <v>0.129999995231628</v>
      </c>
      <c r="J268" s="295" t="b">
        <v>0</v>
      </c>
      <c r="K268" s="295">
        <v>1150</v>
      </c>
      <c r="L268" s="295" t="s">
        <v>6041</v>
      </c>
      <c r="N268" s="295">
        <v>7</v>
      </c>
      <c r="O268" s="295" t="s">
        <v>6055</v>
      </c>
      <c r="P268" s="295">
        <v>9.4999998807907104E-2</v>
      </c>
      <c r="Q268" s="295" t="b">
        <v>0</v>
      </c>
      <c r="R268" s="295">
        <v>511</v>
      </c>
      <c r="T268" s="295">
        <v>7</v>
      </c>
      <c r="U268" s="295" t="s">
        <v>6055</v>
      </c>
      <c r="V268" s="295">
        <v>0.119999997317791</v>
      </c>
      <c r="W268" s="295">
        <v>133</v>
      </c>
      <c r="Y268" s="295" t="s">
        <v>6048</v>
      </c>
      <c r="Z268" s="295" t="b">
        <v>1</v>
      </c>
      <c r="AA268" s="295">
        <v>10</v>
      </c>
      <c r="AB268" s="295">
        <v>1.25</v>
      </c>
      <c r="AC268" s="295">
        <v>0.55000001192092896</v>
      </c>
      <c r="AD268" s="295">
        <v>1.25</v>
      </c>
      <c r="AG268" s="295">
        <v>40</v>
      </c>
      <c r="AH268" s="295">
        <v>0.40000000596046398</v>
      </c>
      <c r="AJ268" s="295">
        <f>VLOOKUP(A268,'RBSA Weights'!$A$2:$N$322,8,FALSE)</f>
        <v>2319.07739257813</v>
      </c>
    </row>
    <row r="269" spans="1:36">
      <c r="A269" s="295">
        <v>23863</v>
      </c>
      <c r="B269" s="295" t="s">
        <v>6042</v>
      </c>
      <c r="C269" s="295" t="b">
        <v>0</v>
      </c>
      <c r="D269" s="295">
        <v>1848</v>
      </c>
      <c r="E269" s="295">
        <v>8</v>
      </c>
      <c r="G269" s="295">
        <v>11</v>
      </c>
      <c r="H269" s="295" t="s">
        <v>6040</v>
      </c>
      <c r="I269" s="295">
        <v>0.10000000149011599</v>
      </c>
      <c r="J269" s="295" t="b">
        <v>0</v>
      </c>
      <c r="K269" s="295">
        <v>1848</v>
      </c>
      <c r="L269" s="295" t="s">
        <v>6045</v>
      </c>
      <c r="N269" s="295">
        <v>11</v>
      </c>
      <c r="O269" s="295" t="s">
        <v>6040</v>
      </c>
      <c r="P269" s="295">
        <v>6.7000001668930095E-2</v>
      </c>
      <c r="Q269" s="295" t="b">
        <v>0</v>
      </c>
      <c r="R269" s="295">
        <v>1504</v>
      </c>
      <c r="T269" s="295">
        <v>11</v>
      </c>
      <c r="U269" s="295" t="s">
        <v>6040</v>
      </c>
      <c r="V269" s="295">
        <v>9.00000035762787E-2</v>
      </c>
      <c r="W269" s="295">
        <v>239</v>
      </c>
      <c r="Z269" s="295" t="b">
        <v>0</v>
      </c>
      <c r="AA269" s="295">
        <v>10</v>
      </c>
      <c r="AB269" s="295">
        <v>0.75</v>
      </c>
      <c r="AD269" s="295">
        <v>0.75</v>
      </c>
      <c r="AE269" s="295">
        <v>25</v>
      </c>
      <c r="AF269" s="295">
        <v>0.51200002431869496</v>
      </c>
      <c r="AG269" s="295">
        <v>40</v>
      </c>
      <c r="AH269" s="295">
        <v>0.40000000596046398</v>
      </c>
      <c r="AJ269" s="295">
        <f>VLOOKUP(A269,'RBSA Weights'!$A$2:$N$322,8,FALSE)</f>
        <v>2128.88549804688</v>
      </c>
    </row>
    <row r="270" spans="1:36">
      <c r="A270" s="295">
        <v>23900</v>
      </c>
      <c r="B270" s="295" t="s">
        <v>6052</v>
      </c>
      <c r="C270" s="295" t="b">
        <v>0</v>
      </c>
      <c r="D270" s="295">
        <v>1358</v>
      </c>
      <c r="E270" s="295">
        <v>7.5</v>
      </c>
      <c r="G270" s="295">
        <v>38</v>
      </c>
      <c r="H270" s="295" t="s">
        <v>162</v>
      </c>
      <c r="I270" s="295">
        <v>3.5000000149011598E-2</v>
      </c>
      <c r="J270" s="295" t="b">
        <v>0</v>
      </c>
      <c r="K270" s="295">
        <v>1344</v>
      </c>
      <c r="L270" s="295" t="s">
        <v>6041</v>
      </c>
      <c r="M270" s="295" t="s">
        <v>6062</v>
      </c>
      <c r="N270" s="295">
        <v>33</v>
      </c>
      <c r="O270" s="295" t="s">
        <v>162</v>
      </c>
      <c r="P270" s="295">
        <v>5.4000001400709201E-2</v>
      </c>
      <c r="Q270" s="295" t="b">
        <v>0</v>
      </c>
      <c r="R270" s="295">
        <v>1196</v>
      </c>
      <c r="T270" s="295">
        <v>21</v>
      </c>
      <c r="U270" s="295" t="s">
        <v>6051</v>
      </c>
      <c r="V270" s="295">
        <v>5.6000001728534698E-2</v>
      </c>
      <c r="W270" s="295">
        <v>148</v>
      </c>
      <c r="Z270" s="295" t="b">
        <v>0</v>
      </c>
      <c r="AA270" s="295">
        <v>20</v>
      </c>
      <c r="AB270" s="295">
        <v>0.37999999523162797</v>
      </c>
      <c r="AD270" s="295">
        <v>0.37999999523162797</v>
      </c>
      <c r="AG270" s="295">
        <v>40</v>
      </c>
      <c r="AH270" s="295">
        <v>0.40000000596046398</v>
      </c>
      <c r="AI270" s="295" t="s">
        <v>6086</v>
      </c>
      <c r="AJ270" s="295">
        <f>VLOOKUP(A270,'RBSA Weights'!$A$2:$N$322,8,FALSE)</f>
        <v>2319.07739257813</v>
      </c>
    </row>
    <row r="271" spans="1:36">
      <c r="A271" s="295">
        <v>23954</v>
      </c>
      <c r="B271" s="295" t="s">
        <v>6042</v>
      </c>
      <c r="C271" s="295" t="b">
        <v>0</v>
      </c>
      <c r="D271" s="295">
        <v>1144</v>
      </c>
      <c r="E271" s="295">
        <v>9</v>
      </c>
      <c r="G271" s="295">
        <v>11</v>
      </c>
      <c r="H271" s="295" t="s">
        <v>6040</v>
      </c>
      <c r="I271" s="295">
        <v>0.10000000149011599</v>
      </c>
      <c r="J271" s="295" t="b">
        <v>0</v>
      </c>
      <c r="K271" s="295">
        <v>1140</v>
      </c>
      <c r="L271" s="295" t="s">
        <v>6041</v>
      </c>
      <c r="N271" s="295">
        <v>11</v>
      </c>
      <c r="O271" s="295" t="s">
        <v>6040</v>
      </c>
      <c r="P271" s="295">
        <v>8.5000000894069699E-2</v>
      </c>
      <c r="Q271" s="295" t="b">
        <v>0</v>
      </c>
      <c r="R271" s="295">
        <v>1260</v>
      </c>
      <c r="T271" s="295">
        <v>11</v>
      </c>
      <c r="U271" s="295" t="s">
        <v>6040</v>
      </c>
      <c r="V271" s="295">
        <v>9.00000035762787E-2</v>
      </c>
      <c r="W271" s="295">
        <v>110</v>
      </c>
      <c r="Z271" s="295" t="b">
        <v>0</v>
      </c>
      <c r="AA271" s="295">
        <v>50</v>
      </c>
      <c r="AB271" s="295">
        <v>0.75</v>
      </c>
      <c r="AD271" s="295">
        <v>0.75</v>
      </c>
      <c r="AG271" s="295">
        <v>40</v>
      </c>
      <c r="AH271" s="295">
        <v>0.40000000596046398</v>
      </c>
      <c r="AI271" s="295" t="s">
        <v>6085</v>
      </c>
      <c r="AJ271" s="295">
        <f>VLOOKUP(A271,'RBSA Weights'!$A$2:$N$322,8,FALSE)</f>
        <v>1211.2822265625</v>
      </c>
    </row>
    <row r="272" spans="1:36">
      <c r="A272" s="295">
        <v>23958</v>
      </c>
      <c r="B272" s="295" t="s">
        <v>6056</v>
      </c>
      <c r="C272" s="295" t="b">
        <v>1</v>
      </c>
      <c r="D272" s="295">
        <v>1008</v>
      </c>
      <c r="E272" s="295">
        <v>7</v>
      </c>
      <c r="F272" s="295" t="s">
        <v>6063</v>
      </c>
      <c r="G272" s="295">
        <v>22</v>
      </c>
      <c r="H272" s="295" t="s">
        <v>6046</v>
      </c>
      <c r="I272" s="295">
        <v>5.2000001072883599E-2</v>
      </c>
      <c r="J272" s="295" t="b">
        <v>1</v>
      </c>
      <c r="K272" s="295">
        <v>1008</v>
      </c>
      <c r="L272" s="295" t="s">
        <v>6050</v>
      </c>
      <c r="M272" s="295" t="s">
        <v>156</v>
      </c>
      <c r="N272" s="295">
        <v>11</v>
      </c>
      <c r="O272" s="295" t="s">
        <v>6040</v>
      </c>
      <c r="P272" s="295">
        <v>0.108999997377396</v>
      </c>
      <c r="Q272" s="295" t="b">
        <v>0</v>
      </c>
      <c r="R272" s="295">
        <v>1376</v>
      </c>
      <c r="T272" s="295">
        <v>7</v>
      </c>
      <c r="U272" s="295" t="s">
        <v>6055</v>
      </c>
      <c r="V272" s="295">
        <v>0.119999997317791</v>
      </c>
      <c r="W272" s="295">
        <v>88</v>
      </c>
      <c r="Z272" s="295" t="b">
        <v>0</v>
      </c>
      <c r="AA272" s="295">
        <v>25</v>
      </c>
      <c r="AB272" s="295">
        <v>1.25</v>
      </c>
      <c r="AD272" s="295">
        <v>1.25</v>
      </c>
      <c r="AG272" s="295">
        <v>40</v>
      </c>
      <c r="AH272" s="295">
        <v>0.40000000596046398</v>
      </c>
      <c r="AI272" s="295" t="s">
        <v>6084</v>
      </c>
      <c r="AJ272" s="295">
        <f>VLOOKUP(A272,'RBSA Weights'!$A$2:$N$322,8,FALSE)</f>
        <v>868.428955078125</v>
      </c>
    </row>
    <row r="273" spans="1:36">
      <c r="A273" s="295">
        <v>23968</v>
      </c>
      <c r="B273" s="295" t="s">
        <v>6042</v>
      </c>
      <c r="C273" s="295" t="b">
        <v>1</v>
      </c>
      <c r="D273" s="295">
        <v>1216</v>
      </c>
      <c r="E273" s="295">
        <v>7.5</v>
      </c>
      <c r="F273" s="295" t="s">
        <v>6083</v>
      </c>
      <c r="G273" s="295">
        <v>38</v>
      </c>
      <c r="H273" s="295" t="s">
        <v>162</v>
      </c>
      <c r="I273" s="295">
        <v>3.5000000149011598E-2</v>
      </c>
      <c r="J273" s="295" t="b">
        <v>1</v>
      </c>
      <c r="K273" s="295">
        <v>1216</v>
      </c>
      <c r="L273" s="295" t="s">
        <v>6045</v>
      </c>
      <c r="M273" s="295" t="s">
        <v>158</v>
      </c>
      <c r="N273" s="295">
        <v>30</v>
      </c>
      <c r="O273" s="295" t="s">
        <v>6046</v>
      </c>
      <c r="P273" s="295">
        <v>3.5000000149011598E-2</v>
      </c>
      <c r="Q273" s="295" t="b">
        <v>0</v>
      </c>
      <c r="R273" s="295">
        <v>1472</v>
      </c>
      <c r="T273" s="295">
        <v>11</v>
      </c>
      <c r="U273" s="295" t="s">
        <v>6040</v>
      </c>
      <c r="V273" s="295">
        <v>9.00000035762787E-2</v>
      </c>
      <c r="W273" s="295">
        <v>129</v>
      </c>
      <c r="Y273" s="295" t="s">
        <v>6048</v>
      </c>
      <c r="Z273" s="295" t="b">
        <v>1</v>
      </c>
      <c r="AA273" s="295">
        <v>2</v>
      </c>
      <c r="AB273" s="295">
        <v>0.75</v>
      </c>
      <c r="AC273" s="295">
        <v>0.55000001192092896</v>
      </c>
      <c r="AD273" s="295">
        <v>0.75</v>
      </c>
      <c r="AG273" s="295">
        <v>40</v>
      </c>
      <c r="AH273" s="295">
        <v>0.40000000596046398</v>
      </c>
      <c r="AJ273" s="295">
        <f>VLOOKUP(A273,'RBSA Weights'!$A$2:$N$322,8,FALSE)</f>
        <v>868.428955078125</v>
      </c>
    </row>
    <row r="274" spans="1:36">
      <c r="A274" s="295">
        <v>23977</v>
      </c>
      <c r="B274" s="295" t="s">
        <v>6042</v>
      </c>
      <c r="C274" s="295" t="b">
        <v>0</v>
      </c>
      <c r="D274" s="295">
        <v>1716</v>
      </c>
      <c r="E274" s="295">
        <v>8.5</v>
      </c>
      <c r="G274" s="295">
        <v>11</v>
      </c>
      <c r="H274" s="295" t="s">
        <v>6040</v>
      </c>
      <c r="I274" s="295">
        <v>0.10000000149011599</v>
      </c>
      <c r="J274" s="295" t="b">
        <v>0</v>
      </c>
      <c r="K274" s="295">
        <v>1690</v>
      </c>
      <c r="L274" s="295" t="s">
        <v>6045</v>
      </c>
      <c r="N274" s="295">
        <v>11</v>
      </c>
      <c r="O274" s="295" t="s">
        <v>6040</v>
      </c>
      <c r="P274" s="295">
        <v>6.7000001668930095E-2</v>
      </c>
      <c r="Q274" s="295" t="b">
        <v>0</v>
      </c>
      <c r="R274" s="295">
        <v>1372</v>
      </c>
      <c r="T274" s="295">
        <v>11</v>
      </c>
      <c r="U274" s="295" t="s">
        <v>6040</v>
      </c>
      <c r="V274" s="295">
        <v>9.00000035762787E-2</v>
      </c>
      <c r="W274" s="295">
        <v>220</v>
      </c>
      <c r="X274" s="295">
        <v>2</v>
      </c>
      <c r="Y274" s="295" t="s">
        <v>6048</v>
      </c>
      <c r="Z274" s="295" t="b">
        <v>1</v>
      </c>
      <c r="AA274" s="295">
        <v>50</v>
      </c>
      <c r="AB274" s="295">
        <v>0.75</v>
      </c>
      <c r="AC274" s="295">
        <v>0.55000001192092896</v>
      </c>
      <c r="AD274" s="295">
        <v>0.74819821119308505</v>
      </c>
      <c r="AG274" s="295">
        <v>40</v>
      </c>
      <c r="AH274" s="295">
        <v>0.40000000596046398</v>
      </c>
      <c r="AJ274" s="295">
        <f>VLOOKUP(A274,'RBSA Weights'!$A$2:$N$322,8,FALSE)</f>
        <v>2128.88549804688</v>
      </c>
    </row>
    <row r="275" spans="1:36">
      <c r="A275" s="295">
        <v>23993</v>
      </c>
      <c r="B275" s="295" t="s">
        <v>6042</v>
      </c>
      <c r="C275" s="295" t="b">
        <v>0</v>
      </c>
      <c r="D275" s="295">
        <v>1306</v>
      </c>
      <c r="E275" s="295">
        <v>9</v>
      </c>
      <c r="G275" s="295">
        <v>11</v>
      </c>
      <c r="H275" s="295" t="s">
        <v>6040</v>
      </c>
      <c r="I275" s="295">
        <v>0.10000000149011599</v>
      </c>
      <c r="J275" s="295" t="b">
        <v>0</v>
      </c>
      <c r="K275" s="295">
        <v>1296</v>
      </c>
      <c r="L275" s="295" t="s">
        <v>6045</v>
      </c>
      <c r="N275" s="295">
        <v>11</v>
      </c>
      <c r="O275" s="295" t="s">
        <v>6040</v>
      </c>
      <c r="P275" s="295">
        <v>6.7000001668930095E-2</v>
      </c>
      <c r="Q275" s="295" t="b">
        <v>0</v>
      </c>
      <c r="R275" s="295">
        <v>1350</v>
      </c>
      <c r="T275" s="295">
        <v>11</v>
      </c>
      <c r="U275" s="295" t="s">
        <v>6040</v>
      </c>
      <c r="V275" s="295">
        <v>9.00000035762787E-2</v>
      </c>
      <c r="W275" s="295">
        <v>120</v>
      </c>
      <c r="X275" s="295">
        <v>35</v>
      </c>
      <c r="Y275" s="295" t="s">
        <v>6048</v>
      </c>
      <c r="Z275" s="295" t="b">
        <v>1</v>
      </c>
      <c r="AA275" s="295">
        <v>10</v>
      </c>
      <c r="AB275" s="295">
        <v>0.75</v>
      </c>
      <c r="AC275" s="295">
        <v>0.55000001192092896</v>
      </c>
      <c r="AD275" s="295">
        <v>0.70483869314193703</v>
      </c>
      <c r="AG275" s="295">
        <v>40</v>
      </c>
      <c r="AH275" s="295">
        <v>0.40000000596046398</v>
      </c>
      <c r="AJ275" s="295">
        <f>VLOOKUP(A275,'RBSA Weights'!$A$2:$N$322,8,FALSE)</f>
        <v>3065.64990234375</v>
      </c>
    </row>
    <row r="276" spans="1:36">
      <c r="A276" s="295">
        <v>24063</v>
      </c>
      <c r="B276" s="295" t="s">
        <v>6053</v>
      </c>
      <c r="C276" s="295" t="b">
        <v>0</v>
      </c>
      <c r="D276" s="295">
        <v>2454</v>
      </c>
      <c r="E276" s="295">
        <v>8.5</v>
      </c>
      <c r="G276" s="295">
        <v>22</v>
      </c>
      <c r="H276" s="295" t="s">
        <v>6046</v>
      </c>
      <c r="I276" s="295">
        <v>5.2000001072883599E-2</v>
      </c>
      <c r="J276" s="295" t="b">
        <v>0</v>
      </c>
      <c r="K276" s="295">
        <v>2454</v>
      </c>
      <c r="L276" s="295" t="s">
        <v>6045</v>
      </c>
      <c r="N276" s="295">
        <v>22</v>
      </c>
      <c r="O276" s="295" t="s">
        <v>6046</v>
      </c>
      <c r="P276" s="295">
        <v>5.0999999046325697E-2</v>
      </c>
      <c r="Q276" s="295" t="b">
        <v>0</v>
      </c>
      <c r="R276" s="295">
        <v>1857</v>
      </c>
      <c r="T276" s="295">
        <v>11</v>
      </c>
      <c r="U276" s="295" t="s">
        <v>6040</v>
      </c>
      <c r="V276" s="295">
        <v>9.00000035762787E-2</v>
      </c>
      <c r="W276" s="295">
        <v>237</v>
      </c>
      <c r="Z276" s="295" t="b">
        <v>0</v>
      </c>
      <c r="AA276" s="295">
        <v>15</v>
      </c>
      <c r="AB276" s="295">
        <v>0.479999989271164</v>
      </c>
      <c r="AD276" s="295">
        <v>0.479999989271164</v>
      </c>
      <c r="AE276" s="295">
        <v>1</v>
      </c>
      <c r="AF276" s="295">
        <v>0.60000002384185802</v>
      </c>
      <c r="AG276" s="295">
        <v>40</v>
      </c>
      <c r="AH276" s="295">
        <v>0.40000000596046398</v>
      </c>
      <c r="AI276" s="295" t="s">
        <v>6082</v>
      </c>
      <c r="AJ276" s="295">
        <f>VLOOKUP(A276,'RBSA Weights'!$A$2:$N$322,8,FALSE)</f>
        <v>2319.07739257813</v>
      </c>
    </row>
    <row r="277" spans="1:36">
      <c r="A277" s="295">
        <v>24074</v>
      </c>
      <c r="B277" s="295" t="s">
        <v>6042</v>
      </c>
      <c r="C277" s="295" t="b">
        <v>0</v>
      </c>
      <c r="D277" s="295">
        <v>1500</v>
      </c>
      <c r="E277" s="295">
        <v>8</v>
      </c>
      <c r="G277" s="295">
        <v>11</v>
      </c>
      <c r="H277" s="295" t="s">
        <v>6040</v>
      </c>
      <c r="I277" s="295">
        <v>0.10000000149011599</v>
      </c>
      <c r="J277" s="295" t="b">
        <v>0</v>
      </c>
      <c r="K277" s="295">
        <v>1539</v>
      </c>
      <c r="L277" s="295" t="s">
        <v>6081</v>
      </c>
      <c r="N277" s="295">
        <v>11</v>
      </c>
      <c r="O277" s="295" t="s">
        <v>6040</v>
      </c>
      <c r="P277" s="295">
        <v>0.17200000584125499</v>
      </c>
      <c r="Q277" s="295" t="b">
        <v>0</v>
      </c>
      <c r="R277" s="295">
        <v>1344</v>
      </c>
      <c r="T277" s="295">
        <v>11</v>
      </c>
      <c r="U277" s="295" t="s">
        <v>6040</v>
      </c>
      <c r="V277" s="295">
        <v>9.00000035762787E-2</v>
      </c>
      <c r="W277" s="295">
        <v>139</v>
      </c>
      <c r="Z277" s="295" t="b">
        <v>0</v>
      </c>
      <c r="AA277" s="295">
        <v>15</v>
      </c>
      <c r="AB277" s="295">
        <v>0.75</v>
      </c>
      <c r="AC277" s="295">
        <v>0.55000001192092896</v>
      </c>
      <c r="AD277" s="295">
        <v>0.75</v>
      </c>
      <c r="AG277" s="295">
        <v>40</v>
      </c>
      <c r="AH277" s="295">
        <v>0.40000000596046398</v>
      </c>
      <c r="AJ277" s="295">
        <f>VLOOKUP(A277,'RBSA Weights'!$A$2:$N$322,8,FALSE)</f>
        <v>2128.88549804688</v>
      </c>
    </row>
    <row r="278" spans="1:36">
      <c r="A278" s="295">
        <v>24113</v>
      </c>
      <c r="B278" s="295" t="s">
        <v>6058</v>
      </c>
      <c r="C278" s="295" t="b">
        <v>0</v>
      </c>
      <c r="D278" s="295">
        <v>1431</v>
      </c>
      <c r="E278" s="295">
        <v>8</v>
      </c>
      <c r="G278" s="295">
        <v>49</v>
      </c>
      <c r="H278" s="295" t="s">
        <v>6057</v>
      </c>
      <c r="I278" s="295">
        <v>2.60000005364418E-2</v>
      </c>
      <c r="J278" s="295" t="b">
        <v>0</v>
      </c>
      <c r="K278" s="295">
        <v>1431</v>
      </c>
      <c r="L278" s="295" t="s">
        <v>6045</v>
      </c>
      <c r="N278" s="295">
        <v>33</v>
      </c>
      <c r="O278" s="295" t="s">
        <v>162</v>
      </c>
      <c r="P278" s="295">
        <v>2.9999999329447701E-2</v>
      </c>
      <c r="Q278" s="295" t="b">
        <v>0</v>
      </c>
      <c r="R278" s="295">
        <v>1280</v>
      </c>
      <c r="T278" s="295">
        <v>21</v>
      </c>
      <c r="U278" s="295" t="s">
        <v>6051</v>
      </c>
      <c r="V278" s="295">
        <v>5.6000001728534698E-2</v>
      </c>
      <c r="W278" s="295">
        <v>231</v>
      </c>
      <c r="Z278" s="295" t="b">
        <v>0</v>
      </c>
      <c r="AA278" s="295">
        <v>50</v>
      </c>
      <c r="AB278" s="295">
        <v>0.34999999403953602</v>
      </c>
      <c r="AD278" s="295">
        <v>0.34999999403953602</v>
      </c>
      <c r="AG278" s="295">
        <v>40</v>
      </c>
      <c r="AH278" s="295">
        <v>0.40000000596046398</v>
      </c>
      <c r="AJ278" s="295">
        <f>VLOOKUP(A278,'RBSA Weights'!$A$2:$N$322,8,FALSE)</f>
        <v>868.428955078125</v>
      </c>
    </row>
    <row r="279" spans="1:36">
      <c r="A279" s="295">
        <v>24130</v>
      </c>
      <c r="B279" s="295" t="s">
        <v>6042</v>
      </c>
      <c r="C279" s="295" t="b">
        <v>0</v>
      </c>
      <c r="D279" s="295">
        <v>1200</v>
      </c>
      <c r="E279" s="295">
        <v>7.5</v>
      </c>
      <c r="G279" s="295">
        <v>11</v>
      </c>
      <c r="H279" s="295" t="s">
        <v>6040</v>
      </c>
      <c r="I279" s="295">
        <v>0.10000000149011599</v>
      </c>
      <c r="J279" s="295" t="b">
        <v>0</v>
      </c>
      <c r="K279" s="295">
        <v>1152</v>
      </c>
      <c r="L279" s="295" t="s">
        <v>6045</v>
      </c>
      <c r="N279" s="295">
        <v>11</v>
      </c>
      <c r="O279" s="295" t="s">
        <v>6040</v>
      </c>
      <c r="P279" s="295">
        <v>6.7000001668930095E-2</v>
      </c>
      <c r="Q279" s="295" t="b">
        <v>0</v>
      </c>
      <c r="R279" s="295">
        <v>8640</v>
      </c>
      <c r="T279" s="295">
        <v>11</v>
      </c>
      <c r="U279" s="295" t="s">
        <v>6040</v>
      </c>
      <c r="V279" s="295">
        <v>9.00000035762787E-2</v>
      </c>
      <c r="W279" s="295">
        <v>55</v>
      </c>
      <c r="X279" s="295">
        <v>77</v>
      </c>
      <c r="Y279" s="295" t="s">
        <v>6048</v>
      </c>
      <c r="Z279" s="295" t="b">
        <v>1</v>
      </c>
      <c r="AA279" s="295">
        <v>5</v>
      </c>
      <c r="AB279" s="295">
        <v>0.75</v>
      </c>
      <c r="AC279" s="295">
        <v>0.55000001192092896</v>
      </c>
      <c r="AD279" s="295">
        <v>0.63333338499069203</v>
      </c>
      <c r="AE279" s="295">
        <v>10</v>
      </c>
      <c r="AF279" s="295">
        <v>0.60000002384185802</v>
      </c>
      <c r="AG279" s="295">
        <v>40</v>
      </c>
      <c r="AH279" s="295">
        <v>0.40000000596046398</v>
      </c>
      <c r="AJ279" s="295">
        <f>VLOOKUP(A279,'RBSA Weights'!$A$2:$N$322,8,FALSE)</f>
        <v>868.428955078125</v>
      </c>
    </row>
    <row r="280" spans="1:36">
      <c r="A280" s="295">
        <v>24157</v>
      </c>
      <c r="B280" s="295" t="s">
        <v>6053</v>
      </c>
      <c r="C280" s="295" t="b">
        <v>0</v>
      </c>
      <c r="D280" s="295">
        <v>1188</v>
      </c>
      <c r="E280" s="295">
        <v>8</v>
      </c>
      <c r="G280" s="295">
        <v>22</v>
      </c>
      <c r="H280" s="295" t="s">
        <v>6046</v>
      </c>
      <c r="I280" s="295">
        <v>5.2000001072883599E-2</v>
      </c>
      <c r="J280" s="295" t="b">
        <v>0</v>
      </c>
      <c r="K280" s="295">
        <v>1188</v>
      </c>
      <c r="L280" s="295" t="s">
        <v>6045</v>
      </c>
      <c r="N280" s="295">
        <v>22</v>
      </c>
      <c r="O280" s="295" t="s">
        <v>6046</v>
      </c>
      <c r="P280" s="295">
        <v>5.0999999046325697E-2</v>
      </c>
      <c r="Q280" s="295" t="b">
        <v>0</v>
      </c>
      <c r="R280" s="295">
        <v>1136</v>
      </c>
      <c r="T280" s="295">
        <v>11</v>
      </c>
      <c r="U280" s="295" t="s">
        <v>6040</v>
      </c>
      <c r="V280" s="295">
        <v>9.00000035762787E-2</v>
      </c>
      <c r="W280" s="295">
        <v>96</v>
      </c>
      <c r="Z280" s="295" t="b">
        <v>0</v>
      </c>
      <c r="AA280" s="295">
        <v>15</v>
      </c>
      <c r="AB280" s="295">
        <v>0.479999989271164</v>
      </c>
      <c r="AD280" s="295">
        <v>0.479999989271164</v>
      </c>
      <c r="AG280" s="295">
        <v>40</v>
      </c>
      <c r="AH280" s="295">
        <v>0.40000000596046398</v>
      </c>
      <c r="AI280" s="295" t="s">
        <v>6080</v>
      </c>
      <c r="AJ280" s="295">
        <f>VLOOKUP(A280,'RBSA Weights'!$A$2:$N$322,8,FALSE)</f>
        <v>2319.07739257813</v>
      </c>
    </row>
    <row r="281" spans="1:36">
      <c r="A281" s="295">
        <v>24167</v>
      </c>
      <c r="B281" s="295" t="s">
        <v>6042</v>
      </c>
      <c r="C281" s="295" t="b">
        <v>0</v>
      </c>
      <c r="D281" s="295">
        <v>1375</v>
      </c>
      <c r="E281" s="295">
        <v>8.5</v>
      </c>
      <c r="G281" s="295">
        <v>11</v>
      </c>
      <c r="H281" s="295" t="s">
        <v>6040</v>
      </c>
      <c r="I281" s="295">
        <v>0.10000000149011599</v>
      </c>
      <c r="J281" s="295" t="b">
        <v>0</v>
      </c>
      <c r="K281" s="295">
        <v>1296</v>
      </c>
      <c r="L281" s="295" t="s">
        <v>6045</v>
      </c>
      <c r="N281" s="295">
        <v>11</v>
      </c>
      <c r="O281" s="295" t="s">
        <v>6040</v>
      </c>
      <c r="P281" s="295">
        <v>6.7000001668930095E-2</v>
      </c>
      <c r="Q281" s="295" t="b">
        <v>0</v>
      </c>
      <c r="R281" s="295">
        <v>1125</v>
      </c>
      <c r="T281" s="295">
        <v>11</v>
      </c>
      <c r="U281" s="295" t="s">
        <v>6040</v>
      </c>
      <c r="V281" s="295">
        <v>9.00000035762787E-2</v>
      </c>
      <c r="W281" s="295">
        <v>179</v>
      </c>
      <c r="Z281" s="295" t="b">
        <v>0</v>
      </c>
      <c r="AA281" s="295">
        <v>15</v>
      </c>
      <c r="AB281" s="295">
        <v>0.75</v>
      </c>
      <c r="AC281" s="295">
        <v>0.69999998807907104</v>
      </c>
      <c r="AD281" s="295">
        <v>0.75</v>
      </c>
      <c r="AE281" s="295">
        <v>8</v>
      </c>
      <c r="AF281" s="295">
        <v>0.60000002384185802</v>
      </c>
      <c r="AG281" s="295">
        <v>40</v>
      </c>
      <c r="AH281" s="295">
        <v>0.40000000596046398</v>
      </c>
      <c r="AI281" s="295" t="s">
        <v>6079</v>
      </c>
      <c r="AJ281" s="295">
        <f>VLOOKUP(A281,'RBSA Weights'!$A$2:$N$322,8,FALSE)</f>
        <v>2128.88549804688</v>
      </c>
    </row>
    <row r="282" spans="1:36">
      <c r="A282" s="295">
        <v>24174</v>
      </c>
      <c r="B282" s="295" t="s">
        <v>6078</v>
      </c>
      <c r="C282" s="295" t="b">
        <v>0</v>
      </c>
      <c r="D282" s="295">
        <v>1482</v>
      </c>
      <c r="E282" s="295">
        <v>9</v>
      </c>
      <c r="G282" s="295">
        <v>38</v>
      </c>
      <c r="H282" s="295" t="s">
        <v>162</v>
      </c>
      <c r="I282" s="295">
        <v>3.5000000149011598E-2</v>
      </c>
      <c r="J282" s="295" t="b">
        <v>0</v>
      </c>
      <c r="K282" s="295">
        <v>1387</v>
      </c>
      <c r="L282" s="295" t="s">
        <v>6045</v>
      </c>
      <c r="N282" s="295">
        <v>33</v>
      </c>
      <c r="O282" s="295" t="s">
        <v>162</v>
      </c>
      <c r="P282" s="295">
        <v>2.9999999329447701E-2</v>
      </c>
      <c r="Q282" s="295" t="b">
        <v>0</v>
      </c>
      <c r="R282" s="295">
        <v>1422</v>
      </c>
      <c r="T282" s="295">
        <v>21</v>
      </c>
      <c r="U282" s="295" t="s">
        <v>6051</v>
      </c>
      <c r="V282" s="295">
        <v>5.6000001728534698E-2</v>
      </c>
      <c r="W282" s="295">
        <v>143</v>
      </c>
      <c r="Z282" s="295" t="b">
        <v>0</v>
      </c>
      <c r="AA282" s="295">
        <v>0</v>
      </c>
      <c r="AB282" s="295">
        <v>0.37999999523162797</v>
      </c>
      <c r="AD282" s="295">
        <v>0.37999999523162797</v>
      </c>
      <c r="AG282" s="295">
        <v>40</v>
      </c>
      <c r="AH282" s="295">
        <v>0.40000000596046398</v>
      </c>
      <c r="AI282" s="295" t="s">
        <v>6077</v>
      </c>
      <c r="AJ282" s="295">
        <f>VLOOKUP(A282,'RBSA Weights'!$A$2:$N$322,8,FALSE)</f>
        <v>1211.2822265625</v>
      </c>
    </row>
    <row r="283" spans="1:36">
      <c r="A283" s="295">
        <v>24176</v>
      </c>
      <c r="B283" s="295" t="s">
        <v>6056</v>
      </c>
      <c r="C283" s="295" t="b">
        <v>0</v>
      </c>
      <c r="D283" s="295">
        <v>900</v>
      </c>
      <c r="E283" s="295">
        <v>7.5</v>
      </c>
      <c r="G283" s="295">
        <v>7</v>
      </c>
      <c r="H283" s="295" t="s">
        <v>6055</v>
      </c>
      <c r="I283" s="295">
        <v>0.129999995231628</v>
      </c>
      <c r="J283" s="295" t="b">
        <v>1</v>
      </c>
      <c r="K283" s="295">
        <v>840</v>
      </c>
      <c r="L283" s="295" t="s">
        <v>6041</v>
      </c>
      <c r="M283" s="295" t="s">
        <v>156</v>
      </c>
      <c r="N283" s="295">
        <v>11</v>
      </c>
      <c r="O283" s="295" t="s">
        <v>6040</v>
      </c>
      <c r="P283" s="295">
        <v>8.5000000894069699E-2</v>
      </c>
      <c r="Q283" s="295" t="b">
        <v>0</v>
      </c>
      <c r="R283" s="295">
        <v>1110</v>
      </c>
      <c r="T283" s="295">
        <v>7</v>
      </c>
      <c r="U283" s="295" t="s">
        <v>6055</v>
      </c>
      <c r="V283" s="295">
        <v>0.119999997317791</v>
      </c>
      <c r="W283" s="295">
        <v>123</v>
      </c>
      <c r="Z283" s="295" t="b">
        <v>0</v>
      </c>
      <c r="AA283" s="295">
        <v>35</v>
      </c>
      <c r="AB283" s="295">
        <v>1.25</v>
      </c>
      <c r="AD283" s="295">
        <v>1.25</v>
      </c>
      <c r="AG283" s="295">
        <v>40</v>
      </c>
      <c r="AH283" s="295">
        <v>0.34999999403953602</v>
      </c>
      <c r="AI283" s="295" t="s">
        <v>6076</v>
      </c>
      <c r="AJ283" s="295">
        <f>VLOOKUP(A283,'RBSA Weights'!$A$2:$N$322,8,FALSE)</f>
        <v>868.428955078125</v>
      </c>
    </row>
    <row r="284" spans="1:36">
      <c r="A284" s="295">
        <v>24181</v>
      </c>
      <c r="B284" s="295" t="s">
        <v>6058</v>
      </c>
      <c r="C284" s="295" t="b">
        <v>0</v>
      </c>
      <c r="D284" s="295">
        <v>1476</v>
      </c>
      <c r="E284" s="295">
        <v>8</v>
      </c>
      <c r="G284" s="295">
        <v>49</v>
      </c>
      <c r="H284" s="295" t="s">
        <v>6057</v>
      </c>
      <c r="I284" s="295">
        <v>2.60000005364418E-2</v>
      </c>
      <c r="J284" s="295" t="b">
        <v>0</v>
      </c>
      <c r="K284" s="295">
        <v>1476</v>
      </c>
      <c r="L284" s="295" t="s">
        <v>6045</v>
      </c>
      <c r="N284" s="295">
        <v>33</v>
      </c>
      <c r="O284" s="295" t="s">
        <v>162</v>
      </c>
      <c r="P284" s="295">
        <v>2.9999999329447701E-2</v>
      </c>
      <c r="Q284" s="295" t="b">
        <v>0</v>
      </c>
      <c r="R284" s="295">
        <v>1656</v>
      </c>
      <c r="T284" s="295">
        <v>21</v>
      </c>
      <c r="U284" s="295" t="s">
        <v>6051</v>
      </c>
      <c r="V284" s="295">
        <v>5.6000001728534698E-2</v>
      </c>
      <c r="W284" s="295">
        <v>247</v>
      </c>
      <c r="Z284" s="295" t="b">
        <v>0</v>
      </c>
      <c r="AA284" s="295">
        <v>50</v>
      </c>
      <c r="AB284" s="295">
        <v>0.34999999403953602</v>
      </c>
      <c r="AD284" s="295">
        <v>0.34999999403953602</v>
      </c>
      <c r="AG284" s="295">
        <v>40</v>
      </c>
      <c r="AH284" s="295">
        <v>0.40000000596046398</v>
      </c>
      <c r="AI284" s="295" t="s">
        <v>6073</v>
      </c>
      <c r="AJ284" s="295">
        <f>VLOOKUP(A284,'RBSA Weights'!$A$2:$N$322,8,FALSE)</f>
        <v>868.428955078125</v>
      </c>
    </row>
    <row r="285" spans="1:36">
      <c r="A285" s="295">
        <v>24192</v>
      </c>
      <c r="B285" s="295" t="s">
        <v>6058</v>
      </c>
      <c r="C285" s="295" t="b">
        <v>0</v>
      </c>
      <c r="D285" s="295">
        <v>1809</v>
      </c>
      <c r="E285" s="295">
        <v>8</v>
      </c>
      <c r="G285" s="295">
        <v>49</v>
      </c>
      <c r="H285" s="295" t="s">
        <v>6057</v>
      </c>
      <c r="I285" s="295">
        <v>2.60000005364418E-2</v>
      </c>
      <c r="J285" s="295" t="b">
        <v>0</v>
      </c>
      <c r="K285" s="295">
        <v>1809</v>
      </c>
      <c r="L285" s="295" t="s">
        <v>6041</v>
      </c>
      <c r="N285" s="295">
        <v>33</v>
      </c>
      <c r="O285" s="295" t="s">
        <v>162</v>
      </c>
      <c r="P285" s="295">
        <v>5.4000001400709201E-2</v>
      </c>
      <c r="Q285" s="295" t="b">
        <v>0</v>
      </c>
      <c r="R285" s="295">
        <v>1504</v>
      </c>
      <c r="T285" s="295">
        <v>21</v>
      </c>
      <c r="U285" s="295" t="s">
        <v>6051</v>
      </c>
      <c r="V285" s="295">
        <v>5.6000001728534698E-2</v>
      </c>
      <c r="W285" s="295">
        <v>161</v>
      </c>
      <c r="Z285" s="295" t="b">
        <v>0</v>
      </c>
      <c r="AA285" s="295">
        <v>5</v>
      </c>
      <c r="AB285" s="295">
        <v>0.34999999403953602</v>
      </c>
      <c r="AD285" s="295">
        <v>0.34999999403953602</v>
      </c>
      <c r="AG285" s="295">
        <v>40</v>
      </c>
      <c r="AH285" s="295">
        <v>0.40000000596046398</v>
      </c>
      <c r="AI285" s="295" t="s">
        <v>6075</v>
      </c>
      <c r="AJ285" s="295">
        <f>VLOOKUP(A285,'RBSA Weights'!$A$2:$N$322,8,FALSE)</f>
        <v>1211.2822265625</v>
      </c>
    </row>
    <row r="286" spans="1:36">
      <c r="A286" s="295">
        <v>24220</v>
      </c>
      <c r="B286" s="295" t="s">
        <v>6042</v>
      </c>
      <c r="C286" s="295" t="b">
        <v>0</v>
      </c>
      <c r="D286" s="295">
        <v>1596</v>
      </c>
      <c r="E286" s="295">
        <v>9</v>
      </c>
      <c r="G286" s="295">
        <v>11</v>
      </c>
      <c r="H286" s="295" t="s">
        <v>6040</v>
      </c>
      <c r="I286" s="295">
        <v>0.10000000149011599</v>
      </c>
      <c r="J286" s="295" t="b">
        <v>0</v>
      </c>
      <c r="K286" s="295">
        <v>1596</v>
      </c>
      <c r="L286" s="295" t="s">
        <v>6045</v>
      </c>
      <c r="N286" s="295">
        <v>11</v>
      </c>
      <c r="O286" s="295" t="s">
        <v>6040</v>
      </c>
      <c r="P286" s="295">
        <v>6.7000001668930095E-2</v>
      </c>
      <c r="Q286" s="295" t="b">
        <v>0</v>
      </c>
      <c r="R286" s="295">
        <v>1614</v>
      </c>
      <c r="T286" s="295">
        <v>11</v>
      </c>
      <c r="U286" s="295" t="s">
        <v>6040</v>
      </c>
      <c r="V286" s="295">
        <v>9.00000035762787E-2</v>
      </c>
      <c r="W286" s="295">
        <v>235</v>
      </c>
      <c r="Z286" s="295" t="b">
        <v>0</v>
      </c>
      <c r="AA286" s="295">
        <v>30</v>
      </c>
      <c r="AB286" s="295">
        <v>0.75</v>
      </c>
      <c r="AD286" s="295">
        <v>0.75</v>
      </c>
      <c r="AE286" s="295">
        <v>8</v>
      </c>
      <c r="AF286" s="295">
        <v>1.29999995231628</v>
      </c>
      <c r="AG286" s="295">
        <v>40</v>
      </c>
      <c r="AH286" s="295">
        <v>0.40000000596046398</v>
      </c>
      <c r="AJ286" s="295">
        <f>VLOOKUP(A286,'RBSA Weights'!$A$2:$N$322,8,FALSE)</f>
        <v>868.428955078125</v>
      </c>
    </row>
    <row r="287" spans="1:36">
      <c r="A287" s="295">
        <v>24280</v>
      </c>
      <c r="B287" s="295" t="s">
        <v>6056</v>
      </c>
      <c r="C287" s="295" t="b">
        <v>0</v>
      </c>
      <c r="D287" s="295">
        <v>1005</v>
      </c>
      <c r="E287" s="295">
        <v>7</v>
      </c>
      <c r="G287" s="295">
        <v>7</v>
      </c>
      <c r="H287" s="295" t="s">
        <v>6055</v>
      </c>
      <c r="I287" s="295">
        <v>0.129999995231628</v>
      </c>
      <c r="J287" s="295" t="b">
        <v>0</v>
      </c>
      <c r="K287" s="295">
        <v>1005</v>
      </c>
      <c r="L287" s="295" t="s">
        <v>6060</v>
      </c>
      <c r="N287" s="295">
        <v>7</v>
      </c>
      <c r="O287" s="295" t="s">
        <v>6055</v>
      </c>
      <c r="P287" s="295">
        <v>0.14699999988079099</v>
      </c>
      <c r="Q287" s="295" t="b">
        <v>0</v>
      </c>
      <c r="R287" s="295">
        <v>1148</v>
      </c>
      <c r="T287" s="295">
        <v>7</v>
      </c>
      <c r="U287" s="295" t="s">
        <v>6055</v>
      </c>
      <c r="V287" s="295">
        <v>0.119999997317791</v>
      </c>
      <c r="W287" s="295">
        <v>96</v>
      </c>
      <c r="Y287" s="295" t="s">
        <v>6048</v>
      </c>
      <c r="Z287" s="295" t="b">
        <v>1</v>
      </c>
      <c r="AA287" s="295">
        <v>50</v>
      </c>
      <c r="AB287" s="295">
        <v>1.25</v>
      </c>
      <c r="AC287" s="295">
        <v>0.55000001192092896</v>
      </c>
      <c r="AD287" s="295">
        <v>1.25</v>
      </c>
      <c r="AG287" s="295">
        <v>40</v>
      </c>
      <c r="AH287" s="295">
        <v>0.40000000596046398</v>
      </c>
      <c r="AI287" s="295" t="s">
        <v>6074</v>
      </c>
      <c r="AJ287" s="295">
        <f>VLOOKUP(A287,'RBSA Weights'!$A$2:$N$322,8,FALSE)</f>
        <v>2319.07739257813</v>
      </c>
    </row>
    <row r="288" spans="1:36">
      <c r="A288" s="295">
        <v>24300</v>
      </c>
      <c r="B288" s="295" t="s">
        <v>6052</v>
      </c>
      <c r="C288" s="295" t="b">
        <v>0</v>
      </c>
      <c r="D288" s="295">
        <v>1276</v>
      </c>
      <c r="E288" s="295">
        <v>9</v>
      </c>
      <c r="G288" s="295">
        <v>38</v>
      </c>
      <c r="H288" s="295" t="s">
        <v>162</v>
      </c>
      <c r="I288" s="295">
        <v>3.5000000149011598E-2</v>
      </c>
      <c r="J288" s="295" t="b">
        <v>0</v>
      </c>
      <c r="K288" s="295">
        <v>1188</v>
      </c>
      <c r="L288" s="295" t="s">
        <v>6041</v>
      </c>
      <c r="N288" s="295">
        <v>33</v>
      </c>
      <c r="O288" s="295" t="s">
        <v>162</v>
      </c>
      <c r="P288" s="295">
        <v>5.4000001400709201E-2</v>
      </c>
      <c r="Q288" s="295" t="b">
        <v>0</v>
      </c>
      <c r="R288" s="295">
        <v>1136</v>
      </c>
      <c r="T288" s="295">
        <v>21</v>
      </c>
      <c r="U288" s="295" t="s">
        <v>6051</v>
      </c>
      <c r="V288" s="295">
        <v>5.6000001728534698E-2</v>
      </c>
      <c r="W288" s="295">
        <v>131</v>
      </c>
      <c r="Z288" s="295" t="b">
        <v>0</v>
      </c>
      <c r="AA288" s="295">
        <v>15</v>
      </c>
      <c r="AB288" s="295">
        <v>0.37999999523162797</v>
      </c>
      <c r="AD288" s="295">
        <v>0.37999999523162797</v>
      </c>
      <c r="AG288" s="295">
        <v>40</v>
      </c>
      <c r="AH288" s="295">
        <v>0.40000000596046398</v>
      </c>
      <c r="AJ288" s="295">
        <f>VLOOKUP(A288,'RBSA Weights'!$A$2:$N$322,8,FALSE)</f>
        <v>1211.2822265625</v>
      </c>
    </row>
    <row r="289" spans="1:36">
      <c r="A289" s="295">
        <v>24326</v>
      </c>
      <c r="B289" s="295" t="s">
        <v>6053</v>
      </c>
      <c r="C289" s="295" t="b">
        <v>0</v>
      </c>
      <c r="D289" s="295">
        <v>1216</v>
      </c>
      <c r="E289" s="295">
        <v>7.5</v>
      </c>
      <c r="G289" s="295">
        <v>22</v>
      </c>
      <c r="H289" s="295" t="s">
        <v>6046</v>
      </c>
      <c r="I289" s="295">
        <v>5.2000001072883599E-2</v>
      </c>
      <c r="J289" s="295" t="b">
        <v>0</v>
      </c>
      <c r="K289" s="295">
        <v>1216</v>
      </c>
      <c r="L289" s="295" t="s">
        <v>6045</v>
      </c>
      <c r="N289" s="295">
        <v>22</v>
      </c>
      <c r="O289" s="295" t="s">
        <v>6046</v>
      </c>
      <c r="P289" s="295">
        <v>5.0999999046325697E-2</v>
      </c>
      <c r="Q289" s="295" t="b">
        <v>0</v>
      </c>
      <c r="R289" s="295">
        <v>1472</v>
      </c>
      <c r="T289" s="295">
        <v>11</v>
      </c>
      <c r="U289" s="295" t="s">
        <v>6040</v>
      </c>
      <c r="V289" s="295">
        <v>9.00000035762787E-2</v>
      </c>
      <c r="W289" s="295">
        <v>133</v>
      </c>
      <c r="Z289" s="295" t="b">
        <v>0</v>
      </c>
      <c r="AA289" s="295">
        <v>50</v>
      </c>
      <c r="AB289" s="295">
        <v>0.479999989271164</v>
      </c>
      <c r="AD289" s="295">
        <v>0.479999989271164</v>
      </c>
      <c r="AG289" s="295">
        <v>40</v>
      </c>
      <c r="AH289" s="295">
        <v>0.40000000596046398</v>
      </c>
      <c r="AI289" s="295" t="s">
        <v>6073</v>
      </c>
      <c r="AJ289" s="295">
        <f>VLOOKUP(A289,'RBSA Weights'!$A$2:$N$322,8,FALSE)</f>
        <v>868.428955078125</v>
      </c>
    </row>
    <row r="290" spans="1:36">
      <c r="A290" s="295">
        <v>24328</v>
      </c>
      <c r="B290" s="295" t="s">
        <v>6042</v>
      </c>
      <c r="C290" s="295" t="b">
        <v>0</v>
      </c>
      <c r="D290" s="295">
        <v>924</v>
      </c>
      <c r="E290" s="295">
        <v>7.5</v>
      </c>
      <c r="G290" s="295">
        <v>11</v>
      </c>
      <c r="H290" s="295" t="s">
        <v>6040</v>
      </c>
      <c r="I290" s="295">
        <v>0.10000000149011599</v>
      </c>
      <c r="J290" s="295" t="b">
        <v>1</v>
      </c>
      <c r="K290" s="295">
        <v>924</v>
      </c>
      <c r="L290" s="295" t="s">
        <v>6041</v>
      </c>
      <c r="M290" s="295" t="s">
        <v>156</v>
      </c>
      <c r="N290" s="295">
        <v>11</v>
      </c>
      <c r="O290" s="295" t="s">
        <v>6040</v>
      </c>
      <c r="P290" s="295">
        <v>8.5000000894069699E-2</v>
      </c>
      <c r="Q290" s="295" t="b">
        <v>0</v>
      </c>
      <c r="R290" s="295">
        <v>1215</v>
      </c>
      <c r="T290" s="295">
        <v>11</v>
      </c>
      <c r="U290" s="295" t="s">
        <v>6040</v>
      </c>
      <c r="V290" s="295">
        <v>9.00000035762787E-2</v>
      </c>
      <c r="W290" s="295">
        <v>130</v>
      </c>
      <c r="Z290" s="295" t="b">
        <v>0</v>
      </c>
      <c r="AA290" s="295">
        <v>20</v>
      </c>
      <c r="AB290" s="295">
        <v>0.75</v>
      </c>
      <c r="AD290" s="295">
        <v>0.75</v>
      </c>
      <c r="AG290" s="295">
        <v>40</v>
      </c>
      <c r="AH290" s="295">
        <v>0.40000000596046398</v>
      </c>
      <c r="AI290" s="295" t="s">
        <v>6072</v>
      </c>
      <c r="AJ290" s="295">
        <f>VLOOKUP(A290,'RBSA Weights'!$A$2:$N$322,8,FALSE)</f>
        <v>3065.64990234375</v>
      </c>
    </row>
    <row r="291" spans="1:36">
      <c r="A291" s="295">
        <v>24339</v>
      </c>
      <c r="B291" s="295" t="s">
        <v>6042</v>
      </c>
      <c r="C291" s="295" t="b">
        <v>0</v>
      </c>
      <c r="D291" s="295">
        <v>1863</v>
      </c>
      <c r="E291" s="295">
        <v>8.5</v>
      </c>
      <c r="G291" s="295">
        <v>11</v>
      </c>
      <c r="H291" s="295" t="s">
        <v>6040</v>
      </c>
      <c r="I291" s="295">
        <v>0.10000000149011599</v>
      </c>
      <c r="J291" s="295" t="b">
        <v>0</v>
      </c>
      <c r="K291" s="295">
        <v>1620</v>
      </c>
      <c r="L291" s="295" t="s">
        <v>6041</v>
      </c>
      <c r="N291" s="295">
        <v>11</v>
      </c>
      <c r="O291" s="295" t="s">
        <v>6040</v>
      </c>
      <c r="P291" s="295">
        <v>8.5000000894069699E-2</v>
      </c>
      <c r="Q291" s="295" t="b">
        <v>0</v>
      </c>
      <c r="R291" s="295">
        <v>1368</v>
      </c>
      <c r="T291" s="295">
        <v>11</v>
      </c>
      <c r="U291" s="295" t="s">
        <v>6040</v>
      </c>
      <c r="V291" s="295">
        <v>9.00000035762787E-2</v>
      </c>
      <c r="W291" s="295">
        <v>118</v>
      </c>
      <c r="X291" s="295">
        <v>30</v>
      </c>
      <c r="Y291" s="295" t="s">
        <v>6048</v>
      </c>
      <c r="Z291" s="295" t="b">
        <v>1</v>
      </c>
      <c r="AA291" s="295">
        <v>100</v>
      </c>
      <c r="AB291" s="295">
        <v>0.75</v>
      </c>
      <c r="AC291" s="295">
        <v>0.55000001192092896</v>
      </c>
      <c r="AD291" s="295">
        <v>0.70945948362350497</v>
      </c>
      <c r="AG291" s="295">
        <v>40</v>
      </c>
      <c r="AH291" s="295">
        <v>0.40000000596046398</v>
      </c>
      <c r="AJ291" s="295">
        <f>VLOOKUP(A291,'RBSA Weights'!$A$2:$N$322,8,FALSE)</f>
        <v>2914.5654296875</v>
      </c>
    </row>
    <row r="292" spans="1:36">
      <c r="A292" s="295">
        <v>24386</v>
      </c>
      <c r="B292" s="295" t="s">
        <v>6042</v>
      </c>
      <c r="C292" s="295" t="b">
        <v>0</v>
      </c>
      <c r="D292" s="295">
        <v>1456</v>
      </c>
      <c r="E292" s="295">
        <v>7.5</v>
      </c>
      <c r="G292" s="295">
        <v>11</v>
      </c>
      <c r="H292" s="295" t="s">
        <v>6040</v>
      </c>
      <c r="I292" s="295">
        <v>0.10000000149011599</v>
      </c>
      <c r="J292" s="295" t="b">
        <v>0</v>
      </c>
      <c r="K292" s="295">
        <v>1456</v>
      </c>
      <c r="L292" s="295" t="s">
        <v>6045</v>
      </c>
      <c r="N292" s="295">
        <v>11</v>
      </c>
      <c r="O292" s="295" t="s">
        <v>6040</v>
      </c>
      <c r="P292" s="295">
        <v>6.7000001668930095E-2</v>
      </c>
      <c r="Q292" s="295" t="b">
        <v>0</v>
      </c>
      <c r="R292" s="295">
        <v>1200</v>
      </c>
      <c r="T292" s="295">
        <v>11</v>
      </c>
      <c r="U292" s="295" t="s">
        <v>6040</v>
      </c>
      <c r="V292" s="295">
        <v>9.00000035762787E-2</v>
      </c>
      <c r="W292" s="295">
        <v>175</v>
      </c>
      <c r="Z292" s="295" t="b">
        <v>0</v>
      </c>
      <c r="AA292" s="295">
        <v>30</v>
      </c>
      <c r="AB292" s="295">
        <v>0.75</v>
      </c>
      <c r="AC292" s="295">
        <v>0.69999998807907104</v>
      </c>
      <c r="AD292" s="295">
        <v>0.75</v>
      </c>
      <c r="AE292" s="295">
        <v>8</v>
      </c>
      <c r="AF292" s="295">
        <v>0.60000002384185802</v>
      </c>
      <c r="AG292" s="295">
        <v>40</v>
      </c>
      <c r="AH292" s="295">
        <v>0.40000000596046398</v>
      </c>
      <c r="AJ292" s="295">
        <f>VLOOKUP(A292,'RBSA Weights'!$A$2:$N$322,8,FALSE)</f>
        <v>2128.94555664063</v>
      </c>
    </row>
    <row r="293" spans="1:36">
      <c r="A293" s="295">
        <v>24393</v>
      </c>
      <c r="B293" s="295" t="s">
        <v>6058</v>
      </c>
      <c r="C293" s="295" t="b">
        <v>0</v>
      </c>
      <c r="D293" s="295">
        <v>1200</v>
      </c>
      <c r="E293" s="295">
        <v>9</v>
      </c>
      <c r="G293" s="295">
        <v>49</v>
      </c>
      <c r="H293" s="295" t="s">
        <v>6057</v>
      </c>
      <c r="I293" s="295">
        <v>2.60000005364418E-2</v>
      </c>
      <c r="J293" s="295" t="b">
        <v>0</v>
      </c>
      <c r="K293" s="295">
        <v>1170</v>
      </c>
      <c r="L293" s="295" t="s">
        <v>6045</v>
      </c>
      <c r="N293" s="295">
        <v>33</v>
      </c>
      <c r="O293" s="295" t="s">
        <v>162</v>
      </c>
      <c r="P293" s="295">
        <v>2.9999999329447701E-2</v>
      </c>
      <c r="Q293" s="295" t="b">
        <v>0</v>
      </c>
      <c r="R293" s="295">
        <v>1260</v>
      </c>
      <c r="T293" s="295">
        <v>21</v>
      </c>
      <c r="U293" s="295" t="s">
        <v>6051</v>
      </c>
      <c r="V293" s="295">
        <v>5.6000001728534698E-2</v>
      </c>
      <c r="W293" s="295">
        <v>98</v>
      </c>
      <c r="Z293" s="295" t="b">
        <v>0</v>
      </c>
      <c r="AA293" s="295">
        <v>0</v>
      </c>
      <c r="AB293" s="295">
        <v>0.34999999403953602</v>
      </c>
      <c r="AC293" s="295">
        <v>0.34999999403953602</v>
      </c>
      <c r="AD293" s="295">
        <v>0.34999999403953602</v>
      </c>
      <c r="AG293" s="295">
        <v>40</v>
      </c>
      <c r="AH293" s="295">
        <v>0.40000000596046398</v>
      </c>
      <c r="AJ293" s="295">
        <f>VLOOKUP(A293,'RBSA Weights'!$A$2:$N$322,8,FALSE)</f>
        <v>2128.88549804688</v>
      </c>
    </row>
    <row r="294" spans="1:36">
      <c r="A294" s="295">
        <v>24396</v>
      </c>
      <c r="B294" s="295" t="s">
        <v>6042</v>
      </c>
      <c r="C294" s="295" t="b">
        <v>1</v>
      </c>
      <c r="D294" s="295">
        <v>1200</v>
      </c>
      <c r="E294" s="295">
        <v>8</v>
      </c>
      <c r="F294" s="295" t="s">
        <v>157</v>
      </c>
      <c r="G294" s="295">
        <v>19</v>
      </c>
      <c r="H294" s="295" t="s">
        <v>6051</v>
      </c>
      <c r="I294" s="295">
        <v>5.6000001728534698E-2</v>
      </c>
      <c r="J294" s="295" t="b">
        <v>0</v>
      </c>
      <c r="K294" s="295">
        <v>1200</v>
      </c>
      <c r="L294" s="295" t="s">
        <v>6045</v>
      </c>
      <c r="N294" s="295">
        <v>11</v>
      </c>
      <c r="O294" s="295" t="s">
        <v>6040</v>
      </c>
      <c r="P294" s="295">
        <v>6.7000001668930095E-2</v>
      </c>
      <c r="Q294" s="295" t="b">
        <v>0</v>
      </c>
      <c r="R294" s="295">
        <v>1184</v>
      </c>
      <c r="T294" s="295">
        <v>11</v>
      </c>
      <c r="U294" s="295" t="s">
        <v>6040</v>
      </c>
      <c r="V294" s="295">
        <v>9.00000035762787E-2</v>
      </c>
      <c r="W294" s="295">
        <v>3</v>
      </c>
      <c r="X294" s="295">
        <v>132</v>
      </c>
      <c r="Y294" s="295" t="s">
        <v>6048</v>
      </c>
      <c r="Z294" s="295" t="b">
        <v>1</v>
      </c>
      <c r="AA294" s="295">
        <v>20</v>
      </c>
      <c r="AB294" s="295">
        <v>0.75</v>
      </c>
      <c r="AC294" s="295">
        <v>0.55000001192092896</v>
      </c>
      <c r="AD294" s="295">
        <v>0.55444443225860596</v>
      </c>
      <c r="AG294" s="295">
        <v>40</v>
      </c>
      <c r="AH294" s="295">
        <v>0.40000000596046398</v>
      </c>
      <c r="AJ294" s="295">
        <f>VLOOKUP(A294,'RBSA Weights'!$A$2:$N$322,8,FALSE)</f>
        <v>2319.07739257813</v>
      </c>
    </row>
    <row r="295" spans="1:36">
      <c r="A295" s="295">
        <v>24414</v>
      </c>
      <c r="C295" s="295" t="b">
        <v>0</v>
      </c>
      <c r="D295" s="295">
        <v>1620</v>
      </c>
      <c r="E295" s="295">
        <v>9</v>
      </c>
      <c r="J295" s="295" t="b">
        <v>1</v>
      </c>
      <c r="K295" s="295">
        <v>1620</v>
      </c>
      <c r="L295" s="295" t="s">
        <v>6060</v>
      </c>
      <c r="Q295" s="295" t="b">
        <v>1</v>
      </c>
      <c r="R295" s="295">
        <v>1392</v>
      </c>
      <c r="S295" s="295" t="s">
        <v>156</v>
      </c>
      <c r="T295" s="295">
        <v>11</v>
      </c>
      <c r="U295" s="295" t="s">
        <v>6040</v>
      </c>
      <c r="V295" s="295">
        <v>9.00000035762787E-2</v>
      </c>
      <c r="W295" s="295">
        <v>260</v>
      </c>
      <c r="Y295" s="295" t="s">
        <v>6048</v>
      </c>
      <c r="Z295" s="295" t="b">
        <v>1</v>
      </c>
      <c r="AA295" s="295">
        <v>0</v>
      </c>
      <c r="AC295" s="295">
        <v>0.55000001192092896</v>
      </c>
      <c r="AD295" s="295">
        <v>0</v>
      </c>
      <c r="AG295" s="295">
        <v>40</v>
      </c>
      <c r="AH295" s="295">
        <v>0.34999999403953602</v>
      </c>
      <c r="AI295" s="295" t="s">
        <v>6071</v>
      </c>
      <c r="AJ295" s="295">
        <f>VLOOKUP(A295,'RBSA Weights'!$A$2:$N$322,8,FALSE)</f>
        <v>1211.2822265625</v>
      </c>
    </row>
    <row r="296" spans="1:36">
      <c r="A296" s="295">
        <v>24420</v>
      </c>
      <c r="B296" s="295" t="s">
        <v>6042</v>
      </c>
      <c r="C296" s="295" t="b">
        <v>1</v>
      </c>
      <c r="D296" s="295">
        <v>720</v>
      </c>
      <c r="E296" s="295">
        <v>7.5</v>
      </c>
      <c r="F296" s="295" t="s">
        <v>158</v>
      </c>
      <c r="G296" s="295">
        <v>30</v>
      </c>
      <c r="H296" s="295" t="s">
        <v>6046</v>
      </c>
      <c r="I296" s="295">
        <v>4.39999997615814E-2</v>
      </c>
      <c r="J296" s="295" t="b">
        <v>1</v>
      </c>
      <c r="K296" s="295">
        <v>720</v>
      </c>
      <c r="L296" s="295" t="s">
        <v>6045</v>
      </c>
      <c r="M296" s="295" t="s">
        <v>6070</v>
      </c>
      <c r="N296" s="295">
        <v>14</v>
      </c>
      <c r="O296" s="295" t="s">
        <v>6040</v>
      </c>
      <c r="P296" s="295">
        <v>6.1999998986720997E-2</v>
      </c>
      <c r="Q296" s="295" t="b">
        <v>0</v>
      </c>
      <c r="R296" s="295">
        <v>1080</v>
      </c>
      <c r="T296" s="295">
        <v>11</v>
      </c>
      <c r="U296" s="295" t="s">
        <v>6040</v>
      </c>
      <c r="V296" s="295">
        <v>9.00000035762787E-2</v>
      </c>
      <c r="W296" s="295">
        <v>80</v>
      </c>
      <c r="Z296" s="295" t="b">
        <v>1</v>
      </c>
      <c r="AA296" s="295">
        <v>40</v>
      </c>
      <c r="AB296" s="295">
        <v>0.75</v>
      </c>
      <c r="AD296" s="295">
        <v>0.75</v>
      </c>
      <c r="AG296" s="295">
        <v>40</v>
      </c>
      <c r="AH296" s="295">
        <v>0.40000000596046398</v>
      </c>
      <c r="AI296" s="295" t="s">
        <v>6069</v>
      </c>
      <c r="AJ296" s="295">
        <f>VLOOKUP(A296,'RBSA Weights'!$A$2:$N$322,8,FALSE)</f>
        <v>2319.07739257813</v>
      </c>
    </row>
    <row r="297" spans="1:36">
      <c r="A297" s="295">
        <v>24421</v>
      </c>
      <c r="B297" s="295" t="s">
        <v>6056</v>
      </c>
      <c r="C297" s="295" t="b">
        <v>1</v>
      </c>
      <c r="D297" s="295">
        <v>400</v>
      </c>
      <c r="E297" s="295">
        <v>7</v>
      </c>
      <c r="F297" s="295" t="s">
        <v>6063</v>
      </c>
      <c r="G297" s="295">
        <v>22</v>
      </c>
      <c r="H297" s="295" t="s">
        <v>6046</v>
      </c>
      <c r="I297" s="295">
        <v>5.2000001072883599E-2</v>
      </c>
      <c r="J297" s="295" t="b">
        <v>0</v>
      </c>
      <c r="K297" s="295">
        <v>400</v>
      </c>
      <c r="L297" s="295" t="s">
        <v>6045</v>
      </c>
      <c r="N297" s="295">
        <v>7</v>
      </c>
      <c r="O297" s="295" t="s">
        <v>6055</v>
      </c>
      <c r="P297" s="295">
        <v>9.3000002205371898E-2</v>
      </c>
      <c r="Q297" s="295" t="b">
        <v>0</v>
      </c>
      <c r="R297" s="295">
        <v>1008</v>
      </c>
      <c r="T297" s="295">
        <v>7</v>
      </c>
      <c r="U297" s="295" t="s">
        <v>6055</v>
      </c>
      <c r="V297" s="295">
        <v>0.119999997317791</v>
      </c>
      <c r="W297" s="295">
        <v>79</v>
      </c>
      <c r="Z297" s="295" t="b">
        <v>0</v>
      </c>
      <c r="AA297" s="295">
        <v>10</v>
      </c>
      <c r="AB297" s="295">
        <v>1.25</v>
      </c>
      <c r="AD297" s="295">
        <v>1.25</v>
      </c>
      <c r="AG297" s="295">
        <v>40</v>
      </c>
      <c r="AH297" s="295">
        <v>0.40000000596046398</v>
      </c>
      <c r="AJ297" s="295">
        <f>VLOOKUP(A297,'RBSA Weights'!$A$2:$N$322,8,FALSE)</f>
        <v>868.428955078125</v>
      </c>
    </row>
    <row r="298" spans="1:36">
      <c r="A298" s="295">
        <v>24428</v>
      </c>
      <c r="B298" s="295" t="s">
        <v>6058</v>
      </c>
      <c r="C298" s="295" t="b">
        <v>0</v>
      </c>
      <c r="D298" s="295">
        <v>2280</v>
      </c>
      <c r="E298" s="295">
        <v>10</v>
      </c>
      <c r="G298" s="295">
        <v>49</v>
      </c>
      <c r="H298" s="295" t="s">
        <v>6057</v>
      </c>
      <c r="I298" s="295">
        <v>2.60000005364418E-2</v>
      </c>
      <c r="J298" s="295" t="b">
        <v>0</v>
      </c>
      <c r="K298" s="295">
        <v>2084</v>
      </c>
      <c r="L298" s="295" t="s">
        <v>6041</v>
      </c>
      <c r="N298" s="295">
        <v>33</v>
      </c>
      <c r="O298" s="295" t="s">
        <v>162</v>
      </c>
      <c r="P298" s="295">
        <v>5.4000001400709201E-2</v>
      </c>
      <c r="Q298" s="295" t="b">
        <v>0</v>
      </c>
      <c r="R298" s="295">
        <v>1552</v>
      </c>
      <c r="T298" s="295">
        <v>21</v>
      </c>
      <c r="U298" s="295" t="s">
        <v>6051</v>
      </c>
      <c r="V298" s="295">
        <v>5.6000001728534698E-2</v>
      </c>
      <c r="W298" s="295">
        <v>296</v>
      </c>
      <c r="Z298" s="295" t="b">
        <v>0</v>
      </c>
      <c r="AA298" s="295">
        <v>52</v>
      </c>
      <c r="AB298" s="295">
        <v>0.34999999403953602</v>
      </c>
      <c r="AD298" s="295">
        <v>0.34999999403953602</v>
      </c>
      <c r="AE298" s="295">
        <v>12</v>
      </c>
      <c r="AF298" s="295">
        <v>0.60000002384185802</v>
      </c>
      <c r="AG298" s="295">
        <v>40</v>
      </c>
      <c r="AH298" s="295">
        <v>0.40000000596046398</v>
      </c>
      <c r="AJ298" s="295">
        <f>VLOOKUP(A298,'RBSA Weights'!$A$2:$N$322,8,FALSE)</f>
        <v>2128.94555664063</v>
      </c>
    </row>
    <row r="299" spans="1:36">
      <c r="A299" s="295">
        <v>24450</v>
      </c>
      <c r="B299" s="295" t="s">
        <v>6056</v>
      </c>
      <c r="C299" s="295" t="b">
        <v>0</v>
      </c>
      <c r="D299" s="295">
        <v>938</v>
      </c>
      <c r="E299" s="295">
        <v>7.5</v>
      </c>
      <c r="G299" s="295">
        <v>7</v>
      </c>
      <c r="H299" s="295" t="s">
        <v>6055</v>
      </c>
      <c r="I299" s="295">
        <v>0.129999995231628</v>
      </c>
      <c r="J299" s="295" t="b">
        <v>0</v>
      </c>
      <c r="K299" s="295">
        <v>938</v>
      </c>
      <c r="L299" s="295" t="s">
        <v>6045</v>
      </c>
      <c r="N299" s="295">
        <v>7</v>
      </c>
      <c r="O299" s="295" t="s">
        <v>6055</v>
      </c>
      <c r="P299" s="295">
        <v>9.3000002205371898E-2</v>
      </c>
      <c r="Q299" s="295" t="b">
        <v>0</v>
      </c>
      <c r="R299" s="295">
        <v>1231</v>
      </c>
      <c r="T299" s="295">
        <v>7</v>
      </c>
      <c r="U299" s="295" t="s">
        <v>6055</v>
      </c>
      <c r="V299" s="295">
        <v>0.119999997317791</v>
      </c>
      <c r="W299" s="295">
        <v>746</v>
      </c>
      <c r="Z299" s="295" t="b">
        <v>0</v>
      </c>
      <c r="AA299" s="295">
        <v>20</v>
      </c>
      <c r="AB299" s="295">
        <v>1.25</v>
      </c>
      <c r="AC299" s="295">
        <v>0.69999998807907104</v>
      </c>
      <c r="AD299" s="295">
        <v>1.25</v>
      </c>
      <c r="AG299" s="295">
        <v>40</v>
      </c>
      <c r="AH299" s="295">
        <v>0.40000000596046398</v>
      </c>
      <c r="AI299" s="295" t="s">
        <v>6068</v>
      </c>
      <c r="AJ299" s="295">
        <f>VLOOKUP(A299,'RBSA Weights'!$A$2:$N$322,8,FALSE)</f>
        <v>868.428955078125</v>
      </c>
    </row>
    <row r="300" spans="1:36">
      <c r="A300" s="295">
        <v>24473</v>
      </c>
      <c r="B300" s="295" t="s">
        <v>6056</v>
      </c>
      <c r="C300" s="295" t="b">
        <v>0</v>
      </c>
      <c r="D300" s="295">
        <v>1252</v>
      </c>
      <c r="E300" s="295">
        <v>8</v>
      </c>
      <c r="G300" s="295">
        <v>7</v>
      </c>
      <c r="H300" s="295" t="s">
        <v>6055</v>
      </c>
      <c r="I300" s="295">
        <v>0.129999995231628</v>
      </c>
      <c r="J300" s="295" t="b">
        <v>0</v>
      </c>
      <c r="K300" s="295">
        <v>1252</v>
      </c>
      <c r="L300" s="295" t="s">
        <v>6045</v>
      </c>
      <c r="N300" s="295">
        <v>7</v>
      </c>
      <c r="O300" s="295" t="s">
        <v>6055</v>
      </c>
      <c r="P300" s="295">
        <v>9.3000002205371898E-2</v>
      </c>
      <c r="Q300" s="295" t="b">
        <v>0</v>
      </c>
      <c r="R300" s="295">
        <v>1248</v>
      </c>
      <c r="T300" s="295">
        <v>7</v>
      </c>
      <c r="U300" s="295" t="s">
        <v>6055</v>
      </c>
      <c r="V300" s="295">
        <v>0.119999997317791</v>
      </c>
      <c r="X300" s="295">
        <v>144</v>
      </c>
      <c r="Y300" s="295" t="s">
        <v>6048</v>
      </c>
      <c r="Z300" s="295" t="b">
        <v>1</v>
      </c>
      <c r="AA300" s="295">
        <v>10</v>
      </c>
      <c r="AB300" s="295">
        <v>1.25</v>
      </c>
      <c r="AC300" s="295">
        <v>0.55000001192092896</v>
      </c>
      <c r="AD300" s="295">
        <v>0.55000001192092896</v>
      </c>
      <c r="AG300" s="295">
        <v>40</v>
      </c>
      <c r="AH300" s="295">
        <v>0.40000000596046398</v>
      </c>
      <c r="AJ300" s="295">
        <f>VLOOKUP(A300,'RBSA Weights'!$A$2:$N$322,8,FALSE)</f>
        <v>2319.07739257813</v>
      </c>
    </row>
    <row r="301" spans="1:36">
      <c r="A301" s="295">
        <v>24476</v>
      </c>
      <c r="B301" s="295" t="s">
        <v>6042</v>
      </c>
      <c r="C301" s="295" t="b">
        <v>0</v>
      </c>
      <c r="D301" s="295">
        <v>672</v>
      </c>
      <c r="E301" s="295">
        <v>8</v>
      </c>
      <c r="G301" s="295">
        <v>11</v>
      </c>
      <c r="H301" s="295" t="s">
        <v>6040</v>
      </c>
      <c r="I301" s="295">
        <v>0.10000000149011599</v>
      </c>
      <c r="J301" s="295" t="b">
        <v>0</v>
      </c>
      <c r="K301" s="295">
        <v>672</v>
      </c>
      <c r="L301" s="295" t="s">
        <v>6041</v>
      </c>
      <c r="N301" s="295">
        <v>11</v>
      </c>
      <c r="O301" s="295" t="s">
        <v>6040</v>
      </c>
      <c r="P301" s="295">
        <v>8.5000000894069699E-2</v>
      </c>
      <c r="Q301" s="295" t="b">
        <v>0</v>
      </c>
      <c r="R301" s="295">
        <v>992</v>
      </c>
      <c r="T301" s="295">
        <v>11</v>
      </c>
      <c r="U301" s="295" t="s">
        <v>6040</v>
      </c>
      <c r="V301" s="295">
        <v>9.00000035762787E-2</v>
      </c>
      <c r="W301" s="295">
        <v>131</v>
      </c>
      <c r="Z301" s="295" t="b">
        <v>0</v>
      </c>
      <c r="AA301" s="295">
        <v>35</v>
      </c>
      <c r="AB301" s="295">
        <v>0.75</v>
      </c>
      <c r="AD301" s="295">
        <v>0.75</v>
      </c>
      <c r="AG301" s="295">
        <v>40</v>
      </c>
      <c r="AH301" s="295">
        <v>0.40000000596046398</v>
      </c>
      <c r="AI301" s="295" t="s">
        <v>6067</v>
      </c>
      <c r="AJ301" s="295">
        <f>VLOOKUP(A301,'RBSA Weights'!$A$2:$N$322,8,FALSE)</f>
        <v>3065.64990234375</v>
      </c>
    </row>
    <row r="302" spans="1:36">
      <c r="A302" s="295">
        <v>24507</v>
      </c>
      <c r="B302" s="295" t="s">
        <v>6042</v>
      </c>
      <c r="C302" s="295" t="b">
        <v>0</v>
      </c>
      <c r="D302" s="295">
        <v>1380</v>
      </c>
      <c r="E302" s="295">
        <v>7.5</v>
      </c>
      <c r="G302" s="295">
        <v>11</v>
      </c>
      <c r="H302" s="295" t="s">
        <v>6040</v>
      </c>
      <c r="I302" s="295">
        <v>0.10000000149011599</v>
      </c>
      <c r="J302" s="295" t="b">
        <v>0</v>
      </c>
      <c r="K302" s="295">
        <v>1380</v>
      </c>
      <c r="L302" s="295" t="s">
        <v>6041</v>
      </c>
      <c r="N302" s="295">
        <v>11</v>
      </c>
      <c r="O302" s="295" t="s">
        <v>6040</v>
      </c>
      <c r="P302" s="295">
        <v>8.5000000894069699E-2</v>
      </c>
      <c r="Q302" s="295" t="b">
        <v>0</v>
      </c>
      <c r="R302" s="295">
        <v>1245</v>
      </c>
      <c r="T302" s="295">
        <v>11</v>
      </c>
      <c r="U302" s="295" t="s">
        <v>6040</v>
      </c>
      <c r="V302" s="295">
        <v>9.00000035762787E-2</v>
      </c>
      <c r="X302" s="295">
        <v>130</v>
      </c>
      <c r="Y302" s="295" t="s">
        <v>6048</v>
      </c>
      <c r="Z302" s="295" t="b">
        <v>1</v>
      </c>
      <c r="AA302" s="295">
        <v>15</v>
      </c>
      <c r="AB302" s="295">
        <v>0.75</v>
      </c>
      <c r="AC302" s="295">
        <v>0.55000001192092896</v>
      </c>
      <c r="AD302" s="295">
        <v>0.55000001192092896</v>
      </c>
      <c r="AG302" s="295">
        <v>40</v>
      </c>
      <c r="AH302" s="295">
        <v>0.40000000596046398</v>
      </c>
      <c r="AJ302" s="295">
        <f>VLOOKUP(A302,'RBSA Weights'!$A$2:$N$322,8,FALSE)</f>
        <v>2319.07739257813</v>
      </c>
    </row>
    <row r="303" spans="1:36">
      <c r="A303" s="295">
        <v>24509</v>
      </c>
      <c r="B303" s="295" t="s">
        <v>6056</v>
      </c>
      <c r="C303" s="295" t="b">
        <v>0</v>
      </c>
      <c r="D303" s="295">
        <v>672</v>
      </c>
      <c r="E303" s="295">
        <v>7.5</v>
      </c>
      <c r="G303" s="295">
        <v>7</v>
      </c>
      <c r="H303" s="295" t="s">
        <v>6055</v>
      </c>
      <c r="I303" s="295">
        <v>0.129999995231628</v>
      </c>
      <c r="J303" s="295" t="b">
        <v>1</v>
      </c>
      <c r="K303" s="295">
        <v>672</v>
      </c>
      <c r="L303" s="295" t="s">
        <v>6045</v>
      </c>
      <c r="M303" s="295" t="s">
        <v>157</v>
      </c>
      <c r="N303" s="295">
        <v>19</v>
      </c>
      <c r="O303" s="295" t="s">
        <v>6051</v>
      </c>
      <c r="P303" s="295">
        <v>5.6000001728534698E-2</v>
      </c>
      <c r="Q303" s="295" t="b">
        <v>1</v>
      </c>
      <c r="R303" s="295">
        <v>1088</v>
      </c>
      <c r="S303" s="295" t="s">
        <v>156</v>
      </c>
      <c r="T303" s="295">
        <v>11</v>
      </c>
      <c r="U303" s="295" t="s">
        <v>6040</v>
      </c>
      <c r="V303" s="295">
        <v>9.00000035762787E-2</v>
      </c>
      <c r="W303" s="295">
        <v>89</v>
      </c>
      <c r="X303" s="295">
        <v>96</v>
      </c>
      <c r="Y303" s="295" t="s">
        <v>6048</v>
      </c>
      <c r="Z303" s="295" t="b">
        <v>1</v>
      </c>
      <c r="AA303" s="295">
        <v>50</v>
      </c>
      <c r="AB303" s="295">
        <v>1.25</v>
      </c>
      <c r="AC303" s="295">
        <v>0.55000001192092896</v>
      </c>
      <c r="AD303" s="295">
        <v>0.88675677776336703</v>
      </c>
      <c r="AG303" s="295">
        <v>40</v>
      </c>
      <c r="AH303" s="295">
        <v>0.40000000596046398</v>
      </c>
      <c r="AI303" s="295" t="s">
        <v>6066</v>
      </c>
      <c r="AJ303" s="295">
        <f>VLOOKUP(A303,'RBSA Weights'!$A$2:$N$322,8,FALSE)</f>
        <v>868.428955078125</v>
      </c>
    </row>
    <row r="304" spans="1:36">
      <c r="A304" s="295">
        <v>24582</v>
      </c>
      <c r="B304" s="295" t="s">
        <v>6042</v>
      </c>
      <c r="C304" s="295" t="b">
        <v>0</v>
      </c>
      <c r="D304" s="295">
        <v>1482</v>
      </c>
      <c r="E304" s="295">
        <v>8</v>
      </c>
      <c r="G304" s="295">
        <v>11</v>
      </c>
      <c r="H304" s="295" t="s">
        <v>6040</v>
      </c>
      <c r="I304" s="295">
        <v>0.10000000149011599</v>
      </c>
      <c r="J304" s="295" t="b">
        <v>0</v>
      </c>
      <c r="K304" s="295">
        <v>1412</v>
      </c>
      <c r="L304" s="295" t="s">
        <v>6041</v>
      </c>
      <c r="N304" s="295">
        <v>11</v>
      </c>
      <c r="O304" s="295" t="s">
        <v>6040</v>
      </c>
      <c r="P304" s="295">
        <v>8.5000000894069699E-2</v>
      </c>
      <c r="Q304" s="295" t="b">
        <v>0</v>
      </c>
      <c r="R304" s="295">
        <v>1262</v>
      </c>
      <c r="T304" s="295">
        <v>11</v>
      </c>
      <c r="U304" s="295" t="s">
        <v>6040</v>
      </c>
      <c r="V304" s="295">
        <v>9.00000035762787E-2</v>
      </c>
      <c r="X304" s="295">
        <v>200</v>
      </c>
      <c r="Y304" s="295" t="s">
        <v>6048</v>
      </c>
      <c r="Z304" s="295" t="b">
        <v>1</v>
      </c>
      <c r="AA304" s="295">
        <v>20</v>
      </c>
      <c r="AB304" s="295">
        <v>0.75</v>
      </c>
      <c r="AC304" s="295">
        <v>0.55000001192092896</v>
      </c>
      <c r="AD304" s="295">
        <v>0.55000001192092896</v>
      </c>
      <c r="AG304" s="295">
        <v>40</v>
      </c>
      <c r="AH304" s="295">
        <v>0.40000000596046398</v>
      </c>
      <c r="AI304" s="295" t="s">
        <v>6065</v>
      </c>
      <c r="AJ304" s="295">
        <f>VLOOKUP(A304,'RBSA Weights'!$A$2:$N$322,8,FALSE)</f>
        <v>3065.64990234375</v>
      </c>
    </row>
    <row r="305" spans="1:36">
      <c r="A305" s="295">
        <v>24591</v>
      </c>
      <c r="B305" s="295" t="s">
        <v>6056</v>
      </c>
      <c r="C305" s="295" t="b">
        <v>0</v>
      </c>
      <c r="D305" s="295">
        <v>650</v>
      </c>
      <c r="E305" s="295">
        <v>7</v>
      </c>
      <c r="G305" s="295">
        <v>7</v>
      </c>
      <c r="H305" s="295" t="s">
        <v>6055</v>
      </c>
      <c r="I305" s="295">
        <v>0.129999995231628</v>
      </c>
      <c r="J305" s="295" t="b">
        <v>0</v>
      </c>
      <c r="K305" s="295">
        <v>648</v>
      </c>
      <c r="L305" s="295" t="s">
        <v>6060</v>
      </c>
      <c r="N305" s="295">
        <v>7</v>
      </c>
      <c r="O305" s="295" t="s">
        <v>6055</v>
      </c>
      <c r="P305" s="295">
        <v>0.14699999988079099</v>
      </c>
      <c r="Q305" s="295" t="b">
        <v>0</v>
      </c>
      <c r="R305" s="295">
        <v>924</v>
      </c>
      <c r="T305" s="295">
        <v>7</v>
      </c>
      <c r="U305" s="295" t="s">
        <v>6055</v>
      </c>
      <c r="V305" s="295">
        <v>0.119999997317791</v>
      </c>
      <c r="W305" s="295">
        <v>66</v>
      </c>
      <c r="Z305" s="295" t="b">
        <v>0</v>
      </c>
      <c r="AA305" s="295">
        <v>32</v>
      </c>
      <c r="AB305" s="295">
        <v>1.25</v>
      </c>
      <c r="AC305" s="295">
        <v>0.69999998807907104</v>
      </c>
      <c r="AD305" s="295">
        <v>1.25</v>
      </c>
      <c r="AG305" s="295">
        <v>40</v>
      </c>
      <c r="AH305" s="295">
        <v>0.40000000596046398</v>
      </c>
      <c r="AJ305" s="295">
        <f>VLOOKUP(A305,'RBSA Weights'!$A$2:$N$322,8,FALSE)</f>
        <v>868.428955078125</v>
      </c>
    </row>
    <row r="306" spans="1:36">
      <c r="A306" s="295">
        <v>24595</v>
      </c>
      <c r="B306" s="295" t="s">
        <v>6056</v>
      </c>
      <c r="C306" s="295" t="b">
        <v>0</v>
      </c>
      <c r="D306" s="295">
        <v>938</v>
      </c>
      <c r="E306" s="295">
        <v>8</v>
      </c>
      <c r="G306" s="295">
        <v>7</v>
      </c>
      <c r="H306" s="295" t="s">
        <v>6055</v>
      </c>
      <c r="I306" s="295">
        <v>0.129999995231628</v>
      </c>
      <c r="J306" s="295" t="b">
        <v>0</v>
      </c>
      <c r="K306" s="295">
        <v>938</v>
      </c>
      <c r="L306" s="295" t="s">
        <v>6041</v>
      </c>
      <c r="N306" s="295">
        <v>7</v>
      </c>
      <c r="O306" s="295" t="s">
        <v>6055</v>
      </c>
      <c r="P306" s="295">
        <v>9.4999998807907104E-2</v>
      </c>
      <c r="Q306" s="295" t="b">
        <v>0</v>
      </c>
      <c r="R306" s="295">
        <v>1296</v>
      </c>
      <c r="T306" s="295">
        <v>7</v>
      </c>
      <c r="U306" s="295" t="s">
        <v>6055</v>
      </c>
      <c r="V306" s="295">
        <v>0.119999997317791</v>
      </c>
      <c r="W306" s="295">
        <v>173</v>
      </c>
      <c r="Z306" s="295" t="b">
        <v>0</v>
      </c>
      <c r="AA306" s="295">
        <v>50</v>
      </c>
      <c r="AB306" s="295">
        <v>1.25</v>
      </c>
      <c r="AD306" s="295">
        <v>1.25</v>
      </c>
      <c r="AG306" s="295">
        <v>40</v>
      </c>
      <c r="AH306" s="295">
        <v>0.40000000596046398</v>
      </c>
      <c r="AI306" s="295" t="s">
        <v>6064</v>
      </c>
      <c r="AJ306" s="295">
        <f>VLOOKUP(A306,'RBSA Weights'!$A$2:$N$322,8,FALSE)</f>
        <v>1211.2822265625</v>
      </c>
    </row>
    <row r="307" spans="1:36">
      <c r="A307" s="295">
        <v>24599</v>
      </c>
      <c r="B307" s="295" t="s">
        <v>6042</v>
      </c>
      <c r="C307" s="295" t="b">
        <v>1</v>
      </c>
      <c r="D307" s="295">
        <v>935</v>
      </c>
      <c r="E307" s="295">
        <v>8</v>
      </c>
      <c r="F307" s="295" t="s">
        <v>6063</v>
      </c>
      <c r="G307" s="295">
        <v>22</v>
      </c>
      <c r="H307" s="295" t="s">
        <v>6046</v>
      </c>
      <c r="I307" s="295">
        <v>5.2000001072883599E-2</v>
      </c>
      <c r="J307" s="295" t="b">
        <v>1</v>
      </c>
      <c r="K307" s="295">
        <v>864</v>
      </c>
      <c r="L307" s="295" t="s">
        <v>6045</v>
      </c>
      <c r="M307" s="295" t="s">
        <v>6062</v>
      </c>
      <c r="N307" s="295">
        <v>33</v>
      </c>
      <c r="O307" s="295" t="s">
        <v>162</v>
      </c>
      <c r="P307" s="295">
        <v>2.9999999329447701E-2</v>
      </c>
      <c r="Q307" s="295" t="b">
        <v>0</v>
      </c>
      <c r="R307" s="295">
        <v>960</v>
      </c>
      <c r="T307" s="295">
        <v>11</v>
      </c>
      <c r="U307" s="295" t="s">
        <v>6040</v>
      </c>
      <c r="V307" s="295">
        <v>9.00000035762787E-2</v>
      </c>
      <c r="W307" s="295">
        <v>38</v>
      </c>
      <c r="X307" s="295">
        <v>68</v>
      </c>
      <c r="Y307" s="295" t="s">
        <v>6048</v>
      </c>
      <c r="Z307" s="295" t="b">
        <v>1</v>
      </c>
      <c r="AA307" s="295">
        <v>100</v>
      </c>
      <c r="AB307" s="295">
        <v>0.75</v>
      </c>
      <c r="AC307" s="295">
        <v>0.55000001192092896</v>
      </c>
      <c r="AD307" s="295">
        <v>0.62169814109802202</v>
      </c>
      <c r="AG307" s="295">
        <v>40</v>
      </c>
      <c r="AH307" s="295">
        <v>0.40000000596046398</v>
      </c>
      <c r="AJ307" s="295">
        <f>VLOOKUP(A307,'RBSA Weights'!$A$2:$N$322,8,FALSE)</f>
        <v>2914.5654296875</v>
      </c>
    </row>
    <row r="308" spans="1:36">
      <c r="A308" s="295">
        <v>24604</v>
      </c>
      <c r="B308" s="295" t="s">
        <v>6042</v>
      </c>
      <c r="C308" s="295" t="b">
        <v>0</v>
      </c>
      <c r="D308" s="295">
        <v>1068</v>
      </c>
      <c r="E308" s="295">
        <v>8</v>
      </c>
      <c r="G308" s="295">
        <v>11</v>
      </c>
      <c r="H308" s="295" t="s">
        <v>6040</v>
      </c>
      <c r="I308" s="295">
        <v>0.10000000149011599</v>
      </c>
      <c r="J308" s="295" t="b">
        <v>0</v>
      </c>
      <c r="K308" s="295">
        <v>1068</v>
      </c>
      <c r="L308" s="295" t="s">
        <v>6041</v>
      </c>
      <c r="N308" s="295">
        <v>11</v>
      </c>
      <c r="O308" s="295" t="s">
        <v>6040</v>
      </c>
      <c r="P308" s="295">
        <v>8.5000000894069699E-2</v>
      </c>
      <c r="Q308" s="295" t="b">
        <v>0</v>
      </c>
      <c r="R308" s="295">
        <v>1456</v>
      </c>
      <c r="T308" s="295">
        <v>11</v>
      </c>
      <c r="U308" s="295" t="s">
        <v>6040</v>
      </c>
      <c r="V308" s="295">
        <v>9.00000035762787E-2</v>
      </c>
      <c r="W308" s="295">
        <v>50</v>
      </c>
      <c r="X308" s="295">
        <v>16</v>
      </c>
      <c r="Y308" s="295" t="s">
        <v>6048</v>
      </c>
      <c r="Z308" s="295" t="b">
        <v>1</v>
      </c>
      <c r="AA308" s="295">
        <v>10</v>
      </c>
      <c r="AB308" s="295">
        <v>0.75</v>
      </c>
      <c r="AC308" s="295">
        <v>0.55000001192092896</v>
      </c>
      <c r="AD308" s="295">
        <v>0.70151513814926103</v>
      </c>
      <c r="AG308" s="295">
        <v>40</v>
      </c>
      <c r="AH308" s="295">
        <v>0.40000000596046398</v>
      </c>
      <c r="AI308" s="295" t="s">
        <v>6061</v>
      </c>
      <c r="AJ308" s="295">
        <f>VLOOKUP(A308,'RBSA Weights'!$A$2:$N$322,8,FALSE)</f>
        <v>1211.2822265625</v>
      </c>
    </row>
    <row r="309" spans="1:36">
      <c r="A309" s="295">
        <v>24606</v>
      </c>
      <c r="B309" s="295" t="s">
        <v>6056</v>
      </c>
      <c r="C309" s="295" t="b">
        <v>0</v>
      </c>
      <c r="D309" s="295">
        <v>894</v>
      </c>
      <c r="E309" s="295">
        <v>7.5</v>
      </c>
      <c r="G309" s="295">
        <v>7</v>
      </c>
      <c r="H309" s="295" t="s">
        <v>6055</v>
      </c>
      <c r="I309" s="295">
        <v>0.129999995231628</v>
      </c>
      <c r="J309" s="295" t="b">
        <v>0</v>
      </c>
      <c r="K309" s="295">
        <v>894</v>
      </c>
      <c r="L309" s="295" t="s">
        <v>6041</v>
      </c>
      <c r="N309" s="295">
        <v>7</v>
      </c>
      <c r="O309" s="295" t="s">
        <v>6055</v>
      </c>
      <c r="P309" s="295">
        <v>9.4999998807907104E-2</v>
      </c>
      <c r="Q309" s="295" t="b">
        <v>0</v>
      </c>
      <c r="R309" s="295">
        <v>1245</v>
      </c>
      <c r="T309" s="295">
        <v>7</v>
      </c>
      <c r="U309" s="295" t="s">
        <v>6055</v>
      </c>
      <c r="V309" s="295">
        <v>0.119999997317791</v>
      </c>
      <c r="X309" s="295">
        <v>118</v>
      </c>
      <c r="Y309" s="295" t="s">
        <v>6048</v>
      </c>
      <c r="Z309" s="295" t="b">
        <v>1</v>
      </c>
      <c r="AA309" s="295">
        <v>15</v>
      </c>
      <c r="AB309" s="295">
        <v>1.25</v>
      </c>
      <c r="AC309" s="295">
        <v>0.55000001192092896</v>
      </c>
      <c r="AD309" s="295">
        <v>0.55000001192092896</v>
      </c>
      <c r="AG309" s="295">
        <v>40</v>
      </c>
      <c r="AH309" s="295">
        <v>0.40000000596046398</v>
      </c>
      <c r="AJ309" s="295">
        <f>VLOOKUP(A309,'RBSA Weights'!$A$2:$N$322,8,FALSE)</f>
        <v>868.428955078125</v>
      </c>
    </row>
    <row r="310" spans="1:36">
      <c r="A310" s="295">
        <v>24613</v>
      </c>
      <c r="B310" s="295" t="s">
        <v>6056</v>
      </c>
      <c r="C310" s="295" t="b">
        <v>0</v>
      </c>
      <c r="D310" s="295">
        <v>550</v>
      </c>
      <c r="E310" s="295">
        <v>8</v>
      </c>
      <c r="G310" s="295">
        <v>7</v>
      </c>
      <c r="H310" s="295" t="s">
        <v>6055</v>
      </c>
      <c r="I310" s="295">
        <v>0.129999995231628</v>
      </c>
      <c r="J310" s="295" t="b">
        <v>1</v>
      </c>
      <c r="K310" s="295">
        <v>550</v>
      </c>
      <c r="L310" s="295" t="s">
        <v>6060</v>
      </c>
      <c r="M310" s="295" t="s">
        <v>156</v>
      </c>
      <c r="N310" s="295">
        <v>11</v>
      </c>
      <c r="O310" s="295" t="s">
        <v>6040</v>
      </c>
      <c r="P310" s="295">
        <v>0.14300000667571999</v>
      </c>
      <c r="Q310" s="295" t="b">
        <v>0</v>
      </c>
      <c r="R310" s="295">
        <v>1040</v>
      </c>
      <c r="T310" s="295">
        <v>7</v>
      </c>
      <c r="U310" s="295" t="s">
        <v>6055</v>
      </c>
      <c r="V310" s="295">
        <v>0.119999997317791</v>
      </c>
      <c r="W310" s="295">
        <v>93</v>
      </c>
      <c r="X310" s="295">
        <v>174</v>
      </c>
      <c r="Y310" s="295" t="s">
        <v>6048</v>
      </c>
      <c r="Z310" s="295" t="b">
        <v>1</v>
      </c>
      <c r="AA310" s="295">
        <v>0</v>
      </c>
      <c r="AB310" s="295">
        <v>1.25</v>
      </c>
      <c r="AC310" s="295">
        <v>0.55000001192092896</v>
      </c>
      <c r="AD310" s="295">
        <v>0.79382026195526101</v>
      </c>
      <c r="AG310" s="295">
        <v>40</v>
      </c>
      <c r="AH310" s="295">
        <v>0.40000000596046398</v>
      </c>
      <c r="AJ310" s="295">
        <f>VLOOKUP(A310,'RBSA Weights'!$A$2:$N$322,8,FALSE)</f>
        <v>3065.64990234375</v>
      </c>
    </row>
    <row r="311" spans="1:36">
      <c r="A311" s="295">
        <v>24659</v>
      </c>
      <c r="B311" s="295" t="s">
        <v>6042</v>
      </c>
      <c r="C311" s="295" t="b">
        <v>0</v>
      </c>
      <c r="D311" s="295">
        <v>1092</v>
      </c>
      <c r="E311" s="295">
        <v>8</v>
      </c>
      <c r="G311" s="295">
        <v>11</v>
      </c>
      <c r="H311" s="295" t="s">
        <v>6040</v>
      </c>
      <c r="I311" s="295">
        <v>0.10000000149011599</v>
      </c>
      <c r="J311" s="295" t="b">
        <v>0</v>
      </c>
      <c r="K311" s="295">
        <v>1056</v>
      </c>
      <c r="L311" s="295" t="s">
        <v>6045</v>
      </c>
      <c r="N311" s="295">
        <v>11</v>
      </c>
      <c r="O311" s="295" t="s">
        <v>6040</v>
      </c>
      <c r="P311" s="295">
        <v>6.7000001668930095E-2</v>
      </c>
      <c r="Q311" s="295" t="b">
        <v>0</v>
      </c>
      <c r="R311" s="295">
        <v>1068</v>
      </c>
      <c r="T311" s="295">
        <v>11</v>
      </c>
      <c r="U311" s="295" t="s">
        <v>6040</v>
      </c>
      <c r="V311" s="295">
        <v>9.00000035762787E-2</v>
      </c>
      <c r="W311" s="295">
        <v>120</v>
      </c>
      <c r="Z311" s="295" t="b">
        <v>0</v>
      </c>
      <c r="AA311" s="295">
        <v>30</v>
      </c>
      <c r="AB311" s="295">
        <v>0.75</v>
      </c>
      <c r="AD311" s="295">
        <v>0.75</v>
      </c>
      <c r="AG311" s="295">
        <v>40</v>
      </c>
      <c r="AH311" s="295">
        <v>0.40000000596046398</v>
      </c>
      <c r="AI311" s="295" t="s">
        <v>6059</v>
      </c>
      <c r="AJ311" s="295">
        <f>VLOOKUP(A311,'RBSA Weights'!$A$2:$N$322,8,FALSE)</f>
        <v>2128.94555664063</v>
      </c>
    </row>
    <row r="312" spans="1:36">
      <c r="A312" s="295">
        <v>24669</v>
      </c>
      <c r="B312" s="295" t="s">
        <v>6058</v>
      </c>
      <c r="C312" s="295" t="b">
        <v>0</v>
      </c>
      <c r="D312" s="295">
        <v>1960</v>
      </c>
      <c r="E312" s="295">
        <v>8</v>
      </c>
      <c r="G312" s="295">
        <v>49</v>
      </c>
      <c r="H312" s="295" t="s">
        <v>6057</v>
      </c>
      <c r="I312" s="295">
        <v>2.60000005364418E-2</v>
      </c>
      <c r="J312" s="295" t="b">
        <v>0</v>
      </c>
      <c r="K312" s="295">
        <v>1960</v>
      </c>
      <c r="L312" s="295" t="s">
        <v>6045</v>
      </c>
      <c r="N312" s="295">
        <v>33</v>
      </c>
      <c r="O312" s="295" t="s">
        <v>162</v>
      </c>
      <c r="P312" s="295">
        <v>2.9999999329447701E-2</v>
      </c>
      <c r="Q312" s="295" t="b">
        <v>0</v>
      </c>
      <c r="R312" s="295">
        <v>1764</v>
      </c>
      <c r="T312" s="295">
        <v>21</v>
      </c>
      <c r="U312" s="295" t="s">
        <v>6051</v>
      </c>
      <c r="V312" s="295">
        <v>5.6000001728534698E-2</v>
      </c>
      <c r="W312" s="295">
        <v>296</v>
      </c>
      <c r="Z312" s="295" t="b">
        <v>0</v>
      </c>
      <c r="AA312" s="295">
        <v>50</v>
      </c>
      <c r="AB312" s="295">
        <v>0.34999999403953602</v>
      </c>
      <c r="AD312" s="295">
        <v>0.34999999403953602</v>
      </c>
      <c r="AE312" s="295">
        <v>6</v>
      </c>
      <c r="AF312" s="295">
        <v>0.60000002384185802</v>
      </c>
      <c r="AG312" s="295">
        <v>40</v>
      </c>
      <c r="AH312" s="295">
        <v>0.40000000596046398</v>
      </c>
      <c r="AJ312" s="295">
        <f>VLOOKUP(A312,'RBSA Weights'!$A$2:$N$322,8,FALSE)</f>
        <v>868.428955078125</v>
      </c>
    </row>
    <row r="313" spans="1:36">
      <c r="A313" s="295">
        <v>24692</v>
      </c>
      <c r="B313" s="295" t="s">
        <v>6056</v>
      </c>
      <c r="C313" s="295" t="b">
        <v>0</v>
      </c>
      <c r="D313" s="295">
        <v>1575</v>
      </c>
      <c r="E313" s="295">
        <v>9</v>
      </c>
      <c r="G313" s="295">
        <v>7</v>
      </c>
      <c r="H313" s="295" t="s">
        <v>6055</v>
      </c>
      <c r="I313" s="295">
        <v>0.129999995231628</v>
      </c>
      <c r="J313" s="295" t="b">
        <v>0</v>
      </c>
      <c r="K313" s="295">
        <v>1575</v>
      </c>
      <c r="L313" s="295" t="s">
        <v>6050</v>
      </c>
      <c r="N313" s="295">
        <v>7</v>
      </c>
      <c r="O313" s="295" t="s">
        <v>6055</v>
      </c>
      <c r="P313" s="295">
        <v>0.11599999666214</v>
      </c>
      <c r="Q313" s="295" t="b">
        <v>0</v>
      </c>
      <c r="R313" s="295">
        <v>1408</v>
      </c>
      <c r="T313" s="295">
        <v>7</v>
      </c>
      <c r="U313" s="295" t="s">
        <v>6055</v>
      </c>
      <c r="V313" s="295">
        <v>0.119999997317791</v>
      </c>
      <c r="W313" s="295">
        <v>130</v>
      </c>
      <c r="Y313" s="295" t="s">
        <v>6048</v>
      </c>
      <c r="Z313" s="295" t="b">
        <v>1</v>
      </c>
      <c r="AA313" s="295">
        <v>10</v>
      </c>
      <c r="AB313" s="295">
        <v>1.25</v>
      </c>
      <c r="AC313" s="295">
        <v>0.55000001192092896</v>
      </c>
      <c r="AD313" s="295">
        <v>1.25</v>
      </c>
      <c r="AG313" s="295">
        <v>40</v>
      </c>
      <c r="AH313" s="295">
        <v>0.40000000596046398</v>
      </c>
      <c r="AI313" s="295" t="s">
        <v>6054</v>
      </c>
      <c r="AJ313" s="295">
        <f>VLOOKUP(A313,'RBSA Weights'!$A$2:$N$322,8,FALSE)</f>
        <v>1211.2822265625</v>
      </c>
    </row>
    <row r="314" spans="1:36">
      <c r="A314" s="295">
        <v>24708</v>
      </c>
      <c r="B314" s="295" t="s">
        <v>6053</v>
      </c>
      <c r="C314" s="295" t="b">
        <v>0</v>
      </c>
      <c r="D314" s="295">
        <v>2138</v>
      </c>
      <c r="E314" s="295">
        <v>8.5</v>
      </c>
      <c r="G314" s="295">
        <v>22</v>
      </c>
      <c r="H314" s="295" t="s">
        <v>6046</v>
      </c>
      <c r="I314" s="295">
        <v>5.2000001072883599E-2</v>
      </c>
      <c r="J314" s="295" t="b">
        <v>0</v>
      </c>
      <c r="K314" s="295">
        <v>1782</v>
      </c>
      <c r="L314" s="295" t="s">
        <v>6041</v>
      </c>
      <c r="N314" s="295">
        <v>22</v>
      </c>
      <c r="O314" s="295" t="s">
        <v>6046</v>
      </c>
      <c r="P314" s="295">
        <v>6.1999998986720997E-2</v>
      </c>
      <c r="Q314" s="295" t="b">
        <v>0</v>
      </c>
      <c r="R314" s="295">
        <v>1488</v>
      </c>
      <c r="T314" s="295">
        <v>11</v>
      </c>
      <c r="U314" s="295" t="s">
        <v>6040</v>
      </c>
      <c r="V314" s="295">
        <v>9.00000035762787E-2</v>
      </c>
      <c r="W314" s="295">
        <v>198</v>
      </c>
      <c r="Z314" s="295" t="b">
        <v>0</v>
      </c>
      <c r="AA314" s="295">
        <v>0</v>
      </c>
      <c r="AB314" s="295">
        <v>0.479999989271164</v>
      </c>
      <c r="AD314" s="295">
        <v>0.480000019073486</v>
      </c>
      <c r="AG314" s="295">
        <v>40</v>
      </c>
      <c r="AH314" s="295">
        <v>0.40000000596046398</v>
      </c>
      <c r="AJ314" s="295">
        <f>VLOOKUP(A314,'RBSA Weights'!$A$2:$N$322,8,FALSE)</f>
        <v>2914.5654296875</v>
      </c>
    </row>
    <row r="315" spans="1:36">
      <c r="A315" s="295">
        <v>24712</v>
      </c>
      <c r="B315" s="295" t="s">
        <v>6053</v>
      </c>
      <c r="C315" s="295" t="b">
        <v>0</v>
      </c>
      <c r="D315" s="295">
        <v>2090</v>
      </c>
      <c r="E315" s="295">
        <v>8.5</v>
      </c>
      <c r="G315" s="295">
        <v>22</v>
      </c>
      <c r="H315" s="295" t="s">
        <v>6046</v>
      </c>
      <c r="I315" s="295">
        <v>5.2000001072883599E-2</v>
      </c>
      <c r="J315" s="295" t="b">
        <v>0</v>
      </c>
      <c r="K315" s="295">
        <v>1742</v>
      </c>
      <c r="L315" s="295" t="s">
        <v>6045</v>
      </c>
      <c r="N315" s="295">
        <v>22</v>
      </c>
      <c r="O315" s="295" t="s">
        <v>6046</v>
      </c>
      <c r="P315" s="295">
        <v>5.0999999046325697E-2</v>
      </c>
      <c r="Q315" s="295" t="b">
        <v>0</v>
      </c>
      <c r="R315" s="295">
        <v>1488</v>
      </c>
      <c r="T315" s="295">
        <v>11</v>
      </c>
      <c r="U315" s="295" t="s">
        <v>6040</v>
      </c>
      <c r="V315" s="295">
        <v>9.00000035762787E-2</v>
      </c>
      <c r="W315" s="295">
        <v>181</v>
      </c>
      <c r="Z315" s="295" t="b">
        <v>0</v>
      </c>
      <c r="AA315" s="295">
        <v>10</v>
      </c>
      <c r="AB315" s="295">
        <v>0.479999989271164</v>
      </c>
      <c r="AD315" s="295">
        <v>0.479999989271164</v>
      </c>
      <c r="AG315" s="295">
        <v>40</v>
      </c>
      <c r="AH315" s="295">
        <v>0.40000000596046398</v>
      </c>
      <c r="AJ315" s="295">
        <f>VLOOKUP(A315,'RBSA Weights'!$A$2:$N$322,8,FALSE)</f>
        <v>2914.5654296875</v>
      </c>
    </row>
    <row r="316" spans="1:36">
      <c r="A316" s="295">
        <v>24719</v>
      </c>
      <c r="B316" s="295" t="s">
        <v>6052</v>
      </c>
      <c r="C316" s="295" t="b">
        <v>0</v>
      </c>
      <c r="D316" s="295">
        <v>1696</v>
      </c>
      <c r="E316" s="295">
        <v>8</v>
      </c>
      <c r="G316" s="295">
        <v>38</v>
      </c>
      <c r="H316" s="295" t="s">
        <v>162</v>
      </c>
      <c r="I316" s="295">
        <v>3.5000000149011598E-2</v>
      </c>
      <c r="J316" s="295" t="b">
        <v>0</v>
      </c>
      <c r="K316" s="295">
        <v>1696</v>
      </c>
      <c r="L316" s="295" t="s">
        <v>6045</v>
      </c>
      <c r="N316" s="295">
        <v>33</v>
      </c>
      <c r="O316" s="295" t="s">
        <v>162</v>
      </c>
      <c r="P316" s="295">
        <v>2.9999999329447701E-2</v>
      </c>
      <c r="Q316" s="295" t="b">
        <v>0</v>
      </c>
      <c r="R316" s="295">
        <v>1568</v>
      </c>
      <c r="T316" s="295">
        <v>21</v>
      </c>
      <c r="U316" s="295" t="s">
        <v>6051</v>
      </c>
      <c r="V316" s="295">
        <v>5.6000001728534698E-2</v>
      </c>
      <c r="W316" s="295">
        <v>205</v>
      </c>
      <c r="X316" s="295">
        <v>36</v>
      </c>
      <c r="Y316" s="295" t="s">
        <v>6048</v>
      </c>
      <c r="Z316" s="295" t="b">
        <v>1</v>
      </c>
      <c r="AA316" s="295">
        <v>50</v>
      </c>
      <c r="AB316" s="295">
        <v>0.37999999523162797</v>
      </c>
      <c r="AC316" s="295">
        <v>0.55000001192092896</v>
      </c>
      <c r="AD316" s="295">
        <v>0.405394196510315</v>
      </c>
      <c r="AG316" s="295">
        <v>40</v>
      </c>
      <c r="AH316" s="295">
        <v>0.40000000596046398</v>
      </c>
      <c r="AJ316" s="295">
        <f>VLOOKUP(A316,'RBSA Weights'!$A$2:$N$322,8,FALSE)</f>
        <v>2128.94555664063</v>
      </c>
    </row>
    <row r="317" spans="1:36">
      <c r="A317" s="295">
        <v>24736</v>
      </c>
      <c r="B317" s="295" t="s">
        <v>6042</v>
      </c>
      <c r="C317" s="295" t="b">
        <v>1</v>
      </c>
      <c r="D317" s="295">
        <v>1558</v>
      </c>
      <c r="E317" s="295">
        <v>7.5</v>
      </c>
      <c r="F317" s="295" t="s">
        <v>156</v>
      </c>
      <c r="G317" s="295">
        <v>11</v>
      </c>
      <c r="H317" s="295" t="s">
        <v>6040</v>
      </c>
      <c r="I317" s="295">
        <v>0.10000000149011599</v>
      </c>
      <c r="J317" s="295" t="b">
        <v>0</v>
      </c>
      <c r="K317" s="295">
        <v>1558</v>
      </c>
      <c r="L317" s="295" t="s">
        <v>6050</v>
      </c>
      <c r="N317" s="295">
        <v>11</v>
      </c>
      <c r="O317" s="295" t="s">
        <v>6040</v>
      </c>
      <c r="P317" s="295">
        <v>0.108999997377396</v>
      </c>
      <c r="Q317" s="295" t="b">
        <v>0</v>
      </c>
      <c r="R317" s="295">
        <v>1290</v>
      </c>
      <c r="T317" s="295">
        <v>11</v>
      </c>
      <c r="U317" s="295" t="s">
        <v>6040</v>
      </c>
      <c r="V317" s="295">
        <v>9.00000035762787E-2</v>
      </c>
      <c r="W317" s="295">
        <v>120</v>
      </c>
      <c r="Z317" s="295" t="b">
        <v>1</v>
      </c>
      <c r="AA317" s="295">
        <v>15</v>
      </c>
      <c r="AB317" s="295">
        <v>0.75</v>
      </c>
      <c r="AD317" s="295">
        <v>0.75</v>
      </c>
      <c r="AG317" s="295">
        <v>40</v>
      </c>
      <c r="AH317" s="295">
        <v>0.40000000596046398</v>
      </c>
      <c r="AI317" s="295" t="s">
        <v>6049</v>
      </c>
      <c r="AJ317" s="295">
        <f>VLOOKUP(A317,'RBSA Weights'!$A$2:$N$322,8,FALSE)</f>
        <v>2319.07739257813</v>
      </c>
    </row>
    <row r="318" spans="1:36">
      <c r="A318" s="295">
        <v>24763</v>
      </c>
      <c r="B318" s="295" t="s">
        <v>6042</v>
      </c>
      <c r="C318" s="295" t="b">
        <v>0</v>
      </c>
      <c r="D318" s="295">
        <v>1812</v>
      </c>
      <c r="E318" s="295">
        <v>8</v>
      </c>
      <c r="G318" s="295">
        <v>11</v>
      </c>
      <c r="H318" s="295" t="s">
        <v>6040</v>
      </c>
      <c r="I318" s="295">
        <v>0.10000000149011599</v>
      </c>
      <c r="J318" s="295" t="b">
        <v>0</v>
      </c>
      <c r="K318" s="295">
        <v>1645</v>
      </c>
      <c r="L318" s="295" t="s">
        <v>6041</v>
      </c>
      <c r="N318" s="295">
        <v>11</v>
      </c>
      <c r="O318" s="295" t="s">
        <v>6040</v>
      </c>
      <c r="P318" s="295">
        <v>8.5000000894069699E-2</v>
      </c>
      <c r="Q318" s="295" t="b">
        <v>0</v>
      </c>
      <c r="R318" s="295">
        <v>1440</v>
      </c>
      <c r="T318" s="295">
        <v>11</v>
      </c>
      <c r="U318" s="295" t="s">
        <v>6040</v>
      </c>
      <c r="V318" s="295">
        <v>9.00000035762787E-2</v>
      </c>
      <c r="W318" s="295">
        <v>187</v>
      </c>
      <c r="Z318" s="295" t="b">
        <v>0</v>
      </c>
      <c r="AA318" s="295">
        <v>6</v>
      </c>
      <c r="AB318" s="295">
        <v>0.75</v>
      </c>
      <c r="AD318" s="295">
        <v>0.75</v>
      </c>
      <c r="AG318" s="295">
        <v>40</v>
      </c>
      <c r="AH318" s="295">
        <v>0.40000000596046398</v>
      </c>
      <c r="AJ318" s="295">
        <f>VLOOKUP(A318,'RBSA Weights'!$A$2:$N$322,8,FALSE)</f>
        <v>2914.5654296875</v>
      </c>
    </row>
    <row r="319" spans="1:36">
      <c r="A319" s="295">
        <v>24771</v>
      </c>
      <c r="B319" s="295" t="s">
        <v>6042</v>
      </c>
      <c r="C319" s="295" t="b">
        <v>0</v>
      </c>
      <c r="D319" s="295">
        <v>1042</v>
      </c>
      <c r="E319" s="295">
        <v>8</v>
      </c>
      <c r="G319" s="295">
        <v>11</v>
      </c>
      <c r="H319" s="295" t="s">
        <v>6040</v>
      </c>
      <c r="I319" s="295">
        <v>0.10000000149011599</v>
      </c>
      <c r="J319" s="295" t="b">
        <v>0</v>
      </c>
      <c r="K319" s="295">
        <v>1042</v>
      </c>
      <c r="L319" s="295" t="s">
        <v>6041</v>
      </c>
      <c r="N319" s="295">
        <v>11</v>
      </c>
      <c r="O319" s="295" t="s">
        <v>6040</v>
      </c>
      <c r="P319" s="295">
        <v>8.5000000894069699E-2</v>
      </c>
      <c r="Q319" s="295" t="b">
        <v>0</v>
      </c>
      <c r="R319" s="295">
        <v>1328</v>
      </c>
      <c r="T319" s="295">
        <v>11</v>
      </c>
      <c r="U319" s="295" t="s">
        <v>6040</v>
      </c>
      <c r="V319" s="295">
        <v>9.00000035762787E-2</v>
      </c>
      <c r="W319" s="295">
        <v>119</v>
      </c>
      <c r="Y319" s="295" t="s">
        <v>6048</v>
      </c>
      <c r="Z319" s="295" t="b">
        <v>1</v>
      </c>
      <c r="AA319" s="295">
        <v>30</v>
      </c>
      <c r="AB319" s="295">
        <v>0.75</v>
      </c>
      <c r="AC319" s="295">
        <v>0.55000001192092896</v>
      </c>
      <c r="AD319" s="295">
        <v>0.75</v>
      </c>
      <c r="AG319" s="295">
        <v>40</v>
      </c>
      <c r="AH319" s="295">
        <v>0.40000000596046398</v>
      </c>
      <c r="AJ319" s="295">
        <f>VLOOKUP(A319,'RBSA Weights'!$A$2:$N$322,8,FALSE)</f>
        <v>1211.2822265625</v>
      </c>
    </row>
    <row r="320" spans="1:36">
      <c r="A320" s="295">
        <v>24779</v>
      </c>
      <c r="B320" s="295" t="s">
        <v>6042</v>
      </c>
      <c r="C320" s="295" t="b">
        <v>0</v>
      </c>
      <c r="D320" s="295">
        <v>1624</v>
      </c>
      <c r="E320" s="295">
        <v>10</v>
      </c>
      <c r="G320" s="295">
        <v>11</v>
      </c>
      <c r="H320" s="295" t="s">
        <v>6040</v>
      </c>
      <c r="I320" s="295">
        <v>0.10000000149011599</v>
      </c>
      <c r="J320" s="295" t="b">
        <v>0</v>
      </c>
      <c r="K320" s="295">
        <v>1624</v>
      </c>
      <c r="L320" s="295" t="s">
        <v>6041</v>
      </c>
      <c r="N320" s="295">
        <v>11</v>
      </c>
      <c r="O320" s="295" t="s">
        <v>6040</v>
      </c>
      <c r="P320" s="295">
        <v>8.5000000894069699E-2</v>
      </c>
      <c r="Q320" s="295" t="b">
        <v>0</v>
      </c>
      <c r="R320" s="295">
        <v>1440</v>
      </c>
      <c r="T320" s="295">
        <v>11</v>
      </c>
      <c r="U320" s="295" t="s">
        <v>6040</v>
      </c>
      <c r="V320" s="295">
        <v>9.00000035762787E-2</v>
      </c>
      <c r="W320" s="295">
        <v>222</v>
      </c>
      <c r="Z320" s="295" t="b">
        <v>0</v>
      </c>
      <c r="AA320" s="295">
        <v>10</v>
      </c>
      <c r="AB320" s="295">
        <v>0.75</v>
      </c>
      <c r="AD320" s="295">
        <v>0.75</v>
      </c>
      <c r="AG320" s="295">
        <v>40</v>
      </c>
      <c r="AH320" s="295">
        <v>0.40000000596046398</v>
      </c>
      <c r="AI320" s="295" t="s">
        <v>6047</v>
      </c>
      <c r="AJ320" s="295">
        <f>VLOOKUP(A320,'RBSA Weights'!$A$2:$N$322,8,FALSE)</f>
        <v>1211.2822265625</v>
      </c>
    </row>
    <row r="321" spans="1:36">
      <c r="A321" s="295">
        <v>24847</v>
      </c>
      <c r="B321" s="295" t="s">
        <v>6042</v>
      </c>
      <c r="C321" s="295" t="b">
        <v>1</v>
      </c>
      <c r="D321" s="295">
        <v>1664</v>
      </c>
      <c r="E321" s="295">
        <v>8.5</v>
      </c>
      <c r="F321" s="295" t="s">
        <v>158</v>
      </c>
      <c r="G321" s="295">
        <v>30</v>
      </c>
      <c r="H321" s="295" t="s">
        <v>6046</v>
      </c>
      <c r="I321" s="295">
        <v>4.39999997615814E-2</v>
      </c>
      <c r="J321" s="295" t="b">
        <v>0</v>
      </c>
      <c r="K321" s="295">
        <v>1690</v>
      </c>
      <c r="L321" s="295" t="s">
        <v>6045</v>
      </c>
      <c r="N321" s="295">
        <v>11</v>
      </c>
      <c r="O321" s="295" t="s">
        <v>6040</v>
      </c>
      <c r="P321" s="295">
        <v>6.7000001668930095E-2</v>
      </c>
      <c r="Q321" s="295" t="b">
        <v>0</v>
      </c>
      <c r="R321" s="295">
        <v>1372</v>
      </c>
      <c r="T321" s="295">
        <v>11</v>
      </c>
      <c r="U321" s="295" t="s">
        <v>6040</v>
      </c>
      <c r="V321" s="295">
        <v>9.00000035762787E-2</v>
      </c>
      <c r="W321" s="295">
        <v>191</v>
      </c>
      <c r="X321" s="295">
        <v>25</v>
      </c>
      <c r="Y321" s="295" t="s">
        <v>6044</v>
      </c>
      <c r="Z321" s="295" t="b">
        <v>1</v>
      </c>
      <c r="AA321" s="295">
        <v>10</v>
      </c>
      <c r="AB321" s="295">
        <v>0.75</v>
      </c>
      <c r="AC321" s="295">
        <v>0.69999998807907104</v>
      </c>
      <c r="AD321" s="295">
        <v>0.74421298503875699</v>
      </c>
      <c r="AE321" s="295">
        <v>27</v>
      </c>
      <c r="AF321" s="295">
        <v>0.60000002384185802</v>
      </c>
      <c r="AG321" s="295">
        <v>40</v>
      </c>
      <c r="AH321" s="295">
        <v>0.34999999403953602</v>
      </c>
      <c r="AI321" s="295" t="s">
        <v>6043</v>
      </c>
      <c r="AJ321" s="295">
        <f>VLOOKUP(A321,'RBSA Weights'!$A$2:$N$322,8,FALSE)</f>
        <v>2128.88549804688</v>
      </c>
    </row>
    <row r="322" spans="1:36">
      <c r="A322" s="295">
        <v>24854</v>
      </c>
      <c r="B322" s="295" t="s">
        <v>6042</v>
      </c>
      <c r="C322" s="295" t="b">
        <v>0</v>
      </c>
      <c r="D322" s="295">
        <v>1560</v>
      </c>
      <c r="E322" s="295">
        <v>8</v>
      </c>
      <c r="G322" s="295">
        <v>11</v>
      </c>
      <c r="H322" s="295" t="s">
        <v>6040</v>
      </c>
      <c r="I322" s="295">
        <v>0.10000000149011599</v>
      </c>
      <c r="J322" s="295" t="b">
        <v>0</v>
      </c>
      <c r="K322" s="295">
        <v>1560</v>
      </c>
      <c r="L322" s="295" t="s">
        <v>6041</v>
      </c>
      <c r="N322" s="295">
        <v>11</v>
      </c>
      <c r="O322" s="295" t="s">
        <v>6040</v>
      </c>
      <c r="P322" s="295">
        <v>8.5000000894069699E-2</v>
      </c>
      <c r="Q322" s="295" t="b">
        <v>0</v>
      </c>
      <c r="R322" s="295">
        <v>1344</v>
      </c>
      <c r="T322" s="295">
        <v>11</v>
      </c>
      <c r="U322" s="295" t="s">
        <v>6040</v>
      </c>
      <c r="V322" s="295">
        <v>9.00000035762787E-2</v>
      </c>
      <c r="W322" s="295">
        <v>196</v>
      </c>
      <c r="Z322" s="295" t="b">
        <v>0</v>
      </c>
      <c r="AA322" s="295">
        <v>5</v>
      </c>
      <c r="AB322" s="295">
        <v>0.75</v>
      </c>
      <c r="AD322" s="295">
        <v>0.75</v>
      </c>
      <c r="AE322" s="295">
        <v>8</v>
      </c>
      <c r="AF322" s="295">
        <v>1.29999995231628</v>
      </c>
      <c r="AG322" s="295">
        <v>40</v>
      </c>
      <c r="AH322" s="295">
        <v>0.40000000596046398</v>
      </c>
      <c r="AJ322" s="295">
        <f>VLOOKUP(A322,'RBSA Weights'!$A$2:$N$322,8,FALSE)</f>
        <v>1211.2822265625</v>
      </c>
    </row>
  </sheetData>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dimension ref="A1:N322"/>
  <sheetViews>
    <sheetView workbookViewId="0">
      <selection activeCell="J1" sqref="J1"/>
    </sheetView>
  </sheetViews>
  <sheetFormatPr defaultRowHeight="12.75"/>
  <sheetData>
    <row r="1" spans="1:14">
      <c r="A1" t="s">
        <v>152</v>
      </c>
      <c r="B1" t="s">
        <v>6234</v>
      </c>
      <c r="C1" t="s">
        <v>6235</v>
      </c>
      <c r="D1" t="s">
        <v>6236</v>
      </c>
      <c r="E1" t="s">
        <v>6237</v>
      </c>
      <c r="F1" t="s">
        <v>6238</v>
      </c>
      <c r="G1" t="s">
        <v>6239</v>
      </c>
      <c r="H1" t="s">
        <v>153</v>
      </c>
      <c r="I1" t="s">
        <v>6240</v>
      </c>
      <c r="J1" t="s">
        <v>6241</v>
      </c>
      <c r="K1" t="s">
        <v>6242</v>
      </c>
      <c r="L1" t="s">
        <v>6243</v>
      </c>
      <c r="M1" t="s">
        <v>6244</v>
      </c>
      <c r="N1" t="s">
        <v>6245</v>
      </c>
    </row>
    <row r="2" spans="1:14">
      <c r="A2">
        <v>10155</v>
      </c>
      <c r="B2" t="s">
        <v>6246</v>
      </c>
      <c r="C2" t="s">
        <v>6247</v>
      </c>
      <c r="D2" t="s">
        <v>6248</v>
      </c>
      <c r="E2" t="s">
        <v>6249</v>
      </c>
      <c r="F2" t="s">
        <v>6250</v>
      </c>
      <c r="G2">
        <v>5481.03271484375</v>
      </c>
      <c r="H2">
        <v>421.61788940429699</v>
      </c>
      <c r="I2" t="s">
        <v>6249</v>
      </c>
      <c r="K2" t="b">
        <v>0</v>
      </c>
      <c r="L2">
        <v>98674</v>
      </c>
      <c r="M2">
        <v>1</v>
      </c>
      <c r="N2">
        <v>1</v>
      </c>
    </row>
    <row r="3" spans="1:14">
      <c r="A3">
        <v>10199</v>
      </c>
      <c r="B3" t="s">
        <v>6251</v>
      </c>
      <c r="C3" t="s">
        <v>6252</v>
      </c>
      <c r="D3" t="s">
        <v>6248</v>
      </c>
      <c r="E3" t="s">
        <v>6253</v>
      </c>
      <c r="F3" t="s">
        <v>6254</v>
      </c>
      <c r="G3">
        <v>5671.21142578125</v>
      </c>
      <c r="H3">
        <v>236.30047607421901</v>
      </c>
      <c r="I3" t="s">
        <v>6253</v>
      </c>
      <c r="K3" t="b">
        <v>0</v>
      </c>
      <c r="L3">
        <v>97402</v>
      </c>
      <c r="M3">
        <v>1</v>
      </c>
      <c r="N3">
        <v>1</v>
      </c>
    </row>
    <row r="4" spans="1:14">
      <c r="A4">
        <v>10257</v>
      </c>
      <c r="B4" t="s">
        <v>6251</v>
      </c>
      <c r="C4" t="s">
        <v>6252</v>
      </c>
      <c r="D4" t="s">
        <v>6248</v>
      </c>
      <c r="E4" t="s">
        <v>6253</v>
      </c>
      <c r="F4" t="s">
        <v>6254</v>
      </c>
      <c r="G4">
        <v>5671.21142578125</v>
      </c>
      <c r="H4">
        <v>236.30047607421901</v>
      </c>
      <c r="I4" t="s">
        <v>6253</v>
      </c>
      <c r="K4" t="b">
        <v>0</v>
      </c>
      <c r="L4">
        <v>97402</v>
      </c>
      <c r="M4">
        <v>1</v>
      </c>
      <c r="N4">
        <v>1</v>
      </c>
    </row>
    <row r="5" spans="1:14">
      <c r="A5">
        <v>10339</v>
      </c>
      <c r="B5" t="s">
        <v>6251</v>
      </c>
      <c r="C5" t="s">
        <v>6252</v>
      </c>
      <c r="D5" t="s">
        <v>6248</v>
      </c>
      <c r="E5" t="s">
        <v>6253</v>
      </c>
      <c r="F5" t="s">
        <v>6254</v>
      </c>
      <c r="G5">
        <v>5671.21142578125</v>
      </c>
      <c r="H5">
        <v>236.30047607421901</v>
      </c>
      <c r="I5" t="s">
        <v>6253</v>
      </c>
      <c r="K5" t="b">
        <v>0</v>
      </c>
      <c r="L5">
        <v>97402</v>
      </c>
      <c r="M5">
        <v>1</v>
      </c>
      <c r="N5">
        <v>1</v>
      </c>
    </row>
    <row r="6" spans="1:14">
      <c r="A6">
        <v>10417</v>
      </c>
      <c r="B6" t="s">
        <v>6246</v>
      </c>
      <c r="C6" t="s">
        <v>6247</v>
      </c>
      <c r="D6" t="s">
        <v>6248</v>
      </c>
      <c r="E6" t="s">
        <v>6249</v>
      </c>
      <c r="F6" t="s">
        <v>6250</v>
      </c>
      <c r="G6">
        <v>5481.03271484375</v>
      </c>
      <c r="H6">
        <v>421.61788940429699</v>
      </c>
      <c r="I6" t="s">
        <v>6249</v>
      </c>
      <c r="K6" t="b">
        <v>0</v>
      </c>
      <c r="L6">
        <v>98611</v>
      </c>
      <c r="M6">
        <v>1</v>
      </c>
      <c r="N6">
        <v>1</v>
      </c>
    </row>
    <row r="7" spans="1:14">
      <c r="A7">
        <v>10732</v>
      </c>
      <c r="B7" t="s">
        <v>6246</v>
      </c>
      <c r="C7" t="s">
        <v>6247</v>
      </c>
      <c r="D7" t="s">
        <v>6248</v>
      </c>
      <c r="E7" t="s">
        <v>6249</v>
      </c>
      <c r="F7" t="s">
        <v>6250</v>
      </c>
      <c r="G7">
        <v>5481.03271484375</v>
      </c>
      <c r="H7">
        <v>421.61788940429699</v>
      </c>
      <c r="I7" t="s">
        <v>6249</v>
      </c>
      <c r="K7" t="b">
        <v>0</v>
      </c>
      <c r="L7">
        <v>98611</v>
      </c>
      <c r="M7">
        <v>1</v>
      </c>
      <c r="N7">
        <v>1</v>
      </c>
    </row>
    <row r="8" spans="1:14">
      <c r="A8">
        <v>10768</v>
      </c>
      <c r="B8" t="s">
        <v>6255</v>
      </c>
      <c r="C8" t="s">
        <v>6256</v>
      </c>
      <c r="D8" t="s">
        <v>6257</v>
      </c>
      <c r="E8" t="s">
        <v>6253</v>
      </c>
      <c r="F8" t="s">
        <v>6258</v>
      </c>
      <c r="G8">
        <v>118272.953125</v>
      </c>
      <c r="H8">
        <v>2319.07739257813</v>
      </c>
      <c r="K8" t="b">
        <v>0</v>
      </c>
      <c r="L8">
        <v>97015</v>
      </c>
      <c r="M8">
        <v>1</v>
      </c>
      <c r="N8">
        <v>2</v>
      </c>
    </row>
    <row r="9" spans="1:14">
      <c r="A9">
        <v>10820</v>
      </c>
      <c r="B9" t="s">
        <v>6246</v>
      </c>
      <c r="C9" t="s">
        <v>6247</v>
      </c>
      <c r="D9" t="s">
        <v>6248</v>
      </c>
      <c r="E9" t="s">
        <v>6249</v>
      </c>
      <c r="F9" t="s">
        <v>6250</v>
      </c>
      <c r="G9">
        <v>5481.03271484375</v>
      </c>
      <c r="H9">
        <v>421.61788940429699</v>
      </c>
      <c r="I9" t="s">
        <v>6249</v>
      </c>
      <c r="K9" t="b">
        <v>0</v>
      </c>
      <c r="L9">
        <v>98632</v>
      </c>
      <c r="M9">
        <v>1</v>
      </c>
      <c r="N9">
        <v>1</v>
      </c>
    </row>
    <row r="10" spans="1:14">
      <c r="A10">
        <v>11174</v>
      </c>
      <c r="B10" t="s">
        <v>6251</v>
      </c>
      <c r="C10" t="s">
        <v>6252</v>
      </c>
      <c r="D10" t="s">
        <v>6248</v>
      </c>
      <c r="E10" t="s">
        <v>6253</v>
      </c>
      <c r="F10" t="s">
        <v>6254</v>
      </c>
      <c r="G10">
        <v>5671.21142578125</v>
      </c>
      <c r="H10">
        <v>236.30047607421901</v>
      </c>
      <c r="I10" t="s">
        <v>6253</v>
      </c>
      <c r="K10" t="b">
        <v>0</v>
      </c>
      <c r="L10">
        <v>97402</v>
      </c>
      <c r="M10">
        <v>1</v>
      </c>
      <c r="N10">
        <v>1</v>
      </c>
    </row>
    <row r="11" spans="1:14">
      <c r="A11">
        <v>11314</v>
      </c>
      <c r="B11" t="s">
        <v>6246</v>
      </c>
      <c r="C11" t="s">
        <v>6247</v>
      </c>
      <c r="D11" t="s">
        <v>6248</v>
      </c>
      <c r="E11" t="s">
        <v>6249</v>
      </c>
      <c r="F11" t="s">
        <v>6250</v>
      </c>
      <c r="G11">
        <v>5481.03271484375</v>
      </c>
      <c r="H11">
        <v>421.61788940429699</v>
      </c>
      <c r="I11" t="s">
        <v>6249</v>
      </c>
      <c r="K11" t="b">
        <v>0</v>
      </c>
      <c r="L11">
        <v>98625</v>
      </c>
      <c r="M11">
        <v>1</v>
      </c>
      <c r="N11">
        <v>1</v>
      </c>
    </row>
    <row r="12" spans="1:14">
      <c r="A12">
        <v>11328</v>
      </c>
      <c r="B12" t="s">
        <v>6251</v>
      </c>
      <c r="C12" t="s">
        <v>6252</v>
      </c>
      <c r="D12" t="s">
        <v>6248</v>
      </c>
      <c r="E12" t="s">
        <v>6253</v>
      </c>
      <c r="F12" t="s">
        <v>6254</v>
      </c>
      <c r="G12">
        <v>5671.21142578125</v>
      </c>
      <c r="H12">
        <v>236.30047607421901</v>
      </c>
      <c r="I12" t="s">
        <v>6253</v>
      </c>
      <c r="K12" t="b">
        <v>0</v>
      </c>
      <c r="L12">
        <v>97404</v>
      </c>
      <c r="M12">
        <v>1</v>
      </c>
      <c r="N12">
        <v>1</v>
      </c>
    </row>
    <row r="13" spans="1:14">
      <c r="A13">
        <v>11390</v>
      </c>
      <c r="B13" t="s">
        <v>6251</v>
      </c>
      <c r="C13" t="s">
        <v>6252</v>
      </c>
      <c r="D13" t="s">
        <v>6248</v>
      </c>
      <c r="E13" t="s">
        <v>6253</v>
      </c>
      <c r="F13" t="s">
        <v>6254</v>
      </c>
      <c r="G13">
        <v>5671.21142578125</v>
      </c>
      <c r="H13">
        <v>236.30047607421901</v>
      </c>
      <c r="I13" t="s">
        <v>6253</v>
      </c>
      <c r="K13" t="b">
        <v>0</v>
      </c>
      <c r="L13">
        <v>97408</v>
      </c>
      <c r="M13">
        <v>1</v>
      </c>
      <c r="N13">
        <v>1</v>
      </c>
    </row>
    <row r="14" spans="1:14">
      <c r="A14">
        <v>11498</v>
      </c>
      <c r="B14" t="s">
        <v>6251</v>
      </c>
      <c r="C14" t="s">
        <v>6252</v>
      </c>
      <c r="D14" t="s">
        <v>6248</v>
      </c>
      <c r="E14" t="s">
        <v>6253</v>
      </c>
      <c r="F14" t="s">
        <v>6254</v>
      </c>
      <c r="G14">
        <v>5671.21142578125</v>
      </c>
      <c r="H14">
        <v>236.30047607421901</v>
      </c>
      <c r="I14" t="s">
        <v>6253</v>
      </c>
      <c r="J14" t="s">
        <v>6259</v>
      </c>
      <c r="K14" t="b">
        <v>1</v>
      </c>
      <c r="L14">
        <v>97402</v>
      </c>
      <c r="M14">
        <v>1</v>
      </c>
      <c r="N14">
        <v>1</v>
      </c>
    </row>
    <row r="15" spans="1:14">
      <c r="A15">
        <v>11518</v>
      </c>
      <c r="B15" t="s">
        <v>6251</v>
      </c>
      <c r="C15" t="s">
        <v>6252</v>
      </c>
      <c r="D15" t="s">
        <v>6248</v>
      </c>
      <c r="E15" t="s">
        <v>6253</v>
      </c>
      <c r="F15" t="s">
        <v>6254</v>
      </c>
      <c r="G15">
        <v>5671.21142578125</v>
      </c>
      <c r="H15">
        <v>236.30047607421901</v>
      </c>
      <c r="I15" t="s">
        <v>6253</v>
      </c>
      <c r="K15" t="b">
        <v>0</v>
      </c>
      <c r="L15">
        <v>97408</v>
      </c>
      <c r="M15">
        <v>1</v>
      </c>
      <c r="N15">
        <v>1</v>
      </c>
    </row>
    <row r="16" spans="1:14">
      <c r="A16">
        <v>11558</v>
      </c>
      <c r="B16" t="s">
        <v>6246</v>
      </c>
      <c r="C16" t="s">
        <v>6247</v>
      </c>
      <c r="D16" t="s">
        <v>6248</v>
      </c>
      <c r="E16" t="s">
        <v>6249</v>
      </c>
      <c r="F16" t="s">
        <v>6250</v>
      </c>
      <c r="G16">
        <v>5481.03271484375</v>
      </c>
      <c r="H16">
        <v>421.61788940429699</v>
      </c>
      <c r="I16" t="s">
        <v>6249</v>
      </c>
      <c r="K16" t="b">
        <v>0</v>
      </c>
      <c r="L16">
        <v>98674</v>
      </c>
      <c r="M16">
        <v>1</v>
      </c>
      <c r="N16">
        <v>1</v>
      </c>
    </row>
    <row r="17" spans="1:14">
      <c r="A17">
        <v>11612</v>
      </c>
      <c r="B17" t="s">
        <v>6260</v>
      </c>
      <c r="C17" t="s">
        <v>6261</v>
      </c>
      <c r="D17" t="s">
        <v>6248</v>
      </c>
      <c r="E17" t="s">
        <v>6262</v>
      </c>
      <c r="F17" t="s">
        <v>6263</v>
      </c>
      <c r="G17">
        <v>110363.3984375</v>
      </c>
      <c r="H17">
        <v>3065.64990234375</v>
      </c>
      <c r="I17" t="s">
        <v>6262</v>
      </c>
      <c r="K17" t="b">
        <v>0</v>
      </c>
      <c r="L17">
        <v>98580</v>
      </c>
      <c r="M17">
        <v>1</v>
      </c>
      <c r="N17">
        <v>1</v>
      </c>
    </row>
    <row r="18" spans="1:14">
      <c r="A18">
        <v>11627</v>
      </c>
      <c r="B18" t="s">
        <v>6251</v>
      </c>
      <c r="C18" t="s">
        <v>6252</v>
      </c>
      <c r="D18" t="s">
        <v>6248</v>
      </c>
      <c r="E18" t="s">
        <v>6253</v>
      </c>
      <c r="F18" t="s">
        <v>6254</v>
      </c>
      <c r="G18">
        <v>5671.21142578125</v>
      </c>
      <c r="H18">
        <v>236.30047607421901</v>
      </c>
      <c r="I18" t="s">
        <v>6253</v>
      </c>
      <c r="K18" t="b">
        <v>0</v>
      </c>
      <c r="L18">
        <v>97402</v>
      </c>
      <c r="M18">
        <v>1</v>
      </c>
      <c r="N18">
        <v>1</v>
      </c>
    </row>
    <row r="19" spans="1:14">
      <c r="A19">
        <v>11671</v>
      </c>
      <c r="B19" t="s">
        <v>6264</v>
      </c>
      <c r="C19" t="s">
        <v>6265</v>
      </c>
      <c r="D19" t="s">
        <v>6257</v>
      </c>
      <c r="E19" t="s">
        <v>6262</v>
      </c>
      <c r="F19" t="s">
        <v>6263</v>
      </c>
      <c r="G19">
        <v>110363.3984375</v>
      </c>
      <c r="H19">
        <v>3065.64990234375</v>
      </c>
      <c r="K19" t="b">
        <v>0</v>
      </c>
      <c r="L19">
        <v>98236</v>
      </c>
      <c r="M19">
        <v>1</v>
      </c>
      <c r="N19">
        <v>1</v>
      </c>
    </row>
    <row r="20" spans="1:14">
      <c r="A20">
        <v>11854</v>
      </c>
      <c r="B20" t="s">
        <v>6264</v>
      </c>
      <c r="C20" t="s">
        <v>6265</v>
      </c>
      <c r="D20" t="s">
        <v>6257</v>
      </c>
      <c r="E20" t="s">
        <v>6262</v>
      </c>
      <c r="F20" t="s">
        <v>6263</v>
      </c>
      <c r="G20">
        <v>110363.3984375</v>
      </c>
      <c r="H20">
        <v>3065.64990234375</v>
      </c>
      <c r="K20" t="b">
        <v>0</v>
      </c>
      <c r="L20">
        <v>98221</v>
      </c>
      <c r="M20">
        <v>1</v>
      </c>
      <c r="N20">
        <v>1</v>
      </c>
    </row>
    <row r="21" spans="1:14">
      <c r="A21">
        <v>11861</v>
      </c>
      <c r="B21" t="s">
        <v>6251</v>
      </c>
      <c r="C21" t="s">
        <v>6252</v>
      </c>
      <c r="D21" t="s">
        <v>6248</v>
      </c>
      <c r="E21" t="s">
        <v>6253</v>
      </c>
      <c r="F21" t="s">
        <v>6254</v>
      </c>
      <c r="G21">
        <v>5671.21142578125</v>
      </c>
      <c r="H21">
        <v>236.30047607421901</v>
      </c>
      <c r="I21" t="s">
        <v>6253</v>
      </c>
      <c r="K21" t="b">
        <v>0</v>
      </c>
      <c r="L21">
        <v>97408</v>
      </c>
      <c r="M21">
        <v>1</v>
      </c>
      <c r="N21">
        <v>1</v>
      </c>
    </row>
    <row r="22" spans="1:14">
      <c r="A22">
        <v>11990</v>
      </c>
      <c r="B22" t="s">
        <v>6246</v>
      </c>
      <c r="C22" t="s">
        <v>6247</v>
      </c>
      <c r="D22" t="s">
        <v>6248</v>
      </c>
      <c r="E22" t="s">
        <v>6249</v>
      </c>
      <c r="F22" t="s">
        <v>6250</v>
      </c>
      <c r="G22">
        <v>5481.03271484375</v>
      </c>
      <c r="H22">
        <v>421.61788940429699</v>
      </c>
      <c r="I22" t="s">
        <v>6249</v>
      </c>
      <c r="K22" t="b">
        <v>0</v>
      </c>
      <c r="L22">
        <v>98581</v>
      </c>
      <c r="M22">
        <v>1</v>
      </c>
      <c r="N22">
        <v>1</v>
      </c>
    </row>
    <row r="23" spans="1:14">
      <c r="A23">
        <v>12139</v>
      </c>
      <c r="B23" t="s">
        <v>6251</v>
      </c>
      <c r="C23" t="s">
        <v>6252</v>
      </c>
      <c r="D23" t="s">
        <v>6248</v>
      </c>
      <c r="E23" t="s">
        <v>6253</v>
      </c>
      <c r="F23" t="s">
        <v>6254</v>
      </c>
      <c r="G23">
        <v>5671.21142578125</v>
      </c>
      <c r="H23">
        <v>236.30047607421901</v>
      </c>
      <c r="I23" t="s">
        <v>6253</v>
      </c>
      <c r="K23" t="b">
        <v>0</v>
      </c>
      <c r="L23">
        <v>97402</v>
      </c>
      <c r="M23">
        <v>1</v>
      </c>
      <c r="N23">
        <v>1</v>
      </c>
    </row>
    <row r="24" spans="1:14">
      <c r="A24">
        <v>12262</v>
      </c>
      <c r="B24" t="s">
        <v>6251</v>
      </c>
      <c r="C24" t="s">
        <v>6252</v>
      </c>
      <c r="D24" t="s">
        <v>6248</v>
      </c>
      <c r="E24" t="s">
        <v>6253</v>
      </c>
      <c r="F24" t="s">
        <v>6254</v>
      </c>
      <c r="G24">
        <v>5671.21142578125</v>
      </c>
      <c r="H24">
        <v>236.30047607421901</v>
      </c>
      <c r="I24" t="s">
        <v>6253</v>
      </c>
      <c r="K24" t="b">
        <v>0</v>
      </c>
      <c r="L24">
        <v>97402</v>
      </c>
      <c r="M24">
        <v>1</v>
      </c>
      <c r="N24">
        <v>1</v>
      </c>
    </row>
    <row r="25" spans="1:14">
      <c r="A25">
        <v>12285</v>
      </c>
      <c r="B25" t="s">
        <v>6251</v>
      </c>
      <c r="C25" t="s">
        <v>6252</v>
      </c>
      <c r="D25" t="s">
        <v>6248</v>
      </c>
      <c r="E25" t="s">
        <v>6253</v>
      </c>
      <c r="F25" t="s">
        <v>6254</v>
      </c>
      <c r="G25">
        <v>5671.21142578125</v>
      </c>
      <c r="H25">
        <v>236.30047607421901</v>
      </c>
      <c r="I25" t="s">
        <v>6253</v>
      </c>
      <c r="K25" t="b">
        <v>0</v>
      </c>
      <c r="L25">
        <v>97402</v>
      </c>
      <c r="M25">
        <v>1</v>
      </c>
      <c r="N25">
        <v>1</v>
      </c>
    </row>
    <row r="26" spans="1:14">
      <c r="A26">
        <v>12397</v>
      </c>
      <c r="B26" t="s">
        <v>6251</v>
      </c>
      <c r="C26" t="s">
        <v>6252</v>
      </c>
      <c r="D26" t="s">
        <v>6248</v>
      </c>
      <c r="E26" t="s">
        <v>6253</v>
      </c>
      <c r="F26" t="s">
        <v>6254</v>
      </c>
      <c r="G26">
        <v>5671.21142578125</v>
      </c>
      <c r="H26">
        <v>236.30047607421901</v>
      </c>
      <c r="I26" t="s">
        <v>6253</v>
      </c>
      <c r="K26" t="b">
        <v>0</v>
      </c>
      <c r="L26">
        <v>97402</v>
      </c>
      <c r="M26">
        <v>1</v>
      </c>
      <c r="N26">
        <v>1</v>
      </c>
    </row>
    <row r="27" spans="1:14">
      <c r="A27">
        <v>12481</v>
      </c>
      <c r="B27" t="s">
        <v>6251</v>
      </c>
      <c r="C27" t="s">
        <v>6252</v>
      </c>
      <c r="D27" t="s">
        <v>6248</v>
      </c>
      <c r="E27" t="s">
        <v>6253</v>
      </c>
      <c r="F27" t="s">
        <v>6254</v>
      </c>
      <c r="G27">
        <v>5671.21142578125</v>
      </c>
      <c r="H27">
        <v>236.30047607421901</v>
      </c>
      <c r="I27" t="s">
        <v>6253</v>
      </c>
      <c r="K27" t="b">
        <v>0</v>
      </c>
      <c r="L27">
        <v>97408</v>
      </c>
      <c r="M27">
        <v>1</v>
      </c>
      <c r="N27">
        <v>1</v>
      </c>
    </row>
    <row r="28" spans="1:14">
      <c r="A28">
        <v>12584</v>
      </c>
      <c r="B28" t="s">
        <v>6246</v>
      </c>
      <c r="C28" t="s">
        <v>6247</v>
      </c>
      <c r="D28" t="s">
        <v>6248</v>
      </c>
      <c r="E28" t="s">
        <v>6249</v>
      </c>
      <c r="F28" t="s">
        <v>6250</v>
      </c>
      <c r="G28">
        <v>5481.03271484375</v>
      </c>
      <c r="H28">
        <v>421.61788940429699</v>
      </c>
      <c r="I28" t="s">
        <v>6249</v>
      </c>
      <c r="K28" t="b">
        <v>0</v>
      </c>
      <c r="L28">
        <v>98603</v>
      </c>
      <c r="M28">
        <v>1</v>
      </c>
      <c r="N28">
        <v>1</v>
      </c>
    </row>
    <row r="29" spans="1:14">
      <c r="A29">
        <v>12752</v>
      </c>
      <c r="B29" t="s">
        <v>6251</v>
      </c>
      <c r="C29" t="s">
        <v>6252</v>
      </c>
      <c r="D29" t="s">
        <v>6248</v>
      </c>
      <c r="E29" t="s">
        <v>6253</v>
      </c>
      <c r="F29" t="s">
        <v>6254</v>
      </c>
      <c r="G29">
        <v>5671.21142578125</v>
      </c>
      <c r="H29">
        <v>236.30047607421901</v>
      </c>
      <c r="I29" t="s">
        <v>6253</v>
      </c>
      <c r="J29" t="s">
        <v>6259</v>
      </c>
      <c r="K29" t="b">
        <v>1</v>
      </c>
      <c r="L29">
        <v>97402</v>
      </c>
      <c r="M29">
        <v>1</v>
      </c>
      <c r="N29">
        <v>1</v>
      </c>
    </row>
    <row r="30" spans="1:14">
      <c r="A30">
        <v>13133</v>
      </c>
      <c r="B30" t="s">
        <v>6264</v>
      </c>
      <c r="C30" t="s">
        <v>6265</v>
      </c>
      <c r="D30" t="s">
        <v>6257</v>
      </c>
      <c r="E30" t="s">
        <v>6262</v>
      </c>
      <c r="F30" t="s">
        <v>6263</v>
      </c>
      <c r="G30">
        <v>110363.3984375</v>
      </c>
      <c r="H30">
        <v>3065.64990234375</v>
      </c>
      <c r="K30" t="b">
        <v>0</v>
      </c>
      <c r="L30">
        <v>98321</v>
      </c>
      <c r="M30">
        <v>1</v>
      </c>
      <c r="N30">
        <v>1</v>
      </c>
    </row>
    <row r="31" spans="1:14">
      <c r="A31">
        <v>13189</v>
      </c>
      <c r="B31" t="s">
        <v>6251</v>
      </c>
      <c r="C31" t="s">
        <v>6252</v>
      </c>
      <c r="D31" t="s">
        <v>6248</v>
      </c>
      <c r="E31" t="s">
        <v>6253</v>
      </c>
      <c r="F31" t="s">
        <v>6254</v>
      </c>
      <c r="G31">
        <v>5671.21142578125</v>
      </c>
      <c r="H31">
        <v>236.30047607421901</v>
      </c>
      <c r="I31" t="s">
        <v>6253</v>
      </c>
      <c r="K31" t="b">
        <v>0</v>
      </c>
      <c r="L31">
        <v>97402</v>
      </c>
      <c r="M31">
        <v>1</v>
      </c>
      <c r="N31">
        <v>1</v>
      </c>
    </row>
    <row r="32" spans="1:14">
      <c r="A32">
        <v>13207</v>
      </c>
      <c r="B32" t="s">
        <v>6251</v>
      </c>
      <c r="C32" t="s">
        <v>6252</v>
      </c>
      <c r="D32" t="s">
        <v>6248</v>
      </c>
      <c r="E32" t="s">
        <v>6253</v>
      </c>
      <c r="F32" t="s">
        <v>6254</v>
      </c>
      <c r="G32">
        <v>5671.21142578125</v>
      </c>
      <c r="H32">
        <v>236.30047607421901</v>
      </c>
      <c r="I32" t="s">
        <v>6253</v>
      </c>
      <c r="K32" t="b">
        <v>0</v>
      </c>
      <c r="L32">
        <v>97408</v>
      </c>
      <c r="M32">
        <v>1</v>
      </c>
      <c r="N32">
        <v>1</v>
      </c>
    </row>
    <row r="33" spans="1:14">
      <c r="A33">
        <v>13247</v>
      </c>
      <c r="B33" t="s">
        <v>6246</v>
      </c>
      <c r="C33" t="s">
        <v>6247</v>
      </c>
      <c r="D33" t="s">
        <v>6248</v>
      </c>
      <c r="E33" t="s">
        <v>6249</v>
      </c>
      <c r="F33" t="s">
        <v>6250</v>
      </c>
      <c r="G33">
        <v>5481.03271484375</v>
      </c>
      <c r="H33">
        <v>421.61788940429699</v>
      </c>
      <c r="I33" t="s">
        <v>6249</v>
      </c>
      <c r="K33" t="b">
        <v>0</v>
      </c>
      <c r="L33">
        <v>98649</v>
      </c>
      <c r="M33">
        <v>1</v>
      </c>
      <c r="N33">
        <v>1</v>
      </c>
    </row>
    <row r="34" spans="1:14">
      <c r="A34">
        <v>13424</v>
      </c>
      <c r="B34" t="s">
        <v>6251</v>
      </c>
      <c r="C34" t="s">
        <v>6252</v>
      </c>
      <c r="D34" t="s">
        <v>6248</v>
      </c>
      <c r="E34" t="s">
        <v>6253</v>
      </c>
      <c r="F34" t="s">
        <v>6254</v>
      </c>
      <c r="G34">
        <v>5671.21142578125</v>
      </c>
      <c r="H34">
        <v>236.30047607421901</v>
      </c>
      <c r="I34" t="s">
        <v>6253</v>
      </c>
      <c r="K34" t="b">
        <v>0</v>
      </c>
      <c r="L34">
        <v>97402</v>
      </c>
      <c r="M34">
        <v>1</v>
      </c>
      <c r="N34">
        <v>1</v>
      </c>
    </row>
    <row r="35" spans="1:14">
      <c r="A35">
        <v>13464</v>
      </c>
      <c r="B35" t="s">
        <v>6251</v>
      </c>
      <c r="C35" t="s">
        <v>6252</v>
      </c>
      <c r="D35" t="s">
        <v>6248</v>
      </c>
      <c r="E35" t="s">
        <v>6253</v>
      </c>
      <c r="F35" t="s">
        <v>6254</v>
      </c>
      <c r="G35">
        <v>5671.21142578125</v>
      </c>
      <c r="H35">
        <v>236.30047607421901</v>
      </c>
      <c r="I35" t="s">
        <v>6253</v>
      </c>
      <c r="K35" t="b">
        <v>0</v>
      </c>
      <c r="L35">
        <v>97408</v>
      </c>
      <c r="M35">
        <v>1</v>
      </c>
      <c r="N35">
        <v>1</v>
      </c>
    </row>
    <row r="36" spans="1:14">
      <c r="A36">
        <v>13738</v>
      </c>
      <c r="B36" t="s">
        <v>6251</v>
      </c>
      <c r="C36" t="s">
        <v>6252</v>
      </c>
      <c r="D36" t="s">
        <v>6248</v>
      </c>
      <c r="E36" t="s">
        <v>6253</v>
      </c>
      <c r="F36" t="s">
        <v>6254</v>
      </c>
      <c r="G36">
        <v>5671.21142578125</v>
      </c>
      <c r="H36">
        <v>236.30047607421901</v>
      </c>
      <c r="I36" t="s">
        <v>6253</v>
      </c>
      <c r="K36" t="b">
        <v>0</v>
      </c>
      <c r="L36">
        <v>97408</v>
      </c>
      <c r="M36">
        <v>1</v>
      </c>
      <c r="N36">
        <v>1</v>
      </c>
    </row>
    <row r="37" spans="1:14">
      <c r="A37">
        <v>13960</v>
      </c>
      <c r="B37" t="s">
        <v>6246</v>
      </c>
      <c r="C37" t="s">
        <v>6247</v>
      </c>
      <c r="D37" t="s">
        <v>6248</v>
      </c>
      <c r="E37" t="s">
        <v>6249</v>
      </c>
      <c r="F37" t="s">
        <v>6250</v>
      </c>
      <c r="G37">
        <v>5481.03271484375</v>
      </c>
      <c r="H37">
        <v>421.61788940429699</v>
      </c>
      <c r="I37" t="s">
        <v>6249</v>
      </c>
      <c r="K37" t="b">
        <v>0</v>
      </c>
      <c r="L37">
        <v>98632</v>
      </c>
      <c r="M37">
        <v>1</v>
      </c>
      <c r="N37">
        <v>1</v>
      </c>
    </row>
    <row r="38" spans="1:14">
      <c r="A38">
        <v>14027</v>
      </c>
      <c r="B38" t="s">
        <v>6246</v>
      </c>
      <c r="C38" t="s">
        <v>6247</v>
      </c>
      <c r="D38" t="s">
        <v>6248</v>
      </c>
      <c r="E38" t="s">
        <v>6249</v>
      </c>
      <c r="F38" t="s">
        <v>6250</v>
      </c>
      <c r="G38">
        <v>5481.03271484375</v>
      </c>
      <c r="H38">
        <v>421.61788940429699</v>
      </c>
      <c r="I38" t="s">
        <v>6249</v>
      </c>
      <c r="K38" t="b">
        <v>0</v>
      </c>
      <c r="L38">
        <v>98626</v>
      </c>
      <c r="M38">
        <v>1</v>
      </c>
      <c r="N38">
        <v>1</v>
      </c>
    </row>
    <row r="39" spans="1:14">
      <c r="A39">
        <v>14082</v>
      </c>
      <c r="B39" t="s">
        <v>6246</v>
      </c>
      <c r="C39" t="s">
        <v>6247</v>
      </c>
      <c r="D39" t="s">
        <v>6248</v>
      </c>
      <c r="E39" t="s">
        <v>6249</v>
      </c>
      <c r="F39" t="s">
        <v>6250</v>
      </c>
      <c r="G39">
        <v>5481.03271484375</v>
      </c>
      <c r="H39">
        <v>421.61788940429699</v>
      </c>
      <c r="I39" t="s">
        <v>6249</v>
      </c>
      <c r="K39" t="b">
        <v>0</v>
      </c>
      <c r="L39">
        <v>98626</v>
      </c>
      <c r="M39">
        <v>1</v>
      </c>
      <c r="N39">
        <v>1</v>
      </c>
    </row>
    <row r="40" spans="1:14">
      <c r="A40">
        <v>14215</v>
      </c>
      <c r="B40" t="s">
        <v>6246</v>
      </c>
      <c r="C40" t="s">
        <v>6247</v>
      </c>
      <c r="D40" t="s">
        <v>6248</v>
      </c>
      <c r="E40" t="s">
        <v>6249</v>
      </c>
      <c r="F40" t="s">
        <v>6250</v>
      </c>
      <c r="G40">
        <v>5481.03271484375</v>
      </c>
      <c r="H40">
        <v>421.61788940429699</v>
      </c>
      <c r="I40" t="s">
        <v>6249</v>
      </c>
      <c r="K40" t="b">
        <v>0</v>
      </c>
      <c r="L40">
        <v>98625</v>
      </c>
      <c r="M40">
        <v>1</v>
      </c>
      <c r="N40">
        <v>1</v>
      </c>
    </row>
    <row r="41" spans="1:14">
      <c r="A41">
        <v>14352</v>
      </c>
      <c r="B41" t="s">
        <v>6251</v>
      </c>
      <c r="C41" t="s">
        <v>6252</v>
      </c>
      <c r="D41" t="s">
        <v>6248</v>
      </c>
      <c r="E41" t="s">
        <v>6253</v>
      </c>
      <c r="F41" t="s">
        <v>6254</v>
      </c>
      <c r="G41">
        <v>5671.21142578125</v>
      </c>
      <c r="H41">
        <v>236.30047607421901</v>
      </c>
      <c r="I41" t="s">
        <v>6253</v>
      </c>
      <c r="K41" t="b">
        <v>0</v>
      </c>
      <c r="L41">
        <v>97402</v>
      </c>
      <c r="M41">
        <v>1</v>
      </c>
      <c r="N41">
        <v>1</v>
      </c>
    </row>
    <row r="42" spans="1:14">
      <c r="A42">
        <v>14389</v>
      </c>
      <c r="B42" t="s">
        <v>6251</v>
      </c>
      <c r="C42" t="s">
        <v>6252</v>
      </c>
      <c r="D42" t="s">
        <v>6248</v>
      </c>
      <c r="E42" t="s">
        <v>6253</v>
      </c>
      <c r="F42" t="s">
        <v>6254</v>
      </c>
      <c r="G42">
        <v>5671.21142578125</v>
      </c>
      <c r="H42">
        <v>236.30047607421901</v>
      </c>
      <c r="I42" t="s">
        <v>6253</v>
      </c>
      <c r="K42" t="b">
        <v>0</v>
      </c>
      <c r="L42">
        <v>97402</v>
      </c>
      <c r="M42">
        <v>1</v>
      </c>
      <c r="N42">
        <v>1</v>
      </c>
    </row>
    <row r="43" spans="1:14">
      <c r="A43">
        <v>14543</v>
      </c>
      <c r="B43" t="s">
        <v>6251</v>
      </c>
      <c r="C43" t="s">
        <v>6252</v>
      </c>
      <c r="D43" t="s">
        <v>6248</v>
      </c>
      <c r="E43" t="s">
        <v>6253</v>
      </c>
      <c r="F43" t="s">
        <v>6254</v>
      </c>
      <c r="G43">
        <v>5671.21142578125</v>
      </c>
      <c r="H43">
        <v>236.30047607421901</v>
      </c>
      <c r="I43" t="s">
        <v>6253</v>
      </c>
      <c r="K43" t="b">
        <v>0</v>
      </c>
      <c r="L43">
        <v>97402</v>
      </c>
      <c r="M43">
        <v>1</v>
      </c>
      <c r="N43">
        <v>1</v>
      </c>
    </row>
    <row r="44" spans="1:14">
      <c r="A44">
        <v>20006</v>
      </c>
      <c r="B44" t="s">
        <v>6266</v>
      </c>
      <c r="C44" t="s">
        <v>6267</v>
      </c>
      <c r="D44" t="s">
        <v>6248</v>
      </c>
      <c r="E44" t="s">
        <v>6268</v>
      </c>
      <c r="F44" t="s">
        <v>6269</v>
      </c>
      <c r="G44">
        <v>81607.8359375</v>
      </c>
      <c r="H44">
        <v>2914.5654296875</v>
      </c>
      <c r="I44" t="s">
        <v>6270</v>
      </c>
      <c r="K44" t="b">
        <v>0</v>
      </c>
      <c r="L44">
        <v>99021</v>
      </c>
      <c r="M44">
        <v>2</v>
      </c>
      <c r="N44">
        <v>2</v>
      </c>
    </row>
    <row r="45" spans="1:14">
      <c r="A45">
        <v>20046</v>
      </c>
      <c r="B45" t="s">
        <v>6271</v>
      </c>
      <c r="C45" t="s">
        <v>6272</v>
      </c>
      <c r="D45" t="s">
        <v>6257</v>
      </c>
      <c r="E45" t="s">
        <v>154</v>
      </c>
      <c r="F45" t="s">
        <v>6273</v>
      </c>
      <c r="G45">
        <v>79944.625</v>
      </c>
      <c r="H45">
        <v>1211.2822265625</v>
      </c>
      <c r="K45" t="b">
        <v>0</v>
      </c>
      <c r="L45">
        <v>83346</v>
      </c>
      <c r="M45">
        <v>2</v>
      </c>
      <c r="N45">
        <v>2</v>
      </c>
    </row>
    <row r="46" spans="1:14">
      <c r="A46">
        <v>20056</v>
      </c>
      <c r="B46" t="s">
        <v>6274</v>
      </c>
      <c r="C46" t="s">
        <v>6275</v>
      </c>
      <c r="D46" t="s">
        <v>6248</v>
      </c>
      <c r="E46" t="s">
        <v>155</v>
      </c>
      <c r="F46" t="s">
        <v>6276</v>
      </c>
      <c r="G46">
        <v>52974.1640625</v>
      </c>
      <c r="H46">
        <v>868.428955078125</v>
      </c>
      <c r="I46" t="s">
        <v>6277</v>
      </c>
      <c r="K46" t="b">
        <v>0</v>
      </c>
      <c r="L46">
        <v>59739</v>
      </c>
      <c r="M46">
        <v>3</v>
      </c>
      <c r="N46">
        <v>1</v>
      </c>
    </row>
    <row r="47" spans="1:14">
      <c r="A47">
        <v>20098</v>
      </c>
      <c r="B47" t="s">
        <v>6266</v>
      </c>
      <c r="C47" t="s">
        <v>6267</v>
      </c>
      <c r="D47" t="s">
        <v>6248</v>
      </c>
      <c r="E47" t="s">
        <v>6268</v>
      </c>
      <c r="F47" t="s">
        <v>6269</v>
      </c>
      <c r="G47">
        <v>81607.8359375</v>
      </c>
      <c r="H47">
        <v>2914.5654296875</v>
      </c>
      <c r="I47" t="s">
        <v>6270</v>
      </c>
      <c r="K47" t="b">
        <v>0</v>
      </c>
      <c r="L47">
        <v>99001</v>
      </c>
      <c r="M47">
        <v>2</v>
      </c>
      <c r="N47">
        <v>2</v>
      </c>
    </row>
    <row r="48" spans="1:14">
      <c r="A48">
        <v>20124</v>
      </c>
      <c r="B48" t="s">
        <v>6278</v>
      </c>
      <c r="C48" t="s">
        <v>6279</v>
      </c>
      <c r="D48" t="s">
        <v>6248</v>
      </c>
      <c r="E48" t="s">
        <v>154</v>
      </c>
      <c r="F48" t="s">
        <v>6273</v>
      </c>
      <c r="G48">
        <v>79944.625</v>
      </c>
      <c r="H48">
        <v>1211.2822265625</v>
      </c>
      <c r="I48" t="s">
        <v>6277</v>
      </c>
      <c r="K48" t="b">
        <v>0</v>
      </c>
      <c r="L48">
        <v>83815</v>
      </c>
      <c r="M48">
        <v>2</v>
      </c>
      <c r="N48">
        <v>2</v>
      </c>
    </row>
    <row r="49" spans="1:14">
      <c r="A49">
        <v>20178</v>
      </c>
      <c r="B49" t="s">
        <v>6280</v>
      </c>
      <c r="C49" t="s">
        <v>6281</v>
      </c>
      <c r="D49" t="s">
        <v>6257</v>
      </c>
      <c r="E49" t="s">
        <v>155</v>
      </c>
      <c r="F49" t="s">
        <v>6276</v>
      </c>
      <c r="G49">
        <v>52974.1640625</v>
      </c>
      <c r="H49">
        <v>868.428955078125</v>
      </c>
      <c r="K49" t="b">
        <v>0</v>
      </c>
      <c r="L49">
        <v>59749</v>
      </c>
      <c r="M49">
        <v>3</v>
      </c>
      <c r="N49">
        <v>1</v>
      </c>
    </row>
    <row r="50" spans="1:14">
      <c r="A50">
        <v>20179</v>
      </c>
      <c r="B50" t="s">
        <v>6282</v>
      </c>
      <c r="C50" t="s">
        <v>6283</v>
      </c>
      <c r="D50" t="s">
        <v>6257</v>
      </c>
      <c r="E50" t="s">
        <v>154</v>
      </c>
      <c r="F50" t="s">
        <v>6273</v>
      </c>
      <c r="G50">
        <v>79944.625</v>
      </c>
      <c r="H50">
        <v>1211.2822265625</v>
      </c>
      <c r="J50" t="s">
        <v>6284</v>
      </c>
      <c r="K50" t="b">
        <v>1</v>
      </c>
      <c r="L50">
        <v>83501</v>
      </c>
      <c r="M50">
        <v>1</v>
      </c>
      <c r="N50">
        <v>3</v>
      </c>
    </row>
    <row r="51" spans="1:14">
      <c r="A51">
        <v>20191</v>
      </c>
      <c r="B51" t="s">
        <v>6285</v>
      </c>
      <c r="C51" t="s">
        <v>6286</v>
      </c>
      <c r="D51" t="s">
        <v>6248</v>
      </c>
      <c r="E51" t="s">
        <v>6262</v>
      </c>
      <c r="F51" t="s">
        <v>6263</v>
      </c>
      <c r="G51">
        <v>110363.3984375</v>
      </c>
      <c r="H51">
        <v>3065.64990234375</v>
      </c>
      <c r="I51" t="s">
        <v>6262</v>
      </c>
      <c r="K51" t="b">
        <v>0</v>
      </c>
      <c r="L51">
        <v>98445</v>
      </c>
      <c r="M51">
        <v>1</v>
      </c>
      <c r="N51">
        <v>1</v>
      </c>
    </row>
    <row r="52" spans="1:14">
      <c r="A52">
        <v>20196</v>
      </c>
      <c r="B52" t="s">
        <v>6280</v>
      </c>
      <c r="C52" t="s">
        <v>6281</v>
      </c>
      <c r="D52" t="s">
        <v>6257</v>
      </c>
      <c r="E52" t="s">
        <v>155</v>
      </c>
      <c r="F52" t="s">
        <v>6276</v>
      </c>
      <c r="G52">
        <v>52974.1640625</v>
      </c>
      <c r="H52">
        <v>868.428955078125</v>
      </c>
      <c r="J52" t="s">
        <v>6287</v>
      </c>
      <c r="K52" t="b">
        <v>1</v>
      </c>
      <c r="L52">
        <v>59602</v>
      </c>
      <c r="M52">
        <v>3</v>
      </c>
      <c r="N52">
        <v>2</v>
      </c>
    </row>
    <row r="53" spans="1:14">
      <c r="A53">
        <v>20199</v>
      </c>
      <c r="B53" t="s">
        <v>6288</v>
      </c>
      <c r="C53" t="s">
        <v>6289</v>
      </c>
      <c r="D53" t="s">
        <v>6257</v>
      </c>
      <c r="E53" t="s">
        <v>6290</v>
      </c>
      <c r="F53" t="s">
        <v>6291</v>
      </c>
      <c r="G53">
        <v>46836.8046875</v>
      </c>
      <c r="H53">
        <v>2128.94555664063</v>
      </c>
      <c r="K53" t="b">
        <v>0</v>
      </c>
      <c r="L53">
        <v>97621</v>
      </c>
      <c r="M53">
        <v>2</v>
      </c>
      <c r="N53">
        <v>2</v>
      </c>
    </row>
    <row r="54" spans="1:14">
      <c r="A54">
        <v>20210</v>
      </c>
      <c r="B54" t="s">
        <v>6292</v>
      </c>
      <c r="C54" t="s">
        <v>6293</v>
      </c>
      <c r="D54" t="s">
        <v>6248</v>
      </c>
      <c r="E54" t="s">
        <v>6249</v>
      </c>
      <c r="F54" t="s">
        <v>6294</v>
      </c>
      <c r="G54">
        <v>42577.7109375</v>
      </c>
      <c r="H54">
        <v>2128.88549804688</v>
      </c>
      <c r="I54" t="s">
        <v>6249</v>
      </c>
      <c r="K54" t="b">
        <v>0</v>
      </c>
      <c r="L54">
        <v>98550</v>
      </c>
      <c r="M54">
        <v>1</v>
      </c>
      <c r="N54">
        <v>1</v>
      </c>
    </row>
    <row r="55" spans="1:14">
      <c r="A55">
        <v>20283</v>
      </c>
      <c r="B55" t="s">
        <v>6295</v>
      </c>
      <c r="C55" t="s">
        <v>6296</v>
      </c>
      <c r="D55" t="s">
        <v>6248</v>
      </c>
      <c r="E55" t="s">
        <v>6253</v>
      </c>
      <c r="F55" t="s">
        <v>6258</v>
      </c>
      <c r="G55">
        <v>118272.953125</v>
      </c>
      <c r="H55">
        <v>2319.07739257813</v>
      </c>
      <c r="I55" t="s">
        <v>6253</v>
      </c>
      <c r="K55" t="b">
        <v>0</v>
      </c>
      <c r="L55">
        <v>97119</v>
      </c>
      <c r="M55">
        <v>1</v>
      </c>
      <c r="N55">
        <v>1</v>
      </c>
    </row>
    <row r="56" spans="1:14">
      <c r="A56">
        <v>20300</v>
      </c>
      <c r="B56" t="s">
        <v>6297</v>
      </c>
      <c r="C56" t="s">
        <v>6298</v>
      </c>
      <c r="D56" t="s">
        <v>6248</v>
      </c>
      <c r="E56" t="s">
        <v>6249</v>
      </c>
      <c r="F56" t="s">
        <v>6294</v>
      </c>
      <c r="G56">
        <v>42577.7109375</v>
      </c>
      <c r="H56">
        <v>2128.88549804688</v>
      </c>
      <c r="I56" t="s">
        <v>6249</v>
      </c>
      <c r="K56" t="b">
        <v>0</v>
      </c>
      <c r="L56">
        <v>98662</v>
      </c>
      <c r="M56">
        <v>1</v>
      </c>
      <c r="N56">
        <v>1</v>
      </c>
    </row>
    <row r="57" spans="1:14">
      <c r="A57">
        <v>20306</v>
      </c>
      <c r="B57" t="s">
        <v>6271</v>
      </c>
      <c r="C57" t="s">
        <v>6272</v>
      </c>
      <c r="D57" t="s">
        <v>6257</v>
      </c>
      <c r="E57" t="s">
        <v>154</v>
      </c>
      <c r="F57" t="s">
        <v>6273</v>
      </c>
      <c r="G57">
        <v>79944.625</v>
      </c>
      <c r="H57">
        <v>1211.2822265625</v>
      </c>
      <c r="K57" t="b">
        <v>0</v>
      </c>
      <c r="L57">
        <v>83549</v>
      </c>
      <c r="M57">
        <v>2</v>
      </c>
      <c r="N57">
        <v>1</v>
      </c>
    </row>
    <row r="58" spans="1:14">
      <c r="A58">
        <v>20317</v>
      </c>
      <c r="B58" t="s">
        <v>6299</v>
      </c>
      <c r="C58" t="s">
        <v>6300</v>
      </c>
      <c r="D58" t="s">
        <v>6248</v>
      </c>
      <c r="E58" t="s">
        <v>6253</v>
      </c>
      <c r="F58" t="s">
        <v>6258</v>
      </c>
      <c r="G58">
        <v>118272.953125</v>
      </c>
      <c r="H58">
        <v>2319.07739257813</v>
      </c>
      <c r="I58" t="s">
        <v>6253</v>
      </c>
      <c r="K58" t="b">
        <v>0</v>
      </c>
      <c r="L58">
        <v>97341</v>
      </c>
      <c r="M58">
        <v>1</v>
      </c>
      <c r="N58">
        <v>1</v>
      </c>
    </row>
    <row r="59" spans="1:14">
      <c r="A59">
        <v>20322</v>
      </c>
      <c r="B59" t="s">
        <v>6288</v>
      </c>
      <c r="C59" t="s">
        <v>6289</v>
      </c>
      <c r="D59" t="s">
        <v>6257</v>
      </c>
      <c r="E59" t="s">
        <v>6290</v>
      </c>
      <c r="F59" t="s">
        <v>6291</v>
      </c>
      <c r="G59">
        <v>46836.8046875</v>
      </c>
      <c r="H59">
        <v>2128.94555664063</v>
      </c>
      <c r="K59" t="b">
        <v>0</v>
      </c>
      <c r="L59">
        <v>97633</v>
      </c>
      <c r="M59">
        <v>2</v>
      </c>
      <c r="N59">
        <v>2</v>
      </c>
    </row>
    <row r="60" spans="1:14">
      <c r="A60">
        <v>20364</v>
      </c>
      <c r="B60" t="s">
        <v>6271</v>
      </c>
      <c r="C60" t="s">
        <v>6272</v>
      </c>
      <c r="D60" t="s">
        <v>6257</v>
      </c>
      <c r="E60" t="s">
        <v>154</v>
      </c>
      <c r="F60" t="s">
        <v>6273</v>
      </c>
      <c r="G60">
        <v>79944.625</v>
      </c>
      <c r="H60">
        <v>1211.2822265625</v>
      </c>
      <c r="K60" t="b">
        <v>0</v>
      </c>
      <c r="L60">
        <v>83628</v>
      </c>
      <c r="M60">
        <v>1</v>
      </c>
      <c r="N60">
        <v>3</v>
      </c>
    </row>
    <row r="61" spans="1:14">
      <c r="A61">
        <v>20377</v>
      </c>
      <c r="B61" t="s">
        <v>6288</v>
      </c>
      <c r="C61" t="s">
        <v>6289</v>
      </c>
      <c r="D61" t="s">
        <v>6257</v>
      </c>
      <c r="E61" t="s">
        <v>6253</v>
      </c>
      <c r="F61" t="s">
        <v>6258</v>
      </c>
      <c r="G61">
        <v>118272.953125</v>
      </c>
      <c r="H61">
        <v>2319.07739257813</v>
      </c>
      <c r="K61" t="b">
        <v>0</v>
      </c>
      <c r="L61">
        <v>97420</v>
      </c>
      <c r="M61">
        <v>1</v>
      </c>
      <c r="N61">
        <v>1</v>
      </c>
    </row>
    <row r="62" spans="1:14">
      <c r="A62">
        <v>20378</v>
      </c>
      <c r="B62" t="s">
        <v>6282</v>
      </c>
      <c r="C62" t="s">
        <v>6283</v>
      </c>
      <c r="D62" t="s">
        <v>6257</v>
      </c>
      <c r="E62" t="s">
        <v>6268</v>
      </c>
      <c r="F62" t="s">
        <v>6269</v>
      </c>
      <c r="G62">
        <v>81607.8359375</v>
      </c>
      <c r="H62">
        <v>2914.5654296875</v>
      </c>
      <c r="J62" t="s">
        <v>6284</v>
      </c>
      <c r="K62" t="b">
        <v>1</v>
      </c>
      <c r="L62">
        <v>99019</v>
      </c>
      <c r="M62">
        <v>2</v>
      </c>
      <c r="N62">
        <v>2</v>
      </c>
    </row>
    <row r="63" spans="1:14">
      <c r="A63">
        <v>20391</v>
      </c>
      <c r="B63" t="s">
        <v>6264</v>
      </c>
      <c r="C63" t="s">
        <v>6265</v>
      </c>
      <c r="D63" t="s">
        <v>6257</v>
      </c>
      <c r="E63" t="s">
        <v>6262</v>
      </c>
      <c r="F63" t="s">
        <v>6263</v>
      </c>
      <c r="G63">
        <v>110363.3984375</v>
      </c>
      <c r="H63">
        <v>3065.64990234375</v>
      </c>
      <c r="K63" t="b">
        <v>0</v>
      </c>
      <c r="L63">
        <v>98501</v>
      </c>
      <c r="M63">
        <v>1</v>
      </c>
      <c r="N63">
        <v>1</v>
      </c>
    </row>
    <row r="64" spans="1:14">
      <c r="A64">
        <v>20401</v>
      </c>
      <c r="B64" t="s">
        <v>6301</v>
      </c>
      <c r="C64" t="s">
        <v>6302</v>
      </c>
      <c r="D64" t="s">
        <v>6248</v>
      </c>
      <c r="E64" t="s">
        <v>154</v>
      </c>
      <c r="F64" t="s">
        <v>6273</v>
      </c>
      <c r="G64">
        <v>79944.625</v>
      </c>
      <c r="H64">
        <v>1211.2822265625</v>
      </c>
      <c r="I64" t="s">
        <v>6277</v>
      </c>
      <c r="K64" t="b">
        <v>0</v>
      </c>
      <c r="L64">
        <v>83552</v>
      </c>
      <c r="M64">
        <v>2</v>
      </c>
      <c r="N64">
        <v>1</v>
      </c>
    </row>
    <row r="65" spans="1:14">
      <c r="A65">
        <v>20429</v>
      </c>
      <c r="B65" t="s">
        <v>6303</v>
      </c>
      <c r="C65" t="s">
        <v>6304</v>
      </c>
      <c r="D65" t="s">
        <v>6248</v>
      </c>
      <c r="E65" t="s">
        <v>155</v>
      </c>
      <c r="F65" t="s">
        <v>6276</v>
      </c>
      <c r="G65">
        <v>52974.1640625</v>
      </c>
      <c r="H65">
        <v>868.428955078125</v>
      </c>
      <c r="I65" t="s">
        <v>6277</v>
      </c>
      <c r="K65" t="b">
        <v>0</v>
      </c>
      <c r="L65">
        <v>59834</v>
      </c>
      <c r="M65">
        <v>3</v>
      </c>
      <c r="N65">
        <v>1</v>
      </c>
    </row>
    <row r="66" spans="1:14">
      <c r="A66">
        <v>20439</v>
      </c>
      <c r="B66" t="s">
        <v>6271</v>
      </c>
      <c r="C66" t="s">
        <v>6272</v>
      </c>
      <c r="D66" t="s">
        <v>6257</v>
      </c>
      <c r="E66" t="s">
        <v>6290</v>
      </c>
      <c r="F66" t="s">
        <v>6291</v>
      </c>
      <c r="G66">
        <v>46836.8046875</v>
      </c>
      <c r="H66">
        <v>2128.94555664063</v>
      </c>
      <c r="K66" t="b">
        <v>0</v>
      </c>
      <c r="L66">
        <v>97913</v>
      </c>
      <c r="M66">
        <v>1</v>
      </c>
      <c r="N66">
        <v>3</v>
      </c>
    </row>
    <row r="67" spans="1:14">
      <c r="A67">
        <v>20464</v>
      </c>
      <c r="B67" t="s">
        <v>6305</v>
      </c>
      <c r="C67" t="s">
        <v>6306</v>
      </c>
      <c r="D67" t="s">
        <v>6248</v>
      </c>
      <c r="E67" t="s">
        <v>6253</v>
      </c>
      <c r="F67" t="s">
        <v>6258</v>
      </c>
      <c r="G67">
        <v>118272.953125</v>
      </c>
      <c r="H67">
        <v>2319.07739257813</v>
      </c>
      <c r="I67" t="s">
        <v>6253</v>
      </c>
      <c r="K67" t="b">
        <v>0</v>
      </c>
      <c r="L67">
        <v>97112</v>
      </c>
      <c r="M67">
        <v>1</v>
      </c>
      <c r="N67">
        <v>1</v>
      </c>
    </row>
    <row r="68" spans="1:14">
      <c r="A68">
        <v>20465</v>
      </c>
      <c r="B68" t="s">
        <v>6288</v>
      </c>
      <c r="C68" t="s">
        <v>6289</v>
      </c>
      <c r="D68" t="s">
        <v>6257</v>
      </c>
      <c r="E68" t="s">
        <v>6253</v>
      </c>
      <c r="F68" t="s">
        <v>6258</v>
      </c>
      <c r="G68">
        <v>118272.953125</v>
      </c>
      <c r="H68">
        <v>2319.07739257813</v>
      </c>
      <c r="K68" t="b">
        <v>0</v>
      </c>
      <c r="L68">
        <v>97501</v>
      </c>
      <c r="M68">
        <v>1</v>
      </c>
      <c r="N68">
        <v>3</v>
      </c>
    </row>
    <row r="69" spans="1:14">
      <c r="A69">
        <v>20470</v>
      </c>
      <c r="B69" t="s">
        <v>6307</v>
      </c>
      <c r="C69" t="s">
        <v>6308</v>
      </c>
      <c r="D69" t="s">
        <v>6248</v>
      </c>
      <c r="E69" t="s">
        <v>6262</v>
      </c>
      <c r="F69" t="s">
        <v>6263</v>
      </c>
      <c r="G69">
        <v>110363.3984375</v>
      </c>
      <c r="H69">
        <v>3065.64990234375</v>
      </c>
      <c r="I69" t="s">
        <v>6262</v>
      </c>
      <c r="K69" t="b">
        <v>0</v>
      </c>
      <c r="L69">
        <v>98252</v>
      </c>
      <c r="M69">
        <v>1</v>
      </c>
      <c r="N69">
        <v>1</v>
      </c>
    </row>
    <row r="70" spans="1:14">
      <c r="A70">
        <v>20484</v>
      </c>
      <c r="B70" t="s">
        <v>6309</v>
      </c>
      <c r="C70" t="s">
        <v>6310</v>
      </c>
      <c r="D70" t="s">
        <v>6248</v>
      </c>
      <c r="E70" t="s">
        <v>6249</v>
      </c>
      <c r="F70" t="s">
        <v>6294</v>
      </c>
      <c r="G70">
        <v>42577.7109375</v>
      </c>
      <c r="H70">
        <v>2128.88549804688</v>
      </c>
      <c r="I70" t="s">
        <v>6249</v>
      </c>
      <c r="K70" t="b">
        <v>0</v>
      </c>
      <c r="L70">
        <v>98577</v>
      </c>
      <c r="M70">
        <v>1</v>
      </c>
      <c r="N70">
        <v>1</v>
      </c>
    </row>
    <row r="71" spans="1:14">
      <c r="A71">
        <v>20511</v>
      </c>
      <c r="B71" t="s">
        <v>6271</v>
      </c>
      <c r="C71" t="s">
        <v>6272</v>
      </c>
      <c r="D71" t="s">
        <v>6257</v>
      </c>
      <c r="E71" t="s">
        <v>154</v>
      </c>
      <c r="F71" t="s">
        <v>6273</v>
      </c>
      <c r="G71">
        <v>79944.625</v>
      </c>
      <c r="H71">
        <v>1211.2822265625</v>
      </c>
      <c r="K71" t="b">
        <v>0</v>
      </c>
      <c r="L71">
        <v>83204</v>
      </c>
      <c r="M71">
        <v>2</v>
      </c>
      <c r="N71">
        <v>2</v>
      </c>
    </row>
    <row r="72" spans="1:14">
      <c r="A72">
        <v>20517</v>
      </c>
      <c r="B72" t="s">
        <v>6282</v>
      </c>
      <c r="C72" t="s">
        <v>6283</v>
      </c>
      <c r="D72" t="s">
        <v>6257</v>
      </c>
      <c r="E72" t="s">
        <v>6268</v>
      </c>
      <c r="F72" t="s">
        <v>6269</v>
      </c>
      <c r="G72">
        <v>81607.8359375</v>
      </c>
      <c r="H72">
        <v>2914.5654296875</v>
      </c>
      <c r="K72" t="b">
        <v>0</v>
      </c>
      <c r="L72">
        <v>99114</v>
      </c>
      <c r="M72">
        <v>2</v>
      </c>
      <c r="N72">
        <v>1</v>
      </c>
    </row>
    <row r="73" spans="1:14">
      <c r="A73">
        <v>20535</v>
      </c>
      <c r="B73" t="s">
        <v>6271</v>
      </c>
      <c r="C73" t="s">
        <v>6272</v>
      </c>
      <c r="D73" t="s">
        <v>6257</v>
      </c>
      <c r="E73" t="s">
        <v>154</v>
      </c>
      <c r="F73" t="s">
        <v>6273</v>
      </c>
      <c r="G73">
        <v>79944.625</v>
      </c>
      <c r="H73">
        <v>1211.2822265625</v>
      </c>
      <c r="K73" t="b">
        <v>0</v>
      </c>
      <c r="L73">
        <v>83631</v>
      </c>
      <c r="M73">
        <v>3</v>
      </c>
      <c r="N73">
        <v>1</v>
      </c>
    </row>
    <row r="74" spans="1:14">
      <c r="A74">
        <v>20541</v>
      </c>
      <c r="B74" t="s">
        <v>6271</v>
      </c>
      <c r="C74" t="s">
        <v>6272</v>
      </c>
      <c r="D74" t="s">
        <v>6257</v>
      </c>
      <c r="E74" t="s">
        <v>154</v>
      </c>
      <c r="F74" t="s">
        <v>6273</v>
      </c>
      <c r="G74">
        <v>79944.625</v>
      </c>
      <c r="H74">
        <v>1211.2822265625</v>
      </c>
      <c r="K74" t="b">
        <v>0</v>
      </c>
      <c r="L74">
        <v>83660</v>
      </c>
      <c r="M74">
        <v>1</v>
      </c>
      <c r="N74">
        <v>3</v>
      </c>
    </row>
    <row r="75" spans="1:14">
      <c r="A75">
        <v>20542</v>
      </c>
      <c r="B75" t="s">
        <v>6311</v>
      </c>
      <c r="C75" t="s">
        <v>6312</v>
      </c>
      <c r="D75" t="s">
        <v>6248</v>
      </c>
      <c r="E75" t="s">
        <v>155</v>
      </c>
      <c r="F75" t="s">
        <v>6276</v>
      </c>
      <c r="G75">
        <v>52974.1640625</v>
      </c>
      <c r="H75">
        <v>868.428955078125</v>
      </c>
      <c r="I75" t="s">
        <v>6277</v>
      </c>
      <c r="K75" t="b">
        <v>0</v>
      </c>
      <c r="L75">
        <v>59901</v>
      </c>
      <c r="M75">
        <v>3</v>
      </c>
      <c r="N75">
        <v>1</v>
      </c>
    </row>
    <row r="76" spans="1:14">
      <c r="A76">
        <v>20592</v>
      </c>
      <c r="B76" t="s">
        <v>6271</v>
      </c>
      <c r="C76" t="s">
        <v>6272</v>
      </c>
      <c r="D76" t="s">
        <v>6257</v>
      </c>
      <c r="E76" t="s">
        <v>154</v>
      </c>
      <c r="F76" t="s">
        <v>6273</v>
      </c>
      <c r="G76">
        <v>79944.625</v>
      </c>
      <c r="H76">
        <v>1211.2822265625</v>
      </c>
      <c r="K76" t="b">
        <v>0</v>
      </c>
      <c r="L76">
        <v>83355</v>
      </c>
      <c r="M76">
        <v>2</v>
      </c>
      <c r="N76">
        <v>3</v>
      </c>
    </row>
    <row r="77" spans="1:14">
      <c r="A77">
        <v>20611</v>
      </c>
      <c r="B77" t="s">
        <v>6313</v>
      </c>
      <c r="C77" t="s">
        <v>6314</v>
      </c>
      <c r="D77" t="s">
        <v>6248</v>
      </c>
      <c r="E77" t="s">
        <v>6268</v>
      </c>
      <c r="F77" t="s">
        <v>6269</v>
      </c>
      <c r="G77">
        <v>81607.8359375</v>
      </c>
      <c r="H77">
        <v>2914.5654296875</v>
      </c>
      <c r="I77" t="s">
        <v>6270</v>
      </c>
      <c r="K77" t="b">
        <v>0</v>
      </c>
      <c r="L77">
        <v>99156</v>
      </c>
      <c r="M77">
        <v>2</v>
      </c>
      <c r="N77">
        <v>1</v>
      </c>
    </row>
    <row r="78" spans="1:14">
      <c r="A78">
        <v>20621</v>
      </c>
      <c r="B78" t="s">
        <v>6315</v>
      </c>
      <c r="C78" t="s">
        <v>6316</v>
      </c>
      <c r="D78" t="s">
        <v>6248</v>
      </c>
      <c r="E78" t="s">
        <v>6253</v>
      </c>
      <c r="F78" t="s">
        <v>6258</v>
      </c>
      <c r="G78">
        <v>118272.953125</v>
      </c>
      <c r="H78">
        <v>2319.07739257813</v>
      </c>
      <c r="I78" t="s">
        <v>6253</v>
      </c>
      <c r="K78" t="b">
        <v>0</v>
      </c>
      <c r="L78">
        <v>97402</v>
      </c>
      <c r="M78">
        <v>1</v>
      </c>
      <c r="N78">
        <v>1</v>
      </c>
    </row>
    <row r="79" spans="1:14">
      <c r="A79">
        <v>20630</v>
      </c>
      <c r="B79" t="s">
        <v>6317</v>
      </c>
      <c r="C79" t="s">
        <v>6318</v>
      </c>
      <c r="D79" t="s">
        <v>6248</v>
      </c>
      <c r="E79" t="s">
        <v>155</v>
      </c>
      <c r="F79" t="s">
        <v>6276</v>
      </c>
      <c r="G79">
        <v>52974.1640625</v>
      </c>
      <c r="H79">
        <v>868.428955078125</v>
      </c>
      <c r="I79" t="s">
        <v>6277</v>
      </c>
      <c r="K79" t="b">
        <v>0</v>
      </c>
      <c r="L79">
        <v>59821</v>
      </c>
      <c r="M79">
        <v>2</v>
      </c>
      <c r="N79">
        <v>1</v>
      </c>
    </row>
    <row r="80" spans="1:14">
      <c r="A80">
        <v>20639</v>
      </c>
      <c r="B80" t="s">
        <v>6303</v>
      </c>
      <c r="C80" t="s">
        <v>6304</v>
      </c>
      <c r="D80" t="s">
        <v>6248</v>
      </c>
      <c r="E80" t="s">
        <v>155</v>
      </c>
      <c r="F80" t="s">
        <v>6276</v>
      </c>
      <c r="G80">
        <v>52974.1640625</v>
      </c>
      <c r="H80">
        <v>868.428955078125</v>
      </c>
      <c r="I80" t="s">
        <v>6277</v>
      </c>
      <c r="K80" t="b">
        <v>0</v>
      </c>
      <c r="L80">
        <v>59828</v>
      </c>
      <c r="M80">
        <v>2</v>
      </c>
      <c r="N80">
        <v>1</v>
      </c>
    </row>
    <row r="81" spans="1:14">
      <c r="A81">
        <v>20654</v>
      </c>
      <c r="B81" t="s">
        <v>6317</v>
      </c>
      <c r="C81" t="s">
        <v>6318</v>
      </c>
      <c r="D81" t="s">
        <v>6248</v>
      </c>
      <c r="E81" t="s">
        <v>155</v>
      </c>
      <c r="F81" t="s">
        <v>6276</v>
      </c>
      <c r="G81">
        <v>52974.1640625</v>
      </c>
      <c r="H81">
        <v>868.428955078125</v>
      </c>
      <c r="I81" t="s">
        <v>6277</v>
      </c>
      <c r="K81" t="b">
        <v>0</v>
      </c>
      <c r="L81">
        <v>59845</v>
      </c>
      <c r="M81">
        <v>2</v>
      </c>
      <c r="N81">
        <v>2</v>
      </c>
    </row>
    <row r="82" spans="1:14">
      <c r="A82">
        <v>20656</v>
      </c>
      <c r="B82" t="s">
        <v>6311</v>
      </c>
      <c r="C82" t="s">
        <v>6312</v>
      </c>
      <c r="D82" t="s">
        <v>6248</v>
      </c>
      <c r="E82" t="s">
        <v>155</v>
      </c>
      <c r="F82" t="s">
        <v>6276</v>
      </c>
      <c r="G82">
        <v>52974.1640625</v>
      </c>
      <c r="H82">
        <v>868.428955078125</v>
      </c>
      <c r="I82" t="s">
        <v>6277</v>
      </c>
      <c r="J82" t="s">
        <v>6287</v>
      </c>
      <c r="K82" t="b">
        <v>1</v>
      </c>
      <c r="L82">
        <v>59923</v>
      </c>
      <c r="M82">
        <v>2</v>
      </c>
      <c r="N82">
        <v>1</v>
      </c>
    </row>
    <row r="83" spans="1:14">
      <c r="A83">
        <v>20681</v>
      </c>
      <c r="B83" t="s">
        <v>6282</v>
      </c>
      <c r="C83" t="s">
        <v>6283</v>
      </c>
      <c r="D83" t="s">
        <v>6257</v>
      </c>
      <c r="E83" t="s">
        <v>154</v>
      </c>
      <c r="F83" t="s">
        <v>6273</v>
      </c>
      <c r="G83">
        <v>79944.625</v>
      </c>
      <c r="H83">
        <v>1211.2822265625</v>
      </c>
      <c r="K83" t="b">
        <v>0</v>
      </c>
      <c r="L83">
        <v>83553</v>
      </c>
      <c r="M83">
        <v>2</v>
      </c>
      <c r="N83">
        <v>2</v>
      </c>
    </row>
    <row r="84" spans="1:14">
      <c r="A84">
        <v>20682</v>
      </c>
      <c r="B84" t="s">
        <v>6297</v>
      </c>
      <c r="C84" t="s">
        <v>6298</v>
      </c>
      <c r="D84" t="s">
        <v>6248</v>
      </c>
      <c r="E84" t="s">
        <v>6249</v>
      </c>
      <c r="F84" t="s">
        <v>6294</v>
      </c>
      <c r="G84">
        <v>42577.7109375</v>
      </c>
      <c r="H84">
        <v>2128.88549804688</v>
      </c>
      <c r="I84" t="s">
        <v>6249</v>
      </c>
      <c r="K84" t="b">
        <v>0</v>
      </c>
      <c r="L84">
        <v>98683</v>
      </c>
      <c r="M84">
        <v>1</v>
      </c>
      <c r="N84">
        <v>1</v>
      </c>
    </row>
    <row r="85" spans="1:14">
      <c r="A85">
        <v>20689</v>
      </c>
      <c r="B85" t="s">
        <v>6282</v>
      </c>
      <c r="C85" t="s">
        <v>6283</v>
      </c>
      <c r="D85" t="s">
        <v>6257</v>
      </c>
      <c r="E85" t="s">
        <v>154</v>
      </c>
      <c r="F85" t="s">
        <v>6273</v>
      </c>
      <c r="G85">
        <v>79944.625</v>
      </c>
      <c r="H85">
        <v>1211.2822265625</v>
      </c>
      <c r="K85" t="b">
        <v>0</v>
      </c>
      <c r="L85">
        <v>83852</v>
      </c>
      <c r="M85">
        <v>3</v>
      </c>
      <c r="N85">
        <v>1</v>
      </c>
    </row>
    <row r="86" spans="1:14">
      <c r="A86">
        <v>20697</v>
      </c>
      <c r="B86" t="s">
        <v>6280</v>
      </c>
      <c r="C86" t="s">
        <v>6281</v>
      </c>
      <c r="D86" t="s">
        <v>6257</v>
      </c>
      <c r="E86" t="s">
        <v>155</v>
      </c>
      <c r="F86" t="s">
        <v>6276</v>
      </c>
      <c r="G86">
        <v>52974.1640625</v>
      </c>
      <c r="H86">
        <v>868.428955078125</v>
      </c>
      <c r="J86" t="s">
        <v>6287</v>
      </c>
      <c r="K86" t="b">
        <v>1</v>
      </c>
      <c r="L86">
        <v>59714</v>
      </c>
      <c r="M86">
        <v>3</v>
      </c>
      <c r="N86">
        <v>1</v>
      </c>
    </row>
    <row r="87" spans="1:14">
      <c r="A87">
        <v>20722</v>
      </c>
      <c r="B87" t="s">
        <v>6271</v>
      </c>
      <c r="C87" t="s">
        <v>6272</v>
      </c>
      <c r="D87" t="s">
        <v>6257</v>
      </c>
      <c r="E87" t="s">
        <v>154</v>
      </c>
      <c r="F87" t="s">
        <v>6273</v>
      </c>
      <c r="G87">
        <v>79944.625</v>
      </c>
      <c r="H87">
        <v>1211.2822265625</v>
      </c>
      <c r="K87" t="b">
        <v>0</v>
      </c>
      <c r="L87">
        <v>83202</v>
      </c>
      <c r="M87">
        <v>2</v>
      </c>
      <c r="N87">
        <v>2</v>
      </c>
    </row>
    <row r="88" spans="1:14">
      <c r="A88">
        <v>20729</v>
      </c>
      <c r="B88" t="s">
        <v>6264</v>
      </c>
      <c r="C88" t="s">
        <v>6265</v>
      </c>
      <c r="D88" t="s">
        <v>6257</v>
      </c>
      <c r="E88" t="s">
        <v>6262</v>
      </c>
      <c r="F88" t="s">
        <v>6263</v>
      </c>
      <c r="G88">
        <v>110363.3984375</v>
      </c>
      <c r="H88">
        <v>3065.64990234375</v>
      </c>
      <c r="K88" t="b">
        <v>0</v>
      </c>
      <c r="L88">
        <v>98230</v>
      </c>
      <c r="M88">
        <v>1</v>
      </c>
      <c r="N88">
        <v>1</v>
      </c>
    </row>
    <row r="89" spans="1:14">
      <c r="A89">
        <v>20731</v>
      </c>
      <c r="B89" t="s">
        <v>6319</v>
      </c>
      <c r="C89" t="s">
        <v>6320</v>
      </c>
      <c r="D89" t="s">
        <v>6248</v>
      </c>
      <c r="E89" t="s">
        <v>155</v>
      </c>
      <c r="F89" t="s">
        <v>6276</v>
      </c>
      <c r="G89">
        <v>52974.1640625</v>
      </c>
      <c r="H89">
        <v>868.428955078125</v>
      </c>
      <c r="I89" t="s">
        <v>6277</v>
      </c>
      <c r="K89" t="b">
        <v>0</v>
      </c>
      <c r="L89">
        <v>59410</v>
      </c>
      <c r="M89">
        <v>3</v>
      </c>
      <c r="N89">
        <v>2</v>
      </c>
    </row>
    <row r="90" spans="1:14">
      <c r="A90">
        <v>20733</v>
      </c>
      <c r="B90" t="s">
        <v>6282</v>
      </c>
      <c r="C90" t="s">
        <v>6283</v>
      </c>
      <c r="D90" t="s">
        <v>6257</v>
      </c>
      <c r="E90" t="s">
        <v>154</v>
      </c>
      <c r="F90" t="s">
        <v>6273</v>
      </c>
      <c r="G90">
        <v>79944.625</v>
      </c>
      <c r="H90">
        <v>1211.2822265625</v>
      </c>
      <c r="K90" t="b">
        <v>0</v>
      </c>
      <c r="L90">
        <v>83843</v>
      </c>
      <c r="M90">
        <v>2</v>
      </c>
      <c r="N90">
        <v>1</v>
      </c>
    </row>
    <row r="91" spans="1:14">
      <c r="A91">
        <v>20736</v>
      </c>
      <c r="B91" t="s">
        <v>6271</v>
      </c>
      <c r="C91" t="s">
        <v>6272</v>
      </c>
      <c r="D91" t="s">
        <v>6257</v>
      </c>
      <c r="E91" t="s">
        <v>154</v>
      </c>
      <c r="F91" t="s">
        <v>6273</v>
      </c>
      <c r="G91">
        <v>79944.625</v>
      </c>
      <c r="H91">
        <v>1211.2822265625</v>
      </c>
      <c r="K91" t="b">
        <v>0</v>
      </c>
      <c r="L91">
        <v>83201</v>
      </c>
      <c r="M91">
        <v>2</v>
      </c>
      <c r="N91">
        <v>2</v>
      </c>
    </row>
    <row r="92" spans="1:14">
      <c r="A92">
        <v>20804</v>
      </c>
      <c r="B92" t="s">
        <v>6271</v>
      </c>
      <c r="C92" t="s">
        <v>6272</v>
      </c>
      <c r="D92" t="s">
        <v>6257</v>
      </c>
      <c r="E92" t="s">
        <v>154</v>
      </c>
      <c r="F92" t="s">
        <v>6273</v>
      </c>
      <c r="G92">
        <v>79944.625</v>
      </c>
      <c r="H92">
        <v>1211.2822265625</v>
      </c>
      <c r="K92" t="b">
        <v>0</v>
      </c>
      <c r="L92">
        <v>83661</v>
      </c>
      <c r="M92">
        <v>1</v>
      </c>
      <c r="N92">
        <v>3</v>
      </c>
    </row>
    <row r="93" spans="1:14">
      <c r="A93">
        <v>20832</v>
      </c>
      <c r="B93" t="s">
        <v>6264</v>
      </c>
      <c r="C93" t="s">
        <v>6265</v>
      </c>
      <c r="D93" t="s">
        <v>6257</v>
      </c>
      <c r="E93" t="s">
        <v>6262</v>
      </c>
      <c r="F93" t="s">
        <v>6263</v>
      </c>
      <c r="G93">
        <v>110363.3984375</v>
      </c>
      <c r="H93">
        <v>3065.64990234375</v>
      </c>
      <c r="K93" t="b">
        <v>0</v>
      </c>
      <c r="L93">
        <v>98597</v>
      </c>
      <c r="M93">
        <v>1</v>
      </c>
      <c r="N93">
        <v>1</v>
      </c>
    </row>
    <row r="94" spans="1:14">
      <c r="A94">
        <v>20849</v>
      </c>
      <c r="B94" t="s">
        <v>6282</v>
      </c>
      <c r="C94" t="s">
        <v>6283</v>
      </c>
      <c r="D94" t="s">
        <v>6257</v>
      </c>
      <c r="E94" t="s">
        <v>154</v>
      </c>
      <c r="F94" t="s">
        <v>6273</v>
      </c>
      <c r="G94">
        <v>79944.625</v>
      </c>
      <c r="H94">
        <v>1211.2822265625</v>
      </c>
      <c r="K94" t="b">
        <v>0</v>
      </c>
      <c r="L94">
        <v>83525</v>
      </c>
      <c r="M94">
        <v>2</v>
      </c>
      <c r="N94">
        <v>1</v>
      </c>
    </row>
    <row r="95" spans="1:14">
      <c r="A95">
        <v>20858</v>
      </c>
      <c r="B95" t="s">
        <v>6288</v>
      </c>
      <c r="C95" t="s">
        <v>6289</v>
      </c>
      <c r="D95" t="s">
        <v>6257</v>
      </c>
      <c r="E95" t="s">
        <v>6290</v>
      </c>
      <c r="F95" t="s">
        <v>6291</v>
      </c>
      <c r="G95">
        <v>46836.8046875</v>
      </c>
      <c r="H95">
        <v>2128.94555664063</v>
      </c>
      <c r="K95" t="b">
        <v>0</v>
      </c>
      <c r="L95">
        <v>97828</v>
      </c>
      <c r="M95">
        <v>3</v>
      </c>
      <c r="N95">
        <v>1</v>
      </c>
    </row>
    <row r="96" spans="1:14">
      <c r="A96">
        <v>20874</v>
      </c>
      <c r="B96" t="s">
        <v>6264</v>
      </c>
      <c r="C96" t="s">
        <v>6265</v>
      </c>
      <c r="D96" t="s">
        <v>6257</v>
      </c>
      <c r="E96" t="s">
        <v>6262</v>
      </c>
      <c r="F96" t="s">
        <v>6263</v>
      </c>
      <c r="G96">
        <v>110363.3984375</v>
      </c>
      <c r="H96">
        <v>3065.64990234375</v>
      </c>
      <c r="K96" t="b">
        <v>0</v>
      </c>
      <c r="L96">
        <v>98284</v>
      </c>
      <c r="M96">
        <v>1</v>
      </c>
      <c r="N96">
        <v>1</v>
      </c>
    </row>
    <row r="97" spans="1:14">
      <c r="A97">
        <v>20879</v>
      </c>
      <c r="B97" t="s">
        <v>6321</v>
      </c>
      <c r="C97" t="s">
        <v>6322</v>
      </c>
      <c r="D97" t="s">
        <v>6248</v>
      </c>
      <c r="E97" t="s">
        <v>6290</v>
      </c>
      <c r="F97" t="s">
        <v>6291</v>
      </c>
      <c r="G97">
        <v>46836.8046875</v>
      </c>
      <c r="H97">
        <v>2128.94555664063</v>
      </c>
      <c r="I97" t="s">
        <v>6270</v>
      </c>
      <c r="K97" t="b">
        <v>0</v>
      </c>
      <c r="L97">
        <v>97754</v>
      </c>
      <c r="M97">
        <v>2</v>
      </c>
      <c r="N97">
        <v>1</v>
      </c>
    </row>
    <row r="98" spans="1:14">
      <c r="A98">
        <v>20881</v>
      </c>
      <c r="B98" t="s">
        <v>6255</v>
      </c>
      <c r="C98" t="s">
        <v>6256</v>
      </c>
      <c r="D98" t="s">
        <v>6257</v>
      </c>
      <c r="E98" t="s">
        <v>6253</v>
      </c>
      <c r="F98" t="s">
        <v>6258</v>
      </c>
      <c r="G98">
        <v>118272.953125</v>
      </c>
      <c r="H98">
        <v>2319.07739257813</v>
      </c>
      <c r="K98" t="b">
        <v>0</v>
      </c>
      <c r="L98">
        <v>97301</v>
      </c>
      <c r="M98">
        <v>1</v>
      </c>
      <c r="N98">
        <v>1</v>
      </c>
    </row>
    <row r="99" spans="1:14">
      <c r="A99">
        <v>20907</v>
      </c>
      <c r="B99" t="s">
        <v>6255</v>
      </c>
      <c r="C99" t="s">
        <v>6256</v>
      </c>
      <c r="D99" t="s">
        <v>6257</v>
      </c>
      <c r="E99" t="s">
        <v>6253</v>
      </c>
      <c r="F99" t="s">
        <v>6258</v>
      </c>
      <c r="G99">
        <v>118272.953125</v>
      </c>
      <c r="H99">
        <v>2319.07739257813</v>
      </c>
      <c r="K99" t="b">
        <v>0</v>
      </c>
      <c r="L99">
        <v>97375</v>
      </c>
      <c r="M99">
        <v>1</v>
      </c>
      <c r="N99">
        <v>1</v>
      </c>
    </row>
    <row r="100" spans="1:14">
      <c r="A100">
        <v>20956</v>
      </c>
      <c r="B100" t="s">
        <v>6323</v>
      </c>
      <c r="C100" t="s">
        <v>6324</v>
      </c>
      <c r="D100" t="s">
        <v>6248</v>
      </c>
      <c r="E100" t="s">
        <v>6253</v>
      </c>
      <c r="F100" t="s">
        <v>6258</v>
      </c>
      <c r="G100">
        <v>118272.953125</v>
      </c>
      <c r="H100">
        <v>2319.07739257813</v>
      </c>
      <c r="I100" t="s">
        <v>6253</v>
      </c>
      <c r="K100" t="b">
        <v>0</v>
      </c>
      <c r="L100">
        <v>97478</v>
      </c>
      <c r="M100">
        <v>1</v>
      </c>
      <c r="N100">
        <v>1</v>
      </c>
    </row>
    <row r="101" spans="1:14">
      <c r="A101">
        <v>20997</v>
      </c>
      <c r="B101" t="s">
        <v>6311</v>
      </c>
      <c r="C101" t="s">
        <v>6312</v>
      </c>
      <c r="D101" t="s">
        <v>6248</v>
      </c>
      <c r="E101" t="s">
        <v>155</v>
      </c>
      <c r="F101" t="s">
        <v>6276</v>
      </c>
      <c r="G101">
        <v>52974.1640625</v>
      </c>
      <c r="H101">
        <v>868.428955078125</v>
      </c>
      <c r="I101" t="s">
        <v>6277</v>
      </c>
      <c r="J101" t="s">
        <v>6287</v>
      </c>
      <c r="K101" t="b">
        <v>1</v>
      </c>
      <c r="L101">
        <v>59901</v>
      </c>
      <c r="M101">
        <v>3</v>
      </c>
      <c r="N101">
        <v>1</v>
      </c>
    </row>
    <row r="102" spans="1:14">
      <c r="A102">
        <v>21065</v>
      </c>
      <c r="B102" t="s">
        <v>6288</v>
      </c>
      <c r="C102" t="s">
        <v>6289</v>
      </c>
      <c r="D102" t="s">
        <v>6257</v>
      </c>
      <c r="E102" t="s">
        <v>6290</v>
      </c>
      <c r="F102" t="s">
        <v>6291</v>
      </c>
      <c r="G102">
        <v>46836.8046875</v>
      </c>
      <c r="H102">
        <v>2128.94555664063</v>
      </c>
      <c r="K102" t="b">
        <v>0</v>
      </c>
      <c r="L102">
        <v>97734</v>
      </c>
      <c r="M102">
        <v>2</v>
      </c>
      <c r="N102">
        <v>1</v>
      </c>
    </row>
    <row r="103" spans="1:14">
      <c r="A103">
        <v>21071</v>
      </c>
      <c r="B103" t="s">
        <v>6325</v>
      </c>
      <c r="C103" t="s">
        <v>6326</v>
      </c>
      <c r="D103" t="s">
        <v>6248</v>
      </c>
      <c r="E103" t="s">
        <v>6253</v>
      </c>
      <c r="F103" t="s">
        <v>6258</v>
      </c>
      <c r="G103">
        <v>118272.953125</v>
      </c>
      <c r="H103">
        <v>2319.07739257813</v>
      </c>
      <c r="I103" t="s">
        <v>6253</v>
      </c>
      <c r="K103" t="b">
        <v>0</v>
      </c>
      <c r="L103">
        <v>97437</v>
      </c>
      <c r="M103">
        <v>1</v>
      </c>
      <c r="N103">
        <v>1</v>
      </c>
    </row>
    <row r="104" spans="1:14">
      <c r="A104">
        <v>21079</v>
      </c>
      <c r="B104" t="s">
        <v>6288</v>
      </c>
      <c r="C104" t="s">
        <v>6289</v>
      </c>
      <c r="D104" t="s">
        <v>6257</v>
      </c>
      <c r="E104" t="s">
        <v>154</v>
      </c>
      <c r="F104" t="s">
        <v>6273</v>
      </c>
      <c r="G104">
        <v>79944.625</v>
      </c>
      <c r="H104">
        <v>1211.2822265625</v>
      </c>
      <c r="K104" t="b">
        <v>0</v>
      </c>
      <c r="L104">
        <v>83451</v>
      </c>
      <c r="M104">
        <v>3</v>
      </c>
      <c r="N104">
        <v>1</v>
      </c>
    </row>
    <row r="105" spans="1:14">
      <c r="A105">
        <v>21088</v>
      </c>
      <c r="B105" t="s">
        <v>6280</v>
      </c>
      <c r="C105" t="s">
        <v>6281</v>
      </c>
      <c r="D105" t="s">
        <v>6257</v>
      </c>
      <c r="E105" t="s">
        <v>155</v>
      </c>
      <c r="F105" t="s">
        <v>6276</v>
      </c>
      <c r="G105">
        <v>52974.1640625</v>
      </c>
      <c r="H105">
        <v>868.428955078125</v>
      </c>
      <c r="J105" t="s">
        <v>6287</v>
      </c>
      <c r="K105" t="b">
        <v>1</v>
      </c>
      <c r="L105">
        <v>59847</v>
      </c>
      <c r="M105">
        <v>3</v>
      </c>
      <c r="N105">
        <v>1</v>
      </c>
    </row>
    <row r="106" spans="1:14">
      <c r="A106">
        <v>21096</v>
      </c>
      <c r="B106" t="s">
        <v>6288</v>
      </c>
      <c r="C106" t="s">
        <v>6289</v>
      </c>
      <c r="D106" t="s">
        <v>6257</v>
      </c>
      <c r="E106" t="s">
        <v>6290</v>
      </c>
      <c r="F106" t="s">
        <v>6291</v>
      </c>
      <c r="G106">
        <v>46836.8046875</v>
      </c>
      <c r="H106">
        <v>2128.94555664063</v>
      </c>
      <c r="K106" t="b">
        <v>0</v>
      </c>
      <c r="L106">
        <v>97760</v>
      </c>
      <c r="M106">
        <v>2</v>
      </c>
      <c r="N106">
        <v>1</v>
      </c>
    </row>
    <row r="107" spans="1:14">
      <c r="A107">
        <v>21110</v>
      </c>
      <c r="B107" t="s">
        <v>6288</v>
      </c>
      <c r="C107" t="s">
        <v>6289</v>
      </c>
      <c r="D107" t="s">
        <v>6257</v>
      </c>
      <c r="E107" t="s">
        <v>6268</v>
      </c>
      <c r="F107" t="s">
        <v>6269</v>
      </c>
      <c r="G107">
        <v>81607.8359375</v>
      </c>
      <c r="H107">
        <v>2914.5654296875</v>
      </c>
      <c r="K107" t="b">
        <v>0</v>
      </c>
      <c r="L107">
        <v>99362</v>
      </c>
      <c r="M107">
        <v>1</v>
      </c>
      <c r="N107">
        <v>3</v>
      </c>
    </row>
    <row r="108" spans="1:14">
      <c r="A108">
        <v>21123</v>
      </c>
      <c r="B108" t="s">
        <v>6327</v>
      </c>
      <c r="C108" t="s">
        <v>6328</v>
      </c>
      <c r="D108" t="s">
        <v>6248</v>
      </c>
      <c r="E108" t="s">
        <v>154</v>
      </c>
      <c r="F108" t="s">
        <v>6273</v>
      </c>
      <c r="G108">
        <v>79944.625</v>
      </c>
      <c r="H108">
        <v>1211.2822265625</v>
      </c>
      <c r="I108" t="s">
        <v>6277</v>
      </c>
      <c r="K108" t="b">
        <v>0</v>
      </c>
      <c r="L108">
        <v>83226</v>
      </c>
      <c r="M108">
        <v>3</v>
      </c>
      <c r="N108">
        <v>1</v>
      </c>
    </row>
    <row r="109" spans="1:14">
      <c r="A109">
        <v>21126</v>
      </c>
      <c r="B109" t="s">
        <v>6280</v>
      </c>
      <c r="C109" t="s">
        <v>6281</v>
      </c>
      <c r="D109" t="s">
        <v>6257</v>
      </c>
      <c r="E109" t="s">
        <v>155</v>
      </c>
      <c r="F109" t="s">
        <v>6276</v>
      </c>
      <c r="G109">
        <v>52974.1640625</v>
      </c>
      <c r="H109">
        <v>868.428955078125</v>
      </c>
      <c r="K109" t="b">
        <v>0</v>
      </c>
      <c r="L109">
        <v>59416</v>
      </c>
      <c r="M109">
        <v>3</v>
      </c>
      <c r="N109">
        <v>1</v>
      </c>
    </row>
    <row r="110" spans="1:14">
      <c r="A110">
        <v>21133</v>
      </c>
      <c r="B110" t="s">
        <v>6288</v>
      </c>
      <c r="C110" t="s">
        <v>6289</v>
      </c>
      <c r="D110" t="s">
        <v>6257</v>
      </c>
      <c r="E110" t="s">
        <v>154</v>
      </c>
      <c r="F110" t="s">
        <v>6273</v>
      </c>
      <c r="G110">
        <v>79944.625</v>
      </c>
      <c r="H110">
        <v>1211.2822265625</v>
      </c>
      <c r="K110" t="b">
        <v>0</v>
      </c>
      <c r="L110">
        <v>83213</v>
      </c>
      <c r="M110">
        <v>3</v>
      </c>
      <c r="N110">
        <v>1</v>
      </c>
    </row>
    <row r="111" spans="1:14">
      <c r="A111">
        <v>21140</v>
      </c>
      <c r="B111" t="s">
        <v>6329</v>
      </c>
      <c r="C111" t="s">
        <v>6330</v>
      </c>
      <c r="D111" t="s">
        <v>6248</v>
      </c>
      <c r="E111" t="s">
        <v>6253</v>
      </c>
      <c r="F111" t="s">
        <v>6258</v>
      </c>
      <c r="G111">
        <v>118272.953125</v>
      </c>
      <c r="H111">
        <v>2319.07739257813</v>
      </c>
      <c r="I111" t="s">
        <v>6253</v>
      </c>
      <c r="K111" t="b">
        <v>0</v>
      </c>
      <c r="L111">
        <v>97016</v>
      </c>
      <c r="M111">
        <v>1</v>
      </c>
      <c r="N111">
        <v>1</v>
      </c>
    </row>
    <row r="112" spans="1:14">
      <c r="A112">
        <v>21226</v>
      </c>
      <c r="B112" t="s">
        <v>6331</v>
      </c>
      <c r="C112" t="s">
        <v>6332</v>
      </c>
      <c r="D112" t="s">
        <v>6248</v>
      </c>
      <c r="E112" t="s">
        <v>6253</v>
      </c>
      <c r="F112" t="s">
        <v>6258</v>
      </c>
      <c r="G112">
        <v>118272.953125</v>
      </c>
      <c r="H112">
        <v>2319.07739257813</v>
      </c>
      <c r="I112" t="s">
        <v>6253</v>
      </c>
      <c r="K112" t="b">
        <v>0</v>
      </c>
      <c r="L112">
        <v>97446</v>
      </c>
      <c r="M112">
        <v>1</v>
      </c>
      <c r="N112">
        <v>1</v>
      </c>
    </row>
    <row r="113" spans="1:14">
      <c r="A113">
        <v>21235</v>
      </c>
      <c r="B113" t="s">
        <v>6288</v>
      </c>
      <c r="C113" t="s">
        <v>6289</v>
      </c>
      <c r="D113" t="s">
        <v>6257</v>
      </c>
      <c r="E113" t="s">
        <v>6268</v>
      </c>
      <c r="F113" t="s">
        <v>6269</v>
      </c>
      <c r="G113">
        <v>81607.8359375</v>
      </c>
      <c r="H113">
        <v>2914.5654296875</v>
      </c>
      <c r="K113" t="b">
        <v>0</v>
      </c>
      <c r="L113">
        <v>98953</v>
      </c>
      <c r="M113">
        <v>1</v>
      </c>
      <c r="N113">
        <v>2</v>
      </c>
    </row>
    <row r="114" spans="1:14">
      <c r="A114">
        <v>21241</v>
      </c>
      <c r="B114" t="s">
        <v>6264</v>
      </c>
      <c r="C114" t="s">
        <v>6265</v>
      </c>
      <c r="D114" t="s">
        <v>6257</v>
      </c>
      <c r="E114" t="s">
        <v>6262</v>
      </c>
      <c r="F114" t="s">
        <v>6263</v>
      </c>
      <c r="G114">
        <v>110363.3984375</v>
      </c>
      <c r="H114">
        <v>3065.64990234375</v>
      </c>
      <c r="J114" t="s">
        <v>6333</v>
      </c>
      <c r="K114" t="b">
        <v>1</v>
      </c>
      <c r="L114">
        <v>98501</v>
      </c>
      <c r="M114">
        <v>1</v>
      </c>
      <c r="N114">
        <v>1</v>
      </c>
    </row>
    <row r="115" spans="1:14">
      <c r="A115">
        <v>21278</v>
      </c>
      <c r="B115" t="s">
        <v>6271</v>
      </c>
      <c r="C115" t="s">
        <v>6272</v>
      </c>
      <c r="D115" t="s">
        <v>6257</v>
      </c>
      <c r="E115" t="s">
        <v>154</v>
      </c>
      <c r="F115" t="s">
        <v>6273</v>
      </c>
      <c r="G115">
        <v>79944.625</v>
      </c>
      <c r="H115">
        <v>1211.2822265625</v>
      </c>
      <c r="K115" t="b">
        <v>0</v>
      </c>
      <c r="L115">
        <v>83617</v>
      </c>
      <c r="M115">
        <v>1</v>
      </c>
      <c r="N115">
        <v>3</v>
      </c>
    </row>
    <row r="116" spans="1:14">
      <c r="A116">
        <v>21279</v>
      </c>
      <c r="B116" t="s">
        <v>6334</v>
      </c>
      <c r="C116" t="s">
        <v>6335</v>
      </c>
      <c r="D116" t="s">
        <v>6248</v>
      </c>
      <c r="E116" t="s">
        <v>154</v>
      </c>
      <c r="F116" t="s">
        <v>6273</v>
      </c>
      <c r="G116">
        <v>79944.625</v>
      </c>
      <c r="H116">
        <v>1211.2822265625</v>
      </c>
      <c r="I116" t="s">
        <v>6277</v>
      </c>
      <c r="K116" t="b">
        <v>0</v>
      </c>
      <c r="L116">
        <v>83544</v>
      </c>
      <c r="M116">
        <v>2</v>
      </c>
      <c r="N116">
        <v>2</v>
      </c>
    </row>
    <row r="117" spans="1:14">
      <c r="A117">
        <v>21288</v>
      </c>
      <c r="B117" t="s">
        <v>6274</v>
      </c>
      <c r="C117" t="s">
        <v>6275</v>
      </c>
      <c r="D117" t="s">
        <v>6248</v>
      </c>
      <c r="E117" t="s">
        <v>155</v>
      </c>
      <c r="F117" t="s">
        <v>6276</v>
      </c>
      <c r="G117">
        <v>52974.1640625</v>
      </c>
      <c r="H117">
        <v>868.428955078125</v>
      </c>
      <c r="I117" t="s">
        <v>6277</v>
      </c>
      <c r="K117" t="b">
        <v>0</v>
      </c>
      <c r="L117">
        <v>59725</v>
      </c>
      <c r="M117">
        <v>3</v>
      </c>
      <c r="N117">
        <v>1</v>
      </c>
    </row>
    <row r="118" spans="1:14">
      <c r="A118">
        <v>21315</v>
      </c>
      <c r="B118" t="s">
        <v>6280</v>
      </c>
      <c r="C118" t="s">
        <v>6281</v>
      </c>
      <c r="D118" t="s">
        <v>6257</v>
      </c>
      <c r="E118" t="s">
        <v>155</v>
      </c>
      <c r="F118" t="s">
        <v>6276</v>
      </c>
      <c r="G118">
        <v>52974.1640625</v>
      </c>
      <c r="H118">
        <v>868.428955078125</v>
      </c>
      <c r="J118" t="s">
        <v>6287</v>
      </c>
      <c r="K118" t="b">
        <v>1</v>
      </c>
      <c r="L118">
        <v>59047</v>
      </c>
      <c r="M118">
        <v>2</v>
      </c>
      <c r="N118">
        <v>2</v>
      </c>
    </row>
    <row r="119" spans="1:14">
      <c r="A119">
        <v>21354</v>
      </c>
      <c r="B119" t="s">
        <v>6282</v>
      </c>
      <c r="C119" t="s">
        <v>6283</v>
      </c>
      <c r="D119" t="s">
        <v>6257</v>
      </c>
      <c r="E119" t="s">
        <v>154</v>
      </c>
      <c r="F119" t="s">
        <v>6273</v>
      </c>
      <c r="G119">
        <v>79944.625</v>
      </c>
      <c r="H119">
        <v>1211.2822265625</v>
      </c>
      <c r="K119" t="b">
        <v>0</v>
      </c>
      <c r="L119">
        <v>83546</v>
      </c>
      <c r="M119">
        <v>2</v>
      </c>
      <c r="N119">
        <v>2</v>
      </c>
    </row>
    <row r="120" spans="1:14">
      <c r="A120">
        <v>21369</v>
      </c>
      <c r="B120" t="s">
        <v>6280</v>
      </c>
      <c r="C120" t="s">
        <v>6281</v>
      </c>
      <c r="D120" t="s">
        <v>6257</v>
      </c>
      <c r="E120" t="s">
        <v>155</v>
      </c>
      <c r="F120" t="s">
        <v>6276</v>
      </c>
      <c r="G120">
        <v>52974.1640625</v>
      </c>
      <c r="H120">
        <v>868.428955078125</v>
      </c>
      <c r="K120" t="b">
        <v>0</v>
      </c>
      <c r="L120">
        <v>59421</v>
      </c>
      <c r="M120">
        <v>3</v>
      </c>
      <c r="N120">
        <v>1</v>
      </c>
    </row>
    <row r="121" spans="1:14">
      <c r="A121">
        <v>21395</v>
      </c>
      <c r="B121" t="s">
        <v>6282</v>
      </c>
      <c r="C121" t="s">
        <v>6283</v>
      </c>
      <c r="D121" t="s">
        <v>6257</v>
      </c>
      <c r="E121" t="s">
        <v>154</v>
      </c>
      <c r="F121" t="s">
        <v>6273</v>
      </c>
      <c r="G121">
        <v>79944.625</v>
      </c>
      <c r="H121">
        <v>1211.2822265625</v>
      </c>
      <c r="K121" t="b">
        <v>0</v>
      </c>
      <c r="L121">
        <v>83811</v>
      </c>
      <c r="M121">
        <v>3</v>
      </c>
      <c r="N121">
        <v>1</v>
      </c>
    </row>
    <row r="122" spans="1:14">
      <c r="A122">
        <v>21429</v>
      </c>
      <c r="B122" t="s">
        <v>6264</v>
      </c>
      <c r="C122" t="s">
        <v>6265</v>
      </c>
      <c r="D122" t="s">
        <v>6257</v>
      </c>
      <c r="E122" t="s">
        <v>6262</v>
      </c>
      <c r="F122" t="s">
        <v>6263</v>
      </c>
      <c r="G122">
        <v>110363.3984375</v>
      </c>
      <c r="H122">
        <v>3065.64990234375</v>
      </c>
      <c r="K122" t="b">
        <v>0</v>
      </c>
      <c r="L122">
        <v>98597</v>
      </c>
      <c r="M122">
        <v>1</v>
      </c>
      <c r="N122">
        <v>1</v>
      </c>
    </row>
    <row r="123" spans="1:14">
      <c r="A123">
        <v>21518</v>
      </c>
      <c r="B123" t="s">
        <v>6288</v>
      </c>
      <c r="C123" t="s">
        <v>6289</v>
      </c>
      <c r="D123" t="s">
        <v>6257</v>
      </c>
      <c r="E123" t="s">
        <v>6253</v>
      </c>
      <c r="F123" t="s">
        <v>6258</v>
      </c>
      <c r="G123">
        <v>118272.953125</v>
      </c>
      <c r="H123">
        <v>2319.07739257813</v>
      </c>
      <c r="K123" t="b">
        <v>0</v>
      </c>
      <c r="L123">
        <v>97383</v>
      </c>
      <c r="M123">
        <v>1</v>
      </c>
      <c r="N123">
        <v>1</v>
      </c>
    </row>
    <row r="124" spans="1:14">
      <c r="A124">
        <v>21535</v>
      </c>
      <c r="B124" t="s">
        <v>6288</v>
      </c>
      <c r="C124" t="s">
        <v>6289</v>
      </c>
      <c r="D124" t="s">
        <v>6257</v>
      </c>
      <c r="E124" t="s">
        <v>6290</v>
      </c>
      <c r="F124" t="s">
        <v>6291</v>
      </c>
      <c r="G124">
        <v>46836.8046875</v>
      </c>
      <c r="H124">
        <v>2128.94555664063</v>
      </c>
      <c r="K124" t="b">
        <v>0</v>
      </c>
      <c r="L124">
        <v>97760</v>
      </c>
      <c r="M124">
        <v>2</v>
      </c>
      <c r="N124">
        <v>1</v>
      </c>
    </row>
    <row r="125" spans="1:14">
      <c r="A125">
        <v>21548</v>
      </c>
      <c r="B125" t="s">
        <v>6264</v>
      </c>
      <c r="C125" t="s">
        <v>6265</v>
      </c>
      <c r="D125" t="s">
        <v>6257</v>
      </c>
      <c r="E125" t="s">
        <v>6262</v>
      </c>
      <c r="F125" t="s">
        <v>6263</v>
      </c>
      <c r="G125">
        <v>110363.3984375</v>
      </c>
      <c r="H125">
        <v>3065.64990234375</v>
      </c>
      <c r="K125" t="b">
        <v>0</v>
      </c>
      <c r="L125">
        <v>98376</v>
      </c>
      <c r="M125">
        <v>1</v>
      </c>
      <c r="N125">
        <v>1</v>
      </c>
    </row>
    <row r="126" spans="1:14">
      <c r="A126">
        <v>21555</v>
      </c>
      <c r="B126" t="s">
        <v>6307</v>
      </c>
      <c r="C126" t="s">
        <v>6308</v>
      </c>
      <c r="D126" t="s">
        <v>6248</v>
      </c>
      <c r="E126" t="s">
        <v>6262</v>
      </c>
      <c r="F126" t="s">
        <v>6263</v>
      </c>
      <c r="G126">
        <v>110363.3984375</v>
      </c>
      <c r="H126">
        <v>3065.64990234375</v>
      </c>
      <c r="I126" t="s">
        <v>6262</v>
      </c>
      <c r="K126" t="b">
        <v>0</v>
      </c>
      <c r="L126">
        <v>98258</v>
      </c>
      <c r="M126">
        <v>1</v>
      </c>
      <c r="N126">
        <v>1</v>
      </c>
    </row>
    <row r="127" spans="1:14">
      <c r="A127">
        <v>21559</v>
      </c>
      <c r="B127" t="s">
        <v>6271</v>
      </c>
      <c r="C127" t="s">
        <v>6272</v>
      </c>
      <c r="D127" t="s">
        <v>6257</v>
      </c>
      <c r="E127" t="s">
        <v>154</v>
      </c>
      <c r="F127" t="s">
        <v>6273</v>
      </c>
      <c r="G127">
        <v>79944.625</v>
      </c>
      <c r="H127">
        <v>1211.2822265625</v>
      </c>
      <c r="J127" t="s">
        <v>6336</v>
      </c>
      <c r="K127" t="b">
        <v>1</v>
      </c>
      <c r="L127">
        <v>83202</v>
      </c>
      <c r="M127">
        <v>2</v>
      </c>
      <c r="N127">
        <v>2</v>
      </c>
    </row>
    <row r="128" spans="1:14">
      <c r="A128">
        <v>21571</v>
      </c>
      <c r="B128" t="s">
        <v>6282</v>
      </c>
      <c r="C128" t="s">
        <v>6283</v>
      </c>
      <c r="D128" t="s">
        <v>6257</v>
      </c>
      <c r="E128" t="s">
        <v>6268</v>
      </c>
      <c r="F128" t="s">
        <v>6269</v>
      </c>
      <c r="G128">
        <v>81607.8359375</v>
      </c>
      <c r="H128">
        <v>2914.5654296875</v>
      </c>
      <c r="K128" t="b">
        <v>0</v>
      </c>
      <c r="L128">
        <v>99016</v>
      </c>
      <c r="M128">
        <v>2</v>
      </c>
      <c r="N128">
        <v>2</v>
      </c>
    </row>
    <row r="129" spans="1:14">
      <c r="A129">
        <v>21580</v>
      </c>
      <c r="B129" t="s">
        <v>6288</v>
      </c>
      <c r="C129" t="s">
        <v>6289</v>
      </c>
      <c r="D129" t="s">
        <v>6257</v>
      </c>
      <c r="E129" t="s">
        <v>6253</v>
      </c>
      <c r="F129" t="s">
        <v>6258</v>
      </c>
      <c r="G129">
        <v>118272.953125</v>
      </c>
      <c r="H129">
        <v>2319.07739257813</v>
      </c>
      <c r="K129" t="b">
        <v>0</v>
      </c>
      <c r="L129">
        <v>97501</v>
      </c>
      <c r="M129">
        <v>1</v>
      </c>
      <c r="N129">
        <v>3</v>
      </c>
    </row>
    <row r="130" spans="1:14">
      <c r="A130">
        <v>21594</v>
      </c>
      <c r="B130" t="s">
        <v>6288</v>
      </c>
      <c r="C130" t="s">
        <v>6289</v>
      </c>
      <c r="D130" t="s">
        <v>6257</v>
      </c>
      <c r="E130" t="s">
        <v>6253</v>
      </c>
      <c r="F130" t="s">
        <v>6258</v>
      </c>
      <c r="G130">
        <v>118272.953125</v>
      </c>
      <c r="H130">
        <v>2319.07739257813</v>
      </c>
      <c r="K130" t="b">
        <v>0</v>
      </c>
      <c r="L130">
        <v>97338</v>
      </c>
      <c r="M130">
        <v>1</v>
      </c>
      <c r="N130">
        <v>1</v>
      </c>
    </row>
    <row r="131" spans="1:14">
      <c r="A131">
        <v>21599</v>
      </c>
      <c r="B131" t="s">
        <v>6337</v>
      </c>
      <c r="C131" t="s">
        <v>6338</v>
      </c>
      <c r="D131" t="s">
        <v>6248</v>
      </c>
      <c r="E131" t="s">
        <v>6249</v>
      </c>
      <c r="F131" t="s">
        <v>6294</v>
      </c>
      <c r="G131">
        <v>42577.7109375</v>
      </c>
      <c r="H131">
        <v>2128.88549804688</v>
      </c>
      <c r="I131" t="s">
        <v>6249</v>
      </c>
      <c r="K131" t="b">
        <v>0</v>
      </c>
      <c r="L131">
        <v>98382</v>
      </c>
      <c r="M131">
        <v>1</v>
      </c>
      <c r="N131">
        <v>1</v>
      </c>
    </row>
    <row r="132" spans="1:14">
      <c r="A132">
        <v>21630</v>
      </c>
      <c r="B132" t="s">
        <v>6264</v>
      </c>
      <c r="C132" t="s">
        <v>6265</v>
      </c>
      <c r="D132" t="s">
        <v>6257</v>
      </c>
      <c r="E132" t="s">
        <v>6262</v>
      </c>
      <c r="F132" t="s">
        <v>6263</v>
      </c>
      <c r="G132">
        <v>110363.3984375</v>
      </c>
      <c r="H132">
        <v>3065.64990234375</v>
      </c>
      <c r="K132" t="b">
        <v>0</v>
      </c>
      <c r="L132">
        <v>98002</v>
      </c>
      <c r="M132">
        <v>1</v>
      </c>
      <c r="N132">
        <v>1</v>
      </c>
    </row>
    <row r="133" spans="1:14">
      <c r="A133">
        <v>21631</v>
      </c>
      <c r="B133" t="s">
        <v>6264</v>
      </c>
      <c r="C133" t="s">
        <v>6265</v>
      </c>
      <c r="D133" t="s">
        <v>6257</v>
      </c>
      <c r="E133" t="s">
        <v>6262</v>
      </c>
      <c r="F133" t="s">
        <v>6263</v>
      </c>
      <c r="G133">
        <v>110363.3984375</v>
      </c>
      <c r="H133">
        <v>3065.64990234375</v>
      </c>
      <c r="K133" t="b">
        <v>0</v>
      </c>
      <c r="L133">
        <v>98579</v>
      </c>
      <c r="M133">
        <v>1</v>
      </c>
      <c r="N133">
        <v>1</v>
      </c>
    </row>
    <row r="134" spans="1:14">
      <c r="A134">
        <v>21676</v>
      </c>
      <c r="B134" t="s">
        <v>6271</v>
      </c>
      <c r="C134" t="s">
        <v>6272</v>
      </c>
      <c r="D134" t="s">
        <v>6257</v>
      </c>
      <c r="E134" t="s">
        <v>154</v>
      </c>
      <c r="F134" t="s">
        <v>6273</v>
      </c>
      <c r="G134">
        <v>79944.625</v>
      </c>
      <c r="H134">
        <v>1211.2822265625</v>
      </c>
      <c r="K134" t="b">
        <v>0</v>
      </c>
      <c r="L134">
        <v>83634</v>
      </c>
      <c r="M134">
        <v>1</v>
      </c>
      <c r="N134">
        <v>3</v>
      </c>
    </row>
    <row r="135" spans="1:14">
      <c r="A135">
        <v>21723</v>
      </c>
      <c r="B135" t="s">
        <v>6339</v>
      </c>
      <c r="C135" t="s">
        <v>6340</v>
      </c>
      <c r="D135" t="s">
        <v>6248</v>
      </c>
      <c r="E135" t="s">
        <v>6268</v>
      </c>
      <c r="F135" t="s">
        <v>6269</v>
      </c>
      <c r="G135">
        <v>81607.8359375</v>
      </c>
      <c r="H135">
        <v>2914.5654296875</v>
      </c>
      <c r="I135" t="s">
        <v>6270</v>
      </c>
      <c r="K135" t="b">
        <v>0</v>
      </c>
      <c r="L135">
        <v>98823</v>
      </c>
      <c r="M135">
        <v>2</v>
      </c>
      <c r="N135">
        <v>2</v>
      </c>
    </row>
    <row r="136" spans="1:14">
      <c r="A136">
        <v>21729</v>
      </c>
      <c r="B136" t="s">
        <v>6288</v>
      </c>
      <c r="C136" t="s">
        <v>6289</v>
      </c>
      <c r="D136" t="s">
        <v>6257</v>
      </c>
      <c r="E136" t="s">
        <v>6253</v>
      </c>
      <c r="F136" t="s">
        <v>6258</v>
      </c>
      <c r="G136">
        <v>118272.953125</v>
      </c>
      <c r="H136">
        <v>2319.07739257813</v>
      </c>
      <c r="K136" t="b">
        <v>0</v>
      </c>
      <c r="L136">
        <v>97501</v>
      </c>
      <c r="M136">
        <v>1</v>
      </c>
      <c r="N136">
        <v>3</v>
      </c>
    </row>
    <row r="137" spans="1:14">
      <c r="A137">
        <v>21731</v>
      </c>
      <c r="B137" t="s">
        <v>6264</v>
      </c>
      <c r="C137" t="s">
        <v>6265</v>
      </c>
      <c r="D137" t="s">
        <v>6257</v>
      </c>
      <c r="E137" t="s">
        <v>6262</v>
      </c>
      <c r="F137" t="s">
        <v>6263</v>
      </c>
      <c r="G137">
        <v>110363.3984375</v>
      </c>
      <c r="H137">
        <v>3065.64990234375</v>
      </c>
      <c r="K137" t="b">
        <v>0</v>
      </c>
      <c r="L137">
        <v>98240</v>
      </c>
      <c r="M137">
        <v>1</v>
      </c>
      <c r="N137">
        <v>1</v>
      </c>
    </row>
    <row r="138" spans="1:14">
      <c r="A138">
        <v>21745</v>
      </c>
      <c r="B138" t="s">
        <v>6264</v>
      </c>
      <c r="C138" t="s">
        <v>6265</v>
      </c>
      <c r="D138" t="s">
        <v>6257</v>
      </c>
      <c r="E138" t="s">
        <v>6262</v>
      </c>
      <c r="F138" t="s">
        <v>6263</v>
      </c>
      <c r="G138">
        <v>110363.3984375</v>
      </c>
      <c r="H138">
        <v>3065.64990234375</v>
      </c>
      <c r="K138" t="b">
        <v>0</v>
      </c>
      <c r="L138">
        <v>98374</v>
      </c>
      <c r="M138">
        <v>1</v>
      </c>
      <c r="N138">
        <v>1</v>
      </c>
    </row>
    <row r="139" spans="1:14">
      <c r="A139">
        <v>21760</v>
      </c>
      <c r="B139" t="s">
        <v>6271</v>
      </c>
      <c r="C139" t="s">
        <v>6272</v>
      </c>
      <c r="D139" t="s">
        <v>6257</v>
      </c>
      <c r="E139" t="s">
        <v>154</v>
      </c>
      <c r="F139" t="s">
        <v>6273</v>
      </c>
      <c r="G139">
        <v>79944.625</v>
      </c>
      <c r="H139">
        <v>1211.2822265625</v>
      </c>
      <c r="K139" t="b">
        <v>0</v>
      </c>
      <c r="L139">
        <v>83202</v>
      </c>
      <c r="M139">
        <v>2</v>
      </c>
      <c r="N139">
        <v>2</v>
      </c>
    </row>
    <row r="140" spans="1:14">
      <c r="A140">
        <v>21765</v>
      </c>
      <c r="B140" t="s">
        <v>6280</v>
      </c>
      <c r="C140" t="s">
        <v>6281</v>
      </c>
      <c r="D140" t="s">
        <v>6257</v>
      </c>
      <c r="E140" t="s">
        <v>155</v>
      </c>
      <c r="F140" t="s">
        <v>6276</v>
      </c>
      <c r="G140">
        <v>52974.1640625</v>
      </c>
      <c r="H140">
        <v>868.428955078125</v>
      </c>
      <c r="J140" t="s">
        <v>6287</v>
      </c>
      <c r="K140" t="b">
        <v>1</v>
      </c>
      <c r="L140">
        <v>59047</v>
      </c>
      <c r="M140">
        <v>2</v>
      </c>
      <c r="N140">
        <v>2</v>
      </c>
    </row>
    <row r="141" spans="1:14">
      <c r="A141">
        <v>21766</v>
      </c>
      <c r="B141" t="s">
        <v>6271</v>
      </c>
      <c r="C141" t="s">
        <v>6272</v>
      </c>
      <c r="D141" t="s">
        <v>6257</v>
      </c>
      <c r="E141" t="s">
        <v>154</v>
      </c>
      <c r="F141" t="s">
        <v>6273</v>
      </c>
      <c r="G141">
        <v>79944.625</v>
      </c>
      <c r="H141">
        <v>1211.2822265625</v>
      </c>
      <c r="J141" t="s">
        <v>6336</v>
      </c>
      <c r="K141" t="b">
        <v>1</v>
      </c>
      <c r="L141">
        <v>83202</v>
      </c>
      <c r="M141">
        <v>2</v>
      </c>
      <c r="N141">
        <v>2</v>
      </c>
    </row>
    <row r="142" spans="1:14">
      <c r="A142">
        <v>21774</v>
      </c>
      <c r="B142" t="s">
        <v>6307</v>
      </c>
      <c r="C142" t="s">
        <v>6308</v>
      </c>
      <c r="D142" t="s">
        <v>6248</v>
      </c>
      <c r="E142" t="s">
        <v>6262</v>
      </c>
      <c r="F142" t="s">
        <v>6263</v>
      </c>
      <c r="G142">
        <v>110363.3984375</v>
      </c>
      <c r="H142">
        <v>3065.64990234375</v>
      </c>
      <c r="I142" t="s">
        <v>6262</v>
      </c>
      <c r="K142" t="b">
        <v>0</v>
      </c>
      <c r="L142">
        <v>98282</v>
      </c>
      <c r="M142">
        <v>1</v>
      </c>
      <c r="N142">
        <v>1</v>
      </c>
    </row>
    <row r="143" spans="1:14">
      <c r="A143">
        <v>21819</v>
      </c>
      <c r="B143" t="s">
        <v>6341</v>
      </c>
      <c r="C143" t="s">
        <v>6342</v>
      </c>
      <c r="D143" t="s">
        <v>6248</v>
      </c>
      <c r="E143" t="s">
        <v>155</v>
      </c>
      <c r="F143" t="s">
        <v>6276</v>
      </c>
      <c r="G143">
        <v>52974.1640625</v>
      </c>
      <c r="H143">
        <v>868.428955078125</v>
      </c>
      <c r="I143" t="s">
        <v>6277</v>
      </c>
      <c r="K143" t="b">
        <v>0</v>
      </c>
      <c r="L143">
        <v>59935</v>
      </c>
      <c r="M143">
        <v>2</v>
      </c>
      <c r="N143">
        <v>1</v>
      </c>
    </row>
    <row r="144" spans="1:14">
      <c r="A144">
        <v>21820</v>
      </c>
      <c r="B144" t="s">
        <v>6307</v>
      </c>
      <c r="C144" t="s">
        <v>6308</v>
      </c>
      <c r="D144" t="s">
        <v>6248</v>
      </c>
      <c r="E144" t="s">
        <v>6262</v>
      </c>
      <c r="F144" t="s">
        <v>6263</v>
      </c>
      <c r="G144">
        <v>110363.3984375</v>
      </c>
      <c r="H144">
        <v>3065.64990234375</v>
      </c>
      <c r="I144" t="s">
        <v>6262</v>
      </c>
      <c r="K144" t="b">
        <v>0</v>
      </c>
      <c r="L144">
        <v>98203</v>
      </c>
      <c r="M144">
        <v>1</v>
      </c>
      <c r="N144">
        <v>1</v>
      </c>
    </row>
    <row r="145" spans="1:14">
      <c r="A145">
        <v>21846</v>
      </c>
      <c r="B145" t="s">
        <v>6337</v>
      </c>
      <c r="C145" t="s">
        <v>6338</v>
      </c>
      <c r="D145" t="s">
        <v>6248</v>
      </c>
      <c r="E145" t="s">
        <v>6249</v>
      </c>
      <c r="F145" t="s">
        <v>6294</v>
      </c>
      <c r="G145">
        <v>42577.7109375</v>
      </c>
      <c r="H145">
        <v>2128.88549804688</v>
      </c>
      <c r="I145" t="s">
        <v>6249</v>
      </c>
      <c r="K145" t="b">
        <v>0</v>
      </c>
      <c r="L145">
        <v>98382</v>
      </c>
      <c r="M145">
        <v>1</v>
      </c>
      <c r="N145">
        <v>1</v>
      </c>
    </row>
    <row r="146" spans="1:14">
      <c r="A146">
        <v>21855</v>
      </c>
      <c r="B146" t="s">
        <v>6264</v>
      </c>
      <c r="C146" t="s">
        <v>6265</v>
      </c>
      <c r="D146" t="s">
        <v>6257</v>
      </c>
      <c r="E146" t="s">
        <v>6262</v>
      </c>
      <c r="F146" t="s">
        <v>6263</v>
      </c>
      <c r="G146">
        <v>110363.3984375</v>
      </c>
      <c r="H146">
        <v>3065.64990234375</v>
      </c>
      <c r="K146" t="b">
        <v>0</v>
      </c>
      <c r="L146">
        <v>98237</v>
      </c>
      <c r="M146">
        <v>1</v>
      </c>
      <c r="N146">
        <v>1</v>
      </c>
    </row>
    <row r="147" spans="1:14">
      <c r="A147">
        <v>21870</v>
      </c>
      <c r="B147" t="s">
        <v>6297</v>
      </c>
      <c r="C147" t="s">
        <v>6298</v>
      </c>
      <c r="D147" t="s">
        <v>6248</v>
      </c>
      <c r="E147" t="s">
        <v>6249</v>
      </c>
      <c r="F147" t="s">
        <v>6294</v>
      </c>
      <c r="G147">
        <v>42577.7109375</v>
      </c>
      <c r="H147">
        <v>2128.88549804688</v>
      </c>
      <c r="I147" t="s">
        <v>6249</v>
      </c>
      <c r="K147" t="b">
        <v>0</v>
      </c>
      <c r="L147">
        <v>98682</v>
      </c>
      <c r="M147">
        <v>1</v>
      </c>
      <c r="N147">
        <v>1</v>
      </c>
    </row>
    <row r="148" spans="1:14">
      <c r="A148">
        <v>21893</v>
      </c>
      <c r="B148" t="s">
        <v>6266</v>
      </c>
      <c r="C148" t="s">
        <v>6267</v>
      </c>
      <c r="D148" t="s">
        <v>6248</v>
      </c>
      <c r="E148" t="s">
        <v>6268</v>
      </c>
      <c r="F148" t="s">
        <v>6269</v>
      </c>
      <c r="G148">
        <v>81607.8359375</v>
      </c>
      <c r="H148">
        <v>2914.5654296875</v>
      </c>
      <c r="I148" t="s">
        <v>6270</v>
      </c>
      <c r="K148" t="b">
        <v>0</v>
      </c>
      <c r="L148">
        <v>99006</v>
      </c>
      <c r="M148">
        <v>2</v>
      </c>
      <c r="N148">
        <v>2</v>
      </c>
    </row>
    <row r="149" spans="1:14">
      <c r="A149">
        <v>21913</v>
      </c>
      <c r="B149" t="s">
        <v>6264</v>
      </c>
      <c r="C149" t="s">
        <v>6265</v>
      </c>
      <c r="D149" t="s">
        <v>6257</v>
      </c>
      <c r="E149" t="s">
        <v>6262</v>
      </c>
      <c r="F149" t="s">
        <v>6263</v>
      </c>
      <c r="G149">
        <v>110363.3984375</v>
      </c>
      <c r="H149">
        <v>3065.64990234375</v>
      </c>
      <c r="K149" t="b">
        <v>0</v>
      </c>
      <c r="L149">
        <v>98503</v>
      </c>
      <c r="M149">
        <v>1</v>
      </c>
      <c r="N149">
        <v>1</v>
      </c>
    </row>
    <row r="150" spans="1:14">
      <c r="A150">
        <v>21942</v>
      </c>
      <c r="B150" t="s">
        <v>6274</v>
      </c>
      <c r="C150" t="s">
        <v>6275</v>
      </c>
      <c r="D150" t="s">
        <v>6248</v>
      </c>
      <c r="E150" t="s">
        <v>155</v>
      </c>
      <c r="F150" t="s">
        <v>6276</v>
      </c>
      <c r="G150">
        <v>52974.1640625</v>
      </c>
      <c r="H150">
        <v>868.428955078125</v>
      </c>
      <c r="I150" t="s">
        <v>6277</v>
      </c>
      <c r="K150" t="b">
        <v>0</v>
      </c>
      <c r="L150">
        <v>59725</v>
      </c>
      <c r="M150">
        <v>3</v>
      </c>
      <c r="N150">
        <v>1</v>
      </c>
    </row>
    <row r="151" spans="1:14">
      <c r="A151">
        <v>21960</v>
      </c>
      <c r="B151" t="s">
        <v>6288</v>
      </c>
      <c r="C151" t="s">
        <v>6289</v>
      </c>
      <c r="D151" t="s">
        <v>6257</v>
      </c>
      <c r="E151" t="s">
        <v>6253</v>
      </c>
      <c r="F151" t="s">
        <v>6258</v>
      </c>
      <c r="G151">
        <v>118272.953125</v>
      </c>
      <c r="H151">
        <v>2319.07739257813</v>
      </c>
      <c r="K151" t="b">
        <v>0</v>
      </c>
      <c r="L151">
        <v>97338</v>
      </c>
      <c r="M151">
        <v>1</v>
      </c>
      <c r="N151">
        <v>1</v>
      </c>
    </row>
    <row r="152" spans="1:14">
      <c r="A152">
        <v>21970</v>
      </c>
      <c r="B152" t="s">
        <v>6280</v>
      </c>
      <c r="C152" t="s">
        <v>6281</v>
      </c>
      <c r="D152" t="s">
        <v>6257</v>
      </c>
      <c r="E152" t="s">
        <v>155</v>
      </c>
      <c r="F152" t="s">
        <v>6276</v>
      </c>
      <c r="G152">
        <v>52974.1640625</v>
      </c>
      <c r="H152">
        <v>868.428955078125</v>
      </c>
      <c r="K152" t="b">
        <v>0</v>
      </c>
      <c r="L152">
        <v>59404</v>
      </c>
      <c r="M152">
        <v>3</v>
      </c>
      <c r="N152">
        <v>1</v>
      </c>
    </row>
    <row r="153" spans="1:14">
      <c r="A153">
        <v>21971</v>
      </c>
      <c r="B153" t="s">
        <v>6271</v>
      </c>
      <c r="C153" t="s">
        <v>6272</v>
      </c>
      <c r="D153" t="s">
        <v>6257</v>
      </c>
      <c r="E153" t="s">
        <v>154</v>
      </c>
      <c r="F153" t="s">
        <v>6273</v>
      </c>
      <c r="G153">
        <v>79944.625</v>
      </c>
      <c r="H153">
        <v>1211.2822265625</v>
      </c>
      <c r="K153" t="b">
        <v>0</v>
      </c>
      <c r="L153">
        <v>83201</v>
      </c>
      <c r="M153">
        <v>2</v>
      </c>
      <c r="N153">
        <v>2</v>
      </c>
    </row>
    <row r="154" spans="1:14">
      <c r="A154">
        <v>21982</v>
      </c>
      <c r="B154" t="s">
        <v>6307</v>
      </c>
      <c r="C154" t="s">
        <v>6308</v>
      </c>
      <c r="D154" t="s">
        <v>6248</v>
      </c>
      <c r="E154" t="s">
        <v>6262</v>
      </c>
      <c r="F154" t="s">
        <v>6263</v>
      </c>
      <c r="G154">
        <v>110363.3984375</v>
      </c>
      <c r="H154">
        <v>3065.64990234375</v>
      </c>
      <c r="I154" t="s">
        <v>6262</v>
      </c>
      <c r="K154" t="b">
        <v>0</v>
      </c>
      <c r="L154">
        <v>98241</v>
      </c>
      <c r="M154">
        <v>1</v>
      </c>
      <c r="N154">
        <v>1</v>
      </c>
    </row>
    <row r="155" spans="1:14">
      <c r="A155">
        <v>21984</v>
      </c>
      <c r="B155" t="s">
        <v>6280</v>
      </c>
      <c r="C155" t="s">
        <v>6281</v>
      </c>
      <c r="D155" t="s">
        <v>6257</v>
      </c>
      <c r="E155" t="s">
        <v>155</v>
      </c>
      <c r="F155" t="s">
        <v>6276</v>
      </c>
      <c r="G155">
        <v>52974.1640625</v>
      </c>
      <c r="H155">
        <v>868.428955078125</v>
      </c>
      <c r="K155" t="b">
        <v>0</v>
      </c>
      <c r="L155">
        <v>59645</v>
      </c>
      <c r="M155">
        <v>3</v>
      </c>
      <c r="N155">
        <v>1</v>
      </c>
    </row>
    <row r="156" spans="1:14">
      <c r="A156">
        <v>21997</v>
      </c>
      <c r="B156" t="s">
        <v>6337</v>
      </c>
      <c r="C156" t="s">
        <v>6338</v>
      </c>
      <c r="D156" t="s">
        <v>6248</v>
      </c>
      <c r="E156" t="s">
        <v>6249</v>
      </c>
      <c r="F156" t="s">
        <v>6294</v>
      </c>
      <c r="G156">
        <v>42577.7109375</v>
      </c>
      <c r="H156">
        <v>2128.88549804688</v>
      </c>
      <c r="I156" t="s">
        <v>6249</v>
      </c>
      <c r="K156" t="b">
        <v>0</v>
      </c>
      <c r="L156">
        <v>98362</v>
      </c>
      <c r="M156">
        <v>1</v>
      </c>
      <c r="N156">
        <v>1</v>
      </c>
    </row>
    <row r="157" spans="1:14">
      <c r="A157">
        <v>22004</v>
      </c>
      <c r="B157" t="s">
        <v>6343</v>
      </c>
      <c r="C157" t="s">
        <v>6344</v>
      </c>
      <c r="D157" t="s">
        <v>6248</v>
      </c>
      <c r="E157" t="s">
        <v>6249</v>
      </c>
      <c r="F157" t="s">
        <v>6294</v>
      </c>
      <c r="G157">
        <v>42577.7109375</v>
      </c>
      <c r="H157">
        <v>2128.88549804688</v>
      </c>
      <c r="I157" t="s">
        <v>6249</v>
      </c>
      <c r="K157" t="b">
        <v>0</v>
      </c>
      <c r="L157">
        <v>98377</v>
      </c>
      <c r="M157">
        <v>1</v>
      </c>
      <c r="N157">
        <v>1</v>
      </c>
    </row>
    <row r="158" spans="1:14">
      <c r="A158">
        <v>22013</v>
      </c>
      <c r="B158" t="s">
        <v>6311</v>
      </c>
      <c r="C158" t="s">
        <v>6312</v>
      </c>
      <c r="D158" t="s">
        <v>6248</v>
      </c>
      <c r="E158" t="s">
        <v>155</v>
      </c>
      <c r="F158" t="s">
        <v>6276</v>
      </c>
      <c r="G158">
        <v>52974.1640625</v>
      </c>
      <c r="H158">
        <v>868.428955078125</v>
      </c>
      <c r="I158" t="s">
        <v>6277</v>
      </c>
      <c r="K158" t="b">
        <v>0</v>
      </c>
      <c r="L158">
        <v>59923</v>
      </c>
      <c r="M158">
        <v>2</v>
      </c>
      <c r="N158">
        <v>1</v>
      </c>
    </row>
    <row r="159" spans="1:14">
      <c r="A159">
        <v>22017</v>
      </c>
      <c r="B159" t="s">
        <v>6271</v>
      </c>
      <c r="C159" t="s">
        <v>6272</v>
      </c>
      <c r="D159" t="s">
        <v>6257</v>
      </c>
      <c r="E159" t="s">
        <v>154</v>
      </c>
      <c r="F159" t="s">
        <v>6273</v>
      </c>
      <c r="G159">
        <v>79944.625</v>
      </c>
      <c r="H159">
        <v>1211.2822265625</v>
      </c>
      <c r="K159" t="b">
        <v>0</v>
      </c>
      <c r="L159">
        <v>83647</v>
      </c>
      <c r="M159">
        <v>2</v>
      </c>
      <c r="N159">
        <v>3</v>
      </c>
    </row>
    <row r="160" spans="1:14">
      <c r="A160">
        <v>22028</v>
      </c>
      <c r="B160" t="s">
        <v>6280</v>
      </c>
      <c r="C160" t="s">
        <v>6281</v>
      </c>
      <c r="D160" t="s">
        <v>6257</v>
      </c>
      <c r="E160" t="s">
        <v>155</v>
      </c>
      <c r="F160" t="s">
        <v>6276</v>
      </c>
      <c r="G160">
        <v>52974.1640625</v>
      </c>
      <c r="H160">
        <v>868.428955078125</v>
      </c>
      <c r="J160" t="s">
        <v>6287</v>
      </c>
      <c r="K160" t="b">
        <v>1</v>
      </c>
      <c r="L160">
        <v>59404</v>
      </c>
      <c r="M160">
        <v>3</v>
      </c>
      <c r="N160">
        <v>1</v>
      </c>
    </row>
    <row r="161" spans="1:14">
      <c r="A161">
        <v>22048</v>
      </c>
      <c r="B161" t="s">
        <v>6255</v>
      </c>
      <c r="C161" t="s">
        <v>6256</v>
      </c>
      <c r="D161" t="s">
        <v>6257</v>
      </c>
      <c r="E161" t="s">
        <v>6253</v>
      </c>
      <c r="F161" t="s">
        <v>6258</v>
      </c>
      <c r="G161">
        <v>118272.953125</v>
      </c>
      <c r="H161">
        <v>2319.07739257813</v>
      </c>
      <c r="K161" t="b">
        <v>0</v>
      </c>
      <c r="L161">
        <v>97060</v>
      </c>
      <c r="M161">
        <v>1</v>
      </c>
      <c r="N161">
        <v>2</v>
      </c>
    </row>
    <row r="162" spans="1:14">
      <c r="A162">
        <v>22056</v>
      </c>
      <c r="B162" t="s">
        <v>6282</v>
      </c>
      <c r="C162" t="s">
        <v>6283</v>
      </c>
      <c r="D162" t="s">
        <v>6257</v>
      </c>
      <c r="E162" t="s">
        <v>154</v>
      </c>
      <c r="F162" t="s">
        <v>6273</v>
      </c>
      <c r="G162">
        <v>79944.625</v>
      </c>
      <c r="H162">
        <v>1211.2822265625</v>
      </c>
      <c r="K162" t="b">
        <v>0</v>
      </c>
      <c r="L162">
        <v>83536</v>
      </c>
      <c r="M162">
        <v>2</v>
      </c>
      <c r="N162">
        <v>1</v>
      </c>
    </row>
    <row r="163" spans="1:14">
      <c r="A163">
        <v>22067</v>
      </c>
      <c r="B163" t="s">
        <v>6311</v>
      </c>
      <c r="C163" t="s">
        <v>6312</v>
      </c>
      <c r="D163" t="s">
        <v>6248</v>
      </c>
      <c r="E163" t="s">
        <v>155</v>
      </c>
      <c r="F163" t="s">
        <v>6276</v>
      </c>
      <c r="G163">
        <v>52974.1640625</v>
      </c>
      <c r="H163">
        <v>868.428955078125</v>
      </c>
      <c r="I163" t="s">
        <v>6277</v>
      </c>
      <c r="J163" t="s">
        <v>6287</v>
      </c>
      <c r="K163" t="b">
        <v>1</v>
      </c>
      <c r="L163">
        <v>59901</v>
      </c>
      <c r="M163">
        <v>3</v>
      </c>
      <c r="N163">
        <v>1</v>
      </c>
    </row>
    <row r="164" spans="1:14">
      <c r="A164">
        <v>22073</v>
      </c>
      <c r="B164" t="s">
        <v>6280</v>
      </c>
      <c r="C164" t="s">
        <v>6281</v>
      </c>
      <c r="D164" t="s">
        <v>6257</v>
      </c>
      <c r="E164" t="s">
        <v>155</v>
      </c>
      <c r="F164" t="s">
        <v>6276</v>
      </c>
      <c r="G164">
        <v>52974.1640625</v>
      </c>
      <c r="H164">
        <v>868.428955078125</v>
      </c>
      <c r="K164" t="b">
        <v>0</v>
      </c>
      <c r="L164">
        <v>59872</v>
      </c>
      <c r="M164">
        <v>2</v>
      </c>
      <c r="N164">
        <v>2</v>
      </c>
    </row>
    <row r="165" spans="1:14">
      <c r="A165">
        <v>22112</v>
      </c>
      <c r="B165" t="s">
        <v>6255</v>
      </c>
      <c r="C165" t="s">
        <v>6256</v>
      </c>
      <c r="D165" t="s">
        <v>6257</v>
      </c>
      <c r="E165" t="s">
        <v>6253</v>
      </c>
      <c r="F165" t="s">
        <v>6258</v>
      </c>
      <c r="G165">
        <v>118272.953125</v>
      </c>
      <c r="H165">
        <v>2319.07739257813</v>
      </c>
      <c r="K165" t="b">
        <v>0</v>
      </c>
      <c r="L165">
        <v>97305</v>
      </c>
      <c r="M165">
        <v>1</v>
      </c>
      <c r="N165">
        <v>1</v>
      </c>
    </row>
    <row r="166" spans="1:14">
      <c r="A166">
        <v>22119</v>
      </c>
      <c r="B166" t="s">
        <v>6311</v>
      </c>
      <c r="C166" t="s">
        <v>6312</v>
      </c>
      <c r="D166" t="s">
        <v>6248</v>
      </c>
      <c r="E166" t="s">
        <v>155</v>
      </c>
      <c r="F166" t="s">
        <v>6276</v>
      </c>
      <c r="G166">
        <v>52974.1640625</v>
      </c>
      <c r="H166">
        <v>868.428955078125</v>
      </c>
      <c r="I166" t="s">
        <v>6277</v>
      </c>
      <c r="J166" t="s">
        <v>6287</v>
      </c>
      <c r="K166" t="b">
        <v>1</v>
      </c>
      <c r="L166">
        <v>59932</v>
      </c>
      <c r="M166">
        <v>3</v>
      </c>
      <c r="N166">
        <v>1</v>
      </c>
    </row>
    <row r="167" spans="1:14">
      <c r="A167">
        <v>22190</v>
      </c>
      <c r="B167" t="s">
        <v>6280</v>
      </c>
      <c r="C167" t="s">
        <v>6281</v>
      </c>
      <c r="D167" t="s">
        <v>6257</v>
      </c>
      <c r="E167" t="s">
        <v>155</v>
      </c>
      <c r="F167" t="s">
        <v>6276</v>
      </c>
      <c r="G167">
        <v>52974.1640625</v>
      </c>
      <c r="H167">
        <v>868.428955078125</v>
      </c>
      <c r="J167" t="s">
        <v>6287</v>
      </c>
      <c r="K167" t="b">
        <v>1</v>
      </c>
      <c r="L167">
        <v>59701</v>
      </c>
      <c r="M167">
        <v>3</v>
      </c>
      <c r="N167">
        <v>1</v>
      </c>
    </row>
    <row r="168" spans="1:14">
      <c r="A168">
        <v>22192</v>
      </c>
      <c r="B168" t="s">
        <v>6288</v>
      </c>
      <c r="C168" t="s">
        <v>6289</v>
      </c>
      <c r="D168" t="s">
        <v>6257</v>
      </c>
      <c r="E168" t="s">
        <v>6290</v>
      </c>
      <c r="F168" t="s">
        <v>6291</v>
      </c>
      <c r="G168">
        <v>46836.8046875</v>
      </c>
      <c r="H168">
        <v>2128.94555664063</v>
      </c>
      <c r="K168" t="b">
        <v>0</v>
      </c>
      <c r="L168">
        <v>97031</v>
      </c>
      <c r="M168">
        <v>1</v>
      </c>
      <c r="N168">
        <v>1</v>
      </c>
    </row>
    <row r="169" spans="1:14">
      <c r="A169">
        <v>22204</v>
      </c>
      <c r="B169" t="s">
        <v>6288</v>
      </c>
      <c r="C169" t="s">
        <v>6289</v>
      </c>
      <c r="D169" t="s">
        <v>6257</v>
      </c>
      <c r="E169" t="s">
        <v>6253</v>
      </c>
      <c r="F169" t="s">
        <v>6258</v>
      </c>
      <c r="G169">
        <v>118272.953125</v>
      </c>
      <c r="H169">
        <v>2319.07739257813</v>
      </c>
      <c r="K169" t="b">
        <v>0</v>
      </c>
      <c r="L169">
        <v>97526</v>
      </c>
      <c r="M169">
        <v>1</v>
      </c>
      <c r="N169">
        <v>2</v>
      </c>
    </row>
    <row r="170" spans="1:14">
      <c r="A170">
        <v>22236</v>
      </c>
      <c r="B170" t="s">
        <v>6307</v>
      </c>
      <c r="C170" t="s">
        <v>6308</v>
      </c>
      <c r="D170" t="s">
        <v>6248</v>
      </c>
      <c r="E170" t="s">
        <v>6262</v>
      </c>
      <c r="F170" t="s">
        <v>6263</v>
      </c>
      <c r="G170">
        <v>110363.3984375</v>
      </c>
      <c r="H170">
        <v>3065.64990234375</v>
      </c>
      <c r="I170" t="s">
        <v>6262</v>
      </c>
      <c r="K170" t="b">
        <v>0</v>
      </c>
      <c r="L170">
        <v>98208</v>
      </c>
      <c r="M170">
        <v>1</v>
      </c>
      <c r="N170">
        <v>1</v>
      </c>
    </row>
    <row r="171" spans="1:14">
      <c r="A171">
        <v>22277</v>
      </c>
      <c r="B171" t="s">
        <v>6288</v>
      </c>
      <c r="C171" t="s">
        <v>6289</v>
      </c>
      <c r="D171" t="s">
        <v>6257</v>
      </c>
      <c r="E171" t="s">
        <v>6253</v>
      </c>
      <c r="F171" t="s">
        <v>6258</v>
      </c>
      <c r="G171">
        <v>118272.953125</v>
      </c>
      <c r="H171">
        <v>2319.07739257813</v>
      </c>
      <c r="K171" t="b">
        <v>0</v>
      </c>
      <c r="L171">
        <v>97479</v>
      </c>
      <c r="M171">
        <v>1</v>
      </c>
      <c r="N171">
        <v>2</v>
      </c>
    </row>
    <row r="172" spans="1:14">
      <c r="A172">
        <v>22313</v>
      </c>
      <c r="B172" t="s">
        <v>6271</v>
      </c>
      <c r="C172" t="s">
        <v>6272</v>
      </c>
      <c r="D172" t="s">
        <v>6257</v>
      </c>
      <c r="E172" t="s">
        <v>154</v>
      </c>
      <c r="F172" t="s">
        <v>6273</v>
      </c>
      <c r="G172">
        <v>79944.625</v>
      </c>
      <c r="H172">
        <v>1211.2822265625</v>
      </c>
      <c r="K172" t="b">
        <v>0</v>
      </c>
      <c r="L172">
        <v>83639</v>
      </c>
      <c r="M172">
        <v>1</v>
      </c>
      <c r="N172">
        <v>3</v>
      </c>
    </row>
    <row r="173" spans="1:14">
      <c r="A173">
        <v>22320</v>
      </c>
      <c r="B173" t="s">
        <v>6288</v>
      </c>
      <c r="C173" t="s">
        <v>6289</v>
      </c>
      <c r="D173" t="s">
        <v>6257</v>
      </c>
      <c r="E173" t="s">
        <v>6253</v>
      </c>
      <c r="F173" t="s">
        <v>6258</v>
      </c>
      <c r="G173">
        <v>118272.953125</v>
      </c>
      <c r="H173">
        <v>2319.07739257813</v>
      </c>
      <c r="K173" t="b">
        <v>0</v>
      </c>
      <c r="L173">
        <v>97527</v>
      </c>
      <c r="M173">
        <v>1</v>
      </c>
      <c r="N173">
        <v>2</v>
      </c>
    </row>
    <row r="174" spans="1:14">
      <c r="A174">
        <v>22342</v>
      </c>
      <c r="B174" t="s">
        <v>6299</v>
      </c>
      <c r="C174" t="s">
        <v>6300</v>
      </c>
      <c r="D174" t="s">
        <v>6248</v>
      </c>
      <c r="E174" t="s">
        <v>6253</v>
      </c>
      <c r="F174" t="s">
        <v>6258</v>
      </c>
      <c r="G174">
        <v>118272.953125</v>
      </c>
      <c r="H174">
        <v>2319.07739257813</v>
      </c>
      <c r="I174" t="s">
        <v>6253</v>
      </c>
      <c r="K174" t="b">
        <v>0</v>
      </c>
      <c r="L174">
        <v>97439</v>
      </c>
      <c r="M174">
        <v>1</v>
      </c>
      <c r="N174">
        <v>1</v>
      </c>
    </row>
    <row r="175" spans="1:14">
      <c r="A175">
        <v>22358</v>
      </c>
      <c r="B175" t="s">
        <v>6271</v>
      </c>
      <c r="C175" t="s">
        <v>6272</v>
      </c>
      <c r="D175" t="s">
        <v>6257</v>
      </c>
      <c r="E175" t="s">
        <v>154</v>
      </c>
      <c r="F175" t="s">
        <v>6273</v>
      </c>
      <c r="G175">
        <v>79944.625</v>
      </c>
      <c r="H175">
        <v>1211.2822265625</v>
      </c>
      <c r="K175" t="b">
        <v>0</v>
      </c>
      <c r="L175">
        <v>83316</v>
      </c>
      <c r="M175">
        <v>2</v>
      </c>
      <c r="N175">
        <v>2</v>
      </c>
    </row>
    <row r="176" spans="1:14">
      <c r="A176">
        <v>22370</v>
      </c>
      <c r="B176" t="s">
        <v>6255</v>
      </c>
      <c r="C176" t="s">
        <v>6256</v>
      </c>
      <c r="D176" t="s">
        <v>6257</v>
      </c>
      <c r="E176" t="s">
        <v>6253</v>
      </c>
      <c r="F176" t="s">
        <v>6258</v>
      </c>
      <c r="G176">
        <v>118272.953125</v>
      </c>
      <c r="H176">
        <v>2319.07739257813</v>
      </c>
      <c r="K176" t="b">
        <v>0</v>
      </c>
      <c r="L176">
        <v>97317</v>
      </c>
      <c r="M176">
        <v>1</v>
      </c>
      <c r="N176">
        <v>1</v>
      </c>
    </row>
    <row r="177" spans="1:14">
      <c r="A177">
        <v>22397</v>
      </c>
      <c r="B177" t="s">
        <v>6339</v>
      </c>
      <c r="C177" t="s">
        <v>6340</v>
      </c>
      <c r="D177" t="s">
        <v>6248</v>
      </c>
      <c r="E177" t="s">
        <v>6268</v>
      </c>
      <c r="F177" t="s">
        <v>6269</v>
      </c>
      <c r="G177">
        <v>81607.8359375</v>
      </c>
      <c r="H177">
        <v>2914.5654296875</v>
      </c>
      <c r="I177" t="s">
        <v>6270</v>
      </c>
      <c r="K177" t="b">
        <v>0</v>
      </c>
      <c r="L177">
        <v>98823</v>
      </c>
      <c r="M177">
        <v>2</v>
      </c>
      <c r="N177">
        <v>2</v>
      </c>
    </row>
    <row r="178" spans="1:14">
      <c r="A178">
        <v>22403</v>
      </c>
      <c r="B178" t="s">
        <v>6288</v>
      </c>
      <c r="C178" t="s">
        <v>6289</v>
      </c>
      <c r="D178" t="s">
        <v>6257</v>
      </c>
      <c r="E178" t="s">
        <v>6290</v>
      </c>
      <c r="F178" t="s">
        <v>6291</v>
      </c>
      <c r="G178">
        <v>46836.8046875</v>
      </c>
      <c r="H178">
        <v>2128.94555664063</v>
      </c>
      <c r="K178" t="b">
        <v>0</v>
      </c>
      <c r="L178">
        <v>97702</v>
      </c>
      <c r="M178">
        <v>2</v>
      </c>
      <c r="N178">
        <v>1</v>
      </c>
    </row>
    <row r="179" spans="1:14">
      <c r="A179">
        <v>22412</v>
      </c>
      <c r="B179" t="s">
        <v>6264</v>
      </c>
      <c r="C179" t="s">
        <v>6265</v>
      </c>
      <c r="D179" t="s">
        <v>6257</v>
      </c>
      <c r="E179" t="s">
        <v>6262</v>
      </c>
      <c r="F179" t="s">
        <v>6263</v>
      </c>
      <c r="G179">
        <v>110363.3984375</v>
      </c>
      <c r="H179">
        <v>3065.64990234375</v>
      </c>
      <c r="K179" t="b">
        <v>0</v>
      </c>
      <c r="L179">
        <v>98376</v>
      </c>
      <c r="M179">
        <v>1</v>
      </c>
      <c r="N179">
        <v>1</v>
      </c>
    </row>
    <row r="180" spans="1:14">
      <c r="A180">
        <v>22418</v>
      </c>
      <c r="B180" t="s">
        <v>6280</v>
      </c>
      <c r="C180" t="s">
        <v>6281</v>
      </c>
      <c r="D180" t="s">
        <v>6257</v>
      </c>
      <c r="E180" t="s">
        <v>155</v>
      </c>
      <c r="F180" t="s">
        <v>6276</v>
      </c>
      <c r="G180">
        <v>52974.1640625</v>
      </c>
      <c r="H180">
        <v>868.428955078125</v>
      </c>
      <c r="J180" t="s">
        <v>6287</v>
      </c>
      <c r="K180" t="b">
        <v>1</v>
      </c>
      <c r="L180">
        <v>59701</v>
      </c>
      <c r="M180">
        <v>3</v>
      </c>
      <c r="N180">
        <v>1</v>
      </c>
    </row>
    <row r="181" spans="1:14">
      <c r="A181">
        <v>22419</v>
      </c>
      <c r="B181" t="s">
        <v>6282</v>
      </c>
      <c r="C181" t="s">
        <v>6283</v>
      </c>
      <c r="D181" t="s">
        <v>6257</v>
      </c>
      <c r="E181" t="s">
        <v>6268</v>
      </c>
      <c r="F181" t="s">
        <v>6269</v>
      </c>
      <c r="G181">
        <v>81607.8359375</v>
      </c>
      <c r="H181">
        <v>2914.5654296875</v>
      </c>
      <c r="K181" t="b">
        <v>0</v>
      </c>
      <c r="L181">
        <v>99027</v>
      </c>
      <c r="M181">
        <v>2</v>
      </c>
      <c r="N181">
        <v>2</v>
      </c>
    </row>
    <row r="182" spans="1:14">
      <c r="A182">
        <v>22463</v>
      </c>
      <c r="B182" t="s">
        <v>6301</v>
      </c>
      <c r="C182" t="s">
        <v>6302</v>
      </c>
      <c r="D182" t="s">
        <v>6248</v>
      </c>
      <c r="E182" t="s">
        <v>154</v>
      </c>
      <c r="F182" t="s">
        <v>6273</v>
      </c>
      <c r="G182">
        <v>79944.625</v>
      </c>
      <c r="H182">
        <v>1211.2822265625</v>
      </c>
      <c r="I182" t="s">
        <v>6277</v>
      </c>
      <c r="K182" t="b">
        <v>0</v>
      </c>
      <c r="L182">
        <v>83536</v>
      </c>
      <c r="M182">
        <v>2</v>
      </c>
      <c r="N182">
        <v>1</v>
      </c>
    </row>
    <row r="183" spans="1:14">
      <c r="A183">
        <v>22464</v>
      </c>
      <c r="B183" t="s">
        <v>6271</v>
      </c>
      <c r="C183" t="s">
        <v>6272</v>
      </c>
      <c r="D183" t="s">
        <v>6257</v>
      </c>
      <c r="E183" t="s">
        <v>154</v>
      </c>
      <c r="F183" t="s">
        <v>6273</v>
      </c>
      <c r="G183">
        <v>79944.625</v>
      </c>
      <c r="H183">
        <v>1211.2822265625</v>
      </c>
      <c r="J183" t="s">
        <v>6336</v>
      </c>
      <c r="K183" t="b">
        <v>1</v>
      </c>
      <c r="L183">
        <v>83704</v>
      </c>
      <c r="M183">
        <v>1</v>
      </c>
      <c r="N183">
        <v>3</v>
      </c>
    </row>
    <row r="184" spans="1:14">
      <c r="A184">
        <v>22465</v>
      </c>
      <c r="B184" t="s">
        <v>6264</v>
      </c>
      <c r="C184" t="s">
        <v>6265</v>
      </c>
      <c r="D184" t="s">
        <v>6257</v>
      </c>
      <c r="E184" t="s">
        <v>6262</v>
      </c>
      <c r="F184" t="s">
        <v>6263</v>
      </c>
      <c r="G184">
        <v>110363.3984375</v>
      </c>
      <c r="H184">
        <v>3065.64990234375</v>
      </c>
      <c r="K184" t="b">
        <v>0</v>
      </c>
      <c r="L184">
        <v>98501</v>
      </c>
      <c r="M184">
        <v>1</v>
      </c>
      <c r="N184">
        <v>1</v>
      </c>
    </row>
    <row r="185" spans="1:14">
      <c r="A185">
        <v>22468</v>
      </c>
      <c r="B185" t="s">
        <v>6271</v>
      </c>
      <c r="C185" t="s">
        <v>6272</v>
      </c>
      <c r="D185" t="s">
        <v>6257</v>
      </c>
      <c r="E185" t="s">
        <v>154</v>
      </c>
      <c r="F185" t="s">
        <v>6273</v>
      </c>
      <c r="G185">
        <v>79944.625</v>
      </c>
      <c r="H185">
        <v>1211.2822265625</v>
      </c>
      <c r="J185" t="s">
        <v>6336</v>
      </c>
      <c r="K185" t="b">
        <v>1</v>
      </c>
      <c r="L185">
        <v>83661</v>
      </c>
      <c r="M185">
        <v>1</v>
      </c>
      <c r="N185">
        <v>3</v>
      </c>
    </row>
    <row r="186" spans="1:14">
      <c r="A186">
        <v>22472</v>
      </c>
      <c r="B186" t="s">
        <v>6280</v>
      </c>
      <c r="C186" t="s">
        <v>6281</v>
      </c>
      <c r="D186" t="s">
        <v>6257</v>
      </c>
      <c r="E186" t="s">
        <v>155</v>
      </c>
      <c r="F186" t="s">
        <v>6276</v>
      </c>
      <c r="G186">
        <v>52974.1640625</v>
      </c>
      <c r="H186">
        <v>868.428955078125</v>
      </c>
      <c r="J186" t="s">
        <v>6287</v>
      </c>
      <c r="K186" t="b">
        <v>1</v>
      </c>
      <c r="L186">
        <v>59808</v>
      </c>
      <c r="M186">
        <v>3</v>
      </c>
      <c r="N186">
        <v>1</v>
      </c>
    </row>
    <row r="187" spans="1:14">
      <c r="A187">
        <v>22484</v>
      </c>
      <c r="B187" t="s">
        <v>6327</v>
      </c>
      <c r="C187" t="s">
        <v>6328</v>
      </c>
      <c r="D187" t="s">
        <v>6248</v>
      </c>
      <c r="E187" t="s">
        <v>154</v>
      </c>
      <c r="F187" t="s">
        <v>6273</v>
      </c>
      <c r="G187">
        <v>79944.625</v>
      </c>
      <c r="H187">
        <v>1211.2822265625</v>
      </c>
      <c r="I187" t="s">
        <v>6277</v>
      </c>
      <c r="K187" t="b">
        <v>0</v>
      </c>
      <c r="L187">
        <v>83226</v>
      </c>
      <c r="M187">
        <v>3</v>
      </c>
      <c r="N187">
        <v>1</v>
      </c>
    </row>
    <row r="188" spans="1:14">
      <c r="A188">
        <v>22508</v>
      </c>
      <c r="B188" t="s">
        <v>6345</v>
      </c>
      <c r="C188" t="s">
        <v>6346</v>
      </c>
      <c r="D188" t="s">
        <v>6248</v>
      </c>
      <c r="E188" t="s">
        <v>6249</v>
      </c>
      <c r="F188" t="s">
        <v>6294</v>
      </c>
      <c r="G188">
        <v>42577.7109375</v>
      </c>
      <c r="H188">
        <v>2128.88549804688</v>
      </c>
      <c r="I188" t="s">
        <v>6249</v>
      </c>
      <c r="K188" t="b">
        <v>0</v>
      </c>
      <c r="L188">
        <v>98643</v>
      </c>
      <c r="M188">
        <v>1</v>
      </c>
      <c r="N188">
        <v>1</v>
      </c>
    </row>
    <row r="189" spans="1:14">
      <c r="A189">
        <v>22511</v>
      </c>
      <c r="B189" t="s">
        <v>6347</v>
      </c>
      <c r="C189" t="s">
        <v>6348</v>
      </c>
      <c r="D189" t="s">
        <v>6248</v>
      </c>
      <c r="E189" t="s">
        <v>6253</v>
      </c>
      <c r="F189" t="s">
        <v>6258</v>
      </c>
      <c r="G189">
        <v>118272.953125</v>
      </c>
      <c r="H189">
        <v>2319.07739257813</v>
      </c>
      <c r="I189" t="s">
        <v>6253</v>
      </c>
      <c r="K189" t="b">
        <v>0</v>
      </c>
      <c r="L189">
        <v>97463</v>
      </c>
      <c r="M189">
        <v>1</v>
      </c>
      <c r="N189">
        <v>1</v>
      </c>
    </row>
    <row r="190" spans="1:14">
      <c r="A190">
        <v>22552</v>
      </c>
      <c r="B190" t="s">
        <v>6280</v>
      </c>
      <c r="C190" t="s">
        <v>6281</v>
      </c>
      <c r="D190" t="s">
        <v>6257</v>
      </c>
      <c r="E190" t="s">
        <v>155</v>
      </c>
      <c r="F190" t="s">
        <v>6276</v>
      </c>
      <c r="G190">
        <v>52974.1640625</v>
      </c>
      <c r="H190">
        <v>868.428955078125</v>
      </c>
      <c r="K190" t="b">
        <v>0</v>
      </c>
      <c r="L190">
        <v>59832</v>
      </c>
      <c r="M190">
        <v>3</v>
      </c>
      <c r="N190">
        <v>1</v>
      </c>
    </row>
    <row r="191" spans="1:14">
      <c r="A191">
        <v>22565</v>
      </c>
      <c r="B191" t="s">
        <v>6280</v>
      </c>
      <c r="C191" t="s">
        <v>6281</v>
      </c>
      <c r="D191" t="s">
        <v>6257</v>
      </c>
      <c r="E191" t="s">
        <v>155</v>
      </c>
      <c r="F191" t="s">
        <v>6276</v>
      </c>
      <c r="G191">
        <v>52974.1640625</v>
      </c>
      <c r="H191">
        <v>868.428955078125</v>
      </c>
      <c r="J191" t="s">
        <v>6287</v>
      </c>
      <c r="K191" t="b">
        <v>1</v>
      </c>
      <c r="L191">
        <v>59722</v>
      </c>
      <c r="M191">
        <v>3</v>
      </c>
      <c r="N191">
        <v>1</v>
      </c>
    </row>
    <row r="192" spans="1:14">
      <c r="A192">
        <v>22605</v>
      </c>
      <c r="B192" t="s">
        <v>6331</v>
      </c>
      <c r="C192" t="s">
        <v>6332</v>
      </c>
      <c r="D192" t="s">
        <v>6248</v>
      </c>
      <c r="E192" t="s">
        <v>6253</v>
      </c>
      <c r="F192" t="s">
        <v>6258</v>
      </c>
      <c r="G192">
        <v>118272.953125</v>
      </c>
      <c r="H192">
        <v>2319.07739257813</v>
      </c>
      <c r="I192" t="s">
        <v>6253</v>
      </c>
      <c r="K192" t="b">
        <v>0</v>
      </c>
      <c r="L192">
        <v>97390</v>
      </c>
      <c r="M192">
        <v>1</v>
      </c>
      <c r="N192">
        <v>1</v>
      </c>
    </row>
    <row r="193" spans="1:14">
      <c r="A193">
        <v>22630</v>
      </c>
      <c r="B193" t="s">
        <v>6274</v>
      </c>
      <c r="C193" t="s">
        <v>6275</v>
      </c>
      <c r="D193" t="s">
        <v>6248</v>
      </c>
      <c r="E193" t="s">
        <v>155</v>
      </c>
      <c r="F193" t="s">
        <v>6276</v>
      </c>
      <c r="G193">
        <v>52974.1640625</v>
      </c>
      <c r="H193">
        <v>868.428955078125</v>
      </c>
      <c r="I193" t="s">
        <v>6277</v>
      </c>
      <c r="K193" t="b">
        <v>0</v>
      </c>
      <c r="L193">
        <v>59759</v>
      </c>
      <c r="M193">
        <v>3</v>
      </c>
      <c r="N193">
        <v>1</v>
      </c>
    </row>
    <row r="194" spans="1:14">
      <c r="A194">
        <v>22639</v>
      </c>
      <c r="B194" t="s">
        <v>6307</v>
      </c>
      <c r="C194" t="s">
        <v>6308</v>
      </c>
      <c r="D194" t="s">
        <v>6248</v>
      </c>
      <c r="E194" t="s">
        <v>6262</v>
      </c>
      <c r="F194" t="s">
        <v>6263</v>
      </c>
      <c r="G194">
        <v>110363.3984375</v>
      </c>
      <c r="H194">
        <v>3065.64990234375</v>
      </c>
      <c r="I194" t="s">
        <v>6262</v>
      </c>
      <c r="K194" t="b">
        <v>0</v>
      </c>
      <c r="L194">
        <v>98271</v>
      </c>
      <c r="M194">
        <v>1</v>
      </c>
      <c r="N194">
        <v>1</v>
      </c>
    </row>
    <row r="195" spans="1:14">
      <c r="A195">
        <v>22643</v>
      </c>
      <c r="B195" t="s">
        <v>6271</v>
      </c>
      <c r="C195" t="s">
        <v>6272</v>
      </c>
      <c r="D195" t="s">
        <v>6257</v>
      </c>
      <c r="E195" t="s">
        <v>154</v>
      </c>
      <c r="F195" t="s">
        <v>6273</v>
      </c>
      <c r="G195">
        <v>79944.625</v>
      </c>
      <c r="H195">
        <v>1211.2822265625</v>
      </c>
      <c r="K195" t="b">
        <v>0</v>
      </c>
      <c r="L195">
        <v>83655</v>
      </c>
      <c r="M195">
        <v>1</v>
      </c>
      <c r="N195">
        <v>3</v>
      </c>
    </row>
    <row r="196" spans="1:14">
      <c r="A196">
        <v>22647</v>
      </c>
      <c r="B196" t="s">
        <v>6282</v>
      </c>
      <c r="C196" t="s">
        <v>6283</v>
      </c>
      <c r="D196" t="s">
        <v>6257</v>
      </c>
      <c r="E196" t="s">
        <v>154</v>
      </c>
      <c r="F196" t="s">
        <v>6273</v>
      </c>
      <c r="G196">
        <v>79944.625</v>
      </c>
      <c r="H196">
        <v>1211.2822265625</v>
      </c>
      <c r="J196" t="s">
        <v>6284</v>
      </c>
      <c r="K196" t="b">
        <v>1</v>
      </c>
      <c r="L196">
        <v>83501</v>
      </c>
      <c r="M196">
        <v>1</v>
      </c>
      <c r="N196">
        <v>3</v>
      </c>
    </row>
    <row r="197" spans="1:14">
      <c r="A197">
        <v>22657</v>
      </c>
      <c r="B197" t="s">
        <v>6271</v>
      </c>
      <c r="C197" t="s">
        <v>6272</v>
      </c>
      <c r="D197" t="s">
        <v>6257</v>
      </c>
      <c r="E197" t="s">
        <v>154</v>
      </c>
      <c r="F197" t="s">
        <v>6273</v>
      </c>
      <c r="G197">
        <v>79944.625</v>
      </c>
      <c r="H197">
        <v>1211.2822265625</v>
      </c>
      <c r="K197" t="b">
        <v>0</v>
      </c>
      <c r="L197">
        <v>83660</v>
      </c>
      <c r="M197">
        <v>1</v>
      </c>
      <c r="N197">
        <v>3</v>
      </c>
    </row>
    <row r="198" spans="1:14">
      <c r="A198">
        <v>22674</v>
      </c>
      <c r="B198" t="s">
        <v>6266</v>
      </c>
      <c r="C198" t="s">
        <v>6267</v>
      </c>
      <c r="D198" t="s">
        <v>6248</v>
      </c>
      <c r="E198" t="s">
        <v>6268</v>
      </c>
      <c r="F198" t="s">
        <v>6269</v>
      </c>
      <c r="G198">
        <v>81607.8359375</v>
      </c>
      <c r="H198">
        <v>2914.5654296875</v>
      </c>
      <c r="I198" t="s">
        <v>6270</v>
      </c>
      <c r="K198" t="b">
        <v>0</v>
      </c>
      <c r="L198">
        <v>99036</v>
      </c>
      <c r="M198">
        <v>2</v>
      </c>
      <c r="N198">
        <v>2</v>
      </c>
    </row>
    <row r="199" spans="1:14">
      <c r="A199">
        <v>22682</v>
      </c>
      <c r="B199" t="s">
        <v>6349</v>
      </c>
      <c r="C199" t="s">
        <v>6350</v>
      </c>
      <c r="D199" t="s">
        <v>6248</v>
      </c>
      <c r="E199" t="s">
        <v>6253</v>
      </c>
      <c r="F199" t="s">
        <v>6258</v>
      </c>
      <c r="G199">
        <v>118272.953125</v>
      </c>
      <c r="H199">
        <v>2319.07739257813</v>
      </c>
      <c r="I199" t="s">
        <v>6253</v>
      </c>
      <c r="K199" t="b">
        <v>0</v>
      </c>
      <c r="L199">
        <v>97128</v>
      </c>
      <c r="M199">
        <v>1</v>
      </c>
      <c r="N199">
        <v>1</v>
      </c>
    </row>
    <row r="200" spans="1:14">
      <c r="A200">
        <v>22690</v>
      </c>
      <c r="B200" t="s">
        <v>6351</v>
      </c>
      <c r="C200" t="s">
        <v>6352</v>
      </c>
      <c r="D200" t="s">
        <v>6248</v>
      </c>
      <c r="E200" t="s">
        <v>6268</v>
      </c>
      <c r="F200" t="s">
        <v>6269</v>
      </c>
      <c r="G200">
        <v>81607.8359375</v>
      </c>
      <c r="H200">
        <v>2914.5654296875</v>
      </c>
      <c r="I200" t="s">
        <v>6270</v>
      </c>
      <c r="K200" t="b">
        <v>0</v>
      </c>
      <c r="L200">
        <v>99301</v>
      </c>
      <c r="M200">
        <v>1</v>
      </c>
      <c r="N200">
        <v>3</v>
      </c>
    </row>
    <row r="201" spans="1:14">
      <c r="A201">
        <v>22707</v>
      </c>
      <c r="B201" t="s">
        <v>6255</v>
      </c>
      <c r="C201" t="s">
        <v>6256</v>
      </c>
      <c r="D201" t="s">
        <v>6257</v>
      </c>
      <c r="E201" t="s">
        <v>6253</v>
      </c>
      <c r="F201" t="s">
        <v>6258</v>
      </c>
      <c r="G201">
        <v>118272.953125</v>
      </c>
      <c r="H201">
        <v>2319.07739257813</v>
      </c>
      <c r="K201" t="b">
        <v>0</v>
      </c>
      <c r="L201">
        <v>97305</v>
      </c>
      <c r="M201">
        <v>1</v>
      </c>
      <c r="N201">
        <v>1</v>
      </c>
    </row>
    <row r="202" spans="1:14">
      <c r="A202">
        <v>22713</v>
      </c>
      <c r="B202" t="s">
        <v>6334</v>
      </c>
      <c r="C202" t="s">
        <v>6335</v>
      </c>
      <c r="D202" t="s">
        <v>6248</v>
      </c>
      <c r="E202" t="s">
        <v>154</v>
      </c>
      <c r="F202" t="s">
        <v>6273</v>
      </c>
      <c r="G202">
        <v>79944.625</v>
      </c>
      <c r="H202">
        <v>1211.2822265625</v>
      </c>
      <c r="I202" t="s">
        <v>6277</v>
      </c>
      <c r="K202" t="b">
        <v>0</v>
      </c>
      <c r="L202">
        <v>83823</v>
      </c>
      <c r="M202">
        <v>2</v>
      </c>
      <c r="N202">
        <v>1</v>
      </c>
    </row>
    <row r="203" spans="1:14">
      <c r="A203">
        <v>22716</v>
      </c>
      <c r="B203" t="s">
        <v>6311</v>
      </c>
      <c r="C203" t="s">
        <v>6312</v>
      </c>
      <c r="D203" t="s">
        <v>6248</v>
      </c>
      <c r="E203" t="s">
        <v>155</v>
      </c>
      <c r="F203" t="s">
        <v>6276</v>
      </c>
      <c r="G203">
        <v>52974.1640625</v>
      </c>
      <c r="H203">
        <v>868.428955078125</v>
      </c>
      <c r="I203" t="s">
        <v>6277</v>
      </c>
      <c r="K203" t="b">
        <v>0</v>
      </c>
      <c r="L203">
        <v>59923</v>
      </c>
      <c r="M203">
        <v>2</v>
      </c>
      <c r="N203">
        <v>1</v>
      </c>
    </row>
    <row r="204" spans="1:14">
      <c r="A204">
        <v>22730</v>
      </c>
      <c r="B204" t="s">
        <v>6280</v>
      </c>
      <c r="C204" t="s">
        <v>6281</v>
      </c>
      <c r="D204" t="s">
        <v>6257</v>
      </c>
      <c r="E204" t="s">
        <v>155</v>
      </c>
      <c r="F204" t="s">
        <v>6276</v>
      </c>
      <c r="G204">
        <v>52974.1640625</v>
      </c>
      <c r="H204">
        <v>868.428955078125</v>
      </c>
      <c r="J204" t="s">
        <v>6287</v>
      </c>
      <c r="K204" t="b">
        <v>1</v>
      </c>
      <c r="L204">
        <v>59722</v>
      </c>
      <c r="M204">
        <v>3</v>
      </c>
      <c r="N204">
        <v>1</v>
      </c>
    </row>
    <row r="205" spans="1:14">
      <c r="A205">
        <v>22732</v>
      </c>
      <c r="B205" t="s">
        <v>6264</v>
      </c>
      <c r="C205" t="s">
        <v>6265</v>
      </c>
      <c r="D205" t="s">
        <v>6257</v>
      </c>
      <c r="E205" t="s">
        <v>6262</v>
      </c>
      <c r="F205" t="s">
        <v>6263</v>
      </c>
      <c r="G205">
        <v>110363.3984375</v>
      </c>
      <c r="H205">
        <v>3065.64990234375</v>
      </c>
      <c r="K205" t="b">
        <v>0</v>
      </c>
      <c r="L205">
        <v>98597</v>
      </c>
      <c r="M205">
        <v>1</v>
      </c>
      <c r="N205">
        <v>1</v>
      </c>
    </row>
    <row r="206" spans="1:14">
      <c r="A206">
        <v>22736</v>
      </c>
      <c r="B206" t="s">
        <v>6271</v>
      </c>
      <c r="C206" t="s">
        <v>6272</v>
      </c>
      <c r="D206" t="s">
        <v>6257</v>
      </c>
      <c r="E206" t="s">
        <v>154</v>
      </c>
      <c r="F206" t="s">
        <v>6273</v>
      </c>
      <c r="G206">
        <v>79944.625</v>
      </c>
      <c r="H206">
        <v>1211.2822265625</v>
      </c>
      <c r="K206" t="b">
        <v>0</v>
      </c>
      <c r="L206">
        <v>83676</v>
      </c>
      <c r="M206">
        <v>1</v>
      </c>
      <c r="N206">
        <v>3</v>
      </c>
    </row>
    <row r="207" spans="1:14">
      <c r="A207">
        <v>22772</v>
      </c>
      <c r="B207" t="s">
        <v>6353</v>
      </c>
      <c r="C207" t="s">
        <v>6354</v>
      </c>
      <c r="D207" t="s">
        <v>6248</v>
      </c>
      <c r="E207" t="s">
        <v>154</v>
      </c>
      <c r="F207" t="s">
        <v>6273</v>
      </c>
      <c r="G207">
        <v>79944.625</v>
      </c>
      <c r="H207">
        <v>1211.2822265625</v>
      </c>
      <c r="I207" t="s">
        <v>6277</v>
      </c>
      <c r="K207" t="b">
        <v>0</v>
      </c>
      <c r="L207">
        <v>83860</v>
      </c>
      <c r="M207">
        <v>3</v>
      </c>
      <c r="N207">
        <v>1</v>
      </c>
    </row>
    <row r="208" spans="1:14">
      <c r="A208">
        <v>22773</v>
      </c>
      <c r="B208" t="s">
        <v>6288</v>
      </c>
      <c r="C208" t="s">
        <v>6289</v>
      </c>
      <c r="D208" t="s">
        <v>6257</v>
      </c>
      <c r="E208" t="s">
        <v>6253</v>
      </c>
      <c r="F208" t="s">
        <v>6258</v>
      </c>
      <c r="G208">
        <v>118272.953125</v>
      </c>
      <c r="H208">
        <v>2319.07739257813</v>
      </c>
      <c r="K208" t="b">
        <v>0</v>
      </c>
      <c r="L208">
        <v>97322</v>
      </c>
      <c r="M208">
        <v>1</v>
      </c>
      <c r="N208">
        <v>1</v>
      </c>
    </row>
    <row r="209" spans="1:14">
      <c r="A209">
        <v>22775</v>
      </c>
      <c r="B209" t="s">
        <v>6288</v>
      </c>
      <c r="C209" t="s">
        <v>6289</v>
      </c>
      <c r="D209" t="s">
        <v>6257</v>
      </c>
      <c r="E209" t="s">
        <v>6290</v>
      </c>
      <c r="F209" t="s">
        <v>6291</v>
      </c>
      <c r="G209">
        <v>46836.8046875</v>
      </c>
      <c r="H209">
        <v>2128.94555664063</v>
      </c>
      <c r="J209" t="s">
        <v>6284</v>
      </c>
      <c r="K209" t="b">
        <v>1</v>
      </c>
      <c r="L209">
        <v>97603</v>
      </c>
      <c r="M209">
        <v>2</v>
      </c>
      <c r="N209">
        <v>2</v>
      </c>
    </row>
    <row r="210" spans="1:14">
      <c r="A210">
        <v>22811</v>
      </c>
      <c r="B210" t="s">
        <v>6288</v>
      </c>
      <c r="C210" t="s">
        <v>6289</v>
      </c>
      <c r="D210" t="s">
        <v>6257</v>
      </c>
      <c r="E210" t="s">
        <v>6290</v>
      </c>
      <c r="F210" t="s">
        <v>6291</v>
      </c>
      <c r="G210">
        <v>46836.8046875</v>
      </c>
      <c r="H210">
        <v>2128.94555664063</v>
      </c>
      <c r="J210" t="s">
        <v>6284</v>
      </c>
      <c r="K210" t="b">
        <v>1</v>
      </c>
      <c r="L210">
        <v>97603</v>
      </c>
      <c r="M210">
        <v>2</v>
      </c>
      <c r="N210">
        <v>2</v>
      </c>
    </row>
    <row r="211" spans="1:14">
      <c r="A211">
        <v>22821</v>
      </c>
      <c r="B211" t="s">
        <v>6266</v>
      </c>
      <c r="C211" t="s">
        <v>6267</v>
      </c>
      <c r="D211" t="s">
        <v>6248</v>
      </c>
      <c r="E211" t="s">
        <v>6268</v>
      </c>
      <c r="F211" t="s">
        <v>6269</v>
      </c>
      <c r="G211">
        <v>81607.8359375</v>
      </c>
      <c r="H211">
        <v>2914.5654296875</v>
      </c>
      <c r="I211" t="s">
        <v>6270</v>
      </c>
      <c r="K211" t="b">
        <v>0</v>
      </c>
      <c r="L211">
        <v>99224</v>
      </c>
      <c r="M211">
        <v>2</v>
      </c>
      <c r="N211">
        <v>2</v>
      </c>
    </row>
    <row r="212" spans="1:14">
      <c r="A212">
        <v>22824</v>
      </c>
      <c r="B212" t="s">
        <v>6288</v>
      </c>
      <c r="C212" t="s">
        <v>6289</v>
      </c>
      <c r="D212" t="s">
        <v>6257</v>
      </c>
      <c r="E212" t="s">
        <v>6290</v>
      </c>
      <c r="F212" t="s">
        <v>6291</v>
      </c>
      <c r="G212">
        <v>46836.8046875</v>
      </c>
      <c r="H212">
        <v>2128.94555664063</v>
      </c>
      <c r="K212" t="b">
        <v>0</v>
      </c>
      <c r="L212">
        <v>97622</v>
      </c>
      <c r="M212">
        <v>2</v>
      </c>
      <c r="N212">
        <v>2</v>
      </c>
    </row>
    <row r="213" spans="1:14">
      <c r="A213">
        <v>22827</v>
      </c>
      <c r="B213" t="s">
        <v>6271</v>
      </c>
      <c r="C213" t="s">
        <v>6272</v>
      </c>
      <c r="D213" t="s">
        <v>6257</v>
      </c>
      <c r="E213" t="s">
        <v>154</v>
      </c>
      <c r="F213" t="s">
        <v>6273</v>
      </c>
      <c r="G213">
        <v>79944.625</v>
      </c>
      <c r="H213">
        <v>1211.2822265625</v>
      </c>
      <c r="K213" t="b">
        <v>0</v>
      </c>
      <c r="L213">
        <v>83634</v>
      </c>
      <c r="M213">
        <v>1</v>
      </c>
      <c r="N213">
        <v>3</v>
      </c>
    </row>
    <row r="214" spans="1:14">
      <c r="A214">
        <v>22859</v>
      </c>
      <c r="B214" t="s">
        <v>6255</v>
      </c>
      <c r="C214" t="s">
        <v>6256</v>
      </c>
      <c r="D214" t="s">
        <v>6257</v>
      </c>
      <c r="E214" t="s">
        <v>6253</v>
      </c>
      <c r="F214" t="s">
        <v>6258</v>
      </c>
      <c r="G214">
        <v>118272.953125</v>
      </c>
      <c r="H214">
        <v>2319.07739257813</v>
      </c>
      <c r="K214" t="b">
        <v>0</v>
      </c>
      <c r="L214">
        <v>97305</v>
      </c>
      <c r="M214">
        <v>1</v>
      </c>
      <c r="N214">
        <v>1</v>
      </c>
    </row>
    <row r="215" spans="1:14">
      <c r="A215">
        <v>22862</v>
      </c>
      <c r="B215" t="s">
        <v>6255</v>
      </c>
      <c r="C215" t="s">
        <v>6256</v>
      </c>
      <c r="D215" t="s">
        <v>6257</v>
      </c>
      <c r="E215" t="s">
        <v>6253</v>
      </c>
      <c r="F215" t="s">
        <v>6258</v>
      </c>
      <c r="G215">
        <v>118272.953125</v>
      </c>
      <c r="H215">
        <v>2319.07739257813</v>
      </c>
      <c r="K215" t="b">
        <v>0</v>
      </c>
      <c r="L215">
        <v>97301</v>
      </c>
      <c r="M215">
        <v>1</v>
      </c>
      <c r="N215">
        <v>1</v>
      </c>
    </row>
    <row r="216" spans="1:14">
      <c r="A216">
        <v>22865</v>
      </c>
      <c r="B216" t="s">
        <v>6337</v>
      </c>
      <c r="C216" t="s">
        <v>6338</v>
      </c>
      <c r="D216" t="s">
        <v>6248</v>
      </c>
      <c r="E216" t="s">
        <v>6249</v>
      </c>
      <c r="F216" t="s">
        <v>6294</v>
      </c>
      <c r="G216">
        <v>42577.7109375</v>
      </c>
      <c r="H216">
        <v>2128.88549804688</v>
      </c>
      <c r="I216" t="s">
        <v>6249</v>
      </c>
      <c r="K216" t="b">
        <v>0</v>
      </c>
      <c r="L216">
        <v>98382</v>
      </c>
      <c r="M216">
        <v>1</v>
      </c>
      <c r="N216">
        <v>1</v>
      </c>
    </row>
    <row r="217" spans="1:14">
      <c r="A217">
        <v>22882</v>
      </c>
      <c r="B217" t="s">
        <v>6288</v>
      </c>
      <c r="C217" t="s">
        <v>6289</v>
      </c>
      <c r="D217" t="s">
        <v>6257</v>
      </c>
      <c r="E217" t="s">
        <v>6253</v>
      </c>
      <c r="F217" t="s">
        <v>6258</v>
      </c>
      <c r="G217">
        <v>118272.953125</v>
      </c>
      <c r="H217">
        <v>2319.07739257813</v>
      </c>
      <c r="K217" t="b">
        <v>0</v>
      </c>
      <c r="L217">
        <v>97330</v>
      </c>
      <c r="M217">
        <v>1</v>
      </c>
      <c r="N217">
        <v>1</v>
      </c>
    </row>
    <row r="218" spans="1:14">
      <c r="A218">
        <v>22910</v>
      </c>
      <c r="B218" t="s">
        <v>6355</v>
      </c>
      <c r="C218" t="s">
        <v>6356</v>
      </c>
      <c r="D218" t="s">
        <v>6248</v>
      </c>
      <c r="E218" t="s">
        <v>6253</v>
      </c>
      <c r="F218" t="s">
        <v>6258</v>
      </c>
      <c r="G218">
        <v>118272.953125</v>
      </c>
      <c r="H218">
        <v>2319.07739257813</v>
      </c>
      <c r="I218" t="s">
        <v>6253</v>
      </c>
      <c r="K218" t="b">
        <v>0</v>
      </c>
      <c r="L218">
        <v>97415</v>
      </c>
      <c r="M218">
        <v>1</v>
      </c>
      <c r="N218">
        <v>1</v>
      </c>
    </row>
    <row r="219" spans="1:14">
      <c r="A219">
        <v>22913</v>
      </c>
      <c r="B219" t="s">
        <v>6343</v>
      </c>
      <c r="C219" t="s">
        <v>6344</v>
      </c>
      <c r="D219" t="s">
        <v>6248</v>
      </c>
      <c r="E219" t="s">
        <v>6249</v>
      </c>
      <c r="F219" t="s">
        <v>6294</v>
      </c>
      <c r="G219">
        <v>42577.7109375</v>
      </c>
      <c r="H219">
        <v>2128.88549804688</v>
      </c>
      <c r="I219" t="s">
        <v>6249</v>
      </c>
      <c r="K219" t="b">
        <v>0</v>
      </c>
      <c r="L219">
        <v>98531</v>
      </c>
      <c r="M219">
        <v>1</v>
      </c>
      <c r="N219">
        <v>1</v>
      </c>
    </row>
    <row r="220" spans="1:14">
      <c r="A220">
        <v>22916</v>
      </c>
      <c r="B220" t="s">
        <v>6282</v>
      </c>
      <c r="C220" t="s">
        <v>6283</v>
      </c>
      <c r="D220" t="s">
        <v>6257</v>
      </c>
      <c r="E220" t="s">
        <v>154</v>
      </c>
      <c r="F220" t="s">
        <v>6273</v>
      </c>
      <c r="G220">
        <v>79944.625</v>
      </c>
      <c r="H220">
        <v>1211.2822265625</v>
      </c>
      <c r="K220" t="b">
        <v>0</v>
      </c>
      <c r="L220">
        <v>83501</v>
      </c>
      <c r="M220">
        <v>1</v>
      </c>
      <c r="N220">
        <v>3</v>
      </c>
    </row>
    <row r="221" spans="1:14">
      <c r="A221">
        <v>22927</v>
      </c>
      <c r="B221" t="s">
        <v>6280</v>
      </c>
      <c r="C221" t="s">
        <v>6281</v>
      </c>
      <c r="D221" t="s">
        <v>6257</v>
      </c>
      <c r="E221" t="s">
        <v>155</v>
      </c>
      <c r="F221" t="s">
        <v>6276</v>
      </c>
      <c r="G221">
        <v>52974.1640625</v>
      </c>
      <c r="H221">
        <v>868.428955078125</v>
      </c>
      <c r="J221" t="s">
        <v>6287</v>
      </c>
      <c r="K221" t="b">
        <v>1</v>
      </c>
      <c r="L221">
        <v>59701</v>
      </c>
      <c r="M221">
        <v>3</v>
      </c>
      <c r="N221">
        <v>1</v>
      </c>
    </row>
    <row r="222" spans="1:14">
      <c r="A222">
        <v>22928</v>
      </c>
      <c r="B222" t="s">
        <v>6266</v>
      </c>
      <c r="C222" t="s">
        <v>6267</v>
      </c>
      <c r="D222" t="s">
        <v>6248</v>
      </c>
      <c r="E222" t="s">
        <v>6268</v>
      </c>
      <c r="F222" t="s">
        <v>6269</v>
      </c>
      <c r="G222">
        <v>81607.8359375</v>
      </c>
      <c r="H222">
        <v>2914.5654296875</v>
      </c>
      <c r="I222" t="s">
        <v>6270</v>
      </c>
      <c r="K222" t="b">
        <v>0</v>
      </c>
      <c r="L222">
        <v>99224</v>
      </c>
      <c r="M222">
        <v>2</v>
      </c>
      <c r="N222">
        <v>2</v>
      </c>
    </row>
    <row r="223" spans="1:14">
      <c r="A223">
        <v>22933</v>
      </c>
      <c r="B223" t="s">
        <v>6337</v>
      </c>
      <c r="C223" t="s">
        <v>6338</v>
      </c>
      <c r="D223" t="s">
        <v>6248</v>
      </c>
      <c r="E223" t="s">
        <v>6249</v>
      </c>
      <c r="F223" t="s">
        <v>6294</v>
      </c>
      <c r="G223">
        <v>42577.7109375</v>
      </c>
      <c r="H223">
        <v>2128.88549804688</v>
      </c>
      <c r="I223" t="s">
        <v>6249</v>
      </c>
      <c r="K223" t="b">
        <v>0</v>
      </c>
      <c r="L223">
        <v>98362</v>
      </c>
      <c r="M223">
        <v>1</v>
      </c>
      <c r="N223">
        <v>1</v>
      </c>
    </row>
    <row r="224" spans="1:14">
      <c r="A224">
        <v>22942</v>
      </c>
      <c r="B224" t="s">
        <v>6280</v>
      </c>
      <c r="C224" t="s">
        <v>6281</v>
      </c>
      <c r="D224" t="s">
        <v>6257</v>
      </c>
      <c r="E224" t="s">
        <v>155</v>
      </c>
      <c r="F224" t="s">
        <v>6276</v>
      </c>
      <c r="G224">
        <v>52974.1640625</v>
      </c>
      <c r="H224">
        <v>868.428955078125</v>
      </c>
      <c r="J224" t="s">
        <v>6287</v>
      </c>
      <c r="K224" t="b">
        <v>1</v>
      </c>
      <c r="L224">
        <v>59635</v>
      </c>
      <c r="M224">
        <v>3</v>
      </c>
      <c r="N224">
        <v>2</v>
      </c>
    </row>
    <row r="225" spans="1:14">
      <c r="A225">
        <v>22983</v>
      </c>
      <c r="B225" t="s">
        <v>6334</v>
      </c>
      <c r="C225" t="s">
        <v>6335</v>
      </c>
      <c r="D225" t="s">
        <v>6248</v>
      </c>
      <c r="E225" t="s">
        <v>154</v>
      </c>
      <c r="F225" t="s">
        <v>6273</v>
      </c>
      <c r="G225">
        <v>79944.625</v>
      </c>
      <c r="H225">
        <v>1211.2822265625</v>
      </c>
      <c r="I225" t="s">
        <v>6277</v>
      </c>
      <c r="K225" t="b">
        <v>0</v>
      </c>
      <c r="L225">
        <v>83544</v>
      </c>
      <c r="M225">
        <v>2</v>
      </c>
      <c r="N225">
        <v>2</v>
      </c>
    </row>
    <row r="226" spans="1:14">
      <c r="A226">
        <v>23004</v>
      </c>
      <c r="B226" t="s">
        <v>6292</v>
      </c>
      <c r="C226" t="s">
        <v>6293</v>
      </c>
      <c r="D226" t="s">
        <v>6248</v>
      </c>
      <c r="E226" t="s">
        <v>6249</v>
      </c>
      <c r="F226" t="s">
        <v>6294</v>
      </c>
      <c r="G226">
        <v>42577.7109375</v>
      </c>
      <c r="H226">
        <v>2128.88549804688</v>
      </c>
      <c r="I226" t="s">
        <v>6249</v>
      </c>
      <c r="K226" t="b">
        <v>0</v>
      </c>
      <c r="L226">
        <v>98550</v>
      </c>
      <c r="M226">
        <v>1</v>
      </c>
      <c r="N226">
        <v>1</v>
      </c>
    </row>
    <row r="227" spans="1:14">
      <c r="A227">
        <v>23025</v>
      </c>
      <c r="B227" t="s">
        <v>6288</v>
      </c>
      <c r="C227" t="s">
        <v>6289</v>
      </c>
      <c r="D227" t="s">
        <v>6257</v>
      </c>
      <c r="E227" t="s">
        <v>154</v>
      </c>
      <c r="F227" t="s">
        <v>6273</v>
      </c>
      <c r="G227">
        <v>79944.625</v>
      </c>
      <c r="H227">
        <v>1211.2822265625</v>
      </c>
      <c r="J227" t="s">
        <v>6336</v>
      </c>
      <c r="K227" t="b">
        <v>1</v>
      </c>
      <c r="L227">
        <v>83254</v>
      </c>
      <c r="M227">
        <v>3</v>
      </c>
      <c r="N227">
        <v>1</v>
      </c>
    </row>
    <row r="228" spans="1:14">
      <c r="A228">
        <v>23035</v>
      </c>
      <c r="B228" t="s">
        <v>6357</v>
      </c>
      <c r="C228" t="s">
        <v>6358</v>
      </c>
      <c r="D228" t="s">
        <v>6248</v>
      </c>
      <c r="E228" t="s">
        <v>6268</v>
      </c>
      <c r="F228" t="s">
        <v>6269</v>
      </c>
      <c r="G228">
        <v>81607.8359375</v>
      </c>
      <c r="H228">
        <v>2914.5654296875</v>
      </c>
      <c r="I228" t="s">
        <v>6270</v>
      </c>
      <c r="K228" t="b">
        <v>0</v>
      </c>
      <c r="L228">
        <v>99361</v>
      </c>
      <c r="M228">
        <v>1</v>
      </c>
      <c r="N228">
        <v>3</v>
      </c>
    </row>
    <row r="229" spans="1:14">
      <c r="A229">
        <v>23061</v>
      </c>
      <c r="B229" t="s">
        <v>6288</v>
      </c>
      <c r="C229" t="s">
        <v>6289</v>
      </c>
      <c r="D229" t="s">
        <v>6257</v>
      </c>
      <c r="E229" t="s">
        <v>6290</v>
      </c>
      <c r="F229" t="s">
        <v>6291</v>
      </c>
      <c r="G229">
        <v>46836.8046875</v>
      </c>
      <c r="H229">
        <v>2128.94555664063</v>
      </c>
      <c r="J229" t="s">
        <v>6359</v>
      </c>
      <c r="K229" t="b">
        <v>1</v>
      </c>
      <c r="L229">
        <v>97813</v>
      </c>
      <c r="M229">
        <v>1</v>
      </c>
      <c r="N229">
        <v>3</v>
      </c>
    </row>
    <row r="230" spans="1:14">
      <c r="A230">
        <v>23063</v>
      </c>
      <c r="B230" t="s">
        <v>6360</v>
      </c>
      <c r="C230" t="s">
        <v>6361</v>
      </c>
      <c r="D230" t="s">
        <v>6248</v>
      </c>
      <c r="E230" t="s">
        <v>6268</v>
      </c>
      <c r="F230" t="s">
        <v>6269</v>
      </c>
      <c r="G230">
        <v>81607.8359375</v>
      </c>
      <c r="H230">
        <v>2914.5654296875</v>
      </c>
      <c r="I230" t="s">
        <v>6270</v>
      </c>
      <c r="K230" t="b">
        <v>0</v>
      </c>
      <c r="L230">
        <v>98926</v>
      </c>
      <c r="M230">
        <v>2</v>
      </c>
      <c r="N230">
        <v>2</v>
      </c>
    </row>
    <row r="231" spans="1:14">
      <c r="A231">
        <v>23069</v>
      </c>
      <c r="B231" t="s">
        <v>6266</v>
      </c>
      <c r="C231" t="s">
        <v>6267</v>
      </c>
      <c r="D231" t="s">
        <v>6248</v>
      </c>
      <c r="E231" t="s">
        <v>6268</v>
      </c>
      <c r="F231" t="s">
        <v>6269</v>
      </c>
      <c r="G231">
        <v>81607.8359375</v>
      </c>
      <c r="H231">
        <v>2914.5654296875</v>
      </c>
      <c r="I231" t="s">
        <v>6270</v>
      </c>
      <c r="K231" t="b">
        <v>0</v>
      </c>
      <c r="L231">
        <v>99003</v>
      </c>
      <c r="M231">
        <v>2</v>
      </c>
      <c r="N231">
        <v>2</v>
      </c>
    </row>
    <row r="232" spans="1:14">
      <c r="A232">
        <v>23072</v>
      </c>
      <c r="B232" t="s">
        <v>6288</v>
      </c>
      <c r="C232" t="s">
        <v>6289</v>
      </c>
      <c r="D232" t="s">
        <v>6257</v>
      </c>
      <c r="E232" t="s">
        <v>154</v>
      </c>
      <c r="F232" t="s">
        <v>6273</v>
      </c>
      <c r="G232">
        <v>79944.625</v>
      </c>
      <c r="H232">
        <v>1211.2822265625</v>
      </c>
      <c r="K232" t="b">
        <v>0</v>
      </c>
      <c r="L232">
        <v>83440</v>
      </c>
      <c r="M232">
        <v>3</v>
      </c>
      <c r="N232">
        <v>1</v>
      </c>
    </row>
    <row r="233" spans="1:14">
      <c r="A233">
        <v>23167</v>
      </c>
      <c r="B233" t="s">
        <v>6280</v>
      </c>
      <c r="C233" t="s">
        <v>6281</v>
      </c>
      <c r="D233" t="s">
        <v>6257</v>
      </c>
      <c r="E233" t="s">
        <v>155</v>
      </c>
      <c r="F233" t="s">
        <v>6276</v>
      </c>
      <c r="G233">
        <v>52974.1640625</v>
      </c>
      <c r="H233">
        <v>868.428955078125</v>
      </c>
      <c r="K233" t="b">
        <v>0</v>
      </c>
      <c r="L233">
        <v>59405</v>
      </c>
      <c r="M233">
        <v>3</v>
      </c>
      <c r="N233">
        <v>1</v>
      </c>
    </row>
    <row r="234" spans="1:14">
      <c r="A234">
        <v>23169</v>
      </c>
      <c r="B234" t="s">
        <v>6271</v>
      </c>
      <c r="C234" t="s">
        <v>6272</v>
      </c>
      <c r="D234" t="s">
        <v>6257</v>
      </c>
      <c r="E234" t="s">
        <v>154</v>
      </c>
      <c r="F234" t="s">
        <v>6273</v>
      </c>
      <c r="G234">
        <v>79944.625</v>
      </c>
      <c r="H234">
        <v>1211.2822265625</v>
      </c>
      <c r="K234" t="b">
        <v>0</v>
      </c>
      <c r="L234">
        <v>83716</v>
      </c>
      <c r="M234">
        <v>1</v>
      </c>
      <c r="N234">
        <v>3</v>
      </c>
    </row>
    <row r="235" spans="1:14">
      <c r="A235">
        <v>23182</v>
      </c>
      <c r="B235" t="s">
        <v>6264</v>
      </c>
      <c r="C235" t="s">
        <v>6265</v>
      </c>
      <c r="D235" t="s">
        <v>6257</v>
      </c>
      <c r="E235" t="s">
        <v>6262</v>
      </c>
      <c r="F235" t="s">
        <v>6263</v>
      </c>
      <c r="G235">
        <v>110363.3984375</v>
      </c>
      <c r="H235">
        <v>3065.64990234375</v>
      </c>
      <c r="K235" t="b">
        <v>0</v>
      </c>
      <c r="L235">
        <v>98589</v>
      </c>
      <c r="M235">
        <v>1</v>
      </c>
      <c r="N235">
        <v>1</v>
      </c>
    </row>
    <row r="236" spans="1:14">
      <c r="A236">
        <v>23198</v>
      </c>
      <c r="B236" t="s">
        <v>6280</v>
      </c>
      <c r="C236" t="s">
        <v>6281</v>
      </c>
      <c r="D236" t="s">
        <v>6257</v>
      </c>
      <c r="E236" t="s">
        <v>155</v>
      </c>
      <c r="F236" t="s">
        <v>6276</v>
      </c>
      <c r="G236">
        <v>52974.1640625</v>
      </c>
      <c r="H236">
        <v>868.428955078125</v>
      </c>
      <c r="K236" t="b">
        <v>0</v>
      </c>
      <c r="L236">
        <v>59634</v>
      </c>
      <c r="M236">
        <v>3</v>
      </c>
      <c r="N236">
        <v>1</v>
      </c>
    </row>
    <row r="237" spans="1:14">
      <c r="A237">
        <v>23201</v>
      </c>
      <c r="B237" t="s">
        <v>6362</v>
      </c>
      <c r="C237" t="s">
        <v>6363</v>
      </c>
      <c r="D237" t="s">
        <v>6248</v>
      </c>
      <c r="E237" t="s">
        <v>6262</v>
      </c>
      <c r="F237" t="s">
        <v>6263</v>
      </c>
      <c r="G237">
        <v>110363.3984375</v>
      </c>
      <c r="H237">
        <v>3065.64990234375</v>
      </c>
      <c r="I237" t="s">
        <v>6262</v>
      </c>
      <c r="K237" t="b">
        <v>0</v>
      </c>
      <c r="L237">
        <v>98328</v>
      </c>
      <c r="M237">
        <v>1</v>
      </c>
      <c r="N237">
        <v>1</v>
      </c>
    </row>
    <row r="238" spans="1:14">
      <c r="A238">
        <v>23210</v>
      </c>
      <c r="B238" t="s">
        <v>6288</v>
      </c>
      <c r="C238" t="s">
        <v>6289</v>
      </c>
      <c r="D238" t="s">
        <v>6257</v>
      </c>
      <c r="E238" t="s">
        <v>6253</v>
      </c>
      <c r="F238" t="s">
        <v>6258</v>
      </c>
      <c r="G238">
        <v>118272.953125</v>
      </c>
      <c r="H238">
        <v>2319.07739257813</v>
      </c>
      <c r="K238" t="b">
        <v>0</v>
      </c>
      <c r="L238">
        <v>97420</v>
      </c>
      <c r="M238">
        <v>1</v>
      </c>
      <c r="N238">
        <v>1</v>
      </c>
    </row>
    <row r="239" spans="1:14">
      <c r="A239">
        <v>23215</v>
      </c>
      <c r="B239" t="s">
        <v>6255</v>
      </c>
      <c r="C239" t="s">
        <v>6256</v>
      </c>
      <c r="D239" t="s">
        <v>6257</v>
      </c>
      <c r="E239" t="s">
        <v>6253</v>
      </c>
      <c r="F239" t="s">
        <v>6258</v>
      </c>
      <c r="G239">
        <v>118272.953125</v>
      </c>
      <c r="H239">
        <v>2319.07739257813</v>
      </c>
      <c r="K239" t="b">
        <v>0</v>
      </c>
      <c r="L239">
        <v>97015</v>
      </c>
      <c r="M239">
        <v>1</v>
      </c>
      <c r="N239">
        <v>2</v>
      </c>
    </row>
    <row r="240" spans="1:14">
      <c r="A240">
        <v>23255</v>
      </c>
      <c r="B240" t="s">
        <v>6282</v>
      </c>
      <c r="C240" t="s">
        <v>6283</v>
      </c>
      <c r="D240" t="s">
        <v>6257</v>
      </c>
      <c r="E240" t="s">
        <v>6268</v>
      </c>
      <c r="F240" t="s">
        <v>6269</v>
      </c>
      <c r="G240">
        <v>81607.8359375</v>
      </c>
      <c r="H240">
        <v>2914.5654296875</v>
      </c>
      <c r="K240" t="b">
        <v>0</v>
      </c>
      <c r="L240">
        <v>99224</v>
      </c>
      <c r="M240">
        <v>2</v>
      </c>
      <c r="N240">
        <v>2</v>
      </c>
    </row>
    <row r="241" spans="1:14">
      <c r="A241">
        <v>23325</v>
      </c>
      <c r="B241" t="s">
        <v>6364</v>
      </c>
      <c r="C241" t="s">
        <v>6365</v>
      </c>
      <c r="D241" t="s">
        <v>6248</v>
      </c>
      <c r="E241" t="s">
        <v>6290</v>
      </c>
      <c r="F241" t="s">
        <v>6291</v>
      </c>
      <c r="G241">
        <v>46836.8046875</v>
      </c>
      <c r="H241">
        <v>2128.94555664063</v>
      </c>
      <c r="I241" t="s">
        <v>6270</v>
      </c>
      <c r="K241" t="b">
        <v>0</v>
      </c>
      <c r="L241">
        <v>97739</v>
      </c>
      <c r="M241">
        <v>2</v>
      </c>
      <c r="N241">
        <v>1</v>
      </c>
    </row>
    <row r="242" spans="1:14">
      <c r="A242">
        <v>23332</v>
      </c>
      <c r="B242" t="s">
        <v>6264</v>
      </c>
      <c r="C242" t="s">
        <v>6265</v>
      </c>
      <c r="D242" t="s">
        <v>6257</v>
      </c>
      <c r="E242" t="s">
        <v>6262</v>
      </c>
      <c r="F242" t="s">
        <v>6263</v>
      </c>
      <c r="G242">
        <v>110363.3984375</v>
      </c>
      <c r="H242">
        <v>3065.64990234375</v>
      </c>
      <c r="K242" t="b">
        <v>0</v>
      </c>
      <c r="L242">
        <v>98342</v>
      </c>
      <c r="M242">
        <v>1</v>
      </c>
      <c r="N242">
        <v>1</v>
      </c>
    </row>
    <row r="243" spans="1:14">
      <c r="A243">
        <v>23340</v>
      </c>
      <c r="B243" t="s">
        <v>6255</v>
      </c>
      <c r="C243" t="s">
        <v>6256</v>
      </c>
      <c r="D243" t="s">
        <v>6257</v>
      </c>
      <c r="E243" t="s">
        <v>6253</v>
      </c>
      <c r="F243" t="s">
        <v>6258</v>
      </c>
      <c r="G243">
        <v>118272.953125</v>
      </c>
      <c r="H243">
        <v>2319.07739257813</v>
      </c>
      <c r="K243" t="b">
        <v>0</v>
      </c>
      <c r="L243">
        <v>97305</v>
      </c>
      <c r="M243">
        <v>1</v>
      </c>
      <c r="N243">
        <v>1</v>
      </c>
    </row>
    <row r="244" spans="1:14">
      <c r="A244">
        <v>23341</v>
      </c>
      <c r="B244" t="s">
        <v>6271</v>
      </c>
      <c r="C244" t="s">
        <v>6272</v>
      </c>
      <c r="D244" t="s">
        <v>6257</v>
      </c>
      <c r="E244" t="s">
        <v>154</v>
      </c>
      <c r="F244" t="s">
        <v>6273</v>
      </c>
      <c r="G244">
        <v>79944.625</v>
      </c>
      <c r="H244">
        <v>1211.2822265625</v>
      </c>
      <c r="K244" t="b">
        <v>0</v>
      </c>
      <c r="L244">
        <v>83301</v>
      </c>
      <c r="M244">
        <v>2</v>
      </c>
      <c r="N244">
        <v>2</v>
      </c>
    </row>
    <row r="245" spans="1:14">
      <c r="A245">
        <v>23362</v>
      </c>
      <c r="B245" t="s">
        <v>6339</v>
      </c>
      <c r="C245" t="s">
        <v>6340</v>
      </c>
      <c r="D245" t="s">
        <v>6248</v>
      </c>
      <c r="E245" t="s">
        <v>6268</v>
      </c>
      <c r="F245" t="s">
        <v>6269</v>
      </c>
      <c r="G245">
        <v>81607.8359375</v>
      </c>
      <c r="H245">
        <v>2914.5654296875</v>
      </c>
      <c r="I245" t="s">
        <v>6270</v>
      </c>
      <c r="K245" t="b">
        <v>0</v>
      </c>
      <c r="L245">
        <v>98857</v>
      </c>
      <c r="M245">
        <v>2</v>
      </c>
      <c r="N245">
        <v>2</v>
      </c>
    </row>
    <row r="246" spans="1:14">
      <c r="A246">
        <v>23397</v>
      </c>
      <c r="B246" t="s">
        <v>6280</v>
      </c>
      <c r="C246" t="s">
        <v>6281</v>
      </c>
      <c r="D246" t="s">
        <v>6257</v>
      </c>
      <c r="E246" t="s">
        <v>155</v>
      </c>
      <c r="F246" t="s">
        <v>6276</v>
      </c>
      <c r="G246">
        <v>52974.1640625</v>
      </c>
      <c r="H246">
        <v>868.428955078125</v>
      </c>
      <c r="K246" t="b">
        <v>0</v>
      </c>
      <c r="L246">
        <v>59404</v>
      </c>
      <c r="M246">
        <v>3</v>
      </c>
      <c r="N246">
        <v>1</v>
      </c>
    </row>
    <row r="247" spans="1:14">
      <c r="A247">
        <v>23457</v>
      </c>
      <c r="B247" t="s">
        <v>6280</v>
      </c>
      <c r="C247" t="s">
        <v>6281</v>
      </c>
      <c r="D247" t="s">
        <v>6257</v>
      </c>
      <c r="E247" t="s">
        <v>155</v>
      </c>
      <c r="F247" t="s">
        <v>6276</v>
      </c>
      <c r="G247">
        <v>52974.1640625</v>
      </c>
      <c r="H247">
        <v>868.428955078125</v>
      </c>
      <c r="K247" t="b">
        <v>0</v>
      </c>
      <c r="L247">
        <v>59858</v>
      </c>
      <c r="M247">
        <v>3</v>
      </c>
      <c r="N247">
        <v>1</v>
      </c>
    </row>
    <row r="248" spans="1:14">
      <c r="A248">
        <v>23471</v>
      </c>
      <c r="B248" t="s">
        <v>6317</v>
      </c>
      <c r="C248" t="s">
        <v>6318</v>
      </c>
      <c r="D248" t="s">
        <v>6248</v>
      </c>
      <c r="E248" t="s">
        <v>155</v>
      </c>
      <c r="F248" t="s">
        <v>6276</v>
      </c>
      <c r="G248">
        <v>52974.1640625</v>
      </c>
      <c r="H248">
        <v>868.428955078125</v>
      </c>
      <c r="I248" t="s">
        <v>6277</v>
      </c>
      <c r="K248" t="b">
        <v>0</v>
      </c>
      <c r="L248">
        <v>59831</v>
      </c>
      <c r="M248">
        <v>2</v>
      </c>
      <c r="N248">
        <v>2</v>
      </c>
    </row>
    <row r="249" spans="1:14">
      <c r="A249">
        <v>23472</v>
      </c>
      <c r="B249" t="s">
        <v>6325</v>
      </c>
      <c r="C249" t="s">
        <v>6326</v>
      </c>
      <c r="D249" t="s">
        <v>6248</v>
      </c>
      <c r="E249" t="s">
        <v>6253</v>
      </c>
      <c r="F249" t="s">
        <v>6258</v>
      </c>
      <c r="G249">
        <v>118272.953125</v>
      </c>
      <c r="H249">
        <v>2319.07739257813</v>
      </c>
      <c r="I249" t="s">
        <v>6253</v>
      </c>
      <c r="K249" t="b">
        <v>0</v>
      </c>
      <c r="L249">
        <v>97437</v>
      </c>
      <c r="M249">
        <v>1</v>
      </c>
      <c r="N249">
        <v>1</v>
      </c>
    </row>
    <row r="250" spans="1:14">
      <c r="A250">
        <v>23481</v>
      </c>
      <c r="B250" t="s">
        <v>6366</v>
      </c>
      <c r="C250" t="s">
        <v>6367</v>
      </c>
      <c r="D250" t="s">
        <v>6248</v>
      </c>
      <c r="E250" t="s">
        <v>6290</v>
      </c>
      <c r="F250" t="s">
        <v>6291</v>
      </c>
      <c r="G250">
        <v>46836.8046875</v>
      </c>
      <c r="H250">
        <v>2128.94555664063</v>
      </c>
      <c r="I250" t="s">
        <v>6270</v>
      </c>
      <c r="K250" t="b">
        <v>0</v>
      </c>
      <c r="L250">
        <v>97824</v>
      </c>
      <c r="M250">
        <v>2</v>
      </c>
      <c r="N250">
        <v>2</v>
      </c>
    </row>
    <row r="251" spans="1:14">
      <c r="A251">
        <v>23490</v>
      </c>
      <c r="B251" t="s">
        <v>6255</v>
      </c>
      <c r="C251" t="s">
        <v>6256</v>
      </c>
      <c r="D251" t="s">
        <v>6257</v>
      </c>
      <c r="E251" t="s">
        <v>6253</v>
      </c>
      <c r="F251" t="s">
        <v>6258</v>
      </c>
      <c r="G251">
        <v>118272.953125</v>
      </c>
      <c r="H251">
        <v>2319.07739257813</v>
      </c>
      <c r="K251" t="b">
        <v>0</v>
      </c>
      <c r="L251">
        <v>97009</v>
      </c>
      <c r="M251">
        <v>1</v>
      </c>
      <c r="N251">
        <v>2</v>
      </c>
    </row>
    <row r="252" spans="1:14">
      <c r="A252">
        <v>23497</v>
      </c>
      <c r="B252" t="s">
        <v>6311</v>
      </c>
      <c r="C252" t="s">
        <v>6312</v>
      </c>
      <c r="D252" t="s">
        <v>6248</v>
      </c>
      <c r="E252" t="s">
        <v>155</v>
      </c>
      <c r="F252" t="s">
        <v>6276</v>
      </c>
      <c r="G252">
        <v>52974.1640625</v>
      </c>
      <c r="H252">
        <v>868.428955078125</v>
      </c>
      <c r="I252" t="s">
        <v>6277</v>
      </c>
      <c r="K252" t="b">
        <v>0</v>
      </c>
      <c r="L252">
        <v>59912</v>
      </c>
      <c r="M252">
        <v>3</v>
      </c>
      <c r="N252">
        <v>1</v>
      </c>
    </row>
    <row r="253" spans="1:14">
      <c r="A253">
        <v>23525</v>
      </c>
      <c r="B253" t="s">
        <v>6317</v>
      </c>
      <c r="C253" t="s">
        <v>6318</v>
      </c>
      <c r="D253" t="s">
        <v>6248</v>
      </c>
      <c r="E253" t="s">
        <v>155</v>
      </c>
      <c r="F253" t="s">
        <v>6276</v>
      </c>
      <c r="G253">
        <v>52974.1640625</v>
      </c>
      <c r="H253">
        <v>868.428955078125</v>
      </c>
      <c r="I253" t="s">
        <v>6277</v>
      </c>
      <c r="K253" t="b">
        <v>0</v>
      </c>
      <c r="L253">
        <v>59845</v>
      </c>
      <c r="M253">
        <v>2</v>
      </c>
      <c r="N253">
        <v>2</v>
      </c>
    </row>
    <row r="254" spans="1:14">
      <c r="A254">
        <v>23560</v>
      </c>
      <c r="B254" t="s">
        <v>6288</v>
      </c>
      <c r="C254" t="s">
        <v>6289</v>
      </c>
      <c r="D254" t="s">
        <v>6257</v>
      </c>
      <c r="E254" t="s">
        <v>6290</v>
      </c>
      <c r="F254" t="s">
        <v>6291</v>
      </c>
      <c r="G254">
        <v>46836.8046875</v>
      </c>
      <c r="H254">
        <v>2128.94555664063</v>
      </c>
      <c r="J254" t="s">
        <v>6284</v>
      </c>
      <c r="K254" t="b">
        <v>1</v>
      </c>
      <c r="L254">
        <v>97603</v>
      </c>
      <c r="M254">
        <v>2</v>
      </c>
      <c r="N254">
        <v>2</v>
      </c>
    </row>
    <row r="255" spans="1:14">
      <c r="A255">
        <v>23613</v>
      </c>
      <c r="B255" t="s">
        <v>6271</v>
      </c>
      <c r="C255" t="s">
        <v>6272</v>
      </c>
      <c r="D255" t="s">
        <v>6257</v>
      </c>
      <c r="E255" t="s">
        <v>154</v>
      </c>
      <c r="F255" t="s">
        <v>6273</v>
      </c>
      <c r="G255">
        <v>79944.625</v>
      </c>
      <c r="H255">
        <v>1211.2822265625</v>
      </c>
      <c r="J255" t="s">
        <v>6336</v>
      </c>
      <c r="K255" t="b">
        <v>1</v>
      </c>
      <c r="L255">
        <v>83204</v>
      </c>
      <c r="M255">
        <v>2</v>
      </c>
      <c r="N255">
        <v>2</v>
      </c>
    </row>
    <row r="256" spans="1:14">
      <c r="A256">
        <v>23614</v>
      </c>
      <c r="B256" t="s">
        <v>6282</v>
      </c>
      <c r="C256" t="s">
        <v>6283</v>
      </c>
      <c r="D256" t="s">
        <v>6257</v>
      </c>
      <c r="E256" t="s">
        <v>6268</v>
      </c>
      <c r="F256" t="s">
        <v>6269</v>
      </c>
      <c r="G256">
        <v>81607.8359375</v>
      </c>
      <c r="H256">
        <v>2914.5654296875</v>
      </c>
      <c r="K256" t="b">
        <v>0</v>
      </c>
      <c r="L256">
        <v>99114</v>
      </c>
      <c r="M256">
        <v>2</v>
      </c>
      <c r="N256">
        <v>1</v>
      </c>
    </row>
    <row r="257" spans="1:14">
      <c r="A257">
        <v>23641</v>
      </c>
      <c r="B257" t="s">
        <v>6288</v>
      </c>
      <c r="C257" t="s">
        <v>6289</v>
      </c>
      <c r="D257" t="s">
        <v>6257</v>
      </c>
      <c r="E257" t="s">
        <v>154</v>
      </c>
      <c r="F257" t="s">
        <v>6273</v>
      </c>
      <c r="G257">
        <v>79944.625</v>
      </c>
      <c r="H257">
        <v>1211.2822265625</v>
      </c>
      <c r="K257" t="b">
        <v>0</v>
      </c>
      <c r="L257">
        <v>83445</v>
      </c>
      <c r="M257">
        <v>3</v>
      </c>
      <c r="N257">
        <v>1</v>
      </c>
    </row>
    <row r="258" spans="1:14">
      <c r="A258">
        <v>23650</v>
      </c>
      <c r="B258" t="s">
        <v>6280</v>
      </c>
      <c r="C258" t="s">
        <v>6281</v>
      </c>
      <c r="D258" t="s">
        <v>6257</v>
      </c>
      <c r="E258" t="s">
        <v>155</v>
      </c>
      <c r="F258" t="s">
        <v>6276</v>
      </c>
      <c r="G258">
        <v>52974.1640625</v>
      </c>
      <c r="H258">
        <v>868.428955078125</v>
      </c>
      <c r="K258" t="b">
        <v>0</v>
      </c>
      <c r="L258">
        <v>59873</v>
      </c>
      <c r="M258">
        <v>2</v>
      </c>
      <c r="N258">
        <v>2</v>
      </c>
    </row>
    <row r="259" spans="1:14">
      <c r="A259">
        <v>23658</v>
      </c>
      <c r="B259" t="s">
        <v>6303</v>
      </c>
      <c r="C259" t="s">
        <v>6304</v>
      </c>
      <c r="D259" t="s">
        <v>6248</v>
      </c>
      <c r="E259" t="s">
        <v>155</v>
      </c>
      <c r="F259" t="s">
        <v>6276</v>
      </c>
      <c r="G259">
        <v>52974.1640625</v>
      </c>
      <c r="H259">
        <v>868.428955078125</v>
      </c>
      <c r="I259" t="s">
        <v>6277</v>
      </c>
      <c r="J259" t="s">
        <v>6287</v>
      </c>
      <c r="K259" t="b">
        <v>1</v>
      </c>
      <c r="L259">
        <v>59825</v>
      </c>
      <c r="M259">
        <v>3</v>
      </c>
      <c r="N259">
        <v>1</v>
      </c>
    </row>
    <row r="260" spans="1:14">
      <c r="A260">
        <v>23673</v>
      </c>
      <c r="B260" t="s">
        <v>6282</v>
      </c>
      <c r="C260" t="s">
        <v>6283</v>
      </c>
      <c r="D260" t="s">
        <v>6257</v>
      </c>
      <c r="E260" t="s">
        <v>6268</v>
      </c>
      <c r="F260" t="s">
        <v>6269</v>
      </c>
      <c r="G260">
        <v>81607.8359375</v>
      </c>
      <c r="H260">
        <v>2914.5654296875</v>
      </c>
      <c r="J260" t="s">
        <v>6284</v>
      </c>
      <c r="K260" t="b">
        <v>1</v>
      </c>
      <c r="L260">
        <v>99114</v>
      </c>
      <c r="M260">
        <v>2</v>
      </c>
      <c r="N260">
        <v>1</v>
      </c>
    </row>
    <row r="261" spans="1:14">
      <c r="A261">
        <v>23726</v>
      </c>
      <c r="B261" t="s">
        <v>6255</v>
      </c>
      <c r="C261" t="s">
        <v>6256</v>
      </c>
      <c r="D261" t="s">
        <v>6257</v>
      </c>
      <c r="E261" t="s">
        <v>6253</v>
      </c>
      <c r="F261" t="s">
        <v>6258</v>
      </c>
      <c r="G261">
        <v>118272.953125</v>
      </c>
      <c r="H261">
        <v>2319.07739257813</v>
      </c>
      <c r="K261" t="b">
        <v>0</v>
      </c>
      <c r="L261">
        <v>97113</v>
      </c>
      <c r="M261">
        <v>1</v>
      </c>
      <c r="N261">
        <v>1</v>
      </c>
    </row>
    <row r="262" spans="1:14">
      <c r="A262">
        <v>23757</v>
      </c>
      <c r="B262" t="s">
        <v>6271</v>
      </c>
      <c r="C262" t="s">
        <v>6272</v>
      </c>
      <c r="D262" t="s">
        <v>6257</v>
      </c>
      <c r="E262" t="s">
        <v>6290</v>
      </c>
      <c r="F262" t="s">
        <v>6291</v>
      </c>
      <c r="G262">
        <v>46836.8046875</v>
      </c>
      <c r="H262">
        <v>2128.94555664063</v>
      </c>
      <c r="K262" t="b">
        <v>0</v>
      </c>
      <c r="L262">
        <v>97914</v>
      </c>
      <c r="M262">
        <v>1</v>
      </c>
      <c r="N262">
        <v>3</v>
      </c>
    </row>
    <row r="263" spans="1:14">
      <c r="A263">
        <v>23767</v>
      </c>
      <c r="B263" t="s">
        <v>6288</v>
      </c>
      <c r="C263" t="s">
        <v>6289</v>
      </c>
      <c r="D263" t="s">
        <v>6257</v>
      </c>
      <c r="E263" t="s">
        <v>6253</v>
      </c>
      <c r="F263" t="s">
        <v>6258</v>
      </c>
      <c r="G263">
        <v>118272.953125</v>
      </c>
      <c r="H263">
        <v>2319.07739257813</v>
      </c>
      <c r="K263" t="b">
        <v>0</v>
      </c>
      <c r="L263">
        <v>97479</v>
      </c>
      <c r="M263">
        <v>1</v>
      </c>
      <c r="N263">
        <v>2</v>
      </c>
    </row>
    <row r="264" spans="1:14">
      <c r="A264">
        <v>23773</v>
      </c>
      <c r="B264" t="s">
        <v>6311</v>
      </c>
      <c r="C264" t="s">
        <v>6312</v>
      </c>
      <c r="D264" t="s">
        <v>6248</v>
      </c>
      <c r="E264" t="s">
        <v>155</v>
      </c>
      <c r="F264" t="s">
        <v>6276</v>
      </c>
      <c r="G264">
        <v>52974.1640625</v>
      </c>
      <c r="H264">
        <v>868.428955078125</v>
      </c>
      <c r="I264" t="s">
        <v>6277</v>
      </c>
      <c r="J264" t="s">
        <v>6287</v>
      </c>
      <c r="K264" t="b">
        <v>1</v>
      </c>
      <c r="L264">
        <v>59912</v>
      </c>
      <c r="M264">
        <v>3</v>
      </c>
      <c r="N264">
        <v>1</v>
      </c>
    </row>
    <row r="265" spans="1:14">
      <c r="A265">
        <v>23779</v>
      </c>
      <c r="B265" t="s">
        <v>6271</v>
      </c>
      <c r="C265" t="s">
        <v>6272</v>
      </c>
      <c r="D265" t="s">
        <v>6257</v>
      </c>
      <c r="E265" t="s">
        <v>154</v>
      </c>
      <c r="F265" t="s">
        <v>6273</v>
      </c>
      <c r="G265">
        <v>79944.625</v>
      </c>
      <c r="H265">
        <v>1211.2822265625</v>
      </c>
      <c r="K265" t="b">
        <v>0</v>
      </c>
      <c r="L265">
        <v>83221</v>
      </c>
      <c r="M265">
        <v>2</v>
      </c>
      <c r="N265">
        <v>2</v>
      </c>
    </row>
    <row r="266" spans="1:14">
      <c r="A266">
        <v>23786</v>
      </c>
      <c r="B266" t="s">
        <v>6282</v>
      </c>
      <c r="C266" t="s">
        <v>6283</v>
      </c>
      <c r="D266" t="s">
        <v>6257</v>
      </c>
      <c r="E266" t="s">
        <v>154</v>
      </c>
      <c r="F266" t="s">
        <v>6273</v>
      </c>
      <c r="G266">
        <v>79944.625</v>
      </c>
      <c r="H266">
        <v>1211.2822265625</v>
      </c>
      <c r="J266" t="s">
        <v>6284</v>
      </c>
      <c r="K266" t="b">
        <v>1</v>
      </c>
      <c r="L266">
        <v>83854</v>
      </c>
      <c r="M266">
        <v>2</v>
      </c>
      <c r="N266">
        <v>2</v>
      </c>
    </row>
    <row r="267" spans="1:14">
      <c r="A267">
        <v>23803</v>
      </c>
      <c r="B267" t="s">
        <v>6271</v>
      </c>
      <c r="C267" t="s">
        <v>6272</v>
      </c>
      <c r="D267" t="s">
        <v>6257</v>
      </c>
      <c r="E267" t="s">
        <v>154</v>
      </c>
      <c r="F267" t="s">
        <v>6273</v>
      </c>
      <c r="G267">
        <v>79944.625</v>
      </c>
      <c r="H267">
        <v>1211.2822265625</v>
      </c>
      <c r="K267" t="b">
        <v>0</v>
      </c>
      <c r="L267">
        <v>83301</v>
      </c>
      <c r="M267">
        <v>2</v>
      </c>
      <c r="N267">
        <v>2</v>
      </c>
    </row>
    <row r="268" spans="1:14">
      <c r="A268">
        <v>23805</v>
      </c>
      <c r="B268" t="s">
        <v>6331</v>
      </c>
      <c r="C268" t="s">
        <v>6332</v>
      </c>
      <c r="D268" t="s">
        <v>6248</v>
      </c>
      <c r="E268" t="s">
        <v>6253</v>
      </c>
      <c r="F268" t="s">
        <v>6258</v>
      </c>
      <c r="G268">
        <v>118272.953125</v>
      </c>
      <c r="H268">
        <v>2319.07739257813</v>
      </c>
      <c r="I268" t="s">
        <v>6253</v>
      </c>
      <c r="K268" t="b">
        <v>0</v>
      </c>
      <c r="L268">
        <v>97370</v>
      </c>
      <c r="M268">
        <v>1</v>
      </c>
      <c r="N268">
        <v>1</v>
      </c>
    </row>
    <row r="269" spans="1:14">
      <c r="A269">
        <v>23863</v>
      </c>
      <c r="B269" t="s">
        <v>6297</v>
      </c>
      <c r="C269" t="s">
        <v>6298</v>
      </c>
      <c r="D269" t="s">
        <v>6248</v>
      </c>
      <c r="E269" t="s">
        <v>6249</v>
      </c>
      <c r="F269" t="s">
        <v>6294</v>
      </c>
      <c r="G269">
        <v>42577.7109375</v>
      </c>
      <c r="H269">
        <v>2128.88549804688</v>
      </c>
      <c r="I269" t="s">
        <v>6249</v>
      </c>
      <c r="K269" t="b">
        <v>0</v>
      </c>
      <c r="L269">
        <v>98683</v>
      </c>
      <c r="M269">
        <v>1</v>
      </c>
      <c r="N269">
        <v>1</v>
      </c>
    </row>
    <row r="270" spans="1:14">
      <c r="A270">
        <v>23900</v>
      </c>
      <c r="B270" t="s">
        <v>6355</v>
      </c>
      <c r="C270" t="s">
        <v>6356</v>
      </c>
      <c r="D270" t="s">
        <v>6248</v>
      </c>
      <c r="E270" t="s">
        <v>6253</v>
      </c>
      <c r="F270" t="s">
        <v>6258</v>
      </c>
      <c r="G270">
        <v>118272.953125</v>
      </c>
      <c r="H270">
        <v>2319.07739257813</v>
      </c>
      <c r="I270" t="s">
        <v>6253</v>
      </c>
      <c r="K270" t="b">
        <v>0</v>
      </c>
      <c r="L270">
        <v>97415</v>
      </c>
      <c r="M270">
        <v>1</v>
      </c>
      <c r="N270">
        <v>1</v>
      </c>
    </row>
    <row r="271" spans="1:14">
      <c r="A271">
        <v>23954</v>
      </c>
      <c r="B271" t="s">
        <v>6271</v>
      </c>
      <c r="C271" t="s">
        <v>6272</v>
      </c>
      <c r="D271" t="s">
        <v>6257</v>
      </c>
      <c r="E271" t="s">
        <v>154</v>
      </c>
      <c r="F271" t="s">
        <v>6273</v>
      </c>
      <c r="G271">
        <v>79944.625</v>
      </c>
      <c r="H271">
        <v>1211.2822265625</v>
      </c>
      <c r="K271" t="b">
        <v>0</v>
      </c>
      <c r="L271">
        <v>83669</v>
      </c>
      <c r="M271">
        <v>1</v>
      </c>
      <c r="N271">
        <v>3</v>
      </c>
    </row>
    <row r="272" spans="1:14">
      <c r="A272">
        <v>23958</v>
      </c>
      <c r="B272" t="s">
        <v>6280</v>
      </c>
      <c r="C272" t="s">
        <v>6281</v>
      </c>
      <c r="D272" t="s">
        <v>6257</v>
      </c>
      <c r="E272" t="s">
        <v>155</v>
      </c>
      <c r="F272" t="s">
        <v>6276</v>
      </c>
      <c r="G272">
        <v>52974.1640625</v>
      </c>
      <c r="H272">
        <v>868.428955078125</v>
      </c>
      <c r="J272" t="s">
        <v>6287</v>
      </c>
      <c r="K272" t="b">
        <v>1</v>
      </c>
      <c r="L272">
        <v>59718</v>
      </c>
      <c r="M272">
        <v>3</v>
      </c>
      <c r="N272">
        <v>1</v>
      </c>
    </row>
    <row r="273" spans="1:14">
      <c r="A273">
        <v>23968</v>
      </c>
      <c r="B273" t="s">
        <v>6280</v>
      </c>
      <c r="C273" t="s">
        <v>6281</v>
      </c>
      <c r="D273" t="s">
        <v>6257</v>
      </c>
      <c r="E273" t="s">
        <v>155</v>
      </c>
      <c r="F273" t="s">
        <v>6276</v>
      </c>
      <c r="G273">
        <v>52974.1640625</v>
      </c>
      <c r="H273">
        <v>868.428955078125</v>
      </c>
      <c r="J273" t="s">
        <v>6287</v>
      </c>
      <c r="K273" t="b">
        <v>1</v>
      </c>
      <c r="L273">
        <v>59840</v>
      </c>
      <c r="M273">
        <v>2</v>
      </c>
      <c r="N273">
        <v>1</v>
      </c>
    </row>
    <row r="274" spans="1:14">
      <c r="A274">
        <v>23977</v>
      </c>
      <c r="B274" t="s">
        <v>6337</v>
      </c>
      <c r="C274" t="s">
        <v>6338</v>
      </c>
      <c r="D274" t="s">
        <v>6248</v>
      </c>
      <c r="E274" t="s">
        <v>6249</v>
      </c>
      <c r="F274" t="s">
        <v>6294</v>
      </c>
      <c r="G274">
        <v>42577.7109375</v>
      </c>
      <c r="H274">
        <v>2128.88549804688</v>
      </c>
      <c r="I274" t="s">
        <v>6249</v>
      </c>
      <c r="K274" t="b">
        <v>0</v>
      </c>
      <c r="L274">
        <v>98331</v>
      </c>
      <c r="M274">
        <v>1</v>
      </c>
      <c r="N274">
        <v>1</v>
      </c>
    </row>
    <row r="275" spans="1:14">
      <c r="A275">
        <v>23993</v>
      </c>
      <c r="B275" t="s">
        <v>6264</v>
      </c>
      <c r="C275" t="s">
        <v>6265</v>
      </c>
      <c r="D275" t="s">
        <v>6257</v>
      </c>
      <c r="E275" t="s">
        <v>6262</v>
      </c>
      <c r="F275" t="s">
        <v>6263</v>
      </c>
      <c r="G275">
        <v>110363.3984375</v>
      </c>
      <c r="H275">
        <v>3065.64990234375</v>
      </c>
      <c r="J275" t="s">
        <v>6333</v>
      </c>
      <c r="K275" t="b">
        <v>1</v>
      </c>
      <c r="L275">
        <v>98188</v>
      </c>
      <c r="M275">
        <v>1</v>
      </c>
      <c r="N275">
        <v>1</v>
      </c>
    </row>
    <row r="276" spans="1:14">
      <c r="A276">
        <v>24063</v>
      </c>
      <c r="B276" t="s">
        <v>6288</v>
      </c>
      <c r="C276" t="s">
        <v>6289</v>
      </c>
      <c r="D276" t="s">
        <v>6257</v>
      </c>
      <c r="E276" t="s">
        <v>6253</v>
      </c>
      <c r="F276" t="s">
        <v>6258</v>
      </c>
      <c r="G276">
        <v>118272.953125</v>
      </c>
      <c r="H276">
        <v>2319.07739257813</v>
      </c>
      <c r="K276" t="b">
        <v>0</v>
      </c>
      <c r="L276">
        <v>97462</v>
      </c>
      <c r="M276">
        <v>1</v>
      </c>
      <c r="N276">
        <v>2</v>
      </c>
    </row>
    <row r="277" spans="1:14">
      <c r="A277">
        <v>24074</v>
      </c>
      <c r="B277" t="s">
        <v>6337</v>
      </c>
      <c r="C277" t="s">
        <v>6338</v>
      </c>
      <c r="D277" t="s">
        <v>6248</v>
      </c>
      <c r="E277" t="s">
        <v>6249</v>
      </c>
      <c r="F277" t="s">
        <v>6294</v>
      </c>
      <c r="G277">
        <v>42577.7109375</v>
      </c>
      <c r="H277">
        <v>2128.88549804688</v>
      </c>
      <c r="I277" t="s">
        <v>6249</v>
      </c>
      <c r="K277" t="b">
        <v>0</v>
      </c>
      <c r="L277">
        <v>98382</v>
      </c>
      <c r="M277">
        <v>1</v>
      </c>
      <c r="N277">
        <v>1</v>
      </c>
    </row>
    <row r="278" spans="1:14">
      <c r="A278">
        <v>24113</v>
      </c>
      <c r="B278" t="s">
        <v>6280</v>
      </c>
      <c r="C278" t="s">
        <v>6281</v>
      </c>
      <c r="D278" t="s">
        <v>6257</v>
      </c>
      <c r="E278" t="s">
        <v>155</v>
      </c>
      <c r="F278" t="s">
        <v>6276</v>
      </c>
      <c r="G278">
        <v>52974.1640625</v>
      </c>
      <c r="H278">
        <v>868.428955078125</v>
      </c>
      <c r="K278" t="b">
        <v>0</v>
      </c>
      <c r="L278">
        <v>59639</v>
      </c>
      <c r="M278">
        <v>3</v>
      </c>
      <c r="N278">
        <v>2</v>
      </c>
    </row>
    <row r="279" spans="1:14">
      <c r="A279">
        <v>24130</v>
      </c>
      <c r="B279" t="s">
        <v>6280</v>
      </c>
      <c r="C279" t="s">
        <v>6281</v>
      </c>
      <c r="D279" t="s">
        <v>6257</v>
      </c>
      <c r="E279" t="s">
        <v>155</v>
      </c>
      <c r="F279" t="s">
        <v>6276</v>
      </c>
      <c r="G279">
        <v>52974.1640625</v>
      </c>
      <c r="H279">
        <v>868.428955078125</v>
      </c>
      <c r="K279" t="b">
        <v>0</v>
      </c>
      <c r="L279">
        <v>59840</v>
      </c>
      <c r="M279">
        <v>2</v>
      </c>
      <c r="N279">
        <v>1</v>
      </c>
    </row>
    <row r="280" spans="1:14">
      <c r="A280">
        <v>24157</v>
      </c>
      <c r="B280" t="s">
        <v>6323</v>
      </c>
      <c r="C280" t="s">
        <v>6324</v>
      </c>
      <c r="D280" t="s">
        <v>6248</v>
      </c>
      <c r="E280" t="s">
        <v>6253</v>
      </c>
      <c r="F280" t="s">
        <v>6258</v>
      </c>
      <c r="G280">
        <v>118272.953125</v>
      </c>
      <c r="H280">
        <v>2319.07739257813</v>
      </c>
      <c r="I280" t="s">
        <v>6253</v>
      </c>
      <c r="K280" t="b">
        <v>0</v>
      </c>
      <c r="L280">
        <v>97478</v>
      </c>
      <c r="M280">
        <v>1</v>
      </c>
      <c r="N280">
        <v>1</v>
      </c>
    </row>
    <row r="281" spans="1:14">
      <c r="A281">
        <v>24167</v>
      </c>
      <c r="B281" t="s">
        <v>6337</v>
      </c>
      <c r="C281" t="s">
        <v>6338</v>
      </c>
      <c r="D281" t="s">
        <v>6248</v>
      </c>
      <c r="E281" t="s">
        <v>6249</v>
      </c>
      <c r="F281" t="s">
        <v>6294</v>
      </c>
      <c r="G281">
        <v>42577.7109375</v>
      </c>
      <c r="H281">
        <v>2128.88549804688</v>
      </c>
      <c r="I281" t="s">
        <v>6249</v>
      </c>
      <c r="K281" t="b">
        <v>0</v>
      </c>
      <c r="L281">
        <v>98382</v>
      </c>
      <c r="M281">
        <v>1</v>
      </c>
      <c r="N281">
        <v>1</v>
      </c>
    </row>
    <row r="282" spans="1:14">
      <c r="A282">
        <v>24174</v>
      </c>
      <c r="B282" t="s">
        <v>6353</v>
      </c>
      <c r="C282" t="s">
        <v>6354</v>
      </c>
      <c r="D282" t="s">
        <v>6248</v>
      </c>
      <c r="E282" t="s">
        <v>154</v>
      </c>
      <c r="F282" t="s">
        <v>6273</v>
      </c>
      <c r="G282">
        <v>79944.625</v>
      </c>
      <c r="H282">
        <v>1211.2822265625</v>
      </c>
      <c r="I282" t="s">
        <v>6277</v>
      </c>
      <c r="K282" t="b">
        <v>0</v>
      </c>
      <c r="L282">
        <v>83856</v>
      </c>
      <c r="M282">
        <v>3</v>
      </c>
      <c r="N282">
        <v>1</v>
      </c>
    </row>
    <row r="283" spans="1:14">
      <c r="A283">
        <v>24176</v>
      </c>
      <c r="B283" t="s">
        <v>6311</v>
      </c>
      <c r="C283" t="s">
        <v>6312</v>
      </c>
      <c r="D283" t="s">
        <v>6248</v>
      </c>
      <c r="E283" t="s">
        <v>155</v>
      </c>
      <c r="F283" t="s">
        <v>6276</v>
      </c>
      <c r="G283">
        <v>52974.1640625</v>
      </c>
      <c r="H283">
        <v>868.428955078125</v>
      </c>
      <c r="I283" t="s">
        <v>6277</v>
      </c>
      <c r="K283" t="b">
        <v>0</v>
      </c>
      <c r="L283">
        <v>59923</v>
      </c>
      <c r="M283">
        <v>2</v>
      </c>
      <c r="N283">
        <v>1</v>
      </c>
    </row>
    <row r="284" spans="1:14">
      <c r="A284">
        <v>24181</v>
      </c>
      <c r="B284" t="s">
        <v>6280</v>
      </c>
      <c r="C284" t="s">
        <v>6281</v>
      </c>
      <c r="D284" t="s">
        <v>6257</v>
      </c>
      <c r="E284" t="s">
        <v>155</v>
      </c>
      <c r="F284" t="s">
        <v>6276</v>
      </c>
      <c r="G284">
        <v>52974.1640625</v>
      </c>
      <c r="H284">
        <v>868.428955078125</v>
      </c>
      <c r="J284" t="s">
        <v>6287</v>
      </c>
      <c r="K284" t="b">
        <v>1</v>
      </c>
      <c r="L284">
        <v>59404</v>
      </c>
      <c r="M284">
        <v>3</v>
      </c>
      <c r="N284">
        <v>1</v>
      </c>
    </row>
    <row r="285" spans="1:14">
      <c r="A285">
        <v>24192</v>
      </c>
      <c r="B285" t="s">
        <v>6271</v>
      </c>
      <c r="C285" t="s">
        <v>6272</v>
      </c>
      <c r="D285" t="s">
        <v>6257</v>
      </c>
      <c r="E285" t="s">
        <v>154</v>
      </c>
      <c r="F285" t="s">
        <v>6273</v>
      </c>
      <c r="G285">
        <v>79944.625</v>
      </c>
      <c r="H285">
        <v>1211.2822265625</v>
      </c>
      <c r="K285" t="b">
        <v>0</v>
      </c>
      <c r="L285">
        <v>83676</v>
      </c>
      <c r="M285">
        <v>1</v>
      </c>
      <c r="N285">
        <v>3</v>
      </c>
    </row>
    <row r="286" spans="1:14">
      <c r="A286">
        <v>24220</v>
      </c>
      <c r="B286" t="s">
        <v>6280</v>
      </c>
      <c r="C286" t="s">
        <v>6281</v>
      </c>
      <c r="D286" t="s">
        <v>6257</v>
      </c>
      <c r="E286" t="s">
        <v>155</v>
      </c>
      <c r="F286" t="s">
        <v>6276</v>
      </c>
      <c r="G286">
        <v>52974.1640625</v>
      </c>
      <c r="H286">
        <v>868.428955078125</v>
      </c>
      <c r="K286" t="b">
        <v>0</v>
      </c>
      <c r="L286">
        <v>59714</v>
      </c>
      <c r="M286">
        <v>3</v>
      </c>
      <c r="N286">
        <v>1</v>
      </c>
    </row>
    <row r="287" spans="1:14">
      <c r="A287">
        <v>24280</v>
      </c>
      <c r="B287" t="s">
        <v>6255</v>
      </c>
      <c r="C287" t="s">
        <v>6256</v>
      </c>
      <c r="D287" t="s">
        <v>6257</v>
      </c>
      <c r="E287" t="s">
        <v>6253</v>
      </c>
      <c r="F287" t="s">
        <v>6258</v>
      </c>
      <c r="G287">
        <v>118272.953125</v>
      </c>
      <c r="H287">
        <v>2319.07739257813</v>
      </c>
      <c r="K287" t="b">
        <v>0</v>
      </c>
      <c r="L287">
        <v>97045</v>
      </c>
      <c r="M287">
        <v>1</v>
      </c>
      <c r="N287">
        <v>2</v>
      </c>
    </row>
    <row r="288" spans="1:14">
      <c r="A288">
        <v>24300</v>
      </c>
      <c r="B288" t="s">
        <v>6282</v>
      </c>
      <c r="C288" t="s">
        <v>6283</v>
      </c>
      <c r="D288" t="s">
        <v>6257</v>
      </c>
      <c r="E288" t="s">
        <v>154</v>
      </c>
      <c r="F288" t="s">
        <v>6273</v>
      </c>
      <c r="G288">
        <v>79944.625</v>
      </c>
      <c r="H288">
        <v>1211.2822265625</v>
      </c>
      <c r="K288" t="b">
        <v>0</v>
      </c>
      <c r="L288">
        <v>83856</v>
      </c>
      <c r="M288">
        <v>3</v>
      </c>
      <c r="N288">
        <v>1</v>
      </c>
    </row>
    <row r="289" spans="1:14">
      <c r="A289">
        <v>24326</v>
      </c>
      <c r="B289" t="s">
        <v>6280</v>
      </c>
      <c r="C289" t="s">
        <v>6281</v>
      </c>
      <c r="D289" t="s">
        <v>6257</v>
      </c>
      <c r="E289" t="s">
        <v>155</v>
      </c>
      <c r="F289" t="s">
        <v>6276</v>
      </c>
      <c r="G289">
        <v>52974.1640625</v>
      </c>
      <c r="H289">
        <v>868.428955078125</v>
      </c>
      <c r="J289" t="s">
        <v>6287</v>
      </c>
      <c r="K289" t="b">
        <v>1</v>
      </c>
      <c r="L289">
        <v>59601</v>
      </c>
      <c r="M289">
        <v>3</v>
      </c>
      <c r="N289">
        <v>2</v>
      </c>
    </row>
    <row r="290" spans="1:14">
      <c r="A290">
        <v>24328</v>
      </c>
      <c r="B290" t="s">
        <v>6264</v>
      </c>
      <c r="C290" t="s">
        <v>6265</v>
      </c>
      <c r="D290" t="s">
        <v>6257</v>
      </c>
      <c r="E290" t="s">
        <v>6262</v>
      </c>
      <c r="F290" t="s">
        <v>6263</v>
      </c>
      <c r="G290">
        <v>110363.3984375</v>
      </c>
      <c r="H290">
        <v>3065.64990234375</v>
      </c>
      <c r="K290" t="b">
        <v>0</v>
      </c>
      <c r="L290">
        <v>98311</v>
      </c>
      <c r="M290">
        <v>1</v>
      </c>
      <c r="N290">
        <v>1</v>
      </c>
    </row>
    <row r="291" spans="1:14">
      <c r="A291">
        <v>24339</v>
      </c>
      <c r="B291" t="s">
        <v>6266</v>
      </c>
      <c r="C291" t="s">
        <v>6267</v>
      </c>
      <c r="D291" t="s">
        <v>6248</v>
      </c>
      <c r="E291" t="s">
        <v>6268</v>
      </c>
      <c r="F291" t="s">
        <v>6269</v>
      </c>
      <c r="G291">
        <v>81607.8359375</v>
      </c>
      <c r="H291">
        <v>2914.5654296875</v>
      </c>
      <c r="I291" t="s">
        <v>6270</v>
      </c>
      <c r="K291" t="b">
        <v>0</v>
      </c>
      <c r="L291">
        <v>99021</v>
      </c>
      <c r="M291">
        <v>2</v>
      </c>
      <c r="N291">
        <v>2</v>
      </c>
    </row>
    <row r="292" spans="1:14">
      <c r="A292">
        <v>24386</v>
      </c>
      <c r="B292" t="s">
        <v>6321</v>
      </c>
      <c r="C292" t="s">
        <v>6322</v>
      </c>
      <c r="D292" t="s">
        <v>6248</v>
      </c>
      <c r="E292" t="s">
        <v>6290</v>
      </c>
      <c r="F292" t="s">
        <v>6291</v>
      </c>
      <c r="G292">
        <v>46836.8046875</v>
      </c>
      <c r="H292">
        <v>2128.94555664063</v>
      </c>
      <c r="I292" t="s">
        <v>6270</v>
      </c>
      <c r="K292" t="b">
        <v>0</v>
      </c>
      <c r="L292">
        <v>97702</v>
      </c>
      <c r="M292">
        <v>2</v>
      </c>
      <c r="N292">
        <v>1</v>
      </c>
    </row>
    <row r="293" spans="1:14">
      <c r="A293">
        <v>24393</v>
      </c>
      <c r="B293" t="s">
        <v>6297</v>
      </c>
      <c r="C293" t="s">
        <v>6298</v>
      </c>
      <c r="D293" t="s">
        <v>6248</v>
      </c>
      <c r="E293" t="s">
        <v>6249</v>
      </c>
      <c r="F293" t="s">
        <v>6294</v>
      </c>
      <c r="G293">
        <v>42577.7109375</v>
      </c>
      <c r="H293">
        <v>2128.88549804688</v>
      </c>
      <c r="I293" t="s">
        <v>6249</v>
      </c>
      <c r="K293" t="b">
        <v>0</v>
      </c>
      <c r="L293">
        <v>98663</v>
      </c>
      <c r="M293">
        <v>1</v>
      </c>
      <c r="N293">
        <v>1</v>
      </c>
    </row>
    <row r="294" spans="1:14">
      <c r="A294">
        <v>24396</v>
      </c>
      <c r="B294" t="s">
        <v>6288</v>
      </c>
      <c r="C294" t="s">
        <v>6289</v>
      </c>
      <c r="D294" t="s">
        <v>6257</v>
      </c>
      <c r="E294" t="s">
        <v>6253</v>
      </c>
      <c r="F294" t="s">
        <v>6258</v>
      </c>
      <c r="G294">
        <v>118272.953125</v>
      </c>
      <c r="H294">
        <v>2319.07739257813</v>
      </c>
      <c r="K294" t="b">
        <v>0</v>
      </c>
      <c r="L294">
        <v>97321</v>
      </c>
      <c r="M294">
        <v>1</v>
      </c>
      <c r="N294">
        <v>1</v>
      </c>
    </row>
    <row r="295" spans="1:14">
      <c r="A295">
        <v>24414</v>
      </c>
      <c r="B295" t="s">
        <v>6271</v>
      </c>
      <c r="C295" t="s">
        <v>6272</v>
      </c>
      <c r="D295" t="s">
        <v>6257</v>
      </c>
      <c r="E295" t="s">
        <v>154</v>
      </c>
      <c r="F295" t="s">
        <v>6273</v>
      </c>
      <c r="G295">
        <v>79944.625</v>
      </c>
      <c r="H295">
        <v>1211.2822265625</v>
      </c>
      <c r="K295" t="b">
        <v>0</v>
      </c>
      <c r="L295">
        <v>83633</v>
      </c>
      <c r="M295">
        <v>2</v>
      </c>
      <c r="N295">
        <v>3</v>
      </c>
    </row>
    <row r="296" spans="1:14">
      <c r="A296">
        <v>24420</v>
      </c>
      <c r="B296" t="s">
        <v>6288</v>
      </c>
      <c r="C296" t="s">
        <v>6289</v>
      </c>
      <c r="D296" t="s">
        <v>6257</v>
      </c>
      <c r="E296" t="s">
        <v>6253</v>
      </c>
      <c r="F296" t="s">
        <v>6258</v>
      </c>
      <c r="G296">
        <v>118272.953125</v>
      </c>
      <c r="H296">
        <v>2319.07739257813</v>
      </c>
      <c r="K296" t="b">
        <v>0</v>
      </c>
      <c r="L296">
        <v>97497</v>
      </c>
      <c r="M296">
        <v>1</v>
      </c>
      <c r="N296">
        <v>2</v>
      </c>
    </row>
    <row r="297" spans="1:14">
      <c r="A297">
        <v>24421</v>
      </c>
      <c r="B297" t="s">
        <v>6317</v>
      </c>
      <c r="C297" t="s">
        <v>6318</v>
      </c>
      <c r="D297" t="s">
        <v>6248</v>
      </c>
      <c r="E297" t="s">
        <v>155</v>
      </c>
      <c r="F297" t="s">
        <v>6276</v>
      </c>
      <c r="G297">
        <v>52974.1640625</v>
      </c>
      <c r="H297">
        <v>868.428955078125</v>
      </c>
      <c r="I297" t="s">
        <v>6277</v>
      </c>
      <c r="K297" t="b">
        <v>0</v>
      </c>
      <c r="L297">
        <v>59915</v>
      </c>
      <c r="M297">
        <v>2</v>
      </c>
      <c r="N297">
        <v>1</v>
      </c>
    </row>
    <row r="298" spans="1:14">
      <c r="A298">
        <v>24428</v>
      </c>
      <c r="B298" t="s">
        <v>6368</v>
      </c>
      <c r="C298" t="s">
        <v>6369</v>
      </c>
      <c r="D298" t="s">
        <v>6248</v>
      </c>
      <c r="E298" t="s">
        <v>6290</v>
      </c>
      <c r="F298" t="s">
        <v>6291</v>
      </c>
      <c r="G298">
        <v>46836.8046875</v>
      </c>
      <c r="H298">
        <v>2128.94555664063</v>
      </c>
      <c r="I298" t="s">
        <v>6270</v>
      </c>
      <c r="K298" t="b">
        <v>0</v>
      </c>
      <c r="L298">
        <v>97750</v>
      </c>
      <c r="M298">
        <v>2</v>
      </c>
      <c r="N298">
        <v>1</v>
      </c>
    </row>
    <row r="299" spans="1:14">
      <c r="A299">
        <v>24450</v>
      </c>
      <c r="B299" t="s">
        <v>6317</v>
      </c>
      <c r="C299" t="s">
        <v>6318</v>
      </c>
      <c r="D299" t="s">
        <v>6248</v>
      </c>
      <c r="E299" t="s">
        <v>155</v>
      </c>
      <c r="F299" t="s">
        <v>6276</v>
      </c>
      <c r="G299">
        <v>52974.1640625</v>
      </c>
      <c r="H299">
        <v>868.428955078125</v>
      </c>
      <c r="I299" t="s">
        <v>6277</v>
      </c>
      <c r="K299" t="b">
        <v>0</v>
      </c>
      <c r="L299">
        <v>59845</v>
      </c>
      <c r="M299">
        <v>2</v>
      </c>
      <c r="N299">
        <v>2</v>
      </c>
    </row>
    <row r="300" spans="1:14">
      <c r="A300">
        <v>24473</v>
      </c>
      <c r="B300" t="s">
        <v>6288</v>
      </c>
      <c r="C300" t="s">
        <v>6289</v>
      </c>
      <c r="D300" t="s">
        <v>6257</v>
      </c>
      <c r="E300" t="s">
        <v>6253</v>
      </c>
      <c r="F300" t="s">
        <v>6258</v>
      </c>
      <c r="G300">
        <v>118272.953125</v>
      </c>
      <c r="H300">
        <v>2319.07739257813</v>
      </c>
      <c r="K300" t="b">
        <v>0</v>
      </c>
      <c r="L300">
        <v>97524</v>
      </c>
      <c r="M300">
        <v>1</v>
      </c>
      <c r="N300">
        <v>3</v>
      </c>
    </row>
    <row r="301" spans="1:14">
      <c r="A301">
        <v>24476</v>
      </c>
      <c r="B301" t="s">
        <v>6264</v>
      </c>
      <c r="C301" t="s">
        <v>6265</v>
      </c>
      <c r="D301" t="s">
        <v>6257</v>
      </c>
      <c r="E301" t="s">
        <v>6262</v>
      </c>
      <c r="F301" t="s">
        <v>6263</v>
      </c>
      <c r="G301">
        <v>110363.3984375</v>
      </c>
      <c r="H301">
        <v>3065.64990234375</v>
      </c>
      <c r="K301" t="b">
        <v>0</v>
      </c>
      <c r="L301">
        <v>98032</v>
      </c>
      <c r="M301">
        <v>1</v>
      </c>
      <c r="N301">
        <v>1</v>
      </c>
    </row>
    <row r="302" spans="1:14">
      <c r="A302">
        <v>24507</v>
      </c>
      <c r="B302" t="s">
        <v>6355</v>
      </c>
      <c r="C302" t="s">
        <v>6356</v>
      </c>
      <c r="D302" t="s">
        <v>6248</v>
      </c>
      <c r="E302" t="s">
        <v>6253</v>
      </c>
      <c r="F302" t="s">
        <v>6258</v>
      </c>
      <c r="G302">
        <v>118272.953125</v>
      </c>
      <c r="H302">
        <v>2319.07739257813</v>
      </c>
      <c r="I302" t="s">
        <v>6253</v>
      </c>
      <c r="K302" t="b">
        <v>0</v>
      </c>
      <c r="L302">
        <v>97465</v>
      </c>
      <c r="M302">
        <v>1</v>
      </c>
      <c r="N302">
        <v>1</v>
      </c>
    </row>
    <row r="303" spans="1:14">
      <c r="A303">
        <v>24509</v>
      </c>
      <c r="B303" t="s">
        <v>6280</v>
      </c>
      <c r="C303" t="s">
        <v>6281</v>
      </c>
      <c r="D303" t="s">
        <v>6257</v>
      </c>
      <c r="E303" t="s">
        <v>155</v>
      </c>
      <c r="F303" t="s">
        <v>6276</v>
      </c>
      <c r="G303">
        <v>52974.1640625</v>
      </c>
      <c r="H303">
        <v>868.428955078125</v>
      </c>
      <c r="J303" t="s">
        <v>6287</v>
      </c>
      <c r="K303" t="b">
        <v>1</v>
      </c>
      <c r="L303">
        <v>59047</v>
      </c>
      <c r="M303">
        <v>2</v>
      </c>
      <c r="N303">
        <v>2</v>
      </c>
    </row>
    <row r="304" spans="1:14">
      <c r="A304">
        <v>24582</v>
      </c>
      <c r="B304" t="s">
        <v>6307</v>
      </c>
      <c r="C304" t="s">
        <v>6308</v>
      </c>
      <c r="D304" t="s">
        <v>6248</v>
      </c>
      <c r="E304" t="s">
        <v>6262</v>
      </c>
      <c r="F304" t="s">
        <v>6263</v>
      </c>
      <c r="G304">
        <v>110363.3984375</v>
      </c>
      <c r="H304">
        <v>3065.64990234375</v>
      </c>
      <c r="I304" t="s">
        <v>6262</v>
      </c>
      <c r="K304" t="b">
        <v>0</v>
      </c>
      <c r="L304">
        <v>98223</v>
      </c>
      <c r="M304">
        <v>1</v>
      </c>
      <c r="N304">
        <v>1</v>
      </c>
    </row>
    <row r="305" spans="1:14">
      <c r="A305">
        <v>24591</v>
      </c>
      <c r="B305" t="s">
        <v>6280</v>
      </c>
      <c r="C305" t="s">
        <v>6281</v>
      </c>
      <c r="D305" t="s">
        <v>6257</v>
      </c>
      <c r="E305" t="s">
        <v>155</v>
      </c>
      <c r="F305" t="s">
        <v>6276</v>
      </c>
      <c r="G305">
        <v>52974.1640625</v>
      </c>
      <c r="H305">
        <v>868.428955078125</v>
      </c>
      <c r="J305" t="s">
        <v>6287</v>
      </c>
      <c r="K305" t="b">
        <v>1</v>
      </c>
      <c r="L305">
        <v>59802</v>
      </c>
      <c r="M305">
        <v>3</v>
      </c>
      <c r="N305">
        <v>1</v>
      </c>
    </row>
    <row r="306" spans="1:14">
      <c r="A306">
        <v>24595</v>
      </c>
      <c r="B306" t="s">
        <v>6271</v>
      </c>
      <c r="C306" t="s">
        <v>6272</v>
      </c>
      <c r="D306" t="s">
        <v>6257</v>
      </c>
      <c r="E306" t="s">
        <v>154</v>
      </c>
      <c r="F306" t="s">
        <v>6273</v>
      </c>
      <c r="G306">
        <v>79944.625</v>
      </c>
      <c r="H306">
        <v>1211.2822265625</v>
      </c>
      <c r="J306" t="s">
        <v>6336</v>
      </c>
      <c r="K306" t="b">
        <v>1</v>
      </c>
      <c r="L306">
        <v>83687</v>
      </c>
      <c r="M306">
        <v>1</v>
      </c>
      <c r="N306">
        <v>3</v>
      </c>
    </row>
    <row r="307" spans="1:14">
      <c r="A307">
        <v>24599</v>
      </c>
      <c r="B307" t="s">
        <v>6288</v>
      </c>
      <c r="C307" t="s">
        <v>6289</v>
      </c>
      <c r="D307" t="s">
        <v>6257</v>
      </c>
      <c r="E307" t="s">
        <v>6268</v>
      </c>
      <c r="F307" t="s">
        <v>6269</v>
      </c>
      <c r="G307">
        <v>81607.8359375</v>
      </c>
      <c r="H307">
        <v>2914.5654296875</v>
      </c>
      <c r="K307" t="b">
        <v>0</v>
      </c>
      <c r="L307">
        <v>98930</v>
      </c>
      <c r="M307">
        <v>1</v>
      </c>
      <c r="N307">
        <v>2</v>
      </c>
    </row>
    <row r="308" spans="1:14">
      <c r="A308">
        <v>24604</v>
      </c>
      <c r="B308" t="s">
        <v>6271</v>
      </c>
      <c r="C308" t="s">
        <v>6272</v>
      </c>
      <c r="D308" t="s">
        <v>6257</v>
      </c>
      <c r="E308" t="s">
        <v>154</v>
      </c>
      <c r="F308" t="s">
        <v>6273</v>
      </c>
      <c r="G308">
        <v>79944.625</v>
      </c>
      <c r="H308">
        <v>1211.2822265625</v>
      </c>
      <c r="K308" t="b">
        <v>0</v>
      </c>
      <c r="L308">
        <v>83714</v>
      </c>
      <c r="M308">
        <v>1</v>
      </c>
      <c r="N308">
        <v>3</v>
      </c>
    </row>
    <row r="309" spans="1:14">
      <c r="A309">
        <v>24606</v>
      </c>
      <c r="B309" t="s">
        <v>6280</v>
      </c>
      <c r="C309" t="s">
        <v>6281</v>
      </c>
      <c r="D309" t="s">
        <v>6257</v>
      </c>
      <c r="E309" t="s">
        <v>155</v>
      </c>
      <c r="F309" t="s">
        <v>6276</v>
      </c>
      <c r="G309">
        <v>52974.1640625</v>
      </c>
      <c r="H309">
        <v>868.428955078125</v>
      </c>
      <c r="J309" t="s">
        <v>6287</v>
      </c>
      <c r="K309" t="b">
        <v>1</v>
      </c>
      <c r="L309">
        <v>59808</v>
      </c>
      <c r="M309">
        <v>3</v>
      </c>
      <c r="N309">
        <v>1</v>
      </c>
    </row>
    <row r="310" spans="1:14">
      <c r="A310">
        <v>24613</v>
      </c>
      <c r="B310" t="s">
        <v>6307</v>
      </c>
      <c r="C310" t="s">
        <v>6308</v>
      </c>
      <c r="D310" t="s">
        <v>6248</v>
      </c>
      <c r="E310" t="s">
        <v>6262</v>
      </c>
      <c r="F310" t="s">
        <v>6263</v>
      </c>
      <c r="G310">
        <v>110363.3984375</v>
      </c>
      <c r="H310">
        <v>3065.64990234375</v>
      </c>
      <c r="I310" t="s">
        <v>6262</v>
      </c>
      <c r="K310" t="b">
        <v>0</v>
      </c>
      <c r="L310">
        <v>98021</v>
      </c>
      <c r="M310">
        <v>1</v>
      </c>
      <c r="N310">
        <v>1</v>
      </c>
    </row>
    <row r="311" spans="1:14">
      <c r="A311">
        <v>24659</v>
      </c>
      <c r="B311" t="s">
        <v>6271</v>
      </c>
      <c r="C311" t="s">
        <v>6272</v>
      </c>
      <c r="D311" t="s">
        <v>6257</v>
      </c>
      <c r="E311" t="s">
        <v>6290</v>
      </c>
      <c r="F311" t="s">
        <v>6291</v>
      </c>
      <c r="G311">
        <v>46836.8046875</v>
      </c>
      <c r="H311">
        <v>2128.94555664063</v>
      </c>
      <c r="K311" t="b">
        <v>0</v>
      </c>
      <c r="L311">
        <v>97914</v>
      </c>
      <c r="M311">
        <v>1</v>
      </c>
      <c r="N311">
        <v>3</v>
      </c>
    </row>
    <row r="312" spans="1:14">
      <c r="A312">
        <v>24669</v>
      </c>
      <c r="B312" t="s">
        <v>6280</v>
      </c>
      <c r="C312" t="s">
        <v>6281</v>
      </c>
      <c r="D312" t="s">
        <v>6257</v>
      </c>
      <c r="E312" t="s">
        <v>155</v>
      </c>
      <c r="F312" t="s">
        <v>6276</v>
      </c>
      <c r="G312">
        <v>52974.1640625</v>
      </c>
      <c r="H312">
        <v>868.428955078125</v>
      </c>
      <c r="J312" t="s">
        <v>6287</v>
      </c>
      <c r="K312" t="b">
        <v>1</v>
      </c>
      <c r="L312">
        <v>59602</v>
      </c>
      <c r="M312">
        <v>3</v>
      </c>
      <c r="N312">
        <v>2</v>
      </c>
    </row>
    <row r="313" spans="1:14">
      <c r="A313">
        <v>24692</v>
      </c>
      <c r="B313" t="s">
        <v>6271</v>
      </c>
      <c r="C313" t="s">
        <v>6272</v>
      </c>
      <c r="D313" t="s">
        <v>6257</v>
      </c>
      <c r="E313" t="s">
        <v>154</v>
      </c>
      <c r="F313" t="s">
        <v>6273</v>
      </c>
      <c r="G313">
        <v>79944.625</v>
      </c>
      <c r="H313">
        <v>1211.2822265625</v>
      </c>
      <c r="K313" t="b">
        <v>0</v>
      </c>
      <c r="L313">
        <v>83338</v>
      </c>
      <c r="M313">
        <v>2</v>
      </c>
      <c r="N313">
        <v>3</v>
      </c>
    </row>
    <row r="314" spans="1:14">
      <c r="A314">
        <v>24708</v>
      </c>
      <c r="B314" t="s">
        <v>6288</v>
      </c>
      <c r="C314" t="s">
        <v>6289</v>
      </c>
      <c r="D314" t="s">
        <v>6257</v>
      </c>
      <c r="E314" t="s">
        <v>6268</v>
      </c>
      <c r="F314" t="s">
        <v>6269</v>
      </c>
      <c r="G314">
        <v>81607.8359375</v>
      </c>
      <c r="H314">
        <v>2914.5654296875</v>
      </c>
      <c r="K314" t="b">
        <v>0</v>
      </c>
      <c r="L314">
        <v>98908</v>
      </c>
      <c r="M314">
        <v>1</v>
      </c>
      <c r="N314">
        <v>2</v>
      </c>
    </row>
    <row r="315" spans="1:14">
      <c r="A315">
        <v>24712</v>
      </c>
      <c r="B315" t="s">
        <v>6370</v>
      </c>
      <c r="C315" t="s">
        <v>6371</v>
      </c>
      <c r="D315" t="s">
        <v>161</v>
      </c>
      <c r="E315" t="s">
        <v>6268</v>
      </c>
      <c r="F315" t="s">
        <v>6269</v>
      </c>
      <c r="G315">
        <v>81607.8359375</v>
      </c>
      <c r="H315">
        <v>2914.5654296875</v>
      </c>
      <c r="K315" t="b">
        <v>0</v>
      </c>
      <c r="L315">
        <v>98801</v>
      </c>
      <c r="M315">
        <v>1</v>
      </c>
      <c r="N315">
        <v>3</v>
      </c>
    </row>
    <row r="316" spans="1:14">
      <c r="A316">
        <v>24719</v>
      </c>
      <c r="B316" t="s">
        <v>6366</v>
      </c>
      <c r="C316" t="s">
        <v>6367</v>
      </c>
      <c r="D316" t="s">
        <v>6248</v>
      </c>
      <c r="E316" t="s">
        <v>6290</v>
      </c>
      <c r="F316" t="s">
        <v>6291</v>
      </c>
      <c r="G316">
        <v>46836.8046875</v>
      </c>
      <c r="H316">
        <v>2128.94555664063</v>
      </c>
      <c r="I316" t="s">
        <v>6270</v>
      </c>
      <c r="J316" t="s">
        <v>6284</v>
      </c>
      <c r="K316" t="b">
        <v>1</v>
      </c>
      <c r="L316">
        <v>97850</v>
      </c>
      <c r="M316">
        <v>2</v>
      </c>
      <c r="N316">
        <v>2</v>
      </c>
    </row>
    <row r="317" spans="1:14">
      <c r="A317">
        <v>24736</v>
      </c>
      <c r="B317" t="s">
        <v>6355</v>
      </c>
      <c r="C317" t="s">
        <v>6356</v>
      </c>
      <c r="D317" t="s">
        <v>6248</v>
      </c>
      <c r="E317" t="s">
        <v>6253</v>
      </c>
      <c r="F317" t="s">
        <v>6258</v>
      </c>
      <c r="G317">
        <v>118272.953125</v>
      </c>
      <c r="H317">
        <v>2319.07739257813</v>
      </c>
      <c r="I317" t="s">
        <v>6253</v>
      </c>
      <c r="K317" t="b">
        <v>0</v>
      </c>
      <c r="L317">
        <v>97415</v>
      </c>
      <c r="M317">
        <v>1</v>
      </c>
      <c r="N317">
        <v>1</v>
      </c>
    </row>
    <row r="318" spans="1:14">
      <c r="A318">
        <v>24763</v>
      </c>
      <c r="B318" t="s">
        <v>6370</v>
      </c>
      <c r="C318" t="s">
        <v>6371</v>
      </c>
      <c r="D318" t="s">
        <v>161</v>
      </c>
      <c r="E318" t="s">
        <v>6268</v>
      </c>
      <c r="F318" t="s">
        <v>6269</v>
      </c>
      <c r="G318">
        <v>81607.8359375</v>
      </c>
      <c r="H318">
        <v>2914.5654296875</v>
      </c>
      <c r="K318" t="b">
        <v>0</v>
      </c>
      <c r="L318">
        <v>98801</v>
      </c>
      <c r="M318">
        <v>1</v>
      </c>
      <c r="N318">
        <v>3</v>
      </c>
    </row>
    <row r="319" spans="1:14">
      <c r="A319">
        <v>24771</v>
      </c>
      <c r="B319" t="s">
        <v>6334</v>
      </c>
      <c r="C319" t="s">
        <v>6335</v>
      </c>
      <c r="D319" t="s">
        <v>6248</v>
      </c>
      <c r="E319" t="s">
        <v>154</v>
      </c>
      <c r="F319" t="s">
        <v>6273</v>
      </c>
      <c r="G319">
        <v>79944.625</v>
      </c>
      <c r="H319">
        <v>1211.2822265625</v>
      </c>
      <c r="I319" t="s">
        <v>6277</v>
      </c>
      <c r="K319" t="b">
        <v>0</v>
      </c>
      <c r="L319">
        <v>83545</v>
      </c>
      <c r="M319">
        <v>1</v>
      </c>
      <c r="N319">
        <v>3</v>
      </c>
    </row>
    <row r="320" spans="1:14">
      <c r="A320">
        <v>24779</v>
      </c>
      <c r="B320" t="s">
        <v>6271</v>
      </c>
      <c r="C320" t="s">
        <v>6272</v>
      </c>
      <c r="D320" t="s">
        <v>6257</v>
      </c>
      <c r="E320" t="s">
        <v>154</v>
      </c>
      <c r="F320" t="s">
        <v>6273</v>
      </c>
      <c r="G320">
        <v>79944.625</v>
      </c>
      <c r="H320">
        <v>1211.2822265625</v>
      </c>
      <c r="K320" t="b">
        <v>0</v>
      </c>
      <c r="L320">
        <v>83202</v>
      </c>
      <c r="M320">
        <v>2</v>
      </c>
      <c r="N320">
        <v>2</v>
      </c>
    </row>
    <row r="321" spans="1:14">
      <c r="A321">
        <v>24847</v>
      </c>
      <c r="B321" t="s">
        <v>6337</v>
      </c>
      <c r="C321" t="s">
        <v>6338</v>
      </c>
      <c r="D321" t="s">
        <v>6248</v>
      </c>
      <c r="E321" t="s">
        <v>6249</v>
      </c>
      <c r="F321" t="s">
        <v>6294</v>
      </c>
      <c r="G321">
        <v>42577.7109375</v>
      </c>
      <c r="H321">
        <v>2128.88549804688</v>
      </c>
      <c r="I321" t="s">
        <v>6249</v>
      </c>
      <c r="K321" t="b">
        <v>0</v>
      </c>
      <c r="L321">
        <v>98382</v>
      </c>
      <c r="M321">
        <v>1</v>
      </c>
      <c r="N321">
        <v>1</v>
      </c>
    </row>
    <row r="322" spans="1:14">
      <c r="A322">
        <v>24854</v>
      </c>
      <c r="B322" t="s">
        <v>6271</v>
      </c>
      <c r="C322" t="s">
        <v>6272</v>
      </c>
      <c r="D322" t="s">
        <v>6257</v>
      </c>
      <c r="E322" t="s">
        <v>154</v>
      </c>
      <c r="F322" t="s">
        <v>6273</v>
      </c>
      <c r="G322">
        <v>79944.625</v>
      </c>
      <c r="H322">
        <v>1211.2822265625</v>
      </c>
      <c r="K322" t="b">
        <v>0</v>
      </c>
      <c r="L322">
        <v>83639</v>
      </c>
      <c r="M322">
        <v>1</v>
      </c>
      <c r="N322">
        <v>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sheetPr>
    <tabColor rgb="FFFF0000"/>
  </sheetPr>
  <dimension ref="A6:H28"/>
  <sheetViews>
    <sheetView workbookViewId="0">
      <selection activeCell="J13" sqref="J13"/>
    </sheetView>
  </sheetViews>
  <sheetFormatPr defaultRowHeight="12.75"/>
  <cols>
    <col min="2" max="2" width="9.85546875" bestFit="1" customWidth="1"/>
    <col min="3" max="3" width="10.140625" bestFit="1" customWidth="1"/>
    <col min="5" max="5" width="9.42578125" bestFit="1" customWidth="1"/>
    <col min="6" max="6" width="18.140625" customWidth="1"/>
    <col min="7" max="7" width="15" customWidth="1"/>
    <col min="8" max="8" width="14.7109375" customWidth="1"/>
  </cols>
  <sheetData>
    <row r="6" spans="1:7">
      <c r="A6" s="318" t="s">
        <v>6429</v>
      </c>
      <c r="B6" s="319" t="s">
        <v>6430</v>
      </c>
      <c r="C6" s="319" t="s">
        <v>6431</v>
      </c>
      <c r="D6" s="319" t="s">
        <v>6432</v>
      </c>
      <c r="E6" s="319" t="s">
        <v>6433</v>
      </c>
      <c r="F6" s="319" t="s">
        <v>6434</v>
      </c>
      <c r="G6" s="320" t="s">
        <v>6435</v>
      </c>
    </row>
    <row r="7" spans="1:7">
      <c r="A7" s="321">
        <v>2010</v>
      </c>
      <c r="B7" s="322" t="s">
        <v>6436</v>
      </c>
      <c r="C7" s="322" t="s">
        <v>165</v>
      </c>
      <c r="D7" s="322" t="s">
        <v>6437</v>
      </c>
      <c r="E7" s="322" t="s">
        <v>6438</v>
      </c>
      <c r="F7" s="323">
        <v>501600.55912223249</v>
      </c>
      <c r="G7" s="324">
        <v>5.7260338569960822E-2</v>
      </c>
    </row>
    <row r="8" spans="1:7">
      <c r="A8" s="325">
        <v>2010</v>
      </c>
      <c r="B8" s="326" t="s">
        <v>6436</v>
      </c>
      <c r="C8" s="326" t="s">
        <v>165</v>
      </c>
      <c r="D8" s="326" t="s">
        <v>6437</v>
      </c>
      <c r="E8" s="326" t="s">
        <v>6439</v>
      </c>
      <c r="F8" s="327">
        <v>31423341.944881309</v>
      </c>
      <c r="G8" s="328">
        <v>3.5871394532354799</v>
      </c>
    </row>
    <row r="9" spans="1:7">
      <c r="A9" s="329">
        <v>2010</v>
      </c>
      <c r="B9" s="330" t="s">
        <v>6436</v>
      </c>
      <c r="C9" s="330" t="s">
        <v>165</v>
      </c>
      <c r="D9" s="330" t="s">
        <v>6437</v>
      </c>
      <c r="E9" s="330" t="s">
        <v>6440</v>
      </c>
      <c r="F9" s="331">
        <v>4219964.4518400002</v>
      </c>
      <c r="G9" s="332">
        <v>0.4817311018705368</v>
      </c>
    </row>
    <row r="10" spans="1:7">
      <c r="A10" s="325">
        <v>2010</v>
      </c>
      <c r="B10" s="326" t="s">
        <v>6436</v>
      </c>
      <c r="C10" s="326" t="s">
        <v>165</v>
      </c>
      <c r="D10" s="326" t="s">
        <v>6437</v>
      </c>
      <c r="E10" s="326" t="s">
        <v>6441</v>
      </c>
      <c r="F10" s="327">
        <v>32686560.831699654</v>
      </c>
      <c r="G10" s="328">
        <v>3.7313425596814795</v>
      </c>
    </row>
    <row r="11" spans="1:7">
      <c r="A11" s="321">
        <v>2011</v>
      </c>
      <c r="B11" s="322" t="s">
        <v>6436</v>
      </c>
      <c r="C11" s="322" t="s">
        <v>165</v>
      </c>
      <c r="D11" s="322" t="s">
        <v>6437</v>
      </c>
      <c r="E11" s="322" t="s">
        <v>6438</v>
      </c>
      <c r="F11" s="323">
        <v>925664.03543306305</v>
      </c>
      <c r="G11" s="324">
        <v>0.10566941017515319</v>
      </c>
    </row>
    <row r="12" spans="1:7">
      <c r="A12" s="325">
        <v>2011</v>
      </c>
      <c r="B12" s="326" t="s">
        <v>6436</v>
      </c>
      <c r="C12" s="326" t="s">
        <v>165</v>
      </c>
      <c r="D12" s="326" t="s">
        <v>6437</v>
      </c>
      <c r="E12" s="326" t="s">
        <v>6439</v>
      </c>
      <c r="F12" s="327">
        <v>32176856.711389404</v>
      </c>
      <c r="G12" s="328">
        <v>3.6731571527706421</v>
      </c>
    </row>
    <row r="13" spans="1:7">
      <c r="A13" s="329">
        <v>2011</v>
      </c>
      <c r="B13" s="330" t="s">
        <v>6436</v>
      </c>
      <c r="C13" s="330" t="s">
        <v>165</v>
      </c>
      <c r="D13" s="330" t="s">
        <v>6437</v>
      </c>
      <c r="E13" s="330" t="s">
        <v>6440</v>
      </c>
      <c r="F13" s="331">
        <v>1466272.0972799999</v>
      </c>
      <c r="G13" s="332">
        <v>0.16738265752792358</v>
      </c>
    </row>
    <row r="14" spans="1:7">
      <c r="A14" s="325">
        <v>2011</v>
      </c>
      <c r="B14" s="326" t="s">
        <v>6436</v>
      </c>
      <c r="C14" s="326" t="s">
        <v>165</v>
      </c>
      <c r="D14" s="326" t="s">
        <v>6437</v>
      </c>
      <c r="E14" s="326" t="s">
        <v>6441</v>
      </c>
      <c r="F14" s="327">
        <v>33218052.496896528</v>
      </c>
      <c r="G14" s="328">
        <v>3.7920151224057008</v>
      </c>
    </row>
    <row r="15" spans="1:7">
      <c r="A15" s="321">
        <v>2012</v>
      </c>
      <c r="B15" s="322" t="s">
        <v>6436</v>
      </c>
      <c r="C15" s="322" t="s">
        <v>165</v>
      </c>
      <c r="D15" s="322" t="s">
        <v>6437</v>
      </c>
      <c r="E15" s="322" t="s">
        <v>6438</v>
      </c>
      <c r="F15" s="323">
        <v>773762.70000000007</v>
      </c>
      <c r="G15" s="324">
        <v>8.832907566556969E-2</v>
      </c>
    </row>
    <row r="16" spans="1:7">
      <c r="A16" s="325">
        <v>2012</v>
      </c>
      <c r="B16" s="326" t="s">
        <v>6436</v>
      </c>
      <c r="C16" s="326" t="s">
        <v>165</v>
      </c>
      <c r="D16" s="326" t="s">
        <v>6437</v>
      </c>
      <c r="E16" s="326" t="s">
        <v>6439</v>
      </c>
      <c r="F16" s="327">
        <v>23247024.939552914</v>
      </c>
      <c r="G16" s="328">
        <v>2.6537699680283069</v>
      </c>
    </row>
    <row r="17" spans="1:8">
      <c r="A17" s="329">
        <v>2012</v>
      </c>
      <c r="B17" s="330" t="s">
        <v>6436</v>
      </c>
      <c r="C17" s="330" t="s">
        <v>165</v>
      </c>
      <c r="D17" s="330" t="s">
        <v>6437</v>
      </c>
      <c r="E17" s="330" t="s">
        <v>6440</v>
      </c>
      <c r="F17" s="331">
        <v>2316618.6342378869</v>
      </c>
      <c r="G17" s="332">
        <v>0.2644541829067748</v>
      </c>
    </row>
    <row r="18" spans="1:8">
      <c r="A18" s="325">
        <v>2012</v>
      </c>
      <c r="B18" s="326" t="s">
        <v>6436</v>
      </c>
      <c r="C18" s="326" t="s">
        <v>165</v>
      </c>
      <c r="D18" s="326" t="s">
        <v>6437</v>
      </c>
      <c r="E18" s="326" t="s">
        <v>6441</v>
      </c>
      <c r="F18" s="327">
        <v>22311578.387475889</v>
      </c>
      <c r="G18" s="328">
        <v>2.5469838344754407</v>
      </c>
    </row>
    <row r="19" spans="1:8">
      <c r="A19" s="321">
        <v>2013</v>
      </c>
      <c r="B19" s="322" t="s">
        <v>6436</v>
      </c>
      <c r="C19" s="322" t="s">
        <v>165</v>
      </c>
      <c r="D19" s="322" t="s">
        <v>6437</v>
      </c>
      <c r="E19" s="322" t="s">
        <v>6438</v>
      </c>
      <c r="F19" s="323">
        <v>791015.17022758001</v>
      </c>
      <c r="G19" s="324">
        <v>9.0298535552804537E-2</v>
      </c>
    </row>
    <row r="20" spans="1:8">
      <c r="A20" s="325">
        <v>2013</v>
      </c>
      <c r="B20" s="326" t="s">
        <v>6436</v>
      </c>
      <c r="C20" s="326" t="s">
        <v>165</v>
      </c>
      <c r="D20" s="326" t="s">
        <v>6437</v>
      </c>
      <c r="E20" s="326" t="s">
        <v>6439</v>
      </c>
      <c r="F20" s="327">
        <v>18897309.790938906</v>
      </c>
      <c r="G20" s="328">
        <v>2.1572271475304774</v>
      </c>
    </row>
    <row r="21" spans="1:8">
      <c r="A21" s="329">
        <v>2013</v>
      </c>
      <c r="B21" s="330" t="s">
        <v>6436</v>
      </c>
      <c r="C21" s="330" t="s">
        <v>165</v>
      </c>
      <c r="D21" s="330" t="s">
        <v>6437</v>
      </c>
      <c r="E21" s="330" t="s">
        <v>6440</v>
      </c>
      <c r="F21" s="331">
        <v>1116784.4392178105</v>
      </c>
      <c r="G21" s="332">
        <v>0.12748681072844192</v>
      </c>
    </row>
    <row r="22" spans="1:8">
      <c r="A22" s="325">
        <v>2013</v>
      </c>
      <c r="B22" s="326" t="s">
        <v>6436</v>
      </c>
      <c r="C22" s="326" t="s">
        <v>165</v>
      </c>
      <c r="D22" s="326" t="s">
        <v>6437</v>
      </c>
      <c r="E22" s="326" t="s">
        <v>6441</v>
      </c>
      <c r="F22" s="327">
        <v>21350049.112127624</v>
      </c>
      <c r="G22" s="328">
        <v>2.4372202204804125</v>
      </c>
    </row>
    <row r="25" spans="1:8">
      <c r="F25" s="322" t="s">
        <v>6438</v>
      </c>
      <c r="G25" s="333">
        <f>SUMIF($E$7:$E$22,$F25,$G$7:$G$22)</f>
        <v>0.34155735996348824</v>
      </c>
      <c r="H25" s="308">
        <f>G25/4</f>
        <v>8.538933999087206E-2</v>
      </c>
    </row>
    <row r="26" spans="1:8">
      <c r="F26" s="326" t="s">
        <v>6439</v>
      </c>
      <c r="G26" s="333">
        <f t="shared" ref="G26:G28" si="0">SUMIF($E$7:$E$22,$F26,$G$7:$G$22)</f>
        <v>12.071293721564906</v>
      </c>
      <c r="H26" s="308">
        <f t="shared" ref="H26:H28" si="1">G26/4</f>
        <v>3.0178234303912266</v>
      </c>
    </row>
    <row r="27" spans="1:8">
      <c r="F27" s="330" t="s">
        <v>6440</v>
      </c>
      <c r="G27" s="333">
        <f t="shared" si="0"/>
        <v>1.0410547530336771</v>
      </c>
      <c r="H27" s="308">
        <f t="shared" si="1"/>
        <v>0.26026368825841928</v>
      </c>
    </row>
    <row r="28" spans="1:8">
      <c r="F28" s="326" t="s">
        <v>6441</v>
      </c>
      <c r="G28" s="333">
        <f t="shared" si="0"/>
        <v>12.507561737043034</v>
      </c>
      <c r="H28" s="308">
        <f t="shared" si="1"/>
        <v>3.1268904342607584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L45"/>
  <sheetViews>
    <sheetView workbookViewId="0">
      <selection activeCell="D4" sqref="D4"/>
    </sheetView>
  </sheetViews>
  <sheetFormatPr defaultRowHeight="12.75"/>
  <cols>
    <col min="2" max="2" width="25.140625" customWidth="1"/>
  </cols>
  <sheetData>
    <row r="1" spans="1:12">
      <c r="A1" s="298" t="s">
        <v>6393</v>
      </c>
      <c r="B1" t="s">
        <v>6407</v>
      </c>
      <c r="C1" t="s">
        <v>6408</v>
      </c>
      <c r="D1" t="s">
        <v>6495</v>
      </c>
      <c r="I1" t="s">
        <v>6501</v>
      </c>
    </row>
    <row r="2" spans="1:12">
      <c r="B2" s="299" t="s">
        <v>6394</v>
      </c>
      <c r="C2" s="299"/>
      <c r="G2" s="389" t="s">
        <v>6496</v>
      </c>
      <c r="J2" s="389" t="s">
        <v>6497</v>
      </c>
    </row>
    <row r="3" spans="1:12">
      <c r="D3" t="s">
        <v>56</v>
      </c>
      <c r="E3" t="s">
        <v>57</v>
      </c>
      <c r="F3" t="s">
        <v>58</v>
      </c>
      <c r="G3" t="s">
        <v>56</v>
      </c>
      <c r="H3" t="s">
        <v>57</v>
      </c>
      <c r="I3" t="s">
        <v>58</v>
      </c>
      <c r="J3" t="s">
        <v>6498</v>
      </c>
      <c r="K3" t="s">
        <v>6499</v>
      </c>
      <c r="L3" t="s">
        <v>6500</v>
      </c>
    </row>
    <row r="4" spans="1:12">
      <c r="B4" t="s">
        <v>6373</v>
      </c>
      <c r="C4" t="s">
        <v>6395</v>
      </c>
      <c r="D4" s="300">
        <v>0.30705170082395566</v>
      </c>
      <c r="E4" s="300">
        <v>0.7744286361389523</v>
      </c>
      <c r="F4" s="300">
        <v>1.0922990121771836</v>
      </c>
      <c r="G4" s="300">
        <v>2.6479463399315509E-2</v>
      </c>
      <c r="H4" s="300">
        <v>0.15153534510441222</v>
      </c>
      <c r="I4" s="300">
        <v>0.21373422939615996</v>
      </c>
      <c r="J4" s="300">
        <v>2.6548560127231829E-3</v>
      </c>
      <c r="K4" s="300">
        <v>4.075483931772152E-3</v>
      </c>
      <c r="L4" s="300">
        <v>6.6163832367785516E-3</v>
      </c>
    </row>
    <row r="5" spans="1:12">
      <c r="B5" t="s">
        <v>6374</v>
      </c>
      <c r="C5" t="s">
        <v>6395</v>
      </c>
      <c r="D5" s="300">
        <v>0.60444823586633523</v>
      </c>
      <c r="E5" s="300">
        <v>0.9331100828406077</v>
      </c>
      <c r="F5" s="300">
        <v>1.1365546200975047</v>
      </c>
      <c r="G5" s="300">
        <v>5.2126286535634545E-2</v>
      </c>
      <c r="H5" s="300">
        <v>0.18258513673852256</v>
      </c>
      <c r="I5" s="300">
        <v>0.22239388957149481</v>
      </c>
      <c r="J5" s="300">
        <v>5.9507163958120671E-3</v>
      </c>
      <c r="K5" s="300">
        <v>1.5306530423667621E-2</v>
      </c>
      <c r="L5" s="300">
        <v>2.3132777937694655E-2</v>
      </c>
    </row>
    <row r="6" spans="1:12">
      <c r="B6" t="s">
        <v>6396</v>
      </c>
      <c r="C6" t="s">
        <v>6395</v>
      </c>
      <c r="D6" s="300">
        <v>0.11481209624260288</v>
      </c>
      <c r="E6" s="300">
        <v>0.33468675440596829</v>
      </c>
      <c r="F6" s="300">
        <v>0.4310778855999568</v>
      </c>
      <c r="G6" s="300">
        <v>9.9011426808468788E-3</v>
      </c>
      <c r="H6" s="300">
        <v>6.54894078861053E-2</v>
      </c>
      <c r="I6" s="300">
        <v>8.435062071949144E-2</v>
      </c>
      <c r="J6" s="300">
        <v>0</v>
      </c>
      <c r="K6" s="300">
        <v>0</v>
      </c>
      <c r="L6" s="300">
        <v>0</v>
      </c>
    </row>
    <row r="7" spans="1:12">
      <c r="B7" t="s">
        <v>6375</v>
      </c>
      <c r="C7" t="s">
        <v>6395</v>
      </c>
      <c r="D7" s="301">
        <v>0.47849068870328615</v>
      </c>
      <c r="E7" s="301">
        <v>0.87892894056879856</v>
      </c>
      <c r="F7" s="301">
        <v>1.1543188954975354</v>
      </c>
      <c r="G7" s="301">
        <v>4.1263984678906657E-2</v>
      </c>
      <c r="H7" s="301">
        <v>0.17198331016707238</v>
      </c>
      <c r="I7" s="301">
        <v>0.22586989172024602</v>
      </c>
      <c r="J7" s="301">
        <v>0</v>
      </c>
      <c r="K7" s="301">
        <v>0</v>
      </c>
      <c r="L7" s="301">
        <v>0</v>
      </c>
    </row>
    <row r="8" spans="1:12">
      <c r="B8" t="s">
        <v>6376</v>
      </c>
      <c r="C8" t="s">
        <v>6395</v>
      </c>
      <c r="D8" s="301">
        <v>0.19656048128483242</v>
      </c>
      <c r="E8" s="301">
        <v>0.37884048028244466</v>
      </c>
      <c r="F8" s="301">
        <v>0.53756219623924073</v>
      </c>
      <c r="G8" s="301">
        <v>1.6950943622740834E-2</v>
      </c>
      <c r="H8" s="301">
        <v>7.4129132421210081E-2</v>
      </c>
      <c r="I8" s="301">
        <v>0.10518680369095128</v>
      </c>
      <c r="J8" s="301">
        <v>-2.7424221774088784E-3</v>
      </c>
      <c r="K8" s="301">
        <v>-8.6096808118989922E-3</v>
      </c>
      <c r="L8" s="301">
        <v>-6.5443849064469525E-3</v>
      </c>
    </row>
    <row r="9" spans="1:12">
      <c r="B9" t="s">
        <v>6377</v>
      </c>
      <c r="C9" t="s">
        <v>6395</v>
      </c>
      <c r="D9" s="300">
        <v>3.0053085664652537</v>
      </c>
      <c r="E9" s="300">
        <v>8.7576321635195828</v>
      </c>
      <c r="F9" s="300">
        <v>13.677064983730705</v>
      </c>
      <c r="G9" s="300">
        <v>0.25917120138341687</v>
      </c>
      <c r="H9" s="300">
        <v>1.7136386107994159</v>
      </c>
      <c r="I9" s="300">
        <v>2.6762424135788727</v>
      </c>
      <c r="J9" s="300">
        <v>0</v>
      </c>
      <c r="K9" s="300">
        <v>0</v>
      </c>
      <c r="L9" s="300">
        <v>0</v>
      </c>
    </row>
    <row r="10" spans="1:12">
      <c r="A10" s="302"/>
      <c r="B10" t="s">
        <v>6378</v>
      </c>
      <c r="C10" t="s">
        <v>6395</v>
      </c>
      <c r="D10" s="300">
        <v>8.4961858733485727</v>
      </c>
      <c r="E10" s="300">
        <v>13.680374182755711</v>
      </c>
      <c r="F10" s="300">
        <v>17.155775373226007</v>
      </c>
      <c r="G10" s="300">
        <v>0.73269238458347197</v>
      </c>
      <c r="H10" s="300">
        <v>2.6768899369178509</v>
      </c>
      <c r="I10" s="300">
        <v>3.3569346746743038</v>
      </c>
      <c r="J10" s="300">
        <v>4.5759325093094029E-2</v>
      </c>
      <c r="K10" s="300">
        <v>0.11845549679315252</v>
      </c>
      <c r="L10" s="300">
        <v>0.21423340879128586</v>
      </c>
    </row>
    <row r="11" spans="1:12">
      <c r="B11" t="s">
        <v>6397</v>
      </c>
      <c r="C11" t="s">
        <v>6395</v>
      </c>
      <c r="D11" s="301">
        <v>3.3441530333554272</v>
      </c>
      <c r="E11" s="301">
        <v>9.0282040315934911</v>
      </c>
      <c r="F11" s="301">
        <v>14.23840231057979</v>
      </c>
      <c r="G11" s="301">
        <v>0.28839240300842633</v>
      </c>
      <c r="H11" s="301">
        <v>1.7665824192935642</v>
      </c>
      <c r="I11" s="301">
        <v>2.786081385918735</v>
      </c>
      <c r="J11" s="301">
        <v>0</v>
      </c>
      <c r="K11" s="301">
        <v>0</v>
      </c>
      <c r="L11" s="301">
        <v>0</v>
      </c>
    </row>
    <row r="12" spans="1:12">
      <c r="B12" t="s">
        <v>6398</v>
      </c>
      <c r="C12" t="s">
        <v>6395</v>
      </c>
      <c r="D12" s="303">
        <v>8.7315853912790988</v>
      </c>
      <c r="E12" s="303">
        <v>14.284040241190263</v>
      </c>
      <c r="F12" s="303">
        <v>18.117306205690848</v>
      </c>
      <c r="G12" s="303">
        <v>0.75299272131025552</v>
      </c>
      <c r="H12" s="303">
        <v>2.7950115303402918</v>
      </c>
      <c r="I12" s="303">
        <v>3.5450810056939508</v>
      </c>
      <c r="J12" s="303">
        <v>4.6276976489662017E-2</v>
      </c>
      <c r="K12" s="303">
        <v>0.12118353627068411</v>
      </c>
      <c r="L12" s="303">
        <v>0.22051262663086355</v>
      </c>
    </row>
    <row r="13" spans="1:12">
      <c r="B13" t="s">
        <v>6399</v>
      </c>
      <c r="C13" t="s">
        <v>6395</v>
      </c>
      <c r="D13" s="304">
        <v>0.22149540967711071</v>
      </c>
      <c r="E13" s="304">
        <v>0.35388817871987621</v>
      </c>
      <c r="F13" s="304">
        <v>0.47476264614749397</v>
      </c>
      <c r="G13" s="304">
        <v>1.9101277009451006E-2</v>
      </c>
      <c r="H13" s="304">
        <v>6.9246622333147212E-2</v>
      </c>
      <c r="I13" s="304">
        <v>9.2898581056261517E-2</v>
      </c>
      <c r="J13" s="304">
        <v>5.1720188772777054E-4</v>
      </c>
      <c r="K13" s="304">
        <v>4.1255432957513897E-4</v>
      </c>
      <c r="L13" s="304">
        <v>2.0686837221610675E-3</v>
      </c>
    </row>
    <row r="14" spans="1:12">
      <c r="B14" t="s">
        <v>6400</v>
      </c>
      <c r="C14" t="s">
        <v>6395</v>
      </c>
      <c r="D14" s="305">
        <v>0.38248775461080703</v>
      </c>
      <c r="E14" s="305">
        <v>0.6093425767837457</v>
      </c>
      <c r="F14" s="305">
        <v>0.83423574930391853</v>
      </c>
      <c r="G14" s="305">
        <v>3.2984902776063897E-2</v>
      </c>
      <c r="H14" s="305">
        <v>0.11923233897973913</v>
      </c>
      <c r="I14" s="305">
        <v>0.16323802642355398</v>
      </c>
      <c r="J14" s="305">
        <v>1.1919247049599097E-3</v>
      </c>
      <c r="K14" s="305">
        <v>2.5203557229512186E-3</v>
      </c>
      <c r="L14" s="305">
        <v>5.4031405217501369E-3</v>
      </c>
    </row>
    <row r="15" spans="1:12">
      <c r="B15" t="s">
        <v>55</v>
      </c>
      <c r="C15" t="s">
        <v>6401</v>
      </c>
      <c r="D15" s="305">
        <v>0.23632999530764776</v>
      </c>
      <c r="E15" s="305">
        <v>0.47551208817351309</v>
      </c>
      <c r="F15" s="305">
        <v>0.55877883449357257</v>
      </c>
      <c r="G15" s="300">
        <v>2.0380579049445326E-2</v>
      </c>
      <c r="H15" s="300">
        <v>9.3045227177994155E-2</v>
      </c>
      <c r="I15" s="300">
        <v>0.10933834258013149</v>
      </c>
      <c r="J15" s="300">
        <v>8.013201741838024E-5</v>
      </c>
      <c r="K15" s="300">
        <v>-4.7527905275574406E-4</v>
      </c>
      <c r="L15" s="300">
        <v>1.6787293670279531E-4</v>
      </c>
    </row>
    <row r="16" spans="1:12">
      <c r="D16" s="306"/>
      <c r="E16" s="306"/>
      <c r="F16" s="306"/>
    </row>
    <row r="17" spans="1:12">
      <c r="B17" s="299" t="s">
        <v>6402</v>
      </c>
      <c r="C17" s="299"/>
      <c r="G17" s="389" t="s">
        <v>6496</v>
      </c>
      <c r="J17" s="389" t="s">
        <v>6497</v>
      </c>
    </row>
    <row r="18" spans="1:12">
      <c r="D18" t="s">
        <v>56</v>
      </c>
      <c r="E18" t="s">
        <v>57</v>
      </c>
      <c r="F18" t="s">
        <v>58</v>
      </c>
      <c r="G18" t="s">
        <v>56</v>
      </c>
      <c r="H18" t="s">
        <v>57</v>
      </c>
      <c r="I18" t="s">
        <v>58</v>
      </c>
      <c r="J18" t="s">
        <v>6498</v>
      </c>
      <c r="K18" t="s">
        <v>6499</v>
      </c>
      <c r="L18" t="s">
        <v>6500</v>
      </c>
    </row>
    <row r="19" spans="1:12">
      <c r="A19" s="404" t="s">
        <v>66</v>
      </c>
      <c r="B19" t="s">
        <v>6373</v>
      </c>
      <c r="C19" t="s">
        <v>6395</v>
      </c>
      <c r="D19" s="300">
        <v>0.26414227285875647</v>
      </c>
      <c r="E19" s="300">
        <v>0.30731491751347301</v>
      </c>
      <c r="F19" s="300">
        <v>0.45418016417160967</v>
      </c>
      <c r="G19" s="300">
        <v>2.2779048699637632E-2</v>
      </c>
      <c r="H19" s="300">
        <v>6.0133458278759225E-2</v>
      </c>
      <c r="I19" s="300">
        <v>8.8871129895788895E-2</v>
      </c>
      <c r="J19" s="300">
        <v>4.0155996555511365E-2</v>
      </c>
      <c r="K19" s="300">
        <v>6.2066324540914541E-2</v>
      </c>
      <c r="L19" s="300">
        <v>9.8854299412244079E-2</v>
      </c>
    </row>
    <row r="20" spans="1:12">
      <c r="A20" s="404"/>
      <c r="B20" t="s">
        <v>6403</v>
      </c>
      <c r="C20" t="s">
        <v>6395</v>
      </c>
      <c r="D20" s="301">
        <v>0.2621751812904406</v>
      </c>
      <c r="E20" s="301">
        <v>0.28489703706649766</v>
      </c>
      <c r="F20" s="301">
        <v>0.39034339888996411</v>
      </c>
      <c r="G20" s="301">
        <v>2.2609411048888427E-2</v>
      </c>
      <c r="H20" s="300">
        <v>5.5746867840964096E-2</v>
      </c>
      <c r="I20" s="300">
        <v>7.6379951489044334E-2</v>
      </c>
      <c r="J20" s="300">
        <v>4.7110079931505192E-2</v>
      </c>
      <c r="K20" s="300">
        <v>7.4821568067136052E-2</v>
      </c>
      <c r="L20" s="300">
        <v>0.11771053971160131</v>
      </c>
    </row>
    <row r="21" spans="1:12">
      <c r="A21" s="404"/>
      <c r="B21" t="s">
        <v>6404</v>
      </c>
      <c r="C21" t="s">
        <v>6395</v>
      </c>
      <c r="D21" s="301">
        <v>0.10420488558578286</v>
      </c>
      <c r="E21" s="301">
        <v>2.8130913850995934E-2</v>
      </c>
      <c r="F21" s="301">
        <v>-1.5687898617586977E-2</v>
      </c>
      <c r="G21" s="301">
        <v>8.9864001615825653E-3</v>
      </c>
      <c r="H21" s="300">
        <v>5.5044810323210906E-3</v>
      </c>
      <c r="I21" s="300">
        <v>-3.0697097447627704E-3</v>
      </c>
      <c r="J21" s="300">
        <v>2.2762835337570998E-2</v>
      </c>
      <c r="K21" s="300">
        <v>3.5327899604222016E-2</v>
      </c>
      <c r="L21" s="300">
        <v>5.6544742800761084E-2</v>
      </c>
    </row>
    <row r="22" spans="1:12">
      <c r="B22" t="s">
        <v>6375</v>
      </c>
      <c r="C22" t="s">
        <v>6395</v>
      </c>
      <c r="D22" s="301">
        <v>0.22701205883517456</v>
      </c>
      <c r="E22" s="301">
        <v>2.2924747296391271E-2</v>
      </c>
      <c r="F22" s="301">
        <v>3.5282744619257199E-2</v>
      </c>
      <c r="G22" s="301">
        <v>1.9577020700418415E-2</v>
      </c>
      <c r="H22" s="301">
        <v>4.4857709682713789E-3</v>
      </c>
      <c r="I22" s="301">
        <v>6.9039064835803281E-3</v>
      </c>
      <c r="J22" s="301">
        <v>-4.1321071491794252E-2</v>
      </c>
      <c r="K22" s="301">
        <v>-5.6877722302036283E-2</v>
      </c>
      <c r="L22" s="301">
        <v>-5.3903910515757866E-2</v>
      </c>
    </row>
    <row r="23" spans="1:12">
      <c r="B23" t="s">
        <v>6376</v>
      </c>
      <c r="C23" t="s">
        <v>6395</v>
      </c>
      <c r="D23" s="301">
        <v>0.11626329716863983</v>
      </c>
      <c r="E23" s="301">
        <v>2.6223612456817185E-2</v>
      </c>
      <c r="F23" s="301">
        <v>-2.8899967172981728E-3</v>
      </c>
      <c r="G23" s="301">
        <v>1.0026291057172199E-2</v>
      </c>
      <c r="H23" s="301">
        <v>5.1312722413523401E-3</v>
      </c>
      <c r="I23" s="301">
        <v>-5.6549645696187976E-4</v>
      </c>
      <c r="J23" s="301">
        <v>-1.5148499500354832E-2</v>
      </c>
      <c r="K23" s="301">
        <v>-1.8825500514967525E-2</v>
      </c>
      <c r="L23" s="301">
        <v>-1.6843325830017127E-2</v>
      </c>
    </row>
    <row r="24" spans="1:12">
      <c r="B24" t="s">
        <v>6377</v>
      </c>
      <c r="C24" t="s">
        <v>6395</v>
      </c>
      <c r="D24" s="307">
        <v>1.2963867030076783</v>
      </c>
      <c r="E24" s="307">
        <v>2.4370186838112233</v>
      </c>
      <c r="F24" s="307">
        <v>4.5574394707944199</v>
      </c>
      <c r="G24" s="390">
        <v>0.11179753820459203</v>
      </c>
      <c r="H24" s="390">
        <v>0.47686055246925757</v>
      </c>
      <c r="I24" s="390">
        <v>0.891771211408805</v>
      </c>
      <c r="J24" s="390">
        <v>0</v>
      </c>
      <c r="K24" s="390">
        <v>0</v>
      </c>
      <c r="L24" s="390">
        <v>0</v>
      </c>
    </row>
    <row r="25" spans="1:12">
      <c r="B25" t="s">
        <v>6378</v>
      </c>
      <c r="C25" t="s">
        <v>6395</v>
      </c>
      <c r="D25" s="300">
        <v>3.6649622322959936</v>
      </c>
      <c r="E25" s="300">
        <v>3.806888307524634</v>
      </c>
      <c r="F25" s="300">
        <v>5.7166071763955371</v>
      </c>
      <c r="G25" s="300">
        <v>0.31605828278930675</v>
      </c>
      <c r="H25" s="300">
        <v>0.7449080606456171</v>
      </c>
      <c r="I25" s="300">
        <v>1.1185898879209659</v>
      </c>
      <c r="J25" s="300">
        <v>0.41293691814863265</v>
      </c>
      <c r="K25" s="300">
        <v>0.74476708067870023</v>
      </c>
      <c r="L25" s="300">
        <v>1.2476289345349088</v>
      </c>
    </row>
    <row r="26" spans="1:12">
      <c r="B26" t="s">
        <v>6397</v>
      </c>
      <c r="C26" t="s">
        <v>6395</v>
      </c>
      <c r="D26" s="307">
        <v>10.183768276204923</v>
      </c>
      <c r="E26" s="307">
        <v>6.2506227232565887</v>
      </c>
      <c r="F26" s="307">
        <v>7.2994829247742192</v>
      </c>
      <c r="G26">
        <v>0.13239188236644575</v>
      </c>
      <c r="H26">
        <v>0.5101636539307548</v>
      </c>
      <c r="I26">
        <v>0.93162938814837271</v>
      </c>
      <c r="J26">
        <v>0</v>
      </c>
      <c r="K26">
        <v>0</v>
      </c>
      <c r="L26">
        <v>0</v>
      </c>
    </row>
    <row r="27" spans="1:12">
      <c r="B27" t="s">
        <v>6398</v>
      </c>
      <c r="C27" t="s">
        <v>6395</v>
      </c>
      <c r="D27" s="308">
        <v>4.0083962473901309</v>
      </c>
      <c r="E27" s="308">
        <v>4.1250258593955831</v>
      </c>
      <c r="F27" s="308">
        <v>6.0581916165879015</v>
      </c>
      <c r="G27">
        <v>0.34567527695791778</v>
      </c>
      <c r="H27">
        <v>0.80715922423093067</v>
      </c>
      <c r="I27">
        <v>1.1854289917600445</v>
      </c>
      <c r="J27">
        <v>0.43351491142169174</v>
      </c>
      <c r="K27">
        <v>0.78150962769684595</v>
      </c>
      <c r="L27">
        <v>1.3101003339238715</v>
      </c>
    </row>
    <row r="28" spans="1:12">
      <c r="B28" t="s">
        <v>6399</v>
      </c>
      <c r="C28" t="s">
        <v>6395</v>
      </c>
      <c r="D28" s="308">
        <v>0.16439191653431021</v>
      </c>
      <c r="E28" s="308">
        <v>0.17685250749568629</v>
      </c>
      <c r="F28" s="308">
        <v>0.17229088425352199</v>
      </c>
      <c r="G28">
        <v>1.4176797344983082E-2</v>
      </c>
      <c r="H28">
        <v>3.4605391000973998E-2</v>
      </c>
      <c r="I28">
        <v>3.3712801135387403E-2</v>
      </c>
      <c r="J28">
        <v>6.2001464439140645E-3</v>
      </c>
      <c r="K28">
        <v>1.361756699203787E-2</v>
      </c>
      <c r="L28">
        <v>2.1333277759834041E-2</v>
      </c>
    </row>
    <row r="29" spans="1:12">
      <c r="B29" t="s">
        <v>6400</v>
      </c>
      <c r="C29" t="s">
        <v>6395</v>
      </c>
      <c r="D29" s="305">
        <v>0.30793451183951437</v>
      </c>
      <c r="E29" s="305">
        <v>0.2856389327556732</v>
      </c>
      <c r="F29" s="305">
        <v>0.3111860753769542</v>
      </c>
      <c r="G29">
        <v>2.6555595079785832E-2</v>
      </c>
      <c r="H29">
        <v>5.5892037342767646E-2</v>
      </c>
      <c r="I29">
        <v>6.0890942203580219E-2</v>
      </c>
      <c r="J29">
        <v>1.4378792240649372E-2</v>
      </c>
      <c r="K29">
        <v>4.0888484217940523E-2</v>
      </c>
      <c r="L29">
        <v>4.8023375838225517E-2</v>
      </c>
    </row>
    <row r="30" spans="1:12">
      <c r="B30" t="s">
        <v>6405</v>
      </c>
      <c r="C30" t="s">
        <v>6401</v>
      </c>
      <c r="D30" s="305">
        <v>0.12307226203098903</v>
      </c>
      <c r="E30" s="305">
        <v>0.14925354302543398</v>
      </c>
      <c r="F30" s="305">
        <v>0.18704712126310194</v>
      </c>
      <c r="G30">
        <v>1.0613481212367505E-2</v>
      </c>
      <c r="H30">
        <v>2.9204998491761957E-2</v>
      </c>
      <c r="I30">
        <v>3.6600209171894958E-2</v>
      </c>
      <c r="J30">
        <v>-2.2413692439505312E-3</v>
      </c>
      <c r="K30">
        <v>3.7763574084361089E-3</v>
      </c>
      <c r="L30">
        <v>1.1424644908475935E-2</v>
      </c>
    </row>
    <row r="32" spans="1:12">
      <c r="B32" s="299" t="s">
        <v>6406</v>
      </c>
      <c r="C32" s="299"/>
      <c r="G32" t="s">
        <v>6496</v>
      </c>
      <c r="J32" t="s">
        <v>6497</v>
      </c>
    </row>
    <row r="33" spans="2:12">
      <c r="D33" t="s">
        <v>56</v>
      </c>
      <c r="E33" t="s">
        <v>57</v>
      </c>
      <c r="F33" t="s">
        <v>58</v>
      </c>
      <c r="G33" t="s">
        <v>56</v>
      </c>
      <c r="H33" t="s">
        <v>57</v>
      </c>
      <c r="I33" t="s">
        <v>58</v>
      </c>
      <c r="J33" t="s">
        <v>6498</v>
      </c>
      <c r="K33" t="s">
        <v>6499</v>
      </c>
      <c r="L33" t="s">
        <v>6500</v>
      </c>
    </row>
    <row r="34" spans="2:12">
      <c r="B34" t="s">
        <v>6373</v>
      </c>
      <c r="C34" t="s">
        <v>6395</v>
      </c>
      <c r="D34" s="300">
        <v>0.29526179628341642</v>
      </c>
      <c r="E34" s="300">
        <v>0.64608327211691852</v>
      </c>
      <c r="F34" s="300">
        <v>0.91696783997870379</v>
      </c>
      <c r="G34">
        <v>2.5462727960544496E-2</v>
      </c>
      <c r="H34">
        <v>0.12642152812755572</v>
      </c>
      <c r="I34">
        <v>0.17942652375768892</v>
      </c>
      <c r="J34">
        <v>1.2958765622504162E-2</v>
      </c>
      <c r="K34">
        <v>2.0009196111806911E-2</v>
      </c>
      <c r="L34">
        <v>3.1959909783181806E-2</v>
      </c>
    </row>
    <row r="35" spans="2:12">
      <c r="B35" t="s">
        <v>6374</v>
      </c>
      <c r="C35" t="s">
        <v>6395</v>
      </c>
      <c r="D35" s="300">
        <v>0.54336204317594516</v>
      </c>
      <c r="E35" s="300">
        <v>0.81742213577844158</v>
      </c>
      <c r="F35" s="300">
        <v>1.0033767323350671</v>
      </c>
      <c r="G35">
        <v>4.6858347621086371E-2</v>
      </c>
      <c r="H35">
        <v>0.159948043836213</v>
      </c>
      <c r="I35">
        <v>0.19633447461626496</v>
      </c>
      <c r="J35">
        <v>1.3296514665180831E-2</v>
      </c>
      <c r="K35">
        <v>2.5928304498081648E-2</v>
      </c>
      <c r="L35">
        <v>4.0012270210626741E-2</v>
      </c>
    </row>
    <row r="36" spans="2:12">
      <c r="B36" t="s">
        <v>6396</v>
      </c>
      <c r="C36" t="s">
        <v>6395</v>
      </c>
      <c r="D36" s="300">
        <v>0.1087393120315247</v>
      </c>
      <c r="E36" s="300">
        <v>0.15917902399815664</v>
      </c>
      <c r="F36" s="300">
        <v>0.17529789892628453</v>
      </c>
      <c r="G36">
        <v>9.3774391259807809E-3</v>
      </c>
      <c r="H36">
        <v>3.1147154443054728E-2</v>
      </c>
      <c r="I36">
        <v>3.4301194932965622E-2</v>
      </c>
      <c r="J36">
        <v>1.3032058239410435E-2</v>
      </c>
      <c r="K36">
        <v>2.0225742456536813E-2</v>
      </c>
      <c r="L36">
        <v>3.2372697442296559E-2</v>
      </c>
    </row>
    <row r="37" spans="2:12">
      <c r="B37" t="s">
        <v>6375</v>
      </c>
      <c r="C37" t="s">
        <v>6395</v>
      </c>
      <c r="D37" s="301">
        <v>0.44884462051637647</v>
      </c>
      <c r="E37" s="301">
        <v>0.77801715058750476</v>
      </c>
      <c r="F37" s="301">
        <v>1.022399049863125</v>
      </c>
      <c r="G37">
        <v>3.8707372957224762E-2</v>
      </c>
      <c r="H37">
        <v>0.15223752313605718</v>
      </c>
      <c r="I37">
        <v>0.20005664256923658</v>
      </c>
      <c r="J37">
        <v>-4.8712182965381916E-3</v>
      </c>
      <c r="K37">
        <v>-6.7051456203917207E-3</v>
      </c>
      <c r="L37">
        <v>-6.354571788184658E-3</v>
      </c>
    </row>
    <row r="38" spans="2:12">
      <c r="B38" t="s">
        <v>6376</v>
      </c>
      <c r="C38" t="s">
        <v>6395</v>
      </c>
      <c r="D38" s="301">
        <v>0.18880119575487952</v>
      </c>
      <c r="E38" s="301">
        <v>0.34476637182831066</v>
      </c>
      <c r="F38" s="301">
        <v>0.4853371658524861</v>
      </c>
      <c r="G38">
        <v>1.6281799903152632E-2</v>
      </c>
      <c r="H38">
        <v>6.7461724292469466E-2</v>
      </c>
      <c r="I38">
        <v>9.4967736841613692E-2</v>
      </c>
      <c r="J38">
        <v>-3.9412474826165562E-3</v>
      </c>
      <c r="K38">
        <v>-9.596856923628206E-3</v>
      </c>
      <c r="L38">
        <v>-7.5395931962726872E-3</v>
      </c>
    </row>
    <row r="39" spans="2:12">
      <c r="B39" t="s">
        <v>6377</v>
      </c>
      <c r="C39" t="s">
        <v>6395</v>
      </c>
      <c r="D39" s="300">
        <v>3.0053085664652537</v>
      </c>
      <c r="E39" s="300">
        <v>8.7576321635195828</v>
      </c>
      <c r="F39" s="300">
        <v>13.677064983730705</v>
      </c>
      <c r="G39">
        <v>0.25917120138341687</v>
      </c>
      <c r="H39">
        <v>1.7136386107994159</v>
      </c>
      <c r="I39">
        <v>2.6762424135788727</v>
      </c>
      <c r="J39">
        <v>0</v>
      </c>
      <c r="K39">
        <v>0</v>
      </c>
      <c r="L39">
        <v>0</v>
      </c>
    </row>
    <row r="40" spans="2:12">
      <c r="B40" t="s">
        <v>6378</v>
      </c>
      <c r="C40" t="s">
        <v>6395</v>
      </c>
      <c r="D40" s="300">
        <v>7.6212467472971808</v>
      </c>
      <c r="E40" s="300">
        <v>11.892276643790755</v>
      </c>
      <c r="F40" s="300">
        <v>15.084131299487963</v>
      </c>
      <c r="G40">
        <v>0.6572395585520997</v>
      </c>
      <c r="H40">
        <v>2.3270062097376134</v>
      </c>
      <c r="I40">
        <v>2.9515683374833865</v>
      </c>
      <c r="J40">
        <v>0.11225553107367117</v>
      </c>
      <c r="K40">
        <v>0.23188111120360322</v>
      </c>
      <c r="L40">
        <v>0.40138230632453148</v>
      </c>
    </row>
    <row r="41" spans="2:12">
      <c r="B41" t="s">
        <v>6397</v>
      </c>
      <c r="C41" t="s">
        <v>6395</v>
      </c>
      <c r="D41" s="305">
        <v>3.3441530333554272</v>
      </c>
      <c r="E41" s="305">
        <v>9.0282040315934911</v>
      </c>
      <c r="F41" s="305">
        <v>14.23840231057979</v>
      </c>
      <c r="G41">
        <v>0.28839240300842633</v>
      </c>
      <c r="H41">
        <v>1.7665824192935642</v>
      </c>
      <c r="I41">
        <v>2.786081385918735</v>
      </c>
      <c r="J41">
        <v>0</v>
      </c>
      <c r="K41">
        <v>0</v>
      </c>
      <c r="L41">
        <v>0</v>
      </c>
    </row>
    <row r="42" spans="2:12">
      <c r="B42" t="s">
        <v>6398</v>
      </c>
      <c r="C42" t="s">
        <v>6395</v>
      </c>
      <c r="D42" s="305">
        <v>7.8762114138431718</v>
      </c>
      <c r="E42" s="305">
        <v>12.444233222276436</v>
      </c>
      <c r="F42" s="305">
        <v>15.933389259704766</v>
      </c>
      <c r="G42">
        <v>0.67922715066706418</v>
      </c>
      <c r="H42">
        <v>2.435009615991397</v>
      </c>
      <c r="I42">
        <v>3.117745816050995</v>
      </c>
      <c r="J42">
        <v>0.11640612917147806</v>
      </c>
      <c r="K42">
        <v>0.24076920985284589</v>
      </c>
      <c r="L42">
        <v>0.41783798086919116</v>
      </c>
    </row>
    <row r="43" spans="2:12">
      <c r="B43" t="s">
        <v>6399</v>
      </c>
      <c r="C43" t="s">
        <v>6395</v>
      </c>
      <c r="D43" s="305">
        <v>0.1071783664981556</v>
      </c>
      <c r="E43" s="305">
        <v>0.26127269129507913</v>
      </c>
      <c r="F43" s="305">
        <v>0.41769694719446054</v>
      </c>
      <c r="G43">
        <v>7.9708104019544999E-4</v>
      </c>
      <c r="H43">
        <v>1.0003664002418124E-2</v>
      </c>
      <c r="I43">
        <v>1.5992868959465816E-2</v>
      </c>
      <c r="J43">
        <v>1.1804500625005492E-4</v>
      </c>
      <c r="K43">
        <v>4.1884847666009181E-4</v>
      </c>
      <c r="L43">
        <v>1.1962893420182346E-3</v>
      </c>
    </row>
    <row r="44" spans="2:12">
      <c r="B44" t="s">
        <v>6400</v>
      </c>
      <c r="C44" t="s">
        <v>6395</v>
      </c>
      <c r="D44" s="305">
        <v>0.14860466558324814</v>
      </c>
      <c r="E44" s="305">
        <v>0.37758148193946245</v>
      </c>
      <c r="F44" s="305">
        <v>0.60333523249313914</v>
      </c>
      <c r="G44">
        <v>1.1051666981977261E-3</v>
      </c>
      <c r="H44">
        <v>1.4456919550736925E-2</v>
      </c>
      <c r="I44">
        <v>2.3100626846093396E-2</v>
      </c>
      <c r="J44">
        <v>3.2829233106651366E-4</v>
      </c>
      <c r="K44">
        <v>8.17182332036488E-4</v>
      </c>
      <c r="L44">
        <v>2.2745400256310114E-3</v>
      </c>
    </row>
    <row r="45" spans="2:12">
      <c r="B45" t="s">
        <v>55</v>
      </c>
      <c r="C45" t="s">
        <v>6401</v>
      </c>
      <c r="D45" s="300">
        <v>0.21822010837980013</v>
      </c>
      <c r="E45" s="300">
        <v>0.42334341773541695</v>
      </c>
      <c r="F45" s="300">
        <v>0.49933901436531386</v>
      </c>
      <c r="G45">
        <v>1.8818822228737722E-2</v>
      </c>
      <c r="H45">
        <v>8.2837188490415464E-2</v>
      </c>
      <c r="I45">
        <v>9.7707530861976324E-2</v>
      </c>
      <c r="J45">
        <v>-2.910755295625298E-4</v>
      </c>
      <c r="K45">
        <v>2.0455669305082484E-4</v>
      </c>
      <c r="L45">
        <v>1.9678283276817294E-3</v>
      </c>
    </row>
  </sheetData>
  <mergeCells count="1">
    <mergeCell ref="A19:A21"/>
  </mergeCell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4"/>
  <dimension ref="A2:F74"/>
  <sheetViews>
    <sheetView topLeftCell="A2" zoomScale="95" zoomScaleNormal="95" workbookViewId="0">
      <selection activeCell="F2" sqref="F2"/>
    </sheetView>
  </sheetViews>
  <sheetFormatPr defaultRowHeight="12.75"/>
  <cols>
    <col min="1" max="1" width="28.7109375" customWidth="1"/>
    <col min="2" max="2" width="12.42578125" bestFit="1" customWidth="1"/>
    <col min="3" max="3" width="18.28515625" bestFit="1" customWidth="1"/>
    <col min="4" max="4" width="18.28515625" customWidth="1"/>
    <col min="12" max="13" width="13" customWidth="1"/>
    <col min="21" max="21" width="20.7109375" bestFit="1" customWidth="1"/>
    <col min="22" max="22" width="10" bestFit="1" customWidth="1"/>
    <col min="28" max="28" width="13.85546875" bestFit="1" customWidth="1"/>
    <col min="29" max="29" width="13.5703125" bestFit="1" customWidth="1"/>
    <col min="30" max="30" width="10.42578125" bestFit="1" customWidth="1"/>
    <col min="31" max="31" width="9" bestFit="1" customWidth="1"/>
  </cols>
  <sheetData>
    <row r="2" spans="1:6">
      <c r="A2" t="s">
        <v>31</v>
      </c>
      <c r="B2" t="s">
        <v>6410</v>
      </c>
      <c r="C2" t="s">
        <v>6409</v>
      </c>
      <c r="E2" t="s">
        <v>6411</v>
      </c>
      <c r="F2" t="s">
        <v>6502</v>
      </c>
    </row>
    <row r="3" spans="1:6">
      <c r="A3" t="s">
        <v>6373</v>
      </c>
      <c r="B3" t="s">
        <v>56</v>
      </c>
      <c r="C3" t="s">
        <v>64</v>
      </c>
      <c r="D3" t="str">
        <f>CONCATENATE(SEEMsavings!A3," + ",SEEMsavings!B3," + ",SEEMsavings!C3)</f>
        <v>Attic R0 - R30 + HZ1 + Electric FAF</v>
      </c>
      <c r="E3">
        <f>'SEEM Results'!D4</f>
        <v>0.30705170082395566</v>
      </c>
      <c r="F3">
        <f>'SEEM Results'!G4*'[4]Wood Fuel Credit'!$B$28</f>
        <v>2.1551885940561174E-3</v>
      </c>
    </row>
    <row r="4" spans="1:6">
      <c r="A4" t="s">
        <v>6374</v>
      </c>
      <c r="B4" t="s">
        <v>56</v>
      </c>
      <c r="C4" t="s">
        <v>64</v>
      </c>
      <c r="D4" t="str">
        <f>CONCATENATE(SEEMsavings!A4," + ",SEEMsavings!B4," + ",SEEMsavings!C4)</f>
        <v>Attic R0 - R22 + HZ1 + Electric FAF</v>
      </c>
      <c r="E4">
        <f>'SEEM Results'!D5</f>
        <v>0.60444823586633523</v>
      </c>
      <c r="F4">
        <f>'SEEM Results'!G5*'[4]Wood Fuel Credit'!$B$28</f>
        <v>4.2426078088502565E-3</v>
      </c>
    </row>
    <row r="5" spans="1:6">
      <c r="A5" t="s">
        <v>6396</v>
      </c>
      <c r="B5" t="s">
        <v>56</v>
      </c>
      <c r="C5" t="s">
        <v>64</v>
      </c>
      <c r="D5" t="str">
        <f>CONCATENATE(SEEMsavings!A5," + ",SEEMsavings!B5," + ",SEEMsavings!C5)</f>
        <v>Attic R11 - R30 + HZ1 + Electric FAF</v>
      </c>
      <c r="E5">
        <f>'SEEM Results'!D6</f>
        <v>0.11481209624260288</v>
      </c>
      <c r="F5">
        <f>'SEEM Results'!G6*'[4]Wood Fuel Credit'!$B$28</f>
        <v>8.0586337616022111E-4</v>
      </c>
    </row>
    <row r="6" spans="1:6">
      <c r="A6" t="s">
        <v>6375</v>
      </c>
      <c r="B6" t="s">
        <v>56</v>
      </c>
      <c r="C6" t="s">
        <v>64</v>
      </c>
      <c r="D6" t="str">
        <f>CONCATENATE(SEEMsavings!A6," + ",SEEMsavings!B6," + ",SEEMsavings!C6)</f>
        <v>Floor R0 - R22 + HZ1 + Electric FAF</v>
      </c>
      <c r="E6">
        <f>'SEEM Results'!D7</f>
        <v>0.47849068870328615</v>
      </c>
      <c r="F6">
        <f>'SEEM Results'!G7*'[4]Wood Fuel Credit'!$B$28</f>
        <v>3.3585147774401226E-3</v>
      </c>
    </row>
    <row r="7" spans="1:6">
      <c r="A7" t="s">
        <v>6376</v>
      </c>
      <c r="B7" t="s">
        <v>56</v>
      </c>
      <c r="C7" t="s">
        <v>64</v>
      </c>
      <c r="D7" t="str">
        <f>CONCATENATE(SEEMsavings!A7," + ",SEEMsavings!B7," + ",SEEMsavings!C7)</f>
        <v>Floor R11 - R22 + HZ1 + Electric FAF</v>
      </c>
      <c r="E7">
        <f>'SEEM Results'!D8</f>
        <v>0.19656048128483242</v>
      </c>
      <c r="F7">
        <f>'SEEM Results'!G8*'[4]Wood Fuel Credit'!$B$28</f>
        <v>1.3796533488349952E-3</v>
      </c>
    </row>
    <row r="8" spans="1:6">
      <c r="A8" t="s">
        <v>61</v>
      </c>
      <c r="B8" t="s">
        <v>56</v>
      </c>
      <c r="C8" t="s">
        <v>64</v>
      </c>
      <c r="D8" t="str">
        <f>CONCATENATE(SEEMsavings!A8," + ",SEEMsavings!B8," + ",SEEMsavings!C8)</f>
        <v>WINDOW CL30 Prime Window Replacement of Double Pane Base + HZ1 + Electric FAF</v>
      </c>
      <c r="E8">
        <f>'SEEM Results'!D9</f>
        <v>3.0053085664652537</v>
      </c>
      <c r="F8">
        <f>'SEEM Results'!G9*'[4]Wood Fuel Credit'!$B$28</f>
        <v>2.1094189436776874E-2</v>
      </c>
    </row>
    <row r="9" spans="1:6">
      <c r="A9" t="s">
        <v>60</v>
      </c>
      <c r="B9" t="s">
        <v>56</v>
      </c>
      <c r="C9" t="s">
        <v>64</v>
      </c>
      <c r="D9" t="str">
        <f>CONCATENATE(SEEMsavings!A9," + ",SEEMsavings!B9," + ",SEEMsavings!C9)</f>
        <v>WINDOW CL30 Prime Window Replacement of Single Pane Base + HZ1 + Electric FAF</v>
      </c>
      <c r="E9">
        <f>'SEEM Results'!D10</f>
        <v>8.4961858733485727</v>
      </c>
      <c r="F9">
        <f>'SEEM Results'!G10*'[4]Wood Fuel Credit'!$B$28</f>
        <v>5.9634526817748744E-2</v>
      </c>
    </row>
    <row r="10" spans="1:6">
      <c r="A10" t="s">
        <v>63</v>
      </c>
      <c r="B10" t="s">
        <v>56</v>
      </c>
      <c r="C10" t="s">
        <v>64</v>
      </c>
      <c r="D10" t="str">
        <f>CONCATENATE(SEEMsavings!A10," + ",SEEMsavings!B10," + ",SEEMsavings!C10)</f>
        <v>WINDOW CL22 Prime Window Replacement of Double Pane Base + HZ1 + Electric FAF</v>
      </c>
      <c r="E10">
        <f>'SEEM Results'!D11</f>
        <v>3.3441530333554272</v>
      </c>
      <c r="F10">
        <f>'SEEM Results'!G11*'[4]Wood Fuel Credit'!$B$28</f>
        <v>2.3472530700613149E-2</v>
      </c>
    </row>
    <row r="11" spans="1:6">
      <c r="A11" t="s">
        <v>62</v>
      </c>
      <c r="B11" t="s">
        <v>56</v>
      </c>
      <c r="C11" t="s">
        <v>64</v>
      </c>
      <c r="D11" t="str">
        <f>CONCATENATE(SEEMsavings!A11," + ",SEEMsavings!B11," + ",SEEMsavings!C11)</f>
        <v>WINDOW CL22 Prime Window Replacement of Single Pane Base + HZ1 + Electric FAF</v>
      </c>
      <c r="E11">
        <f>'SEEM Results'!D12</f>
        <v>8.7315853912790988</v>
      </c>
      <c r="F11">
        <f>'SEEM Results'!G12*'[4]Wood Fuel Credit'!$B$28</f>
        <v>6.1286790442176768E-2</v>
      </c>
    </row>
    <row r="12" spans="1:6">
      <c r="A12" t="s">
        <v>6399</v>
      </c>
      <c r="B12" t="s">
        <v>56</v>
      </c>
      <c r="C12" t="s">
        <v>64</v>
      </c>
      <c r="D12" t="str">
        <f>CONCATENATE(SEEMsavings!A12," + ",SEEMsavings!B12," + ",SEEMsavings!C12)</f>
        <v>Window U35-U30 + HZ1 + Electric FAF</v>
      </c>
      <c r="E12">
        <f>'SEEM Results'!D13</f>
        <v>0.22149540967711071</v>
      </c>
      <c r="F12">
        <f>'SEEM Results'!G13*'[4]Wood Fuel Credit'!$B$28</f>
        <v>1.554671018890032E-3</v>
      </c>
    </row>
    <row r="13" spans="1:6">
      <c r="A13" t="s">
        <v>6400</v>
      </c>
      <c r="B13" t="s">
        <v>56</v>
      </c>
      <c r="C13" t="s">
        <v>64</v>
      </c>
      <c r="D13" t="str">
        <f>CONCATENATE(SEEMsavings!A13," + ",SEEMsavings!B13," + ",SEEMsavings!C13)</f>
        <v>Window U35-U22 + HZ1 + Electric FAF</v>
      </c>
      <c r="E13">
        <f>'SEEM Results'!D14</f>
        <v>0.38248775461080703</v>
      </c>
      <c r="F13">
        <f>'SEEM Results'!G14*'[4]Wood Fuel Credit'!$B$28</f>
        <v>2.6846724635991117E-3</v>
      </c>
    </row>
    <row r="14" spans="1:6">
      <c r="A14" t="s">
        <v>55</v>
      </c>
      <c r="B14" t="s">
        <v>56</v>
      </c>
      <c r="C14" t="s">
        <v>64</v>
      </c>
      <c r="D14" t="str">
        <f>CONCATENATE(SEEMsavings!A14," + ",SEEMsavings!B14," + ",SEEMsavings!C14)</f>
        <v>Infiltration + HZ1 + Electric FAF</v>
      </c>
      <c r="E14">
        <f>'SEEM Results'!D15</f>
        <v>0.23632999530764776</v>
      </c>
      <c r="F14">
        <f>'SEEM Results'!G15*'[4]Wood Fuel Credit'!$B$28</f>
        <v>1.6587946230345084E-3</v>
      </c>
    </row>
    <row r="15" spans="1:6">
      <c r="A15" t="s">
        <v>6373</v>
      </c>
      <c r="B15" t="s">
        <v>57</v>
      </c>
      <c r="C15" t="s">
        <v>64</v>
      </c>
      <c r="D15" t="str">
        <f>CONCATENATE(SEEMsavings!A15," + ",SEEMsavings!B15," + ",SEEMsavings!C15)</f>
        <v>Attic R0 - R30 + HZ2 + Electric FAF</v>
      </c>
      <c r="E15">
        <f>'SEEM Results'!E4</f>
        <v>0.7744286361389523</v>
      </c>
      <c r="F15">
        <f>'SEEM Results'!H4*'[4]Wood Fuel Credit'!$B$28</f>
        <v>1.2333605195860161E-2</v>
      </c>
    </row>
    <row r="16" spans="1:6">
      <c r="A16" t="s">
        <v>6374</v>
      </c>
      <c r="B16" t="s">
        <v>57</v>
      </c>
      <c r="C16" t="s">
        <v>64</v>
      </c>
      <c r="D16" t="str">
        <f>CONCATENATE(SEEMsavings!A16," + ",SEEMsavings!B16," + ",SEEMsavings!C16)</f>
        <v>Attic R0 - R22 + HZ2 + Electric FAF</v>
      </c>
      <c r="E16">
        <f>'SEEM Results'!E5</f>
        <v>0.9331100828406077</v>
      </c>
      <c r="F16">
        <f>'SEEM Results'!H5*'[4]Wood Fuel Credit'!$B$28</f>
        <v>1.4860777131654882E-2</v>
      </c>
    </row>
    <row r="17" spans="1:6">
      <c r="A17" t="s">
        <v>6396</v>
      </c>
      <c r="B17" t="s">
        <v>57</v>
      </c>
      <c r="C17" t="s">
        <v>64</v>
      </c>
      <c r="D17" t="str">
        <f>CONCATENATE(SEEMsavings!A17," + ",SEEMsavings!B17," + ",SEEMsavings!C17)</f>
        <v>Attic R11 - R30 + HZ2 + Electric FAF</v>
      </c>
      <c r="E17">
        <f>'SEEM Results'!E6</f>
        <v>0.33468675440596829</v>
      </c>
      <c r="F17">
        <f>'SEEM Results'!H6*'[4]Wood Fuel Credit'!$B$28</f>
        <v>5.3302449063703985E-3</v>
      </c>
    </row>
    <row r="18" spans="1:6">
      <c r="A18" t="s">
        <v>6375</v>
      </c>
      <c r="B18" t="s">
        <v>57</v>
      </c>
      <c r="C18" t="s">
        <v>64</v>
      </c>
      <c r="D18" t="str">
        <f>CONCATENATE(SEEMsavings!A18," + ",SEEMsavings!B18," + ",SEEMsavings!C18)</f>
        <v>Floor R0 - R22 + HZ2 + Electric FAF</v>
      </c>
      <c r="E18">
        <f>'SEEM Results'!E7</f>
        <v>0.87892894056879856</v>
      </c>
      <c r="F18">
        <f>'SEEM Results'!H7*'[4]Wood Fuel Credit'!$B$28</f>
        <v>1.3997884430304253E-2</v>
      </c>
    </row>
    <row r="19" spans="1:6">
      <c r="A19" t="s">
        <v>6376</v>
      </c>
      <c r="B19" t="s">
        <v>57</v>
      </c>
      <c r="C19" t="s">
        <v>64</v>
      </c>
      <c r="D19" t="str">
        <f>CONCATENATE(SEEMsavings!A19," + ",SEEMsavings!B19," + ",SEEMsavings!C19)</f>
        <v>Floor R11 - R22 + HZ2 + Electric FAF</v>
      </c>
      <c r="E19">
        <f>'SEEM Results'!E8</f>
        <v>0.37884048028244466</v>
      </c>
      <c r="F19">
        <f>'SEEM Results'!H8*'[4]Wood Fuel Credit'!$B$28</f>
        <v>6.0334402654699318E-3</v>
      </c>
    </row>
    <row r="20" spans="1:6">
      <c r="A20" t="s">
        <v>61</v>
      </c>
      <c r="B20" t="s">
        <v>57</v>
      </c>
      <c r="C20" t="s">
        <v>64</v>
      </c>
      <c r="D20" t="str">
        <f>CONCATENATE(SEEMsavings!A20," + ",SEEMsavings!B20," + ",SEEMsavings!C20)</f>
        <v>WINDOW CL30 Prime Window Replacement of Double Pane Base + HZ2 + Electric FAF</v>
      </c>
      <c r="E20">
        <f>'SEEM Results'!E9</f>
        <v>8.7576321635195828</v>
      </c>
      <c r="F20">
        <f>'SEEM Results'!H9*'[4]Wood Fuel Credit'!$B$28</f>
        <v>0.13947466882673085</v>
      </c>
    </row>
    <row r="21" spans="1:6">
      <c r="A21" t="s">
        <v>60</v>
      </c>
      <c r="B21" t="s">
        <v>57</v>
      </c>
      <c r="C21" t="s">
        <v>64</v>
      </c>
      <c r="D21" t="str">
        <f>CONCATENATE(SEEMsavings!A21," + ",SEEMsavings!B21," + ",SEEMsavings!C21)</f>
        <v>WINDOW CL30 Prime Window Replacement of Single Pane Base + HZ2 + Electric FAF</v>
      </c>
      <c r="E21">
        <f>'SEEM Results'!E10</f>
        <v>13.680374182755711</v>
      </c>
      <c r="F21">
        <f>'SEEM Results'!H10*'[4]Wood Fuel Credit'!$B$28</f>
        <v>0.21787460616509641</v>
      </c>
    </row>
    <row r="22" spans="1:6">
      <c r="A22" t="s">
        <v>63</v>
      </c>
      <c r="B22" t="s">
        <v>57</v>
      </c>
      <c r="C22" t="s">
        <v>64</v>
      </c>
      <c r="D22" t="str">
        <f>CONCATENATE(SEEMsavings!A22," + ",SEEMsavings!B22," + ",SEEMsavings!C22)</f>
        <v>WINDOW CL22 Prime Window Replacement of Double Pane Base + HZ2 + Electric FAF</v>
      </c>
      <c r="E22">
        <f>'SEEM Results'!E11</f>
        <v>9.0282040315934911</v>
      </c>
      <c r="F22">
        <f>'SEEM Results'!H11*'[4]Wood Fuel Credit'!$B$28</f>
        <v>0.14378381552172881</v>
      </c>
    </row>
    <row r="23" spans="1:6">
      <c r="A23" t="s">
        <v>62</v>
      </c>
      <c r="B23" t="s">
        <v>57</v>
      </c>
      <c r="C23" t="s">
        <v>64</v>
      </c>
      <c r="D23" t="str">
        <f>CONCATENATE(SEEMsavings!A23," + ",SEEMsavings!B23," + ",SEEMsavings!C23)</f>
        <v>WINDOW CL22 Prime Window Replacement of Single Pane Base + HZ2 + Electric FAF</v>
      </c>
      <c r="E23">
        <f>'SEEM Results'!E12</f>
        <v>14.284040241190263</v>
      </c>
      <c r="F23">
        <f>'SEEM Results'!H12*'[4]Wood Fuel Credit'!$B$28</f>
        <v>0.22748863447891637</v>
      </c>
    </row>
    <row r="24" spans="1:6">
      <c r="A24" t="s">
        <v>6399</v>
      </c>
      <c r="B24" t="s">
        <v>57</v>
      </c>
      <c r="C24" t="s">
        <v>64</v>
      </c>
      <c r="D24" t="str">
        <f>CONCATENATE(SEEMsavings!A24," + ",SEEMsavings!B24," + ",SEEMsavings!C24)</f>
        <v>Window U35-U30 + HZ2 + Electric FAF</v>
      </c>
      <c r="E24">
        <f>'SEEM Results'!E13</f>
        <v>0.35388817871987621</v>
      </c>
      <c r="F24">
        <f>'SEEM Results'!H13*'[4]Wood Fuel Credit'!$B$28</f>
        <v>5.6360481471527217E-3</v>
      </c>
    </row>
    <row r="25" spans="1:6">
      <c r="A25" t="s">
        <v>6400</v>
      </c>
      <c r="B25" t="s">
        <v>57</v>
      </c>
      <c r="C25" t="s">
        <v>64</v>
      </c>
      <c r="D25" t="str">
        <f>CONCATENATE(SEEMsavings!A25," + ",SEEMsavings!B25," + ",SEEMsavings!C25)</f>
        <v>Window U35-U22 + HZ2 + Electric FAF</v>
      </c>
      <c r="E25">
        <f>'SEEM Results'!E14</f>
        <v>0.6093425767837457</v>
      </c>
      <c r="F25">
        <f>'SEEM Results'!H14*'[4]Wood Fuel Credit'!$B$28</f>
        <v>9.7044329462661599E-3</v>
      </c>
    </row>
    <row r="26" spans="1:6">
      <c r="A26" t="s">
        <v>55</v>
      </c>
      <c r="B26" t="s">
        <v>57</v>
      </c>
      <c r="C26" t="s">
        <v>64</v>
      </c>
      <c r="D26" t="str">
        <f>CONCATENATE(SEEMsavings!A26," + ",SEEMsavings!B26," + ",SEEMsavings!C26)</f>
        <v>Infiltration + HZ2 + Electric FAF</v>
      </c>
      <c r="E26">
        <f>'SEEM Results'!E15</f>
        <v>0.47551208817351309</v>
      </c>
      <c r="F26">
        <f>'SEEM Results'!H15*'[4]Wood Fuel Credit'!$B$28</f>
        <v>7.5730391255042174E-3</v>
      </c>
    </row>
    <row r="27" spans="1:6">
      <c r="A27" t="s">
        <v>6373</v>
      </c>
      <c r="B27" t="s">
        <v>58</v>
      </c>
      <c r="C27" t="s">
        <v>64</v>
      </c>
      <c r="D27" t="str">
        <f>CONCATENATE(SEEMsavings!A27," + ",SEEMsavings!B27," + ",SEEMsavings!C27)</f>
        <v>Attic R0 - R30 + HZ3 + Electric FAF</v>
      </c>
      <c r="E27">
        <f>'SEEM Results'!F4</f>
        <v>1.0922990121771836</v>
      </c>
      <c r="F27">
        <f>'SEEM Results'!I4*'[4]Wood Fuel Credit'!$B$28</f>
        <v>1.7396031271762293E-2</v>
      </c>
    </row>
    <row r="28" spans="1:6">
      <c r="A28" t="s">
        <v>6374</v>
      </c>
      <c r="B28" t="s">
        <v>58</v>
      </c>
      <c r="C28" t="s">
        <v>64</v>
      </c>
      <c r="D28" t="str">
        <f>CONCATENATE(SEEMsavings!A28," + ",SEEMsavings!B28," + ",SEEMsavings!C28)</f>
        <v>Attic R0 - R22 + HZ3 + Electric FAF</v>
      </c>
      <c r="E28">
        <f>'SEEM Results'!F5</f>
        <v>1.1365546200975047</v>
      </c>
      <c r="F28">
        <f>'SEEM Results'!I5*'[4]Wood Fuel Credit'!$B$28</f>
        <v>1.8100849211493131E-2</v>
      </c>
    </row>
    <row r="29" spans="1:6">
      <c r="A29" t="s">
        <v>6396</v>
      </c>
      <c r="B29" t="s">
        <v>58</v>
      </c>
      <c r="C29" t="s">
        <v>64</v>
      </c>
      <c r="D29" t="str">
        <f>CONCATENATE(SEEMsavings!A29," + ",SEEMsavings!B29," + ",SEEMsavings!C29)</f>
        <v>Attic R11 - R30 + HZ3 + Electric FAF</v>
      </c>
      <c r="E29">
        <f>'SEEM Results'!F6</f>
        <v>0.4310778855999568</v>
      </c>
      <c r="F29">
        <f>'SEEM Results'!I6*'[4]Wood Fuel Credit'!$B$28</f>
        <v>6.8653768747028625E-3</v>
      </c>
    </row>
    <row r="30" spans="1:6">
      <c r="A30" t="s">
        <v>6375</v>
      </c>
      <c r="B30" t="s">
        <v>58</v>
      </c>
      <c r="C30" t="s">
        <v>64</v>
      </c>
      <c r="D30" t="str">
        <f>CONCATENATE(SEEMsavings!A30," + ",SEEMsavings!B30," + ",SEEMsavings!C30)</f>
        <v>Floor R0 - R22 + HZ3 + Electric FAF</v>
      </c>
      <c r="E30">
        <f>'SEEM Results'!F7</f>
        <v>1.1543188954975354</v>
      </c>
      <c r="F30">
        <f>'SEEM Results'!I7*'[4]Wood Fuel Credit'!$B$28</f>
        <v>1.8383764317095187E-2</v>
      </c>
    </row>
    <row r="31" spans="1:6">
      <c r="A31" t="s">
        <v>6376</v>
      </c>
      <c r="B31" t="s">
        <v>58</v>
      </c>
      <c r="C31" t="s">
        <v>64</v>
      </c>
      <c r="D31" t="str">
        <f>CONCATENATE(SEEMsavings!A31," + ",SEEMsavings!B31," + ",SEEMsavings!C31)</f>
        <v>Floor R11 - R22 + HZ3 + Electric FAF</v>
      </c>
      <c r="E31">
        <f>'SEEM Results'!F8</f>
        <v>0.53756219623924073</v>
      </c>
      <c r="F31">
        <f>'SEEM Results'!I8*'[4]Wood Fuel Credit'!$B$28</f>
        <v>8.5612535322682638E-3</v>
      </c>
    </row>
    <row r="32" spans="1:6">
      <c r="A32" t="s">
        <v>61</v>
      </c>
      <c r="B32" t="s">
        <v>58</v>
      </c>
      <c r="C32" t="s">
        <v>64</v>
      </c>
      <c r="D32" t="str">
        <f>CONCATENATE(SEEMsavings!A32," + ",SEEMsavings!B32," + ",SEEMsavings!C32)</f>
        <v>WINDOW CL30 Prime Window Replacement of Double Pane Base + HZ3 + Electric FAF</v>
      </c>
      <c r="E32">
        <f>'SEEM Results'!F9</f>
        <v>13.677064983730705</v>
      </c>
      <c r="F32">
        <f>'SEEM Results'!I9*'[4]Wood Fuel Credit'!$B$28</f>
        <v>0.21782190362752962</v>
      </c>
    </row>
    <row r="33" spans="1:6">
      <c r="A33" t="s">
        <v>60</v>
      </c>
      <c r="B33" t="s">
        <v>58</v>
      </c>
      <c r="C33" t="s">
        <v>64</v>
      </c>
      <c r="D33" t="str">
        <f>CONCATENATE(SEEMsavings!A33," + ",SEEMsavings!B33," + ",SEEMsavings!C33)</f>
        <v>WINDOW CL30 Prime Window Replacement of Single Pane Base + HZ3 + Electric FAF</v>
      </c>
      <c r="E33">
        <f>'SEEM Results'!F10</f>
        <v>17.155775373226007</v>
      </c>
      <c r="F33">
        <f>'SEEM Results'!I10*'[4]Wood Fuel Credit'!$B$28</f>
        <v>0.27322409116630975</v>
      </c>
    </row>
    <row r="34" spans="1:6">
      <c r="A34" t="s">
        <v>63</v>
      </c>
      <c r="B34" t="s">
        <v>58</v>
      </c>
      <c r="C34" t="s">
        <v>64</v>
      </c>
      <c r="D34" t="str">
        <f>CONCATENATE(SEEMsavings!A34," + ",SEEMsavings!B34," + ",SEEMsavings!C34)</f>
        <v>WINDOW CL22 Prime Window Replacement of Double Pane Base + HZ3 + Electric FAF</v>
      </c>
      <c r="E34">
        <f>'SEEM Results'!F11</f>
        <v>14.23840231057979</v>
      </c>
      <c r="F34">
        <f>'SEEM Results'!I11*'[4]Wood Fuel Credit'!$B$28</f>
        <v>0.22676180157031936</v>
      </c>
    </row>
    <row r="35" spans="1:6">
      <c r="A35" t="s">
        <v>62</v>
      </c>
      <c r="B35" t="s">
        <v>58</v>
      </c>
      <c r="C35" t="s">
        <v>64</v>
      </c>
      <c r="D35" t="str">
        <f>CONCATENATE(SEEMsavings!A35," + ",SEEMsavings!B35," + ",SEEMsavings!C35)</f>
        <v>WINDOW CL22 Prime Window Replacement of Single Pane Base + HZ3 + Electric FAF</v>
      </c>
      <c r="E35">
        <f>'SEEM Results'!F12</f>
        <v>18.117306205690848</v>
      </c>
      <c r="F35">
        <f>'SEEM Results'!I12*'[4]Wood Fuel Credit'!$B$28</f>
        <v>0.28853749916526228</v>
      </c>
    </row>
    <row r="36" spans="1:6">
      <c r="A36" t="s">
        <v>6399</v>
      </c>
      <c r="B36" t="s">
        <v>58</v>
      </c>
      <c r="C36" t="s">
        <v>64</v>
      </c>
      <c r="D36" t="str">
        <f>CONCATENATE(SEEMsavings!A36," + ",SEEMsavings!B36," + ",SEEMsavings!C36)</f>
        <v>Window U35-U30 + HZ3 + Electric FAF</v>
      </c>
      <c r="E36">
        <f>'SEEM Results'!F13</f>
        <v>0.47476264614749397</v>
      </c>
      <c r="F36">
        <f>'SEEM Results'!I13*'[4]Wood Fuel Credit'!$B$28</f>
        <v>7.5611034588271911E-3</v>
      </c>
    </row>
    <row r="37" spans="1:6">
      <c r="A37" t="s">
        <v>6400</v>
      </c>
      <c r="B37" t="s">
        <v>58</v>
      </c>
      <c r="C37" t="s">
        <v>64</v>
      </c>
      <c r="D37" t="str">
        <f>CONCATENATE(SEEMsavings!A37," + ",SEEMsavings!B37," + ",SEEMsavings!C37)</f>
        <v>Window U35-U22 + HZ3 + Electric FAF</v>
      </c>
      <c r="E37">
        <f>'SEEM Results'!F14</f>
        <v>0.83423574930391853</v>
      </c>
      <c r="F37">
        <f>'SEEM Results'!I14*'[4]Wood Fuel Credit'!$B$28</f>
        <v>1.3286097507299519E-2</v>
      </c>
    </row>
    <row r="38" spans="1:6">
      <c r="A38" t="s">
        <v>55</v>
      </c>
      <c r="B38" t="s">
        <v>58</v>
      </c>
      <c r="C38" t="s">
        <v>64</v>
      </c>
      <c r="D38" t="str">
        <f>CONCATENATE(SEEMsavings!A38," + ",SEEMsavings!B38," + ",SEEMsavings!C38)</f>
        <v>Infiltration + HZ3 + Electric FAF</v>
      </c>
      <c r="E38">
        <f>'SEEM Results'!F15</f>
        <v>0.55877883449357257</v>
      </c>
      <c r="F38">
        <f>'SEEM Results'!I15*'[4]Wood Fuel Credit'!$B$28</f>
        <v>8.8991512127013523E-3</v>
      </c>
    </row>
    <row r="39" spans="1:6">
      <c r="A39" t="s">
        <v>6373</v>
      </c>
      <c r="B39" t="s">
        <v>56</v>
      </c>
      <c r="C39" t="s">
        <v>66</v>
      </c>
      <c r="D39" t="str">
        <f>CONCATENATE(SEEMsavings!A39," + ",SEEMsavings!B39," + ",SEEMsavings!C39)</f>
        <v>Attic R0 - R30 + HZ1 + Heat Pump</v>
      </c>
      <c r="E39">
        <f>'SEEM Results'!D19</f>
        <v>0.26414227285875647</v>
      </c>
      <c r="F39">
        <f>'SEEM Results'!G19*'[4]Wood Fuel Credit'!$B$28</f>
        <v>1.8540083384838118E-3</v>
      </c>
    </row>
    <row r="40" spans="1:6">
      <c r="A40" t="s">
        <v>6374</v>
      </c>
      <c r="B40" t="s">
        <v>56</v>
      </c>
      <c r="C40" t="s">
        <v>66</v>
      </c>
      <c r="D40" t="str">
        <f>CONCATENATE(SEEMsavings!A40," + ",SEEMsavings!B40," + ",SEEMsavings!C40)</f>
        <v>Attic R0 - R22 + HZ1 + Heat Pump</v>
      </c>
      <c r="E40">
        <f>'SEEM Results'!D20</f>
        <v>0.2621751812904406</v>
      </c>
      <c r="F40">
        <f>'SEEM Results'!G20*'[4]Wood Fuel Credit'!$B$28</f>
        <v>1.8402013694941528E-3</v>
      </c>
    </row>
    <row r="41" spans="1:6">
      <c r="A41" t="s">
        <v>6396</v>
      </c>
      <c r="B41" t="s">
        <v>56</v>
      </c>
      <c r="C41" t="s">
        <v>66</v>
      </c>
      <c r="D41" t="str">
        <f>CONCATENATE(SEEMsavings!A41," + ",SEEMsavings!B41," + ",SEEMsavings!C41)</f>
        <v>Attic R11 - R30 + HZ1 + Heat Pump</v>
      </c>
      <c r="E41">
        <f>'SEEM Results'!D21</f>
        <v>0.10420488558578286</v>
      </c>
      <c r="F41">
        <f>'SEEM Results'!G21*'[4]Wood Fuel Credit'!$B$28</f>
        <v>7.3141161653477609E-4</v>
      </c>
    </row>
    <row r="42" spans="1:6">
      <c r="A42" t="s">
        <v>6375</v>
      </c>
      <c r="B42" t="s">
        <v>56</v>
      </c>
      <c r="C42" t="s">
        <v>66</v>
      </c>
      <c r="D42" t="str">
        <f>CONCATENATE(SEEMsavings!A42," + ",SEEMsavings!B42," + ",SEEMsavings!C42)</f>
        <v>Floor R0 - R22 + HZ1 + Heat Pump</v>
      </c>
      <c r="E42">
        <f>'SEEM Results'!D22</f>
        <v>0.22701205883517456</v>
      </c>
      <c r="F42">
        <f>'SEEM Results'!G22*'[4]Wood Fuel Credit'!$B$28</f>
        <v>1.5933922482822265E-3</v>
      </c>
    </row>
    <row r="43" spans="1:6">
      <c r="A43" t="s">
        <v>6376</v>
      </c>
      <c r="B43" t="s">
        <v>56</v>
      </c>
      <c r="C43" t="s">
        <v>66</v>
      </c>
      <c r="D43" t="str">
        <f>CONCATENATE(SEEMsavings!A43," + ",SEEMsavings!B43," + ",SEEMsavings!C43)</f>
        <v>Floor R11 - R22 + HZ1 + Heat Pump</v>
      </c>
      <c r="E43">
        <f>'SEEM Results'!D23</f>
        <v>0.11626329716863983</v>
      </c>
      <c r="F43">
        <f>'SEEM Results'!G23*'[4]Wood Fuel Credit'!$B$28</f>
        <v>8.1604932098672939E-4</v>
      </c>
    </row>
    <row r="44" spans="1:6">
      <c r="A44" t="s">
        <v>61</v>
      </c>
      <c r="B44" t="s">
        <v>56</v>
      </c>
      <c r="C44" t="s">
        <v>66</v>
      </c>
      <c r="D44" t="str">
        <f>CONCATENATE(SEEMsavings!A44," + ",SEEMsavings!B44," + ",SEEMsavings!C44)</f>
        <v>WINDOW CL30 Prime Window Replacement of Double Pane Base + HZ1 + Heat Pump</v>
      </c>
      <c r="E44">
        <f>'SEEM Results'!D24</f>
        <v>1.2963867030076783</v>
      </c>
      <c r="F44">
        <f>'SEEM Results'!G24*'[4]Wood Fuel Credit'!$B$28</f>
        <v>9.0993074726853466E-3</v>
      </c>
    </row>
    <row r="45" spans="1:6">
      <c r="A45" t="s">
        <v>60</v>
      </c>
      <c r="B45" t="s">
        <v>56</v>
      </c>
      <c r="C45" t="s">
        <v>66</v>
      </c>
      <c r="D45" t="str">
        <f>CONCATENATE(SEEMsavings!A45," + ",SEEMsavings!B45," + ",SEEMsavings!C45)</f>
        <v>WINDOW CL30 Prime Window Replacement of Single Pane Base + HZ1 + Heat Pump</v>
      </c>
      <c r="E45">
        <f>'SEEM Results'!D25</f>
        <v>3.6649622322959936</v>
      </c>
      <c r="F45">
        <f>'SEEM Results'!G25*'[4]Wood Fuel Credit'!$B$28</f>
        <v>2.5724282847139752E-2</v>
      </c>
    </row>
    <row r="46" spans="1:6">
      <c r="A46" t="s">
        <v>63</v>
      </c>
      <c r="B46" t="s">
        <v>56</v>
      </c>
      <c r="C46" t="s">
        <v>66</v>
      </c>
      <c r="D46" t="str">
        <f>CONCATENATE(SEEMsavings!A46," + ",SEEMsavings!B46," + ",SEEMsavings!C46)</f>
        <v>WINDOW CL22 Prime Window Replacement of Double Pane Base + HZ1 + Heat Pump</v>
      </c>
      <c r="E46">
        <f>'SEEM Results'!D26</f>
        <v>10.183768276204923</v>
      </c>
      <c r="F46">
        <f>'SEEM Results'!G26*'[4]Wood Fuel Credit'!$B$28</f>
        <v>1.0775500640589221E-2</v>
      </c>
    </row>
    <row r="47" spans="1:6">
      <c r="A47" t="s">
        <v>62</v>
      </c>
      <c r="B47" t="s">
        <v>56</v>
      </c>
      <c r="C47" t="s">
        <v>66</v>
      </c>
      <c r="D47" t="str">
        <f>CONCATENATE(SEEMsavings!A47," + ",SEEMsavings!B47," + ",SEEMsavings!C47)</f>
        <v>WINDOW CL22 Prime Window Replacement of Single Pane Base + HZ1 + Heat Pump</v>
      </c>
      <c r="E47">
        <f>'SEEM Results'!D27</f>
        <v>4.0083962473901309</v>
      </c>
      <c r="F47">
        <f>'SEEM Results'!G27*'[4]Wood Fuel Credit'!$B$28</f>
        <v>2.8134838040794731E-2</v>
      </c>
    </row>
    <row r="48" spans="1:6">
      <c r="A48" t="s">
        <v>6399</v>
      </c>
      <c r="B48" t="s">
        <v>56</v>
      </c>
      <c r="C48" t="s">
        <v>66</v>
      </c>
      <c r="D48" t="str">
        <f>CONCATENATE(SEEMsavings!A48," + ",SEEMsavings!B48," + ",SEEMsavings!C48)</f>
        <v>Window U35-U30 + HZ1 + Heat Pump</v>
      </c>
      <c r="E48">
        <f>'SEEM Results'!D28</f>
        <v>0.16439191653431021</v>
      </c>
      <c r="F48">
        <f>'SEEM Results'!G28*'[4]Wood Fuel Credit'!$B$28</f>
        <v>1.1538629570168101E-3</v>
      </c>
    </row>
    <row r="49" spans="1:6">
      <c r="A49" t="s">
        <v>6400</v>
      </c>
      <c r="B49" t="s">
        <v>56</v>
      </c>
      <c r="C49" t="s">
        <v>66</v>
      </c>
      <c r="D49" t="str">
        <f>CONCATENATE(SEEMsavings!A49," + ",SEEMsavings!B49," + ",SEEMsavings!C49)</f>
        <v>Window U35-U22 + HZ1 + Heat Pump</v>
      </c>
      <c r="E49">
        <f>'SEEM Results'!D29</f>
        <v>0.30793451183951437</v>
      </c>
      <c r="F49">
        <f>'SEEM Results'!G29*'[4]Wood Fuel Credit'!$B$28</f>
        <v>2.1613850236031074E-3</v>
      </c>
    </row>
    <row r="50" spans="1:6">
      <c r="A50" t="s">
        <v>55</v>
      </c>
      <c r="B50" t="s">
        <v>56</v>
      </c>
      <c r="C50" t="s">
        <v>66</v>
      </c>
      <c r="D50" t="str">
        <f>CONCATENATE(SEEMsavings!A50," + ",SEEMsavings!B50," + ",SEEMsavings!C50)</f>
        <v>Infiltration + HZ1 + Heat Pump</v>
      </c>
      <c r="E50">
        <f>'SEEM Results'!D30</f>
        <v>0.12307226203098903</v>
      </c>
      <c r="F50">
        <f>'SEEM Results'!G30*'[4]Wood Fuel Credit'!$B$28</f>
        <v>8.6384128360828601E-4</v>
      </c>
    </row>
    <row r="51" spans="1:6">
      <c r="A51" t="s">
        <v>6373</v>
      </c>
      <c r="B51" t="s">
        <v>57</v>
      </c>
      <c r="C51" t="s">
        <v>66</v>
      </c>
      <c r="D51" t="str">
        <f>CONCATENATE(SEEMsavings!A51," + ",SEEMsavings!B51," + ",SEEMsavings!C51)</f>
        <v>Attic R0 - R30 + HZ2 + Heat Pump</v>
      </c>
      <c r="E51">
        <f>'SEEM Results'!E19</f>
        <v>0.30731491751347301</v>
      </c>
      <c r="F51">
        <f>'SEEM Results'!H19*'[4]Wood Fuel Credit'!$B$28</f>
        <v>4.8943190973757197E-3</v>
      </c>
    </row>
    <row r="52" spans="1:6">
      <c r="A52" t="s">
        <v>6374</v>
      </c>
      <c r="B52" t="s">
        <v>57</v>
      </c>
      <c r="C52" t="s">
        <v>66</v>
      </c>
      <c r="D52" t="str">
        <f>CONCATENATE(SEEMsavings!A52," + ",SEEMsavings!B52," + ",SEEMsavings!C52)</f>
        <v>Attic R0 - R22 + HZ2 + Heat Pump</v>
      </c>
      <c r="E52">
        <f>'SEEM Results'!E20</f>
        <v>0.28489703706649766</v>
      </c>
      <c r="F52">
        <f>'SEEM Results'!H20*'[4]Wood Fuel Credit'!$B$28</f>
        <v>4.5372903488786458E-3</v>
      </c>
    </row>
    <row r="53" spans="1:6">
      <c r="A53" t="s">
        <v>6396</v>
      </c>
      <c r="B53" t="s">
        <v>57</v>
      </c>
      <c r="C53" t="s">
        <v>66</v>
      </c>
      <c r="D53" t="str">
        <f>CONCATENATE(SEEMsavings!A53," + ",SEEMsavings!B53," + ",SEEMsavings!C53)</f>
        <v>Attic R11 - R30 + HZ2 + Heat Pump</v>
      </c>
      <c r="E53">
        <f>'SEEM Results'!E21</f>
        <v>2.8130913850995934E-2</v>
      </c>
      <c r="F53">
        <f>'SEEM Results'!H21*'[4]Wood Fuel Credit'!$B$28</f>
        <v>4.4801492228741007E-4</v>
      </c>
    </row>
    <row r="54" spans="1:6">
      <c r="A54" t="s">
        <v>6375</v>
      </c>
      <c r="B54" t="s">
        <v>57</v>
      </c>
      <c r="C54" t="s">
        <v>66</v>
      </c>
      <c r="D54" t="str">
        <f>CONCATENATE(SEEMsavings!A54," + ",SEEMsavings!B54," + ",SEEMsavings!C54)</f>
        <v>Floor R0 - R22 + HZ2 + Heat Pump</v>
      </c>
      <c r="E54">
        <f>'SEEM Results'!E22</f>
        <v>2.2924747296391271E-2</v>
      </c>
      <c r="F54">
        <f>'SEEM Results'!H22*'[4]Wood Fuel Credit'!$B$28</f>
        <v>3.6510114576628657E-4</v>
      </c>
    </row>
    <row r="55" spans="1:6">
      <c r="A55" t="s">
        <v>6376</v>
      </c>
      <c r="B55" t="s">
        <v>57</v>
      </c>
      <c r="C55" t="s">
        <v>66</v>
      </c>
      <c r="D55" t="str">
        <f>CONCATENATE(SEEMsavings!A55," + ",SEEMsavings!B55," + ",SEEMsavings!C55)</f>
        <v>Floor R11 - R22 + HZ2 + Heat Pump</v>
      </c>
      <c r="E55">
        <f>'SEEM Results'!E23</f>
        <v>2.6223612456817185E-2</v>
      </c>
      <c r="F55">
        <f>'SEEM Results'!H23*'[4]Wood Fuel Credit'!$B$28</f>
        <v>4.1763910547542297E-4</v>
      </c>
    </row>
    <row r="56" spans="1:6">
      <c r="A56" t="s">
        <v>61</v>
      </c>
      <c r="B56" t="s">
        <v>57</v>
      </c>
      <c r="C56" t="s">
        <v>66</v>
      </c>
      <c r="D56" t="str">
        <f>CONCATENATE(SEEMsavings!A56," + ",SEEMsavings!B56," + ",SEEMsavings!C56)</f>
        <v>WINDOW CL30 Prime Window Replacement of Double Pane Base + HZ2 + Heat Pump</v>
      </c>
      <c r="E56">
        <f>'SEEM Results'!E24</f>
        <v>2.4370186838112233</v>
      </c>
      <c r="F56">
        <f>'SEEM Results'!H24*'[4]Wood Fuel Credit'!$B$28</f>
        <v>3.8812131807157736E-2</v>
      </c>
    </row>
    <row r="57" spans="1:6">
      <c r="A57" t="s">
        <v>60</v>
      </c>
      <c r="B57" t="s">
        <v>57</v>
      </c>
      <c r="C57" t="s">
        <v>66</v>
      </c>
      <c r="D57" t="str">
        <f>CONCATENATE(SEEMsavings!A57," + ",SEEMsavings!B57," + ",SEEMsavings!C57)</f>
        <v>WINDOW CL30 Prime Window Replacement of Single Pane Base + HZ2 + Heat Pump</v>
      </c>
      <c r="E57">
        <f>'SEEM Results'!E25</f>
        <v>3.806888307524634</v>
      </c>
      <c r="F57">
        <f>'SEEM Results'!H25*'[4]Wood Fuel Credit'!$B$28</f>
        <v>6.06287722569709E-2</v>
      </c>
    </row>
    <row r="58" spans="1:6">
      <c r="A58" t="s">
        <v>63</v>
      </c>
      <c r="B58" t="s">
        <v>57</v>
      </c>
      <c r="C58" t="s">
        <v>66</v>
      </c>
      <c r="D58" t="str">
        <f>CONCATENATE(SEEMsavings!A58," + ",SEEMsavings!B58," + ",SEEMsavings!C58)</f>
        <v>WINDOW CL22 Prime Window Replacement of Double Pane Base + HZ2 + Heat Pump</v>
      </c>
      <c r="E58">
        <f>'SEEM Results'!E26</f>
        <v>6.2506227232565887</v>
      </c>
      <c r="F58">
        <f>'SEEM Results'!H26*'[4]Wood Fuel Credit'!$B$28</f>
        <v>4.1522702763001497E-2</v>
      </c>
    </row>
    <row r="59" spans="1:6">
      <c r="A59" t="s">
        <v>62</v>
      </c>
      <c r="B59" t="s">
        <v>57</v>
      </c>
      <c r="C59" t="s">
        <v>66</v>
      </c>
      <c r="D59" t="str">
        <f>CONCATENATE(SEEMsavings!A59," + ",SEEMsavings!B59," + ",SEEMsavings!C59)</f>
        <v>WINDOW CL22 Prime Window Replacement of Single Pane Base + HZ2 + Heat Pump</v>
      </c>
      <c r="E59">
        <f>'SEEM Results'!E27</f>
        <v>4.1250258593955831</v>
      </c>
      <c r="F59">
        <f>'SEEM Results'!H27*'[4]Wood Fuel Credit'!$B$28</f>
        <v>6.5695453394068917E-2</v>
      </c>
    </row>
    <row r="60" spans="1:6">
      <c r="A60" t="s">
        <v>6399</v>
      </c>
      <c r="B60" t="s">
        <v>57</v>
      </c>
      <c r="C60" t="s">
        <v>66</v>
      </c>
      <c r="D60" t="str">
        <f>CONCATENATE(SEEMsavings!A60," + ",SEEMsavings!B60," + ",SEEMsavings!C60)</f>
        <v>Window U35-U30 + HZ2 + Heat Pump</v>
      </c>
      <c r="E60">
        <f>'SEEM Results'!E28</f>
        <v>0.17685250749568629</v>
      </c>
      <c r="F60">
        <f>'SEEM Results'!H28*'[4]Wood Fuel Credit'!$B$28</f>
        <v>2.8165655343332704E-3</v>
      </c>
    </row>
    <row r="61" spans="1:6">
      <c r="A61" t="s">
        <v>6400</v>
      </c>
      <c r="B61" t="s">
        <v>57</v>
      </c>
      <c r="C61" t="s">
        <v>66</v>
      </c>
      <c r="D61" t="str">
        <f>CONCATENATE(SEEMsavings!A61," + ",SEEMsavings!B61," + ",SEEMsavings!C61)</f>
        <v>Window U35-U22 + HZ2 + Heat Pump</v>
      </c>
      <c r="E61">
        <f>'SEEM Results'!E29</f>
        <v>0.2856389327556732</v>
      </c>
      <c r="F61">
        <f>'SEEM Results'!H29*'[4]Wood Fuel Credit'!$B$28</f>
        <v>4.5491058320617341E-3</v>
      </c>
    </row>
    <row r="62" spans="1:6">
      <c r="A62" t="s">
        <v>55</v>
      </c>
      <c r="B62" t="s">
        <v>57</v>
      </c>
      <c r="C62" t="s">
        <v>66</v>
      </c>
      <c r="D62" t="str">
        <f>CONCATENATE(SEEMsavings!A62," + ",SEEMsavings!B62," + ",SEEMsavings!C62)</f>
        <v>Infiltration + HZ2 + Heat Pump</v>
      </c>
      <c r="E62">
        <f>'SEEM Results'!E30</f>
        <v>0.14925354302543398</v>
      </c>
      <c r="F62">
        <f>'SEEM Results'!H30*'[4]Wood Fuel Credit'!$B$28</f>
        <v>2.3770224754818305E-3</v>
      </c>
    </row>
    <row r="63" spans="1:6">
      <c r="A63" t="s">
        <v>6373</v>
      </c>
      <c r="B63" t="s">
        <v>58</v>
      </c>
      <c r="C63" t="s">
        <v>66</v>
      </c>
      <c r="D63" t="str">
        <f>CONCATENATE(SEEMsavings!A63," + ",SEEMsavings!B63," + ",SEEMsavings!C63)</f>
        <v>Attic R0 - R30 + HZ3 + Heat Pump</v>
      </c>
      <c r="E63">
        <f>'SEEM Results'!F19</f>
        <v>0.45418016417160967</v>
      </c>
      <c r="F63">
        <f>'SEEM Results'!I19*'[4]Wood Fuel Credit'!$B$28</f>
        <v>7.2333053961068927E-3</v>
      </c>
    </row>
    <row r="64" spans="1:6">
      <c r="A64" t="s">
        <v>6374</v>
      </c>
      <c r="B64" t="s">
        <v>58</v>
      </c>
      <c r="C64" t="s">
        <v>66</v>
      </c>
      <c r="D64" t="str">
        <f>CONCATENATE(SEEMsavings!A64," + ",SEEMsavings!B64," + ",SEEMsavings!C64)</f>
        <v>Attic R0 - R22 + HZ3 + Heat Pump</v>
      </c>
      <c r="E64">
        <f>'SEEM Results'!F20</f>
        <v>0.39034339888996411</v>
      </c>
      <c r="F64">
        <f>'SEEM Results'!I20*'[4]Wood Fuel Credit'!$B$28</f>
        <v>6.2166365602409884E-3</v>
      </c>
    </row>
    <row r="65" spans="1:6">
      <c r="A65" t="s">
        <v>6396</v>
      </c>
      <c r="B65" t="s">
        <v>58</v>
      </c>
      <c r="C65" t="s">
        <v>66</v>
      </c>
      <c r="D65" t="str">
        <f>CONCATENATE(SEEMsavings!A65," + ",SEEMsavings!B65," + ",SEEMsavings!C65)</f>
        <v>Attic R11 - R30 + HZ3 + Heat Pump</v>
      </c>
      <c r="E65">
        <f>'SEEM Results'!F21</f>
        <v>-1.5687898617586977E-2</v>
      </c>
      <c r="F65">
        <f>'SEEM Results'!I21*'[4]Wood Fuel Credit'!$B$28</f>
        <v>-2.498465822062941E-4</v>
      </c>
    </row>
    <row r="66" spans="1:6">
      <c r="A66" t="s">
        <v>6375</v>
      </c>
      <c r="B66" t="s">
        <v>58</v>
      </c>
      <c r="C66" t="s">
        <v>66</v>
      </c>
      <c r="D66" t="str">
        <f>CONCATENATE(SEEMsavings!A66," + ",SEEMsavings!B66," + ",SEEMsavings!C66)</f>
        <v>Floor R0 - R22 + HZ3 + Heat Pump</v>
      </c>
      <c r="E66">
        <f>'SEEM Results'!F22</f>
        <v>3.5282744619257199E-2</v>
      </c>
      <c r="F66">
        <f>'SEEM Results'!I22*'[4]Wood Fuel Credit'!$B$28</f>
        <v>5.619154845950174E-4</v>
      </c>
    </row>
    <row r="67" spans="1:6">
      <c r="A67" t="s">
        <v>6376</v>
      </c>
      <c r="B67" t="s">
        <v>58</v>
      </c>
      <c r="C67" t="s">
        <v>66</v>
      </c>
      <c r="D67" t="str">
        <f>CONCATENATE(SEEMsavings!A67," + ",SEEMsavings!B67," + ",SEEMsavings!C67)</f>
        <v>Floor R11 - R22 + HZ3 + Heat Pump</v>
      </c>
      <c r="E67">
        <f>'SEEM Results'!F23</f>
        <v>-2.8899967172981728E-3</v>
      </c>
      <c r="F67">
        <f>'SEEM Results'!I23*'[4]Wood Fuel Credit'!$B$28</f>
        <v>-4.6026291985014085E-5</v>
      </c>
    </row>
    <row r="68" spans="1:6">
      <c r="A68" t="s">
        <v>61</v>
      </c>
      <c r="B68" t="s">
        <v>58</v>
      </c>
      <c r="C68" t="s">
        <v>66</v>
      </c>
      <c r="D68" t="str">
        <f>CONCATENATE(SEEMsavings!A68," + ",SEEMsavings!B68," + ",SEEMsavings!C68)</f>
        <v>WINDOW CL30 Prime Window Replacement of Double Pane Base + HZ3 + Heat Pump</v>
      </c>
      <c r="E68">
        <f>'SEEM Results'!F24</f>
        <v>4.5574394707944199</v>
      </c>
      <c r="F68">
        <f>'SEEM Results'!I24*'[4]Wood Fuel Credit'!$B$28</f>
        <v>7.2582103132253981E-2</v>
      </c>
    </row>
    <row r="69" spans="1:6">
      <c r="A69" t="s">
        <v>60</v>
      </c>
      <c r="B69" t="s">
        <v>58</v>
      </c>
      <c r="C69" t="s">
        <v>66</v>
      </c>
      <c r="D69" t="str">
        <f>CONCATENATE(SEEMsavings!A69," + ",SEEMsavings!B69," + ",SEEMsavings!C69)</f>
        <v>WINDOW CL30 Prime Window Replacement of Single Pane Base + HZ3 + Heat Pump</v>
      </c>
      <c r="E69">
        <f>'SEEM Results'!F25</f>
        <v>5.7166071763955371</v>
      </c>
      <c r="F69">
        <f>'SEEM Results'!I25*'[4]Wood Fuel Credit'!$B$28</f>
        <v>9.104308994177332E-2</v>
      </c>
    </row>
    <row r="70" spans="1:6">
      <c r="A70" t="s">
        <v>63</v>
      </c>
      <c r="B70" t="s">
        <v>58</v>
      </c>
      <c r="C70" t="s">
        <v>66</v>
      </c>
      <c r="D70" t="str">
        <f>CONCATENATE(SEEMsavings!A70," + ",SEEMsavings!B70," + ",SEEMsavings!C70)</f>
        <v>WINDOW CL22 Prime Window Replacement of Double Pane Base + HZ3 + Heat Pump</v>
      </c>
      <c r="E70">
        <f>'SEEM Results'!F26</f>
        <v>7.2994829247742192</v>
      </c>
      <c r="F70">
        <f>'SEEM Results'!I26*'[4]Wood Fuel Credit'!$B$28</f>
        <v>7.582619787063942E-2</v>
      </c>
    </row>
    <row r="71" spans="1:6">
      <c r="A71" t="s">
        <v>62</v>
      </c>
      <c r="B71" t="s">
        <v>58</v>
      </c>
      <c r="C71" t="s">
        <v>66</v>
      </c>
      <c r="D71" t="str">
        <f>CONCATENATE(SEEMsavings!A71," + ",SEEMsavings!B71," + ",SEEMsavings!C71)</f>
        <v>WINDOW CL22 Prime Window Replacement of Single Pane Base + HZ3 + Heat Pump</v>
      </c>
      <c r="E71">
        <f>'SEEM Results'!F27</f>
        <v>6.0581916165879015</v>
      </c>
      <c r="F71">
        <f>'SEEM Results'!I27*'[4]Wood Fuel Credit'!$B$28</f>
        <v>9.6483187879507132E-2</v>
      </c>
    </row>
    <row r="72" spans="1:6">
      <c r="A72" t="s">
        <v>6399</v>
      </c>
      <c r="B72" t="s">
        <v>58</v>
      </c>
      <c r="C72" t="s">
        <v>66</v>
      </c>
      <c r="D72" t="str">
        <f>CONCATENATE(SEEMsavings!A72," + ",SEEMsavings!B72," + ",SEEMsavings!C72)</f>
        <v>Window U35-U30 + HZ3 + Heat Pump</v>
      </c>
      <c r="E72">
        <f>'SEEM Results'!F28</f>
        <v>0.17229088425352199</v>
      </c>
      <c r="F72">
        <f>'SEEM Results'!I28*'[4]Wood Fuel Credit'!$B$28</f>
        <v>2.74391680016247E-3</v>
      </c>
    </row>
    <row r="73" spans="1:6">
      <c r="A73" t="s">
        <v>6400</v>
      </c>
      <c r="B73" t="s">
        <v>58</v>
      </c>
      <c r="C73" t="s">
        <v>66</v>
      </c>
      <c r="D73" t="str">
        <f>CONCATENATE(SEEMsavings!A73," + ",SEEMsavings!B73," + ",SEEMsavings!C73)</f>
        <v>Window U35-U22 + HZ3 + Heat Pump</v>
      </c>
      <c r="E73">
        <f>'SEEM Results'!F29</f>
        <v>0.3111860753769542</v>
      </c>
      <c r="F73">
        <f>'SEEM Results'!I29*'[4]Wood Fuel Credit'!$B$28</f>
        <v>4.9559714311234373E-3</v>
      </c>
    </row>
    <row r="74" spans="1:6">
      <c r="A74" t="s">
        <v>55</v>
      </c>
      <c r="B74" t="s">
        <v>58</v>
      </c>
      <c r="C74" t="s">
        <v>66</v>
      </c>
      <c r="D74" t="str">
        <f>CONCATENATE(SEEMsavings!A74," + ",SEEMsavings!B74," + ",SEEMsavings!C74)</f>
        <v>Infiltration + HZ3 + Heat Pump</v>
      </c>
      <c r="E74">
        <f>'SEEM Results'!F30</f>
        <v>0.18704712126310194</v>
      </c>
      <c r="F74">
        <f>'SEEM Results'!I30*'[4]Wood Fuel Credit'!$B$28</f>
        <v>2.9789256737496861E-3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theme="5" tint="0.79998168889431442"/>
  </sheetPr>
  <dimension ref="A1:Y54"/>
  <sheetViews>
    <sheetView topLeftCell="C1" workbookViewId="0">
      <selection activeCell="L49" sqref="L49:L50"/>
    </sheetView>
  </sheetViews>
  <sheetFormatPr defaultRowHeight="12.75"/>
  <cols>
    <col min="1" max="1" width="67" customWidth="1"/>
    <col min="2" max="2" width="47.5703125" customWidth="1"/>
  </cols>
  <sheetData>
    <row r="1" spans="1:13">
      <c r="A1" s="27" t="s">
        <v>6493</v>
      </c>
      <c r="B1" s="27"/>
      <c r="C1" s="383" t="s">
        <v>5785</v>
      </c>
      <c r="D1" s="27"/>
      <c r="E1" s="27"/>
      <c r="F1" s="27"/>
      <c r="G1" s="27"/>
      <c r="H1" s="27"/>
      <c r="I1" s="27"/>
      <c r="J1" s="27"/>
    </row>
    <row r="2" spans="1:13">
      <c r="A2" s="122" t="s">
        <v>589</v>
      </c>
      <c r="B2" s="310" t="s">
        <v>6412</v>
      </c>
      <c r="C2" s="179">
        <f>WallCost*(D2-E2)*Deflator</f>
        <v>1.0830306666666667</v>
      </c>
      <c r="D2" s="123">
        <v>11</v>
      </c>
      <c r="E2" s="124">
        <v>0</v>
      </c>
      <c r="F2" s="27"/>
      <c r="G2" s="27"/>
      <c r="H2" s="27"/>
      <c r="I2" s="27"/>
      <c r="J2" s="27"/>
    </row>
    <row r="3" spans="1:13">
      <c r="A3" s="125" t="s">
        <v>590</v>
      </c>
      <c r="B3" s="315" t="s">
        <v>6413</v>
      </c>
      <c r="C3" s="126">
        <f>FloorCost*(D3-E3)*Deflator</f>
        <v>0.55816525180548882</v>
      </c>
      <c r="D3" s="127">
        <v>11</v>
      </c>
      <c r="E3" s="128">
        <v>0</v>
      </c>
      <c r="F3" s="27"/>
      <c r="G3" s="27"/>
      <c r="H3" s="27"/>
      <c r="I3" s="27"/>
      <c r="J3" s="27"/>
    </row>
    <row r="4" spans="1:13">
      <c r="A4" s="129" t="s">
        <v>591</v>
      </c>
      <c r="B4" s="314" t="s">
        <v>6375</v>
      </c>
      <c r="C4" s="130">
        <f>FloorCost*(D4-E4)*Deflator</f>
        <v>1.1163305036109776</v>
      </c>
      <c r="D4" s="131">
        <v>22</v>
      </c>
      <c r="E4" s="132">
        <v>0</v>
      </c>
      <c r="F4" s="27"/>
      <c r="G4" s="27"/>
      <c r="H4" s="27"/>
      <c r="I4" s="27"/>
      <c r="J4" s="27"/>
    </row>
    <row r="5" spans="1:13">
      <c r="A5" s="133" t="s">
        <v>592</v>
      </c>
      <c r="B5" s="314" t="s">
        <v>6376</v>
      </c>
      <c r="C5" s="134">
        <f>FloorCost*(D5-E5)*Deflator</f>
        <v>0.55816525180548882</v>
      </c>
      <c r="D5" s="135">
        <v>22</v>
      </c>
      <c r="E5" s="136">
        <v>11</v>
      </c>
      <c r="F5" s="27"/>
      <c r="G5" s="27"/>
      <c r="H5" s="27"/>
      <c r="I5" s="27"/>
      <c r="J5" s="27"/>
    </row>
    <row r="6" spans="1:13">
      <c r="A6" s="125" t="s">
        <v>593</v>
      </c>
      <c r="B6" s="314" t="s">
        <v>6374</v>
      </c>
      <c r="C6" s="126">
        <f t="shared" ref="C6:C14" si="0">AtticCost*(D6-E6)*Deflator</f>
        <v>0.54028627568256082</v>
      </c>
      <c r="D6" s="127">
        <v>22</v>
      </c>
      <c r="E6" s="128">
        <v>0</v>
      </c>
      <c r="F6" s="27"/>
      <c r="G6" s="27"/>
      <c r="H6" s="27"/>
      <c r="I6" s="27"/>
      <c r="J6" s="27"/>
    </row>
    <row r="7" spans="1:13">
      <c r="A7" s="129" t="s">
        <v>594</v>
      </c>
      <c r="B7" s="314" t="s">
        <v>6373</v>
      </c>
      <c r="C7" s="130">
        <f t="shared" si="0"/>
        <v>0.73675401229440107</v>
      </c>
      <c r="D7" s="131">
        <v>30</v>
      </c>
      <c r="E7" s="132">
        <v>0</v>
      </c>
      <c r="F7" s="27"/>
      <c r="G7" s="27"/>
      <c r="H7" s="27"/>
      <c r="I7" s="27"/>
      <c r="J7" s="27"/>
    </row>
    <row r="8" spans="1:13">
      <c r="A8" s="129" t="s">
        <v>595</v>
      </c>
      <c r="B8" s="314" t="s">
        <v>6396</v>
      </c>
      <c r="C8" s="130">
        <f t="shared" si="0"/>
        <v>0.46661087445312072</v>
      </c>
      <c r="D8" s="131">
        <v>30</v>
      </c>
      <c r="E8" s="132">
        <v>11</v>
      </c>
      <c r="F8" s="27"/>
      <c r="G8" s="27"/>
      <c r="H8" s="27"/>
      <c r="I8" s="27"/>
      <c r="J8" s="27"/>
    </row>
    <row r="9" spans="1:13">
      <c r="A9" s="129" t="s">
        <v>596</v>
      </c>
      <c r="B9" s="311" t="s">
        <v>6414</v>
      </c>
      <c r="C9" s="130">
        <f t="shared" si="0"/>
        <v>0.1964677366118403</v>
      </c>
      <c r="D9" s="131">
        <v>38</v>
      </c>
      <c r="E9" s="132">
        <v>30</v>
      </c>
      <c r="F9" s="27"/>
      <c r="G9" s="27"/>
      <c r="H9" s="27"/>
      <c r="I9" s="27"/>
      <c r="J9" s="27"/>
    </row>
    <row r="10" spans="1:13">
      <c r="A10" s="129" t="s">
        <v>597</v>
      </c>
      <c r="B10" s="311" t="s">
        <v>6415</v>
      </c>
      <c r="C10" s="130">
        <f t="shared" si="0"/>
        <v>0.46661087445312072</v>
      </c>
      <c r="D10" s="131">
        <v>49</v>
      </c>
      <c r="E10" s="132">
        <v>30</v>
      </c>
      <c r="F10" s="27"/>
      <c r="G10" s="27"/>
      <c r="H10" s="27"/>
      <c r="I10" s="27"/>
      <c r="J10" s="27"/>
    </row>
    <row r="11" spans="1:13">
      <c r="A11" s="129" t="s">
        <v>598</v>
      </c>
      <c r="B11" s="311" t="s">
        <v>6416</v>
      </c>
      <c r="C11" s="130">
        <f t="shared" si="0"/>
        <v>0.27014313784128041</v>
      </c>
      <c r="D11" s="131">
        <v>49</v>
      </c>
      <c r="E11" s="132">
        <v>38</v>
      </c>
      <c r="F11" s="27"/>
      <c r="G11" s="27"/>
      <c r="H11" s="27"/>
      <c r="I11" s="27"/>
      <c r="J11" s="27"/>
      <c r="L11" t="s">
        <v>6481</v>
      </c>
      <c r="M11" t="s">
        <v>6482</v>
      </c>
    </row>
    <row r="12" spans="1:13">
      <c r="A12" s="129" t="s">
        <v>595</v>
      </c>
      <c r="B12" s="311" t="s">
        <v>6386</v>
      </c>
      <c r="C12" s="130">
        <f t="shared" si="0"/>
        <v>0.27014313784128041</v>
      </c>
      <c r="D12" s="137">
        <v>30</v>
      </c>
      <c r="E12" s="132">
        <v>19</v>
      </c>
      <c r="F12" s="27"/>
      <c r="G12" s="27"/>
      <c r="H12" s="27"/>
      <c r="I12" s="27"/>
      <c r="J12" s="27"/>
    </row>
    <row r="13" spans="1:13">
      <c r="A13" s="129" t="s">
        <v>599</v>
      </c>
      <c r="B13" s="311" t="s">
        <v>6417</v>
      </c>
      <c r="C13" s="130">
        <f t="shared" si="0"/>
        <v>0.46661087445312072</v>
      </c>
      <c r="D13" s="131">
        <v>38</v>
      </c>
      <c r="E13" s="132">
        <v>19</v>
      </c>
      <c r="F13" s="27"/>
      <c r="G13" s="27"/>
      <c r="H13" s="27"/>
      <c r="I13" s="27"/>
      <c r="J13" s="27"/>
    </row>
    <row r="14" spans="1:13">
      <c r="A14" s="133" t="s">
        <v>600</v>
      </c>
      <c r="B14" s="311" t="s">
        <v>6418</v>
      </c>
      <c r="C14" s="134">
        <f t="shared" si="0"/>
        <v>0.73675401229440107</v>
      </c>
      <c r="D14" s="135">
        <v>49</v>
      </c>
      <c r="E14" s="136">
        <v>19</v>
      </c>
      <c r="F14" s="27"/>
      <c r="G14" s="27"/>
      <c r="H14" s="27"/>
      <c r="I14" s="27"/>
      <c r="J14" s="27"/>
    </row>
    <row r="15" spans="1:13">
      <c r="A15" s="125" t="s">
        <v>230</v>
      </c>
      <c r="B15" s="317" t="s">
        <v>62</v>
      </c>
      <c r="C15" s="138">
        <f>C17+1.36</f>
        <v>21.965937224457285</v>
      </c>
      <c r="D15" s="27"/>
      <c r="E15" s="27"/>
      <c r="F15" s="27"/>
      <c r="G15" s="27"/>
      <c r="H15" s="27"/>
      <c r="I15" s="27"/>
      <c r="J15" s="27"/>
    </row>
    <row r="16" spans="1:13">
      <c r="A16" s="129" t="s">
        <v>231</v>
      </c>
      <c r="B16" s="317" t="s">
        <v>63</v>
      </c>
      <c r="C16" s="139">
        <f>C15</f>
        <v>21.965937224457285</v>
      </c>
      <c r="D16" s="27"/>
      <c r="E16" s="27"/>
      <c r="F16" s="27"/>
      <c r="G16" s="27"/>
      <c r="H16" s="27"/>
      <c r="I16" s="27"/>
      <c r="J16" s="27"/>
    </row>
    <row r="17" spans="1:24">
      <c r="A17" s="129" t="s">
        <v>232</v>
      </c>
      <c r="B17" s="317" t="s">
        <v>60</v>
      </c>
      <c r="C17" s="139">
        <f>'ETO MF Window Cost'!K123+'ETO MF Window Cost'!L133</f>
        <v>20.605937224457286</v>
      </c>
      <c r="D17" s="27"/>
      <c r="E17" s="27"/>
      <c r="F17" s="27"/>
      <c r="G17" s="27"/>
      <c r="H17" s="27"/>
      <c r="I17" s="27"/>
      <c r="J17" s="27"/>
    </row>
    <row r="18" spans="1:24">
      <c r="A18" s="129" t="s">
        <v>233</v>
      </c>
      <c r="B18" s="317" t="s">
        <v>61</v>
      </c>
      <c r="C18" s="139">
        <f>C17</f>
        <v>20.605937224457286</v>
      </c>
      <c r="D18" s="27"/>
      <c r="E18" s="27"/>
      <c r="F18" s="27"/>
      <c r="G18" s="27"/>
      <c r="H18" s="27"/>
      <c r="I18" s="27"/>
      <c r="J18" s="27"/>
    </row>
    <row r="19" spans="1:24">
      <c r="A19" s="129" t="s">
        <v>234</v>
      </c>
      <c r="B19" s="312" t="s">
        <v>6399</v>
      </c>
      <c r="C19" s="139">
        <f>'ETO MF Window Cost'!L133</f>
        <v>0.89355377781611622</v>
      </c>
      <c r="D19" s="27"/>
      <c r="E19" s="27"/>
      <c r="F19" s="27"/>
      <c r="G19" s="27"/>
      <c r="H19" s="27"/>
      <c r="I19" s="27"/>
      <c r="J19" s="27"/>
    </row>
    <row r="20" spans="1:24">
      <c r="A20" s="133" t="s">
        <v>235</v>
      </c>
      <c r="B20" s="313" t="s">
        <v>6400</v>
      </c>
      <c r="C20" s="140">
        <f>C19+1.36</f>
        <v>2.2535537778161165</v>
      </c>
      <c r="D20" s="27"/>
      <c r="E20" s="27"/>
      <c r="F20" s="27"/>
      <c r="G20" s="27"/>
      <c r="H20" s="27"/>
      <c r="I20" s="27"/>
      <c r="J20" s="27"/>
    </row>
    <row r="21" spans="1:24">
      <c r="A21" s="122" t="s">
        <v>601</v>
      </c>
      <c r="B21" t="s">
        <v>55</v>
      </c>
      <c r="C21" s="180">
        <f>250*Deflator/F29</f>
        <v>0.63085205992509363</v>
      </c>
      <c r="D21" s="27"/>
      <c r="E21" s="27"/>
      <c r="F21" s="27"/>
      <c r="G21" s="27"/>
      <c r="H21" s="27"/>
      <c r="I21" s="27"/>
      <c r="J21" s="27"/>
    </row>
    <row r="22" spans="1:24">
      <c r="A22" s="27"/>
      <c r="B22" s="27"/>
      <c r="C22" s="27"/>
      <c r="D22" s="27"/>
      <c r="E22" s="27"/>
      <c r="F22" s="27"/>
      <c r="G22" s="27"/>
      <c r="H22" s="27"/>
      <c r="I22" s="27"/>
      <c r="J22" s="27"/>
    </row>
    <row r="23" spans="1:24">
      <c r="A23" s="27"/>
      <c r="B23" s="27"/>
      <c r="C23" s="27"/>
      <c r="D23" s="27"/>
      <c r="E23" s="27"/>
      <c r="F23" s="27"/>
      <c r="G23" s="27"/>
      <c r="H23" s="27"/>
      <c r="I23" s="27"/>
      <c r="J23" s="27"/>
    </row>
    <row r="24" spans="1:24">
      <c r="A24" s="27"/>
      <c r="B24" s="27"/>
      <c r="C24" s="27"/>
      <c r="D24" s="27"/>
      <c r="E24" s="27"/>
      <c r="F24" s="27"/>
      <c r="G24" s="27"/>
      <c r="H24" s="27"/>
      <c r="I24" s="27"/>
      <c r="J24" s="27"/>
    </row>
    <row r="25" spans="1:24">
      <c r="A25" s="27"/>
      <c r="B25" s="27"/>
      <c r="C25" s="27"/>
      <c r="D25" s="27"/>
      <c r="E25" s="27"/>
      <c r="F25" s="27">
        <v>0.1</v>
      </c>
      <c r="G25" s="181" t="s">
        <v>602</v>
      </c>
      <c r="H25" s="27"/>
      <c r="I25" s="27"/>
      <c r="J25" s="27"/>
    </row>
    <row r="26" spans="1:24">
      <c r="A26" s="27"/>
      <c r="B26" s="27"/>
      <c r="C26" s="27"/>
      <c r="D26" s="27"/>
      <c r="E26" s="27"/>
      <c r="F26" s="27">
        <v>1602</v>
      </c>
      <c r="G26" s="181" t="s">
        <v>603</v>
      </c>
      <c r="H26" s="27"/>
      <c r="I26" s="27"/>
      <c r="J26" s="27"/>
    </row>
    <row r="27" spans="1:24">
      <c r="A27" s="27"/>
      <c r="B27" s="27"/>
      <c r="C27" s="27"/>
      <c r="D27" s="27"/>
      <c r="E27" s="27"/>
      <c r="F27" s="27"/>
      <c r="G27" s="27"/>
      <c r="H27" s="27"/>
      <c r="I27" s="27"/>
      <c r="J27" s="27"/>
    </row>
    <row r="28" spans="1:24">
      <c r="A28" s="27"/>
      <c r="B28" s="27"/>
      <c r="C28" s="27"/>
      <c r="D28" s="27"/>
      <c r="E28" s="27"/>
      <c r="F28" s="27"/>
      <c r="G28" s="27"/>
      <c r="H28" s="27"/>
      <c r="I28" s="27"/>
      <c r="J28" s="27"/>
    </row>
    <row r="29" spans="1:24">
      <c r="A29" s="27"/>
      <c r="C29" s="27"/>
      <c r="D29" s="27"/>
      <c r="E29" s="27"/>
      <c r="F29" s="27">
        <f>F25/60*20*F26*8</f>
        <v>427.2</v>
      </c>
      <c r="G29" s="181" t="s">
        <v>604</v>
      </c>
      <c r="H29" s="27"/>
      <c r="I29" s="27"/>
      <c r="J29" s="27"/>
      <c r="W29" t="s">
        <v>6487</v>
      </c>
    </row>
    <row r="30" spans="1:24" ht="13.5" thickBot="1">
      <c r="A30" s="27" t="s">
        <v>6451</v>
      </c>
      <c r="C30" s="27"/>
      <c r="D30" s="27"/>
      <c r="E30" s="27"/>
      <c r="F30" s="27"/>
      <c r="G30" s="27"/>
      <c r="H30" s="27"/>
      <c r="I30" s="27"/>
      <c r="J30" s="27"/>
      <c r="W30" t="s">
        <v>6488</v>
      </c>
      <c r="X30" s="384">
        <v>5428</v>
      </c>
    </row>
    <row r="31" spans="1:24" ht="16.5" thickBot="1">
      <c r="A31" s="354"/>
      <c r="B31" s="355"/>
      <c r="C31" s="405" t="s">
        <v>6452</v>
      </c>
      <c r="D31" s="406"/>
      <c r="E31" s="405" t="s">
        <v>6453</v>
      </c>
      <c r="F31" s="406"/>
      <c r="G31" s="405" t="s">
        <v>6454</v>
      </c>
      <c r="H31" s="406"/>
      <c r="I31" s="407" t="s">
        <v>6478</v>
      </c>
      <c r="J31" s="405" t="s">
        <v>6455</v>
      </c>
      <c r="K31" s="409"/>
      <c r="W31" t="s">
        <v>6489</v>
      </c>
      <c r="X31" s="384">
        <v>5212</v>
      </c>
    </row>
    <row r="32" spans="1:24" ht="16.5" thickBot="1">
      <c r="A32" s="356" t="s">
        <v>6456</v>
      </c>
      <c r="B32" s="356" t="s">
        <v>6457</v>
      </c>
      <c r="C32" s="357">
        <v>924</v>
      </c>
      <c r="D32" s="358">
        <v>1568</v>
      </c>
      <c r="E32" s="357">
        <v>924</v>
      </c>
      <c r="F32" s="358">
        <v>1568</v>
      </c>
      <c r="G32" s="357">
        <v>924</v>
      </c>
      <c r="H32" s="358">
        <v>1568</v>
      </c>
      <c r="I32" s="408"/>
      <c r="J32" s="357">
        <v>924</v>
      </c>
      <c r="K32" s="358">
        <v>1568</v>
      </c>
      <c r="W32" t="s">
        <v>6490</v>
      </c>
      <c r="X32" s="384">
        <v>6469</v>
      </c>
    </row>
    <row r="33" spans="1:25" ht="15">
      <c r="A33" s="359" t="s">
        <v>6458</v>
      </c>
      <c r="B33" s="360">
        <v>0.154</v>
      </c>
      <c r="C33" s="361">
        <v>1048</v>
      </c>
      <c r="D33" s="361">
        <v>1026</v>
      </c>
      <c r="E33" s="362">
        <f>B33*C33</f>
        <v>161.392</v>
      </c>
      <c r="F33" s="362">
        <f>B33*D33</f>
        <v>158.00399999999999</v>
      </c>
      <c r="G33" s="362">
        <v>0</v>
      </c>
      <c r="H33" s="362">
        <v>0</v>
      </c>
      <c r="I33" s="363">
        <v>0</v>
      </c>
      <c r="J33" s="364">
        <f>C33*$I33</f>
        <v>0</v>
      </c>
      <c r="K33" s="364">
        <v>0</v>
      </c>
      <c r="W33" t="s">
        <v>6491</v>
      </c>
      <c r="X33" s="384">
        <f>((X31+X32)-X30)/2</f>
        <v>3126.5</v>
      </c>
    </row>
    <row r="34" spans="1:25" ht="15">
      <c r="A34" s="359" t="s">
        <v>6459</v>
      </c>
      <c r="B34" s="360">
        <v>0.14599999999999999</v>
      </c>
      <c r="C34" s="361">
        <v>1048</v>
      </c>
      <c r="D34" s="361">
        <v>1026</v>
      </c>
      <c r="E34" s="362">
        <f t="shared" ref="E34:E54" si="1">B34*C34</f>
        <v>153.00799999999998</v>
      </c>
      <c r="F34" s="362">
        <f t="shared" ref="F34:F54" si="2">B34*D34</f>
        <v>149.79599999999999</v>
      </c>
      <c r="G34" s="362">
        <v>0</v>
      </c>
      <c r="H34" s="362">
        <v>0</v>
      </c>
      <c r="I34" s="363">
        <v>0</v>
      </c>
      <c r="J34" s="364">
        <f t="shared" ref="J34:K38" si="3">C34*$I34</f>
        <v>0</v>
      </c>
      <c r="K34" s="364">
        <v>0</v>
      </c>
      <c r="W34" t="s">
        <v>214</v>
      </c>
      <c r="X34" s="384">
        <f>(X30+X31-X32)/2</f>
        <v>2085.5</v>
      </c>
    </row>
    <row r="35" spans="1:25" ht="15">
      <c r="A35" s="365" t="s">
        <v>6460</v>
      </c>
      <c r="B35" s="366">
        <v>9.7000000000000003E-2</v>
      </c>
      <c r="C35" s="367">
        <v>1048</v>
      </c>
      <c r="D35" s="367">
        <v>1026</v>
      </c>
      <c r="E35" s="368">
        <f t="shared" si="1"/>
        <v>101.65600000000001</v>
      </c>
      <c r="F35" s="368">
        <f t="shared" si="2"/>
        <v>99.522000000000006</v>
      </c>
      <c r="G35" s="369">
        <f>E34-E35</f>
        <v>51.351999999999975</v>
      </c>
      <c r="H35" s="369">
        <f>F34-F35</f>
        <v>50.273999999999987</v>
      </c>
      <c r="I35" s="370">
        <v>1.25</v>
      </c>
      <c r="J35" s="371">
        <v>0</v>
      </c>
      <c r="K35" s="371">
        <v>0</v>
      </c>
      <c r="W35" t="s">
        <v>6492</v>
      </c>
      <c r="X35" s="384">
        <f>(X30+X32-X31)/2</f>
        <v>3342.5</v>
      </c>
    </row>
    <row r="36" spans="1:25" ht="15">
      <c r="A36" s="359" t="s">
        <v>6461</v>
      </c>
      <c r="B36" s="372">
        <v>0.11799999999999999</v>
      </c>
      <c r="C36" s="361">
        <v>924</v>
      </c>
      <c r="D36" s="361">
        <v>1568</v>
      </c>
      <c r="E36" s="362">
        <f>B36*C36</f>
        <v>109.032</v>
      </c>
      <c r="F36" s="362">
        <f>B36*D36</f>
        <v>185.024</v>
      </c>
      <c r="G36" s="362">
        <v>0</v>
      </c>
      <c r="H36" s="362">
        <v>0</v>
      </c>
      <c r="I36" s="363">
        <v>0</v>
      </c>
      <c r="J36" s="364">
        <f t="shared" si="3"/>
        <v>0</v>
      </c>
      <c r="K36" s="364">
        <f t="shared" si="3"/>
        <v>0</v>
      </c>
    </row>
    <row r="37" spans="1:25" ht="15">
      <c r="A37" s="365" t="s">
        <v>6462</v>
      </c>
      <c r="B37" s="366">
        <v>0.11700000000000001</v>
      </c>
      <c r="C37" s="373">
        <v>924</v>
      </c>
      <c r="D37" s="373">
        <v>1568</v>
      </c>
      <c r="E37" s="368">
        <f t="shared" si="1"/>
        <v>108.108</v>
      </c>
      <c r="F37" s="368">
        <f t="shared" si="2"/>
        <v>183.45600000000002</v>
      </c>
      <c r="G37" s="368">
        <v>0</v>
      </c>
      <c r="H37" s="368">
        <v>0</v>
      </c>
      <c r="I37" s="374">
        <v>0</v>
      </c>
      <c r="J37" s="371">
        <f t="shared" si="3"/>
        <v>0</v>
      </c>
      <c r="K37" s="371">
        <v>0</v>
      </c>
      <c r="W37" t="s">
        <v>6483</v>
      </c>
    </row>
    <row r="38" spans="1:25" ht="15">
      <c r="A38" s="359" t="s">
        <v>6463</v>
      </c>
      <c r="B38" s="360">
        <v>9.7000000000000003E-2</v>
      </c>
      <c r="C38" s="361">
        <v>924</v>
      </c>
      <c r="D38" s="361">
        <v>1568</v>
      </c>
      <c r="E38" s="362">
        <f t="shared" si="1"/>
        <v>89.628</v>
      </c>
      <c r="F38" s="362">
        <f t="shared" si="2"/>
        <v>152.096</v>
      </c>
      <c r="G38" s="362">
        <v>0</v>
      </c>
      <c r="H38" s="362">
        <v>0</v>
      </c>
      <c r="I38" s="363">
        <v>0</v>
      </c>
      <c r="J38" s="364">
        <f t="shared" si="3"/>
        <v>0</v>
      </c>
      <c r="K38" s="364">
        <v>0</v>
      </c>
      <c r="W38" t="s">
        <v>6484</v>
      </c>
      <c r="X38" s="384">
        <v>2.1</v>
      </c>
      <c r="Y38" t="s">
        <v>6485</v>
      </c>
    </row>
    <row r="39" spans="1:25" ht="15">
      <c r="A39" s="359" t="s">
        <v>6464</v>
      </c>
      <c r="B39" s="375">
        <v>7.3999999999999996E-2</v>
      </c>
      <c r="C39" s="361">
        <v>924</v>
      </c>
      <c r="D39" s="361">
        <v>1568</v>
      </c>
      <c r="E39" s="362">
        <f t="shared" si="1"/>
        <v>68.375999999999991</v>
      </c>
      <c r="F39" s="362">
        <f t="shared" si="2"/>
        <v>116.032</v>
      </c>
      <c r="G39" s="362">
        <v>0</v>
      </c>
      <c r="H39" s="362">
        <v>0</v>
      </c>
      <c r="I39" s="363">
        <v>0</v>
      </c>
      <c r="J39" s="364">
        <v>0</v>
      </c>
      <c r="K39" s="364">
        <v>0</v>
      </c>
      <c r="W39" t="s">
        <v>6486</v>
      </c>
      <c r="X39" s="385">
        <v>3.3</v>
      </c>
      <c r="Y39" t="s">
        <v>6485</v>
      </c>
    </row>
    <row r="40" spans="1:25" ht="15">
      <c r="A40" s="359" t="s">
        <v>6465</v>
      </c>
      <c r="B40" s="375">
        <v>6.3E-2</v>
      </c>
      <c r="C40" s="361">
        <v>924</v>
      </c>
      <c r="D40" s="361">
        <v>1568</v>
      </c>
      <c r="E40" s="362">
        <f t="shared" si="1"/>
        <v>58.212000000000003</v>
      </c>
      <c r="F40" s="362">
        <f t="shared" si="2"/>
        <v>98.784000000000006</v>
      </c>
      <c r="G40" s="362">
        <f>E37-E40</f>
        <v>49.896000000000001</v>
      </c>
      <c r="H40" s="362">
        <f>F37-F40</f>
        <v>84.672000000000011</v>
      </c>
      <c r="I40" s="363">
        <v>1.1299999999999999</v>
      </c>
      <c r="J40" s="364">
        <f>C40*$I40</f>
        <v>1044.1199999999999</v>
      </c>
      <c r="K40" s="364">
        <f>D40*$I40</f>
        <v>1771.84</v>
      </c>
      <c r="W40" t="s">
        <v>55</v>
      </c>
      <c r="X40" s="384">
        <v>3.1</v>
      </c>
      <c r="Y40" t="s">
        <v>6485</v>
      </c>
    </row>
    <row r="41" spans="1:25" ht="15">
      <c r="A41" s="359" t="s">
        <v>6466</v>
      </c>
      <c r="B41" s="375">
        <v>4.2999999999999997E-2</v>
      </c>
      <c r="C41" s="361">
        <v>924</v>
      </c>
      <c r="D41" s="361">
        <v>1568</v>
      </c>
      <c r="E41" s="362">
        <f t="shared" si="1"/>
        <v>39.731999999999999</v>
      </c>
      <c r="F41" s="362">
        <f t="shared" si="2"/>
        <v>67.423999999999992</v>
      </c>
      <c r="G41" s="362">
        <f>E40-E41</f>
        <v>18.480000000000004</v>
      </c>
      <c r="H41" s="362">
        <f>F40-F41</f>
        <v>31.360000000000014</v>
      </c>
      <c r="I41" s="376">
        <v>1.1299999999999999</v>
      </c>
      <c r="J41" s="364">
        <f>C41*$I41</f>
        <v>1044.1199999999999</v>
      </c>
      <c r="K41" s="364">
        <f>D41*$I41</f>
        <v>1771.84</v>
      </c>
    </row>
    <row r="42" spans="1:25" ht="15">
      <c r="A42" s="359" t="s">
        <v>6467</v>
      </c>
      <c r="B42" s="372">
        <v>0.104</v>
      </c>
      <c r="C42" s="361">
        <v>924</v>
      </c>
      <c r="D42" s="361">
        <v>1568</v>
      </c>
      <c r="E42" s="362">
        <f>B42*C42</f>
        <v>96.095999999999989</v>
      </c>
      <c r="F42" s="362">
        <f>B42*D42</f>
        <v>163.072</v>
      </c>
      <c r="G42" s="362">
        <v>0</v>
      </c>
      <c r="H42" s="362">
        <v>0</v>
      </c>
      <c r="I42" s="363">
        <v>0</v>
      </c>
      <c r="J42" s="364">
        <f t="shared" ref="J42:K54" si="4">C42*$I42</f>
        <v>0</v>
      </c>
      <c r="K42" s="364">
        <f t="shared" si="4"/>
        <v>0</v>
      </c>
      <c r="W42" t="s">
        <v>6494</v>
      </c>
    </row>
    <row r="43" spans="1:25" ht="15">
      <c r="A43" s="365" t="s">
        <v>6468</v>
      </c>
      <c r="B43" s="366">
        <v>0.10299999999999999</v>
      </c>
      <c r="C43" s="373">
        <v>924</v>
      </c>
      <c r="D43" s="373">
        <v>1568</v>
      </c>
      <c r="E43" s="368">
        <f t="shared" si="1"/>
        <v>95.171999999999997</v>
      </c>
      <c r="F43" s="368">
        <f t="shared" si="2"/>
        <v>161.50399999999999</v>
      </c>
      <c r="G43" s="368">
        <v>0</v>
      </c>
      <c r="H43" s="368">
        <v>0</v>
      </c>
      <c r="I43" s="374">
        <v>0</v>
      </c>
      <c r="J43" s="371">
        <f t="shared" si="4"/>
        <v>0</v>
      </c>
      <c r="K43" s="371">
        <f t="shared" si="4"/>
        <v>0</v>
      </c>
    </row>
    <row r="44" spans="1:25" ht="15">
      <c r="A44" s="359" t="s">
        <v>6469</v>
      </c>
      <c r="B44" s="360">
        <v>6.6000000000000003E-2</v>
      </c>
      <c r="C44" s="361">
        <v>924</v>
      </c>
      <c r="D44" s="361">
        <v>1568</v>
      </c>
      <c r="E44" s="362">
        <f t="shared" si="1"/>
        <v>60.984000000000002</v>
      </c>
      <c r="F44" s="362">
        <f t="shared" si="2"/>
        <v>103.488</v>
      </c>
      <c r="G44" s="362">
        <v>0</v>
      </c>
      <c r="H44" s="362">
        <v>0</v>
      </c>
      <c r="I44" s="363">
        <v>0</v>
      </c>
      <c r="J44" s="364">
        <v>0</v>
      </c>
      <c r="K44" s="364">
        <v>0</v>
      </c>
    </row>
    <row r="45" spans="1:25" ht="15">
      <c r="A45" s="359" t="s">
        <v>6470</v>
      </c>
      <c r="B45" s="377">
        <v>4.1000000000000002E-2</v>
      </c>
      <c r="C45" s="361">
        <v>924</v>
      </c>
      <c r="D45" s="361">
        <v>1568</v>
      </c>
      <c r="E45" s="362">
        <f t="shared" si="1"/>
        <v>37.884</v>
      </c>
      <c r="F45" s="362">
        <f t="shared" si="2"/>
        <v>64.287999999999997</v>
      </c>
      <c r="G45" s="362">
        <f>E43-E45</f>
        <v>57.287999999999997</v>
      </c>
      <c r="H45" s="362">
        <f>F43-F45</f>
        <v>97.215999999999994</v>
      </c>
      <c r="I45" s="363">
        <v>1.38</v>
      </c>
      <c r="J45" s="364">
        <f>C45*$I45</f>
        <v>1275.1199999999999</v>
      </c>
      <c r="K45" s="364">
        <f>D45*$I45</f>
        <v>2163.8399999999997</v>
      </c>
    </row>
    <row r="46" spans="1:25" ht="15">
      <c r="A46" s="359" t="s">
        <v>6471</v>
      </c>
      <c r="B46" s="377">
        <v>3.6999999999999998E-2</v>
      </c>
      <c r="C46" s="361">
        <v>924</v>
      </c>
      <c r="D46" s="361">
        <v>1568</v>
      </c>
      <c r="E46" s="362">
        <f t="shared" si="1"/>
        <v>34.187999999999995</v>
      </c>
      <c r="F46" s="362">
        <f t="shared" si="2"/>
        <v>58.015999999999998</v>
      </c>
      <c r="G46" s="362">
        <f>E45-E46</f>
        <v>3.6960000000000051</v>
      </c>
      <c r="H46" s="362">
        <f>F45-F46</f>
        <v>6.2719999999999985</v>
      </c>
      <c r="I46" s="363">
        <v>0.16000000000000014</v>
      </c>
      <c r="J46" s="364">
        <f t="shared" si="4"/>
        <v>147.84000000000015</v>
      </c>
      <c r="K46" s="364">
        <f t="shared" si="4"/>
        <v>250.88000000000022</v>
      </c>
    </row>
    <row r="47" spans="1:25" ht="15">
      <c r="A47" s="359" t="str">
        <f>"BASE CASE WINDOW - CLASS "&amp;(ROUND((1/((1/B47)-0.08)*100),0))</f>
        <v>BASE CASE WINDOW - CLASS 118</v>
      </c>
      <c r="B47" s="372">
        <f>1/((1/1.18)+0.08)</f>
        <v>1.0782163742690059</v>
      </c>
      <c r="C47" s="361">
        <v>116</v>
      </c>
      <c r="D47" s="361">
        <v>196</v>
      </c>
      <c r="E47" s="362">
        <f>B47*C47</f>
        <v>125.07309941520468</v>
      </c>
      <c r="F47" s="362">
        <f>B47*D47</f>
        <v>211.33040935672514</v>
      </c>
      <c r="G47" s="362">
        <v>0</v>
      </c>
      <c r="H47" s="362">
        <v>0</v>
      </c>
      <c r="I47" s="363">
        <v>0</v>
      </c>
      <c r="J47" s="364">
        <f>C47*$I47</f>
        <v>0</v>
      </c>
      <c r="K47" s="364">
        <f>D47*$I47</f>
        <v>0</v>
      </c>
    </row>
    <row r="48" spans="1:25" ht="15">
      <c r="A48" s="365" t="str">
        <f>"WINDOW - CLASS "&amp;(ROUND((1/((1/B48)-0.08)*100),0))</f>
        <v>WINDOW - CLASS 40</v>
      </c>
      <c r="B48" s="366">
        <f>1/((1/0.4)+0.08)</f>
        <v>0.38759689922480617</v>
      </c>
      <c r="C48" s="373">
        <v>116</v>
      </c>
      <c r="D48" s="373">
        <v>196</v>
      </c>
      <c r="E48" s="368">
        <f t="shared" si="1"/>
        <v>44.961240310077514</v>
      </c>
      <c r="F48" s="368">
        <f t="shared" si="2"/>
        <v>75.968992248062008</v>
      </c>
      <c r="G48" s="368">
        <v>0</v>
      </c>
      <c r="H48" s="368">
        <v>0</v>
      </c>
      <c r="I48" s="374">
        <v>0</v>
      </c>
      <c r="J48" s="371">
        <f t="shared" si="4"/>
        <v>0</v>
      </c>
      <c r="K48" s="371">
        <f t="shared" si="4"/>
        <v>0</v>
      </c>
    </row>
    <row r="49" spans="1:12" ht="15">
      <c r="A49" s="359" t="s">
        <v>6472</v>
      </c>
      <c r="B49" s="372">
        <f>1/(1/0.35+0.08)</f>
        <v>0.34046692607003892</v>
      </c>
      <c r="C49" s="361">
        <v>116</v>
      </c>
      <c r="D49" s="361">
        <v>196</v>
      </c>
      <c r="E49" s="362">
        <f t="shared" si="1"/>
        <v>39.494163424124515</v>
      </c>
      <c r="F49" s="362">
        <f t="shared" si="2"/>
        <v>66.731517509727624</v>
      </c>
      <c r="G49" s="362">
        <f>E48-E49</f>
        <v>5.4670768859529986</v>
      </c>
      <c r="H49" s="362">
        <f>F48-F49</f>
        <v>9.2374747383343845</v>
      </c>
      <c r="I49" s="363">
        <v>0.6119999999999991</v>
      </c>
      <c r="J49" s="364">
        <f t="shared" si="4"/>
        <v>70.991999999999891</v>
      </c>
      <c r="K49" s="364">
        <f t="shared" si="4"/>
        <v>119.95199999999983</v>
      </c>
      <c r="L49" t="s">
        <v>6480</v>
      </c>
    </row>
    <row r="50" spans="1:12" ht="15">
      <c r="A50" s="359" t="s">
        <v>6473</v>
      </c>
      <c r="B50" s="372">
        <f>1/(1/0.3+0.08)</f>
        <v>0.29296875</v>
      </c>
      <c r="C50" s="361">
        <v>116</v>
      </c>
      <c r="D50" s="361">
        <v>196</v>
      </c>
      <c r="E50" s="362">
        <f>B50*C50</f>
        <v>33.984375</v>
      </c>
      <c r="F50" s="362">
        <f>B50*D50</f>
        <v>57.421875</v>
      </c>
      <c r="G50" s="362">
        <f>E49-E50</f>
        <v>5.5097884241245154</v>
      </c>
      <c r="H50" s="362">
        <f>F49-F50</f>
        <v>9.3096425097276239</v>
      </c>
      <c r="I50" s="363">
        <v>1.36</v>
      </c>
      <c r="J50" s="364">
        <f t="shared" si="4"/>
        <v>157.76000000000002</v>
      </c>
      <c r="K50" s="364">
        <f t="shared" si="4"/>
        <v>266.56</v>
      </c>
      <c r="L50" t="s">
        <v>6479</v>
      </c>
    </row>
    <row r="51" spans="1:12" ht="15">
      <c r="A51" s="365" t="s">
        <v>6474</v>
      </c>
      <c r="B51" s="366">
        <v>0.39</v>
      </c>
      <c r="C51" s="373">
        <v>38</v>
      </c>
      <c r="D51" s="373">
        <v>38</v>
      </c>
      <c r="E51" s="368">
        <f t="shared" si="1"/>
        <v>14.82</v>
      </c>
      <c r="F51" s="368">
        <f t="shared" si="2"/>
        <v>14.82</v>
      </c>
      <c r="G51" s="368">
        <v>0</v>
      </c>
      <c r="H51" s="368">
        <v>0</v>
      </c>
      <c r="I51" s="374">
        <v>0</v>
      </c>
      <c r="J51" s="371">
        <f t="shared" si="4"/>
        <v>0</v>
      </c>
      <c r="K51" s="371">
        <f t="shared" si="4"/>
        <v>0</v>
      </c>
    </row>
    <row r="52" spans="1:12" ht="15">
      <c r="A52" s="378" t="s">
        <v>6475</v>
      </c>
      <c r="B52" s="379">
        <v>0.19</v>
      </c>
      <c r="C52" s="361">
        <v>38</v>
      </c>
      <c r="D52" s="361">
        <v>38</v>
      </c>
      <c r="E52" s="362">
        <f t="shared" si="1"/>
        <v>7.22</v>
      </c>
      <c r="F52" s="362">
        <f t="shared" si="2"/>
        <v>7.22</v>
      </c>
      <c r="G52" s="362">
        <f>E51-E52</f>
        <v>7.6000000000000005</v>
      </c>
      <c r="H52" s="362">
        <f>F51-F52</f>
        <v>7.6000000000000005</v>
      </c>
      <c r="I52" s="363">
        <v>15.789473684210526</v>
      </c>
      <c r="J52" s="364">
        <f t="shared" si="4"/>
        <v>600</v>
      </c>
      <c r="K52" s="364">
        <f t="shared" si="4"/>
        <v>600</v>
      </c>
    </row>
    <row r="53" spans="1:12" ht="15">
      <c r="A53" s="365" t="s">
        <v>6476</v>
      </c>
      <c r="B53" s="366">
        <f>0.018*0.5</f>
        <v>8.9999999999999993E-3</v>
      </c>
      <c r="C53" s="380">
        <f>8.2*924</f>
        <v>7576.7999999999993</v>
      </c>
      <c r="D53" s="380">
        <f>8.2*1568</f>
        <v>12857.599999999999</v>
      </c>
      <c r="E53" s="368">
        <f t="shared" si="1"/>
        <v>68.191199999999995</v>
      </c>
      <c r="F53" s="368">
        <f t="shared" si="2"/>
        <v>115.71839999999997</v>
      </c>
      <c r="G53" s="368">
        <v>0</v>
      </c>
      <c r="H53" s="368">
        <v>0</v>
      </c>
      <c r="I53" s="374">
        <v>0</v>
      </c>
      <c r="J53" s="371">
        <f t="shared" si="4"/>
        <v>0</v>
      </c>
      <c r="K53" s="371">
        <f t="shared" si="4"/>
        <v>0</v>
      </c>
    </row>
    <row r="54" spans="1:12" ht="15">
      <c r="A54" s="381" t="s">
        <v>6477</v>
      </c>
      <c r="B54" s="379">
        <f>0.018*0.4</f>
        <v>7.1999999999999998E-3</v>
      </c>
      <c r="C54" s="382">
        <f>8.2*924</f>
        <v>7576.7999999999993</v>
      </c>
      <c r="D54" s="382">
        <f>8.2*1568</f>
        <v>12857.599999999999</v>
      </c>
      <c r="E54" s="362">
        <f t="shared" si="1"/>
        <v>54.552959999999992</v>
      </c>
      <c r="F54" s="362">
        <f t="shared" si="2"/>
        <v>92.574719999999985</v>
      </c>
      <c r="G54" s="362">
        <f>E$25-E54</f>
        <v>-54.552959999999992</v>
      </c>
      <c r="H54" s="362">
        <f>F$25-F54</f>
        <v>-92.474719999999991</v>
      </c>
      <c r="I54" s="363">
        <v>7.0000000000000007E-2</v>
      </c>
      <c r="J54" s="364">
        <f t="shared" si="4"/>
        <v>530.37599999999998</v>
      </c>
      <c r="K54" s="364">
        <f t="shared" si="4"/>
        <v>900.03200000000004</v>
      </c>
    </row>
  </sheetData>
  <mergeCells count="5">
    <mergeCell ref="C31:D31"/>
    <mergeCell ref="E31:F31"/>
    <mergeCell ref="G31:H31"/>
    <mergeCell ref="I31:I32"/>
    <mergeCell ref="J31:K31"/>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sheetPr codeName="Sheet19"/>
  <dimension ref="A1:AE4018"/>
  <sheetViews>
    <sheetView topLeftCell="A3962" zoomScale="75" workbookViewId="0">
      <selection activeCell="C3984" sqref="C3984"/>
    </sheetView>
  </sheetViews>
  <sheetFormatPr defaultRowHeight="12.75"/>
  <cols>
    <col min="1" max="1" width="13.42578125" style="195" customWidth="1"/>
    <col min="2" max="2" width="14.42578125" style="195" customWidth="1"/>
    <col min="3" max="3" width="41.28515625" style="195" customWidth="1"/>
    <col min="4" max="4" width="15.140625" style="195" customWidth="1"/>
    <col min="5" max="5" width="14.7109375" style="195" customWidth="1"/>
    <col min="6" max="6" width="11.42578125" style="195" customWidth="1"/>
    <col min="7" max="7" width="9.5703125" style="195" customWidth="1"/>
    <col min="8" max="8" width="15" style="207" bestFit="1" customWidth="1"/>
    <col min="9" max="9" width="11.42578125" style="207" customWidth="1"/>
    <col min="10" max="11" width="9.140625" style="195"/>
    <col min="12" max="12" width="18.5703125" style="195" customWidth="1"/>
    <col min="13" max="13" width="9.140625" style="195"/>
    <col min="14" max="14" width="16.42578125" style="195" customWidth="1"/>
    <col min="15" max="15" width="11.85546875" style="195" customWidth="1"/>
    <col min="16" max="26" width="9.140625" style="195"/>
    <col min="27" max="27" width="37.5703125" style="195" customWidth="1"/>
    <col min="28" max="28" width="21.140625" style="195" bestFit="1" customWidth="1"/>
    <col min="29" max="29" width="12" style="205" bestFit="1" customWidth="1"/>
    <col min="30" max="16384" width="9.140625" style="195"/>
  </cols>
  <sheetData>
    <row r="1" spans="1:31" s="185" customFormat="1" ht="40.5" customHeight="1">
      <c r="A1" s="182" t="s">
        <v>605</v>
      </c>
      <c r="B1" s="182" t="s">
        <v>606</v>
      </c>
      <c r="C1" s="182" t="s">
        <v>607</v>
      </c>
      <c r="D1" s="182" t="s">
        <v>218</v>
      </c>
      <c r="E1" s="182" t="s">
        <v>219</v>
      </c>
      <c r="F1" s="182" t="s">
        <v>608</v>
      </c>
      <c r="G1" s="182" t="s">
        <v>609</v>
      </c>
      <c r="H1" s="183" t="s">
        <v>610</v>
      </c>
      <c r="I1" s="183" t="s">
        <v>611</v>
      </c>
      <c r="J1" s="184" t="s">
        <v>612</v>
      </c>
      <c r="K1" s="182" t="s">
        <v>613</v>
      </c>
      <c r="L1" s="182" t="s">
        <v>614</v>
      </c>
      <c r="M1" s="182" t="s">
        <v>615</v>
      </c>
      <c r="N1" s="182" t="s">
        <v>616</v>
      </c>
      <c r="O1" s="182" t="s">
        <v>617</v>
      </c>
      <c r="AA1" s="186" t="s">
        <v>607</v>
      </c>
      <c r="AB1" s="186" t="s">
        <v>618</v>
      </c>
      <c r="AC1" s="187" t="s">
        <v>619</v>
      </c>
    </row>
    <row r="2" spans="1:31" ht="12.75" customHeight="1">
      <c r="A2" s="188" t="s">
        <v>620</v>
      </c>
      <c r="B2" s="188" t="s">
        <v>621</v>
      </c>
      <c r="C2" s="188" t="s">
        <v>622</v>
      </c>
      <c r="D2" s="188" t="s">
        <v>623</v>
      </c>
      <c r="E2" s="189">
        <v>39548</v>
      </c>
      <c r="F2" s="190">
        <v>1139</v>
      </c>
      <c r="G2" s="190">
        <v>0</v>
      </c>
      <c r="H2" s="191">
        <v>400</v>
      </c>
      <c r="I2" s="191">
        <v>400</v>
      </c>
      <c r="J2" s="188" t="s">
        <v>624</v>
      </c>
      <c r="K2" s="188" t="s">
        <v>338</v>
      </c>
      <c r="L2" s="188" t="s">
        <v>625</v>
      </c>
      <c r="M2" s="192">
        <f t="shared" ref="M2:M65" si="0">K2-J2</f>
        <v>38</v>
      </c>
      <c r="N2" s="193">
        <f t="shared" ref="N2:N65" si="1">H2/L2</f>
        <v>0.25</v>
      </c>
      <c r="O2" s="194">
        <f t="shared" ref="O2:O65" si="2">N2/M2</f>
        <v>6.5789473684210523E-3</v>
      </c>
      <c r="AA2" s="186" t="s">
        <v>622</v>
      </c>
      <c r="AB2" s="186" t="s">
        <v>626</v>
      </c>
      <c r="AC2" s="196">
        <v>470</v>
      </c>
      <c r="AE2" s="195">
        <f>GETPIVOTDATA("Count of Delta R",$AA$1,"MEASURE DESC","SF Ceiling/Attic Insulation/SQFT, Ele Heat")</f>
        <v>470</v>
      </c>
    </row>
    <row r="3" spans="1:31" ht="12.75" customHeight="1">
      <c r="A3" s="188" t="s">
        <v>620</v>
      </c>
      <c r="B3" s="188" t="s">
        <v>621</v>
      </c>
      <c r="C3" s="188" t="s">
        <v>622</v>
      </c>
      <c r="D3" s="188" t="s">
        <v>627</v>
      </c>
      <c r="E3" s="189">
        <v>39261</v>
      </c>
      <c r="F3" s="190">
        <v>871</v>
      </c>
      <c r="G3" s="190">
        <v>0</v>
      </c>
      <c r="H3" s="191">
        <v>324.95999999999998</v>
      </c>
      <c r="I3" s="191">
        <v>304.5</v>
      </c>
      <c r="J3" s="188" t="s">
        <v>624</v>
      </c>
      <c r="K3" s="188" t="s">
        <v>338</v>
      </c>
      <c r="L3" s="188" t="s">
        <v>628</v>
      </c>
      <c r="M3" s="192">
        <f t="shared" si="0"/>
        <v>38</v>
      </c>
      <c r="N3" s="193">
        <f t="shared" si="1"/>
        <v>0.26679802955665022</v>
      </c>
      <c r="O3" s="194">
        <f t="shared" si="2"/>
        <v>7.0210007778065851E-3</v>
      </c>
      <c r="AA3" s="197"/>
      <c r="AB3" s="198" t="s">
        <v>629</v>
      </c>
      <c r="AC3" s="199">
        <v>28.095744680851062</v>
      </c>
      <c r="AE3" s="195">
        <f>GETPIVOTDATA("Count of Delta R",$AA$1,"MEASURE DESC","SF Ceiling/Attic Insulation/SQFT, Gas Heat")</f>
        <v>1528</v>
      </c>
    </row>
    <row r="4" spans="1:31" ht="12.75" customHeight="1">
      <c r="A4" s="188" t="s">
        <v>620</v>
      </c>
      <c r="B4" s="188" t="s">
        <v>621</v>
      </c>
      <c r="C4" s="188" t="s">
        <v>622</v>
      </c>
      <c r="D4" s="188" t="s">
        <v>630</v>
      </c>
      <c r="E4" s="189">
        <v>39395</v>
      </c>
      <c r="F4" s="190">
        <v>858</v>
      </c>
      <c r="G4" s="190">
        <v>0</v>
      </c>
      <c r="H4" s="191">
        <v>450</v>
      </c>
      <c r="I4" s="191">
        <v>300</v>
      </c>
      <c r="J4" s="188" t="s">
        <v>624</v>
      </c>
      <c r="K4" s="188" t="s">
        <v>631</v>
      </c>
      <c r="L4" s="188" t="s">
        <v>632</v>
      </c>
      <c r="M4" s="192">
        <f t="shared" si="0"/>
        <v>44</v>
      </c>
      <c r="N4" s="193">
        <f t="shared" si="1"/>
        <v>0.375</v>
      </c>
      <c r="O4" s="194">
        <f t="shared" si="2"/>
        <v>8.5227272727272721E-3</v>
      </c>
      <c r="AA4" s="197"/>
      <c r="AB4" s="198" t="s">
        <v>633</v>
      </c>
      <c r="AC4" s="200">
        <v>0.72312584060409912</v>
      </c>
      <c r="AE4" s="195">
        <f>GETPIVOTDATA("Count of Delta R",$AA$1,"MEASURE DESC","SF Floor Insulation/SQFT, Ele Heat")</f>
        <v>300</v>
      </c>
    </row>
    <row r="5" spans="1:31" ht="12.75" customHeight="1">
      <c r="A5" s="188" t="s">
        <v>620</v>
      </c>
      <c r="B5" s="188" t="s">
        <v>621</v>
      </c>
      <c r="C5" s="188" t="s">
        <v>622</v>
      </c>
      <c r="D5" s="188" t="s">
        <v>634</v>
      </c>
      <c r="E5" s="189">
        <v>39513</v>
      </c>
      <c r="F5" s="190">
        <v>712</v>
      </c>
      <c r="G5" s="190">
        <v>0</v>
      </c>
      <c r="H5" s="191">
        <v>274.26</v>
      </c>
      <c r="I5" s="191">
        <v>250</v>
      </c>
      <c r="J5" s="188" t="s">
        <v>635</v>
      </c>
      <c r="K5" s="188" t="s">
        <v>338</v>
      </c>
      <c r="L5" s="188" t="s">
        <v>636</v>
      </c>
      <c r="M5" s="192">
        <f t="shared" si="0"/>
        <v>30</v>
      </c>
      <c r="N5" s="193">
        <f t="shared" si="1"/>
        <v>0.27426</v>
      </c>
      <c r="O5" s="194">
        <f t="shared" si="2"/>
        <v>9.1420000000000008E-3</v>
      </c>
      <c r="AA5" s="197"/>
      <c r="AB5" s="198" t="s">
        <v>637</v>
      </c>
      <c r="AC5" s="200">
        <v>2.6777262702071918E-2</v>
      </c>
      <c r="AE5" s="195">
        <f>GETPIVOTDATA("Count of Delta R",$AA$1,"MEASURE DESC","SF Floor Insulation/SQFT, Gas Heat")</f>
        <v>926</v>
      </c>
    </row>
    <row r="6" spans="1:31" ht="12.75" customHeight="1">
      <c r="A6" s="188" t="s">
        <v>620</v>
      </c>
      <c r="B6" s="188" t="s">
        <v>621</v>
      </c>
      <c r="C6" s="188" t="s">
        <v>622</v>
      </c>
      <c r="D6" s="188" t="s">
        <v>638</v>
      </c>
      <c r="E6" s="189">
        <v>39632</v>
      </c>
      <c r="F6" s="190">
        <v>1368</v>
      </c>
      <c r="G6" s="190">
        <v>0</v>
      </c>
      <c r="H6" s="191">
        <v>480</v>
      </c>
      <c r="I6" s="191">
        <v>480</v>
      </c>
      <c r="J6" s="188" t="s">
        <v>639</v>
      </c>
      <c r="K6" s="188" t="s">
        <v>338</v>
      </c>
      <c r="L6" s="188" t="s">
        <v>640</v>
      </c>
      <c r="M6" s="192">
        <f t="shared" si="0"/>
        <v>27</v>
      </c>
      <c r="N6" s="193">
        <f t="shared" si="1"/>
        <v>0.25</v>
      </c>
      <c r="O6" s="194">
        <f t="shared" si="2"/>
        <v>9.2592592592592587E-3</v>
      </c>
      <c r="AA6" s="186" t="s">
        <v>641</v>
      </c>
      <c r="AB6" s="186" t="s">
        <v>626</v>
      </c>
      <c r="AC6" s="196">
        <v>1528</v>
      </c>
      <c r="AE6" s="195">
        <f>GETPIVOTDATA("Count of Delta R",$AA$1,"MEASURE DESC","SF Wall Insulation/SQFT, Ele Heat")</f>
        <v>93</v>
      </c>
    </row>
    <row r="7" spans="1:31" ht="12.75" customHeight="1">
      <c r="A7" s="188" t="s">
        <v>620</v>
      </c>
      <c r="B7" s="188" t="s">
        <v>621</v>
      </c>
      <c r="C7" s="188" t="s">
        <v>622</v>
      </c>
      <c r="D7" s="188" t="s">
        <v>642</v>
      </c>
      <c r="E7" s="189">
        <v>39618</v>
      </c>
      <c r="F7" s="190">
        <v>1739</v>
      </c>
      <c r="G7" s="190">
        <v>0</v>
      </c>
      <c r="H7" s="191">
        <v>698</v>
      </c>
      <c r="I7" s="191">
        <v>610.5</v>
      </c>
      <c r="J7" s="188" t="s">
        <v>635</v>
      </c>
      <c r="K7" s="188" t="s">
        <v>338</v>
      </c>
      <c r="L7" s="188" t="s">
        <v>643</v>
      </c>
      <c r="M7" s="192">
        <f t="shared" si="0"/>
        <v>30</v>
      </c>
      <c r="N7" s="193">
        <f t="shared" si="1"/>
        <v>0.28583128583128581</v>
      </c>
      <c r="O7" s="194">
        <f t="shared" si="2"/>
        <v>9.5277095277095276E-3</v>
      </c>
      <c r="AA7" s="197"/>
      <c r="AB7" s="198" t="s">
        <v>629</v>
      </c>
      <c r="AC7" s="199">
        <v>28.826570680628272</v>
      </c>
      <c r="AE7" s="195">
        <f>GETPIVOTDATA("Count of Delta R",$AA$1,"MEASURE DESC","SF Wall Insulation/SQFT, Gas Heat")</f>
        <v>640</v>
      </c>
    </row>
    <row r="8" spans="1:31" ht="12.75" customHeight="1">
      <c r="A8" s="188" t="s">
        <v>620</v>
      </c>
      <c r="B8" s="188" t="s">
        <v>621</v>
      </c>
      <c r="C8" s="188" t="s">
        <v>622</v>
      </c>
      <c r="D8" s="188" t="s">
        <v>644</v>
      </c>
      <c r="E8" s="189">
        <v>39296</v>
      </c>
      <c r="F8" s="190">
        <v>787</v>
      </c>
      <c r="G8" s="190">
        <v>0</v>
      </c>
      <c r="H8" s="191">
        <v>406.01</v>
      </c>
      <c r="I8" s="191">
        <v>275</v>
      </c>
      <c r="J8" s="188" t="s">
        <v>624</v>
      </c>
      <c r="K8" s="188" t="s">
        <v>338</v>
      </c>
      <c r="L8" s="188" t="s">
        <v>557</v>
      </c>
      <c r="M8" s="192">
        <f t="shared" si="0"/>
        <v>38</v>
      </c>
      <c r="N8" s="193">
        <f t="shared" si="1"/>
        <v>0.36909999999999998</v>
      </c>
      <c r="O8" s="194">
        <f t="shared" si="2"/>
        <v>9.7131578947368419E-3</v>
      </c>
      <c r="AA8" s="197"/>
      <c r="AB8" s="198" t="s">
        <v>633</v>
      </c>
      <c r="AC8" s="200">
        <v>4.8996584008570281</v>
      </c>
    </row>
    <row r="9" spans="1:31" ht="12.75" customHeight="1">
      <c r="A9" s="188" t="s">
        <v>620</v>
      </c>
      <c r="B9" s="188" t="s">
        <v>621</v>
      </c>
      <c r="C9" s="188" t="s">
        <v>622</v>
      </c>
      <c r="D9" s="188" t="s">
        <v>645</v>
      </c>
      <c r="E9" s="189">
        <v>39269</v>
      </c>
      <c r="F9" s="190">
        <v>604</v>
      </c>
      <c r="G9" s="190">
        <v>0</v>
      </c>
      <c r="H9" s="191">
        <v>321.99</v>
      </c>
      <c r="I9" s="191">
        <v>211</v>
      </c>
      <c r="J9" s="188" t="s">
        <v>624</v>
      </c>
      <c r="K9" s="188" t="s">
        <v>338</v>
      </c>
      <c r="L9" s="188" t="s">
        <v>646</v>
      </c>
      <c r="M9" s="192">
        <f t="shared" si="0"/>
        <v>38</v>
      </c>
      <c r="N9" s="193">
        <f t="shared" si="1"/>
        <v>0.38150473933649293</v>
      </c>
      <c r="O9" s="194">
        <f t="shared" si="2"/>
        <v>1.0039598403591919E-2</v>
      </c>
      <c r="AA9" s="197"/>
      <c r="AB9" s="198" t="s">
        <v>637</v>
      </c>
      <c r="AC9" s="200">
        <v>0.15710874126095345</v>
      </c>
    </row>
    <row r="10" spans="1:31" ht="12.75" customHeight="1">
      <c r="A10" s="188" t="s">
        <v>620</v>
      </c>
      <c r="B10" s="188" t="s">
        <v>621</v>
      </c>
      <c r="C10" s="188" t="s">
        <v>622</v>
      </c>
      <c r="D10" s="188" t="s">
        <v>647</v>
      </c>
      <c r="E10" s="189">
        <v>39429</v>
      </c>
      <c r="F10" s="190">
        <v>1081</v>
      </c>
      <c r="G10" s="190">
        <v>0</v>
      </c>
      <c r="H10" s="191">
        <v>720</v>
      </c>
      <c r="I10" s="191">
        <v>378</v>
      </c>
      <c r="J10" s="188" t="s">
        <v>635</v>
      </c>
      <c r="K10" s="188" t="s">
        <v>648</v>
      </c>
      <c r="L10" s="188" t="s">
        <v>649</v>
      </c>
      <c r="M10" s="192">
        <f t="shared" si="0"/>
        <v>41</v>
      </c>
      <c r="N10" s="193">
        <f t="shared" si="1"/>
        <v>0.47619047619047616</v>
      </c>
      <c r="O10" s="194">
        <f t="shared" si="2"/>
        <v>1.1614401858304297E-2</v>
      </c>
      <c r="AA10" s="186" t="s">
        <v>650</v>
      </c>
      <c r="AB10" s="186" t="s">
        <v>626</v>
      </c>
      <c r="AC10" s="196">
        <v>300</v>
      </c>
    </row>
    <row r="11" spans="1:31" ht="12.75" customHeight="1">
      <c r="A11" s="188" t="s">
        <v>620</v>
      </c>
      <c r="B11" s="188" t="s">
        <v>621</v>
      </c>
      <c r="C11" s="188" t="s">
        <v>622</v>
      </c>
      <c r="D11" s="188" t="s">
        <v>651</v>
      </c>
      <c r="E11" s="189">
        <v>39366</v>
      </c>
      <c r="F11" s="190">
        <v>715</v>
      </c>
      <c r="G11" s="190">
        <v>0</v>
      </c>
      <c r="H11" s="191">
        <v>300</v>
      </c>
      <c r="I11" s="191">
        <v>250</v>
      </c>
      <c r="J11" s="188" t="s">
        <v>652</v>
      </c>
      <c r="K11" s="188" t="s">
        <v>338</v>
      </c>
      <c r="L11" s="188" t="s">
        <v>636</v>
      </c>
      <c r="M11" s="192">
        <f t="shared" si="0"/>
        <v>25</v>
      </c>
      <c r="N11" s="193">
        <f t="shared" si="1"/>
        <v>0.3</v>
      </c>
      <c r="O11" s="194">
        <f t="shared" si="2"/>
        <v>1.2E-2</v>
      </c>
      <c r="AA11" s="197"/>
      <c r="AB11" s="198" t="s">
        <v>629</v>
      </c>
      <c r="AC11" s="199">
        <v>24.09</v>
      </c>
    </row>
    <row r="12" spans="1:31" ht="12.75" customHeight="1">
      <c r="A12" s="188" t="s">
        <v>620</v>
      </c>
      <c r="B12" s="188" t="s">
        <v>621</v>
      </c>
      <c r="C12" s="188" t="s">
        <v>622</v>
      </c>
      <c r="D12" s="188" t="s">
        <v>653</v>
      </c>
      <c r="E12" s="189">
        <v>39507</v>
      </c>
      <c r="F12" s="190">
        <v>640</v>
      </c>
      <c r="G12" s="190">
        <v>0</v>
      </c>
      <c r="H12" s="191">
        <v>425</v>
      </c>
      <c r="I12" s="191">
        <v>224</v>
      </c>
      <c r="J12" s="188" t="s">
        <v>624</v>
      </c>
      <c r="K12" s="188" t="s">
        <v>338</v>
      </c>
      <c r="L12" s="188" t="s">
        <v>654</v>
      </c>
      <c r="M12" s="192">
        <f t="shared" si="0"/>
        <v>38</v>
      </c>
      <c r="N12" s="193">
        <f t="shared" si="1"/>
        <v>0.47433035714285715</v>
      </c>
      <c r="O12" s="194">
        <f t="shared" si="2"/>
        <v>1.2482377819548873E-2</v>
      </c>
      <c r="AA12" s="197"/>
      <c r="AB12" s="198" t="s">
        <v>633</v>
      </c>
      <c r="AC12" s="200">
        <v>1.2374705164831497</v>
      </c>
    </row>
    <row r="13" spans="1:31" ht="12.75" customHeight="1">
      <c r="A13" s="188" t="s">
        <v>620</v>
      </c>
      <c r="B13" s="188" t="s">
        <v>621</v>
      </c>
      <c r="C13" s="188" t="s">
        <v>622</v>
      </c>
      <c r="D13" s="188" t="s">
        <v>655</v>
      </c>
      <c r="E13" s="189">
        <v>39415</v>
      </c>
      <c r="F13" s="190">
        <v>558</v>
      </c>
      <c r="G13" s="190">
        <v>0</v>
      </c>
      <c r="H13" s="191">
        <v>372</v>
      </c>
      <c r="I13" s="191">
        <v>195</v>
      </c>
      <c r="J13" s="188" t="s">
        <v>624</v>
      </c>
      <c r="K13" s="188" t="s">
        <v>338</v>
      </c>
      <c r="L13" s="188" t="s">
        <v>656</v>
      </c>
      <c r="M13" s="192">
        <f t="shared" si="0"/>
        <v>38</v>
      </c>
      <c r="N13" s="193">
        <f t="shared" si="1"/>
        <v>0.47692307692307695</v>
      </c>
      <c r="O13" s="194">
        <f t="shared" si="2"/>
        <v>1.2550607287449394E-2</v>
      </c>
      <c r="AA13" s="197"/>
      <c r="AB13" s="198" t="s">
        <v>637</v>
      </c>
      <c r="AC13" s="200">
        <v>5.2505311068724594E-2</v>
      </c>
    </row>
    <row r="14" spans="1:31" ht="12.75" customHeight="1">
      <c r="A14" s="188" t="s">
        <v>620</v>
      </c>
      <c r="B14" s="188" t="s">
        <v>621</v>
      </c>
      <c r="C14" s="188" t="s">
        <v>622</v>
      </c>
      <c r="D14" s="188" t="s">
        <v>657</v>
      </c>
      <c r="E14" s="189">
        <v>39611</v>
      </c>
      <c r="F14" s="190">
        <v>727</v>
      </c>
      <c r="G14" s="190">
        <v>0</v>
      </c>
      <c r="H14" s="191">
        <v>499</v>
      </c>
      <c r="I14" s="191">
        <v>255</v>
      </c>
      <c r="J14" s="188" t="s">
        <v>624</v>
      </c>
      <c r="K14" s="188" t="s">
        <v>338</v>
      </c>
      <c r="L14" s="188" t="s">
        <v>658</v>
      </c>
      <c r="M14" s="192">
        <f t="shared" si="0"/>
        <v>38</v>
      </c>
      <c r="N14" s="193">
        <f t="shared" si="1"/>
        <v>0.48921568627450979</v>
      </c>
      <c r="O14" s="194">
        <f t="shared" si="2"/>
        <v>1.2874097007223941E-2</v>
      </c>
      <c r="AA14" s="186" t="s">
        <v>659</v>
      </c>
      <c r="AB14" s="186" t="s">
        <v>626</v>
      </c>
      <c r="AC14" s="196">
        <v>926</v>
      </c>
    </row>
    <row r="15" spans="1:31" ht="12.75" customHeight="1">
      <c r="A15" s="188" t="s">
        <v>620</v>
      </c>
      <c r="B15" s="188" t="s">
        <v>621</v>
      </c>
      <c r="C15" s="188" t="s">
        <v>622</v>
      </c>
      <c r="D15" s="188" t="s">
        <v>660</v>
      </c>
      <c r="E15" s="189">
        <v>39447</v>
      </c>
      <c r="F15" s="190">
        <v>3003</v>
      </c>
      <c r="G15" s="190">
        <v>0</v>
      </c>
      <c r="H15" s="191">
        <v>2089</v>
      </c>
      <c r="I15" s="191">
        <v>1050</v>
      </c>
      <c r="J15" s="188" t="s">
        <v>624</v>
      </c>
      <c r="K15" s="188" t="s">
        <v>338</v>
      </c>
      <c r="L15" s="188" t="s">
        <v>661</v>
      </c>
      <c r="M15" s="192">
        <f t="shared" si="0"/>
        <v>38</v>
      </c>
      <c r="N15" s="193">
        <f t="shared" si="1"/>
        <v>0.49738095238095237</v>
      </c>
      <c r="O15" s="194">
        <f t="shared" si="2"/>
        <v>1.3088972431077693E-2</v>
      </c>
      <c r="AA15" s="197"/>
      <c r="AB15" s="198" t="s">
        <v>629</v>
      </c>
      <c r="AC15" s="199">
        <v>24.779697624190064</v>
      </c>
    </row>
    <row r="16" spans="1:31" ht="12.75" customHeight="1">
      <c r="A16" s="188" t="s">
        <v>620</v>
      </c>
      <c r="B16" s="188" t="s">
        <v>621</v>
      </c>
      <c r="C16" s="188" t="s">
        <v>622</v>
      </c>
      <c r="D16" s="188" t="s">
        <v>662</v>
      </c>
      <c r="E16" s="189">
        <v>39527</v>
      </c>
      <c r="F16" s="190">
        <v>943</v>
      </c>
      <c r="G16" s="190">
        <v>0</v>
      </c>
      <c r="H16" s="191">
        <v>400</v>
      </c>
      <c r="I16" s="191">
        <v>331</v>
      </c>
      <c r="J16" s="188" t="s">
        <v>571</v>
      </c>
      <c r="K16" s="188" t="s">
        <v>338</v>
      </c>
      <c r="L16" s="188" t="s">
        <v>663</v>
      </c>
      <c r="M16" s="192">
        <f t="shared" si="0"/>
        <v>23</v>
      </c>
      <c r="N16" s="193">
        <f t="shared" si="1"/>
        <v>0.30211480362537763</v>
      </c>
      <c r="O16" s="194">
        <f t="shared" si="2"/>
        <v>1.3135426244581637E-2</v>
      </c>
      <c r="AA16" s="197"/>
      <c r="AB16" s="198" t="s">
        <v>633</v>
      </c>
      <c r="AC16" s="200">
        <v>4.4328417694900724</v>
      </c>
    </row>
    <row r="17" spans="1:29" ht="12.75" customHeight="1">
      <c r="A17" s="188" t="s">
        <v>620</v>
      </c>
      <c r="B17" s="188" t="s">
        <v>621</v>
      </c>
      <c r="C17" s="188" t="s">
        <v>622</v>
      </c>
      <c r="D17" s="188" t="s">
        <v>664</v>
      </c>
      <c r="E17" s="189">
        <v>39443</v>
      </c>
      <c r="F17" s="190">
        <v>530</v>
      </c>
      <c r="G17" s="190">
        <v>0</v>
      </c>
      <c r="H17" s="191">
        <v>293</v>
      </c>
      <c r="I17" s="191">
        <v>185.5</v>
      </c>
      <c r="J17" s="188" t="s">
        <v>635</v>
      </c>
      <c r="K17" s="188" t="s">
        <v>338</v>
      </c>
      <c r="L17" s="188" t="s">
        <v>665</v>
      </c>
      <c r="M17" s="192">
        <f t="shared" si="0"/>
        <v>30</v>
      </c>
      <c r="N17" s="193">
        <f t="shared" si="1"/>
        <v>0.39487870619946092</v>
      </c>
      <c r="O17" s="194">
        <f t="shared" si="2"/>
        <v>1.3162623539982031E-2</v>
      </c>
      <c r="AA17" s="197"/>
      <c r="AB17" s="198" t="s">
        <v>637</v>
      </c>
      <c r="AC17" s="200">
        <v>0.17976646683537525</v>
      </c>
    </row>
    <row r="18" spans="1:29" ht="12.75" customHeight="1">
      <c r="A18" s="188" t="s">
        <v>620</v>
      </c>
      <c r="B18" s="188" t="s">
        <v>621</v>
      </c>
      <c r="C18" s="188" t="s">
        <v>622</v>
      </c>
      <c r="D18" s="188" t="s">
        <v>666</v>
      </c>
      <c r="E18" s="189">
        <v>39590</v>
      </c>
      <c r="F18" s="190">
        <v>974</v>
      </c>
      <c r="G18" s="190">
        <v>0</v>
      </c>
      <c r="H18" s="191">
        <v>342.71</v>
      </c>
      <c r="I18" s="191">
        <v>342</v>
      </c>
      <c r="J18" s="188" t="s">
        <v>667</v>
      </c>
      <c r="K18" s="188" t="s">
        <v>338</v>
      </c>
      <c r="L18" s="188" t="s">
        <v>668</v>
      </c>
      <c r="M18" s="192">
        <f t="shared" si="0"/>
        <v>19</v>
      </c>
      <c r="N18" s="193">
        <f t="shared" si="1"/>
        <v>0.25051900584795322</v>
      </c>
      <c r="O18" s="194">
        <f t="shared" si="2"/>
        <v>1.3185210834102802E-2</v>
      </c>
      <c r="AA18" s="186" t="s">
        <v>669</v>
      </c>
      <c r="AB18" s="186" t="s">
        <v>626</v>
      </c>
      <c r="AC18" s="196">
        <v>93</v>
      </c>
    </row>
    <row r="19" spans="1:29" ht="12.75" customHeight="1">
      <c r="A19" s="188" t="s">
        <v>620</v>
      </c>
      <c r="B19" s="188" t="s">
        <v>621</v>
      </c>
      <c r="C19" s="188" t="s">
        <v>622</v>
      </c>
      <c r="D19" s="188" t="s">
        <v>670</v>
      </c>
      <c r="E19" s="189">
        <v>39513</v>
      </c>
      <c r="F19" s="190">
        <v>1005</v>
      </c>
      <c r="G19" s="190">
        <v>0</v>
      </c>
      <c r="H19" s="191">
        <v>651.41999999999996</v>
      </c>
      <c r="I19" s="191">
        <v>352.75</v>
      </c>
      <c r="J19" s="188" t="s">
        <v>571</v>
      </c>
      <c r="K19" s="188" t="s">
        <v>299</v>
      </c>
      <c r="L19" s="188" t="s">
        <v>671</v>
      </c>
      <c r="M19" s="192">
        <f t="shared" si="0"/>
        <v>35</v>
      </c>
      <c r="N19" s="193">
        <f t="shared" si="1"/>
        <v>0.46167257264351519</v>
      </c>
      <c r="O19" s="194">
        <f t="shared" si="2"/>
        <v>1.3190644932671863E-2</v>
      </c>
      <c r="AA19" s="197"/>
      <c r="AB19" s="198" t="s">
        <v>629</v>
      </c>
      <c r="AC19" s="199">
        <v>14.978494623655914</v>
      </c>
    </row>
    <row r="20" spans="1:29" ht="12.75" customHeight="1">
      <c r="A20" s="188" t="s">
        <v>620</v>
      </c>
      <c r="B20" s="188" t="s">
        <v>621</v>
      </c>
      <c r="C20" s="188" t="s">
        <v>622</v>
      </c>
      <c r="D20" s="188" t="s">
        <v>672</v>
      </c>
      <c r="E20" s="189">
        <v>39212</v>
      </c>
      <c r="F20" s="190">
        <v>634</v>
      </c>
      <c r="G20" s="190">
        <v>0</v>
      </c>
      <c r="H20" s="191">
        <v>451.86</v>
      </c>
      <c r="I20" s="191">
        <v>221.5</v>
      </c>
      <c r="J20" s="188" t="s">
        <v>624</v>
      </c>
      <c r="K20" s="188" t="s">
        <v>338</v>
      </c>
      <c r="L20" s="188" t="s">
        <v>673</v>
      </c>
      <c r="M20" s="192">
        <f t="shared" si="0"/>
        <v>38</v>
      </c>
      <c r="N20" s="193">
        <f t="shared" si="1"/>
        <v>0.51</v>
      </c>
      <c r="O20" s="194">
        <f t="shared" si="2"/>
        <v>1.3421052631578948E-2</v>
      </c>
      <c r="AA20" s="197"/>
      <c r="AB20" s="198" t="s">
        <v>633</v>
      </c>
      <c r="AC20" s="200">
        <v>1.4418664549980154</v>
      </c>
    </row>
    <row r="21" spans="1:29" ht="12.75" customHeight="1">
      <c r="A21" s="188" t="s">
        <v>620</v>
      </c>
      <c r="B21" s="188" t="s">
        <v>621</v>
      </c>
      <c r="C21" s="188" t="s">
        <v>622</v>
      </c>
      <c r="D21" s="188" t="s">
        <v>674</v>
      </c>
      <c r="E21" s="189">
        <v>39520</v>
      </c>
      <c r="F21" s="190">
        <v>1474</v>
      </c>
      <c r="G21" s="190">
        <v>0</v>
      </c>
      <c r="H21" s="191">
        <v>575</v>
      </c>
      <c r="I21" s="191">
        <v>517.5</v>
      </c>
      <c r="J21" s="188" t="s">
        <v>560</v>
      </c>
      <c r="K21" s="188" t="s">
        <v>338</v>
      </c>
      <c r="L21" s="188" t="s">
        <v>675</v>
      </c>
      <c r="M21" s="192">
        <f t="shared" si="0"/>
        <v>20</v>
      </c>
      <c r="N21" s="193">
        <f t="shared" si="1"/>
        <v>0.27777777777777779</v>
      </c>
      <c r="O21" s="194">
        <f t="shared" si="2"/>
        <v>1.388888888888889E-2</v>
      </c>
      <c r="AA21" s="197"/>
      <c r="AB21" s="198" t="s">
        <v>637</v>
      </c>
      <c r="AC21" s="200">
        <v>0.10147770455940994</v>
      </c>
    </row>
    <row r="22" spans="1:29" ht="12.75" customHeight="1">
      <c r="A22" s="188" t="s">
        <v>620</v>
      </c>
      <c r="B22" s="188" t="s">
        <v>621</v>
      </c>
      <c r="C22" s="188" t="s">
        <v>622</v>
      </c>
      <c r="D22" s="188" t="s">
        <v>676</v>
      </c>
      <c r="E22" s="189">
        <v>39310</v>
      </c>
      <c r="F22" s="190">
        <v>429</v>
      </c>
      <c r="G22" s="190">
        <v>0</v>
      </c>
      <c r="H22" s="191">
        <v>250.02</v>
      </c>
      <c r="I22" s="191">
        <v>150</v>
      </c>
      <c r="J22" s="188" t="s">
        <v>635</v>
      </c>
      <c r="K22" s="188" t="s">
        <v>338</v>
      </c>
      <c r="L22" s="188" t="s">
        <v>677</v>
      </c>
      <c r="M22" s="192">
        <f t="shared" si="0"/>
        <v>30</v>
      </c>
      <c r="N22" s="193">
        <f t="shared" si="1"/>
        <v>0.41670000000000001</v>
      </c>
      <c r="O22" s="194">
        <f t="shared" si="2"/>
        <v>1.3890000000000001E-2</v>
      </c>
      <c r="AA22" s="186" t="s">
        <v>678</v>
      </c>
      <c r="AB22" s="186" t="s">
        <v>626</v>
      </c>
      <c r="AC22" s="196">
        <v>640</v>
      </c>
    </row>
    <row r="23" spans="1:29" ht="12.75" customHeight="1">
      <c r="A23" s="188" t="s">
        <v>620</v>
      </c>
      <c r="B23" s="188" t="s">
        <v>621</v>
      </c>
      <c r="C23" s="188" t="s">
        <v>622</v>
      </c>
      <c r="D23" s="188" t="s">
        <v>679</v>
      </c>
      <c r="E23" s="189">
        <v>39353</v>
      </c>
      <c r="F23" s="190">
        <v>901</v>
      </c>
      <c r="G23" s="190">
        <v>0</v>
      </c>
      <c r="H23" s="191">
        <v>673.34</v>
      </c>
      <c r="I23" s="191">
        <v>315</v>
      </c>
      <c r="J23" s="188" t="s">
        <v>624</v>
      </c>
      <c r="K23" s="188" t="s">
        <v>338</v>
      </c>
      <c r="L23" s="188" t="s">
        <v>680</v>
      </c>
      <c r="M23" s="192">
        <f t="shared" si="0"/>
        <v>38</v>
      </c>
      <c r="N23" s="193">
        <f t="shared" si="1"/>
        <v>0.53439682539682543</v>
      </c>
      <c r="O23" s="194">
        <f t="shared" si="2"/>
        <v>1.4063074352548038E-2</v>
      </c>
      <c r="AA23" s="197"/>
      <c r="AB23" s="198" t="s">
        <v>629</v>
      </c>
      <c r="AC23" s="199">
        <v>14.2046875</v>
      </c>
    </row>
    <row r="24" spans="1:29" ht="12.75" customHeight="1">
      <c r="A24" s="188" t="s">
        <v>620</v>
      </c>
      <c r="B24" s="188" t="s">
        <v>621</v>
      </c>
      <c r="C24" s="188" t="s">
        <v>622</v>
      </c>
      <c r="D24" s="188" t="s">
        <v>681</v>
      </c>
      <c r="E24" s="189">
        <v>39447</v>
      </c>
      <c r="F24" s="190">
        <v>1030</v>
      </c>
      <c r="G24" s="190">
        <v>0</v>
      </c>
      <c r="H24" s="191">
        <v>548.5</v>
      </c>
      <c r="I24" s="191">
        <v>360</v>
      </c>
      <c r="J24" s="188" t="s">
        <v>639</v>
      </c>
      <c r="K24" s="188" t="s">
        <v>338</v>
      </c>
      <c r="L24" s="188" t="s">
        <v>682</v>
      </c>
      <c r="M24" s="192">
        <f t="shared" si="0"/>
        <v>27</v>
      </c>
      <c r="N24" s="193">
        <f t="shared" si="1"/>
        <v>0.38090277777777776</v>
      </c>
      <c r="O24" s="194">
        <f t="shared" si="2"/>
        <v>1.4107510288065842E-2</v>
      </c>
      <c r="AA24" s="197"/>
      <c r="AB24" s="198" t="s">
        <v>633</v>
      </c>
      <c r="AC24" s="200">
        <v>1.4355876134633263</v>
      </c>
    </row>
    <row r="25" spans="1:29" ht="12.75" customHeight="1">
      <c r="A25" s="188" t="s">
        <v>620</v>
      </c>
      <c r="B25" s="188" t="s">
        <v>621</v>
      </c>
      <c r="C25" s="188" t="s">
        <v>622</v>
      </c>
      <c r="D25" s="188" t="s">
        <v>683</v>
      </c>
      <c r="E25" s="189">
        <v>39555</v>
      </c>
      <c r="F25" s="190">
        <v>1039</v>
      </c>
      <c r="G25" s="190">
        <v>0</v>
      </c>
      <c r="H25" s="191">
        <v>625</v>
      </c>
      <c r="I25" s="191">
        <v>364.75</v>
      </c>
      <c r="J25" s="188" t="s">
        <v>635</v>
      </c>
      <c r="K25" s="188" t="s">
        <v>338</v>
      </c>
      <c r="L25" s="188" t="s">
        <v>684</v>
      </c>
      <c r="M25" s="192">
        <f t="shared" si="0"/>
        <v>30</v>
      </c>
      <c r="N25" s="193">
        <f t="shared" si="1"/>
        <v>0.42837559972583961</v>
      </c>
      <c r="O25" s="194">
        <f t="shared" si="2"/>
        <v>1.4279186657527986E-2</v>
      </c>
      <c r="AA25" s="197"/>
      <c r="AB25" s="198" t="s">
        <v>637</v>
      </c>
      <c r="AC25" s="200">
        <v>0.10428071951606147</v>
      </c>
    </row>
    <row r="26" spans="1:29" ht="12.75" customHeight="1">
      <c r="A26" s="188" t="s">
        <v>620</v>
      </c>
      <c r="B26" s="188" t="s">
        <v>621</v>
      </c>
      <c r="C26" s="188" t="s">
        <v>622</v>
      </c>
      <c r="D26" s="188" t="s">
        <v>685</v>
      </c>
      <c r="E26" s="189">
        <v>39317</v>
      </c>
      <c r="F26" s="190">
        <v>1310</v>
      </c>
      <c r="G26" s="190">
        <v>0</v>
      </c>
      <c r="H26" s="191">
        <v>1000.09</v>
      </c>
      <c r="I26" s="191">
        <v>458</v>
      </c>
      <c r="J26" s="188" t="s">
        <v>624</v>
      </c>
      <c r="K26" s="188" t="s">
        <v>338</v>
      </c>
      <c r="L26" s="188" t="s">
        <v>686</v>
      </c>
      <c r="M26" s="192">
        <f t="shared" si="0"/>
        <v>38</v>
      </c>
      <c r="N26" s="193">
        <f t="shared" si="1"/>
        <v>0.54590065502183405</v>
      </c>
      <c r="O26" s="194">
        <f t="shared" si="2"/>
        <v>1.4365806711100895E-2</v>
      </c>
      <c r="AA26" s="186" t="s">
        <v>687</v>
      </c>
      <c r="AB26" s="201"/>
      <c r="AC26" s="187">
        <v>3957</v>
      </c>
    </row>
    <row r="27" spans="1:29" ht="12.75" customHeight="1">
      <c r="A27" s="188" t="s">
        <v>620</v>
      </c>
      <c r="B27" s="188" t="s">
        <v>621</v>
      </c>
      <c r="C27" s="188" t="s">
        <v>622</v>
      </c>
      <c r="D27" s="188" t="s">
        <v>688</v>
      </c>
      <c r="E27" s="189">
        <v>39352</v>
      </c>
      <c r="F27" s="190">
        <v>872</v>
      </c>
      <c r="G27" s="190">
        <v>0</v>
      </c>
      <c r="H27" s="191">
        <v>671</v>
      </c>
      <c r="I27" s="191">
        <v>305</v>
      </c>
      <c r="J27" s="188" t="s">
        <v>624</v>
      </c>
      <c r="K27" s="188" t="s">
        <v>338</v>
      </c>
      <c r="L27" s="188" t="s">
        <v>689</v>
      </c>
      <c r="M27" s="192">
        <f t="shared" si="0"/>
        <v>38</v>
      </c>
      <c r="N27" s="193">
        <f t="shared" si="1"/>
        <v>0.55000000000000004</v>
      </c>
      <c r="O27" s="194">
        <f t="shared" si="2"/>
        <v>1.4473684210526317E-2</v>
      </c>
      <c r="AA27" s="186" t="s">
        <v>690</v>
      </c>
      <c r="AB27" s="201"/>
      <c r="AC27" s="187">
        <v>24.743239828152642</v>
      </c>
    </row>
    <row r="28" spans="1:29" ht="12.75" customHeight="1">
      <c r="A28" s="188" t="s">
        <v>620</v>
      </c>
      <c r="B28" s="188" t="s">
        <v>621</v>
      </c>
      <c r="C28" s="188" t="s">
        <v>622</v>
      </c>
      <c r="D28" s="188" t="s">
        <v>691</v>
      </c>
      <c r="E28" s="189">
        <v>39527</v>
      </c>
      <c r="F28" s="190">
        <v>1346</v>
      </c>
      <c r="G28" s="190">
        <v>0</v>
      </c>
      <c r="H28" s="191">
        <v>1049</v>
      </c>
      <c r="I28" s="191">
        <v>472.5</v>
      </c>
      <c r="J28" s="188" t="s">
        <v>624</v>
      </c>
      <c r="K28" s="188" t="s">
        <v>338</v>
      </c>
      <c r="L28" s="188" t="s">
        <v>692</v>
      </c>
      <c r="M28" s="192">
        <f t="shared" si="0"/>
        <v>38</v>
      </c>
      <c r="N28" s="193">
        <f t="shared" si="1"/>
        <v>0.55502645502645498</v>
      </c>
      <c r="O28" s="194">
        <f t="shared" si="2"/>
        <v>1.4605959342801447E-2</v>
      </c>
      <c r="AA28" s="186" t="s">
        <v>693</v>
      </c>
      <c r="AB28" s="201"/>
      <c r="AC28" s="187">
        <v>3.3751502319983713</v>
      </c>
    </row>
    <row r="29" spans="1:29" ht="12.75" customHeight="1">
      <c r="A29" s="188" t="s">
        <v>620</v>
      </c>
      <c r="B29" s="188" t="s">
        <v>621</v>
      </c>
      <c r="C29" s="188" t="s">
        <v>622</v>
      </c>
      <c r="D29" s="188" t="s">
        <v>694</v>
      </c>
      <c r="E29" s="189">
        <v>39625</v>
      </c>
      <c r="F29" s="190">
        <v>783</v>
      </c>
      <c r="G29" s="190">
        <v>0</v>
      </c>
      <c r="H29" s="191">
        <v>482</v>
      </c>
      <c r="I29" s="191">
        <v>275</v>
      </c>
      <c r="J29" s="188" t="s">
        <v>635</v>
      </c>
      <c r="K29" s="188" t="s">
        <v>338</v>
      </c>
      <c r="L29" s="188" t="s">
        <v>557</v>
      </c>
      <c r="M29" s="192">
        <f t="shared" si="0"/>
        <v>30</v>
      </c>
      <c r="N29" s="193">
        <f t="shared" si="1"/>
        <v>0.43818181818181817</v>
      </c>
      <c r="O29" s="194">
        <f t="shared" si="2"/>
        <v>1.4606060606060605E-2</v>
      </c>
      <c r="AA29" s="202" t="s">
        <v>695</v>
      </c>
      <c r="AB29" s="203"/>
      <c r="AC29" s="204">
        <v>0.12914831911579275</v>
      </c>
    </row>
    <row r="30" spans="1:29" ht="12.75" customHeight="1">
      <c r="A30" s="188" t="s">
        <v>620</v>
      </c>
      <c r="B30" s="188" t="s">
        <v>621</v>
      </c>
      <c r="C30" s="188" t="s">
        <v>622</v>
      </c>
      <c r="D30" s="188" t="s">
        <v>696</v>
      </c>
      <c r="E30" s="189">
        <v>39520</v>
      </c>
      <c r="F30" s="190">
        <v>819</v>
      </c>
      <c r="G30" s="190">
        <v>0</v>
      </c>
      <c r="H30" s="191">
        <v>504</v>
      </c>
      <c r="I30" s="191">
        <v>287.5</v>
      </c>
      <c r="J30" s="188" t="s">
        <v>635</v>
      </c>
      <c r="K30" s="188" t="s">
        <v>338</v>
      </c>
      <c r="L30" s="188" t="s">
        <v>697</v>
      </c>
      <c r="M30" s="192">
        <f t="shared" si="0"/>
        <v>30</v>
      </c>
      <c r="N30" s="193">
        <f t="shared" si="1"/>
        <v>0.43826086956521737</v>
      </c>
      <c r="O30" s="194">
        <f t="shared" si="2"/>
        <v>1.4608695652173912E-2</v>
      </c>
    </row>
    <row r="31" spans="1:29" ht="12.75" customHeight="1">
      <c r="A31" s="188" t="s">
        <v>620</v>
      </c>
      <c r="B31" s="188" t="s">
        <v>621</v>
      </c>
      <c r="C31" s="188" t="s">
        <v>622</v>
      </c>
      <c r="D31" s="188" t="s">
        <v>698</v>
      </c>
      <c r="E31" s="189">
        <v>39447</v>
      </c>
      <c r="F31" s="190">
        <v>930</v>
      </c>
      <c r="G31" s="190">
        <v>0</v>
      </c>
      <c r="H31" s="191">
        <v>576</v>
      </c>
      <c r="I31" s="191">
        <v>325</v>
      </c>
      <c r="J31" s="188" t="s">
        <v>635</v>
      </c>
      <c r="K31" s="188" t="s">
        <v>338</v>
      </c>
      <c r="L31" s="188" t="s">
        <v>699</v>
      </c>
      <c r="M31" s="192">
        <f t="shared" si="0"/>
        <v>30</v>
      </c>
      <c r="N31" s="193">
        <f t="shared" si="1"/>
        <v>0.44307692307692309</v>
      </c>
      <c r="O31" s="194">
        <f t="shared" si="2"/>
        <v>1.4769230769230769E-2</v>
      </c>
    </row>
    <row r="32" spans="1:29" ht="12.75" customHeight="1">
      <c r="A32" s="188" t="s">
        <v>620</v>
      </c>
      <c r="B32" s="188" t="s">
        <v>621</v>
      </c>
      <c r="C32" s="188" t="s">
        <v>622</v>
      </c>
      <c r="D32" s="188" t="s">
        <v>700</v>
      </c>
      <c r="E32" s="189">
        <v>39583</v>
      </c>
      <c r="F32" s="190">
        <v>1495</v>
      </c>
      <c r="G32" s="190">
        <v>0</v>
      </c>
      <c r="H32" s="191">
        <v>935</v>
      </c>
      <c r="I32" s="191">
        <v>525</v>
      </c>
      <c r="J32" s="188" t="s">
        <v>635</v>
      </c>
      <c r="K32" s="188" t="s">
        <v>338</v>
      </c>
      <c r="L32" s="188" t="s">
        <v>701</v>
      </c>
      <c r="M32" s="192">
        <f t="shared" si="0"/>
        <v>30</v>
      </c>
      <c r="N32" s="193">
        <f t="shared" si="1"/>
        <v>0.44523809523809521</v>
      </c>
      <c r="O32" s="194">
        <f t="shared" si="2"/>
        <v>1.4841269841269841E-2</v>
      </c>
    </row>
    <row r="33" spans="1:15" ht="12.75" customHeight="1">
      <c r="A33" s="188" t="s">
        <v>620</v>
      </c>
      <c r="B33" s="188" t="s">
        <v>621</v>
      </c>
      <c r="C33" s="188" t="s">
        <v>622</v>
      </c>
      <c r="D33" s="188" t="s">
        <v>702</v>
      </c>
      <c r="E33" s="189">
        <v>39576</v>
      </c>
      <c r="F33" s="190">
        <v>1139</v>
      </c>
      <c r="G33" s="190">
        <v>0</v>
      </c>
      <c r="H33" s="191">
        <v>715</v>
      </c>
      <c r="I33" s="191">
        <v>400</v>
      </c>
      <c r="J33" s="188" t="s">
        <v>635</v>
      </c>
      <c r="K33" s="188" t="s">
        <v>338</v>
      </c>
      <c r="L33" s="188" t="s">
        <v>625</v>
      </c>
      <c r="M33" s="192">
        <f t="shared" si="0"/>
        <v>30</v>
      </c>
      <c r="N33" s="193">
        <f t="shared" si="1"/>
        <v>0.44687500000000002</v>
      </c>
      <c r="O33" s="194">
        <f t="shared" si="2"/>
        <v>1.4895833333333334E-2</v>
      </c>
    </row>
    <row r="34" spans="1:15" ht="12.75" customHeight="1">
      <c r="A34" s="188" t="s">
        <v>620</v>
      </c>
      <c r="B34" s="188" t="s">
        <v>621</v>
      </c>
      <c r="C34" s="188" t="s">
        <v>622</v>
      </c>
      <c r="D34" s="188" t="s">
        <v>703</v>
      </c>
      <c r="E34" s="189">
        <v>39289</v>
      </c>
      <c r="F34" s="190">
        <v>1</v>
      </c>
      <c r="G34" s="190">
        <v>0</v>
      </c>
      <c r="H34" s="191">
        <v>580</v>
      </c>
      <c r="I34" s="191">
        <v>200</v>
      </c>
      <c r="J34" s="188" t="s">
        <v>624</v>
      </c>
      <c r="K34" s="188" t="s">
        <v>338</v>
      </c>
      <c r="L34" s="188" t="s">
        <v>636</v>
      </c>
      <c r="M34" s="192">
        <f t="shared" si="0"/>
        <v>38</v>
      </c>
      <c r="N34" s="193">
        <f t="shared" si="1"/>
        <v>0.57999999999999996</v>
      </c>
      <c r="O34" s="194">
        <f t="shared" si="2"/>
        <v>1.5263157894736841E-2</v>
      </c>
    </row>
    <row r="35" spans="1:15" ht="12.75" customHeight="1">
      <c r="A35" s="188" t="s">
        <v>620</v>
      </c>
      <c r="B35" s="188" t="s">
        <v>621</v>
      </c>
      <c r="C35" s="188" t="s">
        <v>622</v>
      </c>
      <c r="D35" s="188" t="s">
        <v>704</v>
      </c>
      <c r="E35" s="189">
        <v>39415</v>
      </c>
      <c r="F35" s="190">
        <v>315</v>
      </c>
      <c r="G35" s="190">
        <v>0</v>
      </c>
      <c r="H35" s="191">
        <v>256</v>
      </c>
      <c r="I35" s="191">
        <v>110</v>
      </c>
      <c r="J35" s="188" t="s">
        <v>624</v>
      </c>
      <c r="K35" s="188" t="s">
        <v>338</v>
      </c>
      <c r="L35" s="188" t="s">
        <v>705</v>
      </c>
      <c r="M35" s="192">
        <f t="shared" si="0"/>
        <v>38</v>
      </c>
      <c r="N35" s="193">
        <f t="shared" si="1"/>
        <v>0.58181818181818179</v>
      </c>
      <c r="O35" s="194">
        <f t="shared" si="2"/>
        <v>1.5311004784688994E-2</v>
      </c>
    </row>
    <row r="36" spans="1:15" ht="12.75" customHeight="1">
      <c r="A36" s="188" t="s">
        <v>620</v>
      </c>
      <c r="B36" s="188" t="s">
        <v>621</v>
      </c>
      <c r="C36" s="188" t="s">
        <v>622</v>
      </c>
      <c r="D36" s="188" t="s">
        <v>706</v>
      </c>
      <c r="E36" s="189">
        <v>39507</v>
      </c>
      <c r="F36" s="190">
        <v>966</v>
      </c>
      <c r="G36" s="190">
        <v>0</v>
      </c>
      <c r="H36" s="191">
        <v>622</v>
      </c>
      <c r="I36" s="191">
        <v>337.5</v>
      </c>
      <c r="J36" s="188" t="s">
        <v>635</v>
      </c>
      <c r="K36" s="188" t="s">
        <v>338</v>
      </c>
      <c r="L36" s="188" t="s">
        <v>707</v>
      </c>
      <c r="M36" s="192">
        <f t="shared" si="0"/>
        <v>30</v>
      </c>
      <c r="N36" s="193">
        <f t="shared" si="1"/>
        <v>0.46074074074074073</v>
      </c>
      <c r="O36" s="194">
        <f t="shared" si="2"/>
        <v>1.5358024691358024E-2</v>
      </c>
    </row>
    <row r="37" spans="1:15" ht="12.75" customHeight="1">
      <c r="A37" s="188" t="s">
        <v>620</v>
      </c>
      <c r="B37" s="188" t="s">
        <v>621</v>
      </c>
      <c r="C37" s="188" t="s">
        <v>622</v>
      </c>
      <c r="D37" s="188" t="s">
        <v>708</v>
      </c>
      <c r="E37" s="189">
        <v>39471</v>
      </c>
      <c r="F37" s="190">
        <v>844</v>
      </c>
      <c r="G37" s="190">
        <v>0</v>
      </c>
      <c r="H37" s="191">
        <v>689</v>
      </c>
      <c r="I37" s="191">
        <v>295</v>
      </c>
      <c r="J37" s="188" t="s">
        <v>624</v>
      </c>
      <c r="K37" s="188" t="s">
        <v>338</v>
      </c>
      <c r="L37" s="188" t="s">
        <v>447</v>
      </c>
      <c r="M37" s="192">
        <f t="shared" si="0"/>
        <v>38</v>
      </c>
      <c r="N37" s="193">
        <f t="shared" si="1"/>
        <v>0.58389830508474572</v>
      </c>
      <c r="O37" s="194">
        <f t="shared" si="2"/>
        <v>1.5365744870651203E-2</v>
      </c>
    </row>
    <row r="38" spans="1:15" ht="12.75" customHeight="1">
      <c r="A38" s="188" t="s">
        <v>620</v>
      </c>
      <c r="B38" s="188" t="s">
        <v>621</v>
      </c>
      <c r="C38" s="188" t="s">
        <v>622</v>
      </c>
      <c r="D38" s="188" t="s">
        <v>709</v>
      </c>
      <c r="E38" s="189">
        <v>39422</v>
      </c>
      <c r="F38" s="190">
        <v>1130</v>
      </c>
      <c r="G38" s="190">
        <v>0</v>
      </c>
      <c r="H38" s="191">
        <v>541</v>
      </c>
      <c r="I38" s="191">
        <v>395</v>
      </c>
      <c r="J38" s="188" t="s">
        <v>710</v>
      </c>
      <c r="K38" s="188" t="s">
        <v>338</v>
      </c>
      <c r="L38" s="188" t="s">
        <v>711</v>
      </c>
      <c r="M38" s="192">
        <f t="shared" si="0"/>
        <v>22</v>
      </c>
      <c r="N38" s="193">
        <f t="shared" si="1"/>
        <v>0.34240506329113923</v>
      </c>
      <c r="O38" s="194">
        <f t="shared" si="2"/>
        <v>1.5563866513233602E-2</v>
      </c>
    </row>
    <row r="39" spans="1:15" ht="12.75" customHeight="1">
      <c r="A39" s="188" t="s">
        <v>620</v>
      </c>
      <c r="B39" s="188" t="s">
        <v>621</v>
      </c>
      <c r="C39" s="188" t="s">
        <v>622</v>
      </c>
      <c r="D39" s="188" t="s">
        <v>712</v>
      </c>
      <c r="E39" s="189">
        <v>39541</v>
      </c>
      <c r="F39" s="190">
        <v>559</v>
      </c>
      <c r="G39" s="190">
        <v>0</v>
      </c>
      <c r="H39" s="191">
        <v>464</v>
      </c>
      <c r="I39" s="191">
        <v>196</v>
      </c>
      <c r="J39" s="188" t="s">
        <v>624</v>
      </c>
      <c r="K39" s="188" t="s">
        <v>338</v>
      </c>
      <c r="L39" s="188" t="s">
        <v>713</v>
      </c>
      <c r="M39" s="192">
        <f t="shared" si="0"/>
        <v>38</v>
      </c>
      <c r="N39" s="193">
        <f t="shared" si="1"/>
        <v>0.59183673469387754</v>
      </c>
      <c r="O39" s="194">
        <f t="shared" si="2"/>
        <v>1.5574650912996778E-2</v>
      </c>
    </row>
    <row r="40" spans="1:15" ht="12.75" customHeight="1">
      <c r="A40" s="188" t="s">
        <v>620</v>
      </c>
      <c r="B40" s="188" t="s">
        <v>621</v>
      </c>
      <c r="C40" s="188" t="s">
        <v>622</v>
      </c>
      <c r="D40" s="188" t="s">
        <v>714</v>
      </c>
      <c r="E40" s="189">
        <v>39541</v>
      </c>
      <c r="F40" s="190">
        <v>891</v>
      </c>
      <c r="G40" s="190">
        <v>0</v>
      </c>
      <c r="H40" s="191">
        <v>780</v>
      </c>
      <c r="I40" s="191">
        <v>312.5</v>
      </c>
      <c r="J40" s="188" t="s">
        <v>715</v>
      </c>
      <c r="K40" s="188" t="s">
        <v>648</v>
      </c>
      <c r="L40" s="188" t="s">
        <v>716</v>
      </c>
      <c r="M40" s="192">
        <f t="shared" si="0"/>
        <v>40</v>
      </c>
      <c r="N40" s="193">
        <f t="shared" si="1"/>
        <v>0.624</v>
      </c>
      <c r="O40" s="194">
        <f t="shared" si="2"/>
        <v>1.5599999999999999E-2</v>
      </c>
    </row>
    <row r="41" spans="1:15" ht="12.75" customHeight="1">
      <c r="A41" s="188" t="s">
        <v>620</v>
      </c>
      <c r="B41" s="188" t="s">
        <v>621</v>
      </c>
      <c r="C41" s="188" t="s">
        <v>622</v>
      </c>
      <c r="D41" s="188" t="s">
        <v>717</v>
      </c>
      <c r="E41" s="189">
        <v>39520</v>
      </c>
      <c r="F41" s="190">
        <v>1282</v>
      </c>
      <c r="G41" s="190">
        <v>0</v>
      </c>
      <c r="H41" s="191">
        <v>843</v>
      </c>
      <c r="I41" s="191">
        <v>450</v>
      </c>
      <c r="J41" s="188" t="s">
        <v>635</v>
      </c>
      <c r="K41" s="188" t="s">
        <v>338</v>
      </c>
      <c r="L41" s="188" t="s">
        <v>718</v>
      </c>
      <c r="M41" s="192">
        <f t="shared" si="0"/>
        <v>30</v>
      </c>
      <c r="N41" s="193">
        <f t="shared" si="1"/>
        <v>0.46833333333333332</v>
      </c>
      <c r="O41" s="194">
        <f t="shared" si="2"/>
        <v>1.561111111111111E-2</v>
      </c>
    </row>
    <row r="42" spans="1:15" ht="12.75" customHeight="1">
      <c r="A42" s="188" t="s">
        <v>620</v>
      </c>
      <c r="B42" s="188" t="s">
        <v>621</v>
      </c>
      <c r="C42" s="188" t="s">
        <v>622</v>
      </c>
      <c r="D42" s="188" t="s">
        <v>719</v>
      </c>
      <c r="E42" s="189">
        <v>39499</v>
      </c>
      <c r="F42" s="190">
        <v>1283</v>
      </c>
      <c r="G42" s="190">
        <v>0</v>
      </c>
      <c r="H42" s="191">
        <v>960</v>
      </c>
      <c r="I42" s="191">
        <v>448.5</v>
      </c>
      <c r="J42" s="188" t="s">
        <v>720</v>
      </c>
      <c r="K42" s="188" t="s">
        <v>338</v>
      </c>
      <c r="L42" s="188" t="s">
        <v>721</v>
      </c>
      <c r="M42" s="192">
        <f t="shared" si="0"/>
        <v>34</v>
      </c>
      <c r="N42" s="193">
        <f t="shared" si="1"/>
        <v>0.53511705685618727</v>
      </c>
      <c r="O42" s="194">
        <f t="shared" si="2"/>
        <v>1.5738736966358448E-2</v>
      </c>
    </row>
    <row r="43" spans="1:15" ht="12.75" customHeight="1">
      <c r="A43" s="188" t="s">
        <v>620</v>
      </c>
      <c r="B43" s="188" t="s">
        <v>621</v>
      </c>
      <c r="C43" s="188" t="s">
        <v>622</v>
      </c>
      <c r="D43" s="188" t="s">
        <v>722</v>
      </c>
      <c r="E43" s="189">
        <v>39407</v>
      </c>
      <c r="F43" s="190">
        <v>971</v>
      </c>
      <c r="G43" s="190">
        <v>0</v>
      </c>
      <c r="H43" s="191">
        <v>813.22</v>
      </c>
      <c r="I43" s="191">
        <v>339.75</v>
      </c>
      <c r="J43" s="188" t="s">
        <v>624</v>
      </c>
      <c r="K43" s="188" t="s">
        <v>338</v>
      </c>
      <c r="L43" s="188" t="s">
        <v>723</v>
      </c>
      <c r="M43" s="192">
        <f t="shared" si="0"/>
        <v>38</v>
      </c>
      <c r="N43" s="193">
        <f t="shared" si="1"/>
        <v>0.59839587932303162</v>
      </c>
      <c r="O43" s="194">
        <f t="shared" si="2"/>
        <v>1.5747259982185041E-2</v>
      </c>
    </row>
    <row r="44" spans="1:15" ht="12.75" customHeight="1">
      <c r="A44" s="188" t="s">
        <v>620</v>
      </c>
      <c r="B44" s="188" t="s">
        <v>621</v>
      </c>
      <c r="C44" s="188" t="s">
        <v>622</v>
      </c>
      <c r="D44" s="188" t="s">
        <v>724</v>
      </c>
      <c r="E44" s="189">
        <v>39478</v>
      </c>
      <c r="F44" s="190">
        <v>275</v>
      </c>
      <c r="G44" s="190">
        <v>0</v>
      </c>
      <c r="H44" s="191">
        <v>230</v>
      </c>
      <c r="I44" s="191">
        <v>96</v>
      </c>
      <c r="J44" s="188" t="s">
        <v>624</v>
      </c>
      <c r="K44" s="188" t="s">
        <v>338</v>
      </c>
      <c r="L44" s="188" t="s">
        <v>725</v>
      </c>
      <c r="M44" s="192">
        <f t="shared" si="0"/>
        <v>38</v>
      </c>
      <c r="N44" s="193">
        <f t="shared" si="1"/>
        <v>0.59895833333333337</v>
      </c>
      <c r="O44" s="194">
        <f t="shared" si="2"/>
        <v>1.5762061403508772E-2</v>
      </c>
    </row>
    <row r="45" spans="1:15" ht="12.75" customHeight="1">
      <c r="A45" s="188" t="s">
        <v>620</v>
      </c>
      <c r="B45" s="188" t="s">
        <v>621</v>
      </c>
      <c r="C45" s="188" t="s">
        <v>622</v>
      </c>
      <c r="D45" s="188" t="s">
        <v>726</v>
      </c>
      <c r="E45" s="189">
        <v>39373</v>
      </c>
      <c r="F45" s="190">
        <v>1252</v>
      </c>
      <c r="G45" s="190">
        <v>0</v>
      </c>
      <c r="H45" s="191">
        <v>1050</v>
      </c>
      <c r="I45" s="191">
        <v>437.5</v>
      </c>
      <c r="J45" s="188" t="s">
        <v>624</v>
      </c>
      <c r="K45" s="188" t="s">
        <v>338</v>
      </c>
      <c r="L45" s="188" t="s">
        <v>727</v>
      </c>
      <c r="M45" s="192">
        <f t="shared" si="0"/>
        <v>38</v>
      </c>
      <c r="N45" s="193">
        <f t="shared" si="1"/>
        <v>0.6</v>
      </c>
      <c r="O45" s="194">
        <f t="shared" si="2"/>
        <v>1.5789473684210527E-2</v>
      </c>
    </row>
    <row r="46" spans="1:15" ht="12.75" customHeight="1">
      <c r="A46" s="188" t="s">
        <v>620</v>
      </c>
      <c r="B46" s="188" t="s">
        <v>621</v>
      </c>
      <c r="C46" s="188" t="s">
        <v>622</v>
      </c>
      <c r="D46" s="188" t="s">
        <v>728</v>
      </c>
      <c r="E46" s="189">
        <v>39447</v>
      </c>
      <c r="F46" s="190">
        <v>715</v>
      </c>
      <c r="G46" s="190">
        <v>0</v>
      </c>
      <c r="H46" s="191">
        <v>600</v>
      </c>
      <c r="I46" s="191">
        <v>250</v>
      </c>
      <c r="J46" s="188" t="s">
        <v>624</v>
      </c>
      <c r="K46" s="188" t="s">
        <v>338</v>
      </c>
      <c r="L46" s="188" t="s">
        <v>636</v>
      </c>
      <c r="M46" s="192">
        <f t="shared" si="0"/>
        <v>38</v>
      </c>
      <c r="N46" s="193">
        <f t="shared" si="1"/>
        <v>0.6</v>
      </c>
      <c r="O46" s="194">
        <f t="shared" si="2"/>
        <v>1.5789473684210527E-2</v>
      </c>
    </row>
    <row r="47" spans="1:15" ht="12.75" customHeight="1">
      <c r="A47" s="188" t="s">
        <v>620</v>
      </c>
      <c r="B47" s="188" t="s">
        <v>621</v>
      </c>
      <c r="C47" s="188" t="s">
        <v>622</v>
      </c>
      <c r="D47" s="188" t="s">
        <v>729</v>
      </c>
      <c r="E47" s="189">
        <v>39548</v>
      </c>
      <c r="F47" s="190">
        <v>712</v>
      </c>
      <c r="G47" s="190">
        <v>0</v>
      </c>
      <c r="H47" s="191">
        <v>600</v>
      </c>
      <c r="I47" s="191">
        <v>250</v>
      </c>
      <c r="J47" s="188" t="s">
        <v>624</v>
      </c>
      <c r="K47" s="188" t="s">
        <v>338</v>
      </c>
      <c r="L47" s="188" t="s">
        <v>636</v>
      </c>
      <c r="M47" s="192">
        <f t="shared" si="0"/>
        <v>38</v>
      </c>
      <c r="N47" s="193">
        <f t="shared" si="1"/>
        <v>0.6</v>
      </c>
      <c r="O47" s="194">
        <f t="shared" si="2"/>
        <v>1.5789473684210527E-2</v>
      </c>
    </row>
    <row r="48" spans="1:15" ht="12.75" customHeight="1">
      <c r="A48" s="188" t="s">
        <v>620</v>
      </c>
      <c r="B48" s="188" t="s">
        <v>621</v>
      </c>
      <c r="C48" s="188" t="s">
        <v>622</v>
      </c>
      <c r="D48" s="188" t="s">
        <v>730</v>
      </c>
      <c r="E48" s="189">
        <v>39447</v>
      </c>
      <c r="F48" s="190">
        <v>375</v>
      </c>
      <c r="G48" s="190">
        <v>0</v>
      </c>
      <c r="H48" s="191">
        <v>250</v>
      </c>
      <c r="I48" s="191">
        <v>131.25</v>
      </c>
      <c r="J48" s="188" t="s">
        <v>635</v>
      </c>
      <c r="K48" s="188" t="s">
        <v>338</v>
      </c>
      <c r="L48" s="188" t="s">
        <v>731</v>
      </c>
      <c r="M48" s="192">
        <f t="shared" si="0"/>
        <v>30</v>
      </c>
      <c r="N48" s="193">
        <f t="shared" si="1"/>
        <v>0.47619047619047616</v>
      </c>
      <c r="O48" s="194">
        <f t="shared" si="2"/>
        <v>1.5873015873015872E-2</v>
      </c>
    </row>
    <row r="49" spans="1:15" ht="12.75" customHeight="1">
      <c r="A49" s="188" t="s">
        <v>620</v>
      </c>
      <c r="B49" s="188" t="s">
        <v>621</v>
      </c>
      <c r="C49" s="188" t="s">
        <v>622</v>
      </c>
      <c r="D49" s="188" t="s">
        <v>732</v>
      </c>
      <c r="E49" s="189">
        <v>39632</v>
      </c>
      <c r="F49" s="190">
        <v>593</v>
      </c>
      <c r="G49" s="190">
        <v>0</v>
      </c>
      <c r="H49" s="191">
        <v>397</v>
      </c>
      <c r="I49" s="191">
        <v>208</v>
      </c>
      <c r="J49" s="188" t="s">
        <v>639</v>
      </c>
      <c r="K49" s="188" t="s">
        <v>733</v>
      </c>
      <c r="L49" s="188" t="s">
        <v>734</v>
      </c>
      <c r="M49" s="192">
        <f t="shared" si="0"/>
        <v>30</v>
      </c>
      <c r="N49" s="193">
        <f t="shared" si="1"/>
        <v>0.47716346153846156</v>
      </c>
      <c r="O49" s="194">
        <f t="shared" si="2"/>
        <v>1.590544871794872E-2</v>
      </c>
    </row>
    <row r="50" spans="1:15" ht="12.75" customHeight="1">
      <c r="A50" s="188" t="s">
        <v>620</v>
      </c>
      <c r="B50" s="188" t="s">
        <v>621</v>
      </c>
      <c r="C50" s="188" t="s">
        <v>622</v>
      </c>
      <c r="D50" s="188" t="s">
        <v>735</v>
      </c>
      <c r="E50" s="189">
        <v>39359</v>
      </c>
      <c r="F50" s="190">
        <v>721</v>
      </c>
      <c r="G50" s="190">
        <v>0</v>
      </c>
      <c r="H50" s="191">
        <v>482.63</v>
      </c>
      <c r="I50" s="191">
        <v>252</v>
      </c>
      <c r="J50" s="188" t="s">
        <v>639</v>
      </c>
      <c r="K50" s="188" t="s">
        <v>733</v>
      </c>
      <c r="L50" s="188" t="s">
        <v>736</v>
      </c>
      <c r="M50" s="192">
        <f t="shared" si="0"/>
        <v>30</v>
      </c>
      <c r="N50" s="193">
        <f t="shared" si="1"/>
        <v>0.47879960317460318</v>
      </c>
      <c r="O50" s="194">
        <f t="shared" si="2"/>
        <v>1.5959986772486771E-2</v>
      </c>
    </row>
    <row r="51" spans="1:15" ht="12.75" customHeight="1">
      <c r="A51" s="188" t="s">
        <v>620</v>
      </c>
      <c r="B51" s="188" t="s">
        <v>621</v>
      </c>
      <c r="C51" s="188" t="s">
        <v>622</v>
      </c>
      <c r="D51" s="188" t="s">
        <v>737</v>
      </c>
      <c r="E51" s="189">
        <v>39422</v>
      </c>
      <c r="F51" s="190">
        <v>708</v>
      </c>
      <c r="G51" s="190">
        <v>0</v>
      </c>
      <c r="H51" s="191">
        <v>608</v>
      </c>
      <c r="I51" s="191">
        <v>247.5</v>
      </c>
      <c r="J51" s="188" t="s">
        <v>624</v>
      </c>
      <c r="K51" s="188" t="s">
        <v>338</v>
      </c>
      <c r="L51" s="188" t="s">
        <v>738</v>
      </c>
      <c r="M51" s="192">
        <f t="shared" si="0"/>
        <v>38</v>
      </c>
      <c r="N51" s="193">
        <f t="shared" si="1"/>
        <v>0.6141414141414141</v>
      </c>
      <c r="O51" s="194">
        <f t="shared" si="2"/>
        <v>1.6161616161616162E-2</v>
      </c>
    </row>
    <row r="52" spans="1:15" ht="12.75" customHeight="1">
      <c r="A52" s="188" t="s">
        <v>620</v>
      </c>
      <c r="B52" s="188" t="s">
        <v>621</v>
      </c>
      <c r="C52" s="188" t="s">
        <v>622</v>
      </c>
      <c r="D52" s="188" t="s">
        <v>739</v>
      </c>
      <c r="E52" s="189">
        <v>39597</v>
      </c>
      <c r="F52" s="190">
        <v>641</v>
      </c>
      <c r="G52" s="190">
        <v>0</v>
      </c>
      <c r="H52" s="191">
        <v>555</v>
      </c>
      <c r="I52" s="191">
        <v>225</v>
      </c>
      <c r="J52" s="188" t="s">
        <v>624</v>
      </c>
      <c r="K52" s="188" t="s">
        <v>338</v>
      </c>
      <c r="L52" s="188" t="s">
        <v>740</v>
      </c>
      <c r="M52" s="192">
        <f t="shared" si="0"/>
        <v>38</v>
      </c>
      <c r="N52" s="193">
        <f t="shared" si="1"/>
        <v>0.6166666666666667</v>
      </c>
      <c r="O52" s="194">
        <f t="shared" si="2"/>
        <v>1.6228070175438598E-2</v>
      </c>
    </row>
    <row r="53" spans="1:15" ht="12.75" customHeight="1">
      <c r="A53" s="188" t="s">
        <v>620</v>
      </c>
      <c r="B53" s="188" t="s">
        <v>621</v>
      </c>
      <c r="C53" s="188" t="s">
        <v>622</v>
      </c>
      <c r="D53" s="188" t="s">
        <v>741</v>
      </c>
      <c r="E53" s="189">
        <v>39562</v>
      </c>
      <c r="F53" s="190">
        <v>1373</v>
      </c>
      <c r="G53" s="190">
        <v>0</v>
      </c>
      <c r="H53" s="191">
        <v>1038</v>
      </c>
      <c r="I53" s="191">
        <v>482</v>
      </c>
      <c r="J53" s="188" t="s">
        <v>742</v>
      </c>
      <c r="K53" s="188" t="s">
        <v>338</v>
      </c>
      <c r="L53" s="188" t="s">
        <v>743</v>
      </c>
      <c r="M53" s="192">
        <f t="shared" si="0"/>
        <v>33</v>
      </c>
      <c r="N53" s="193">
        <f t="shared" si="1"/>
        <v>0.53838174273858919</v>
      </c>
      <c r="O53" s="194">
        <f t="shared" si="2"/>
        <v>1.6314598264805732E-2</v>
      </c>
    </row>
    <row r="54" spans="1:15" ht="12.75" customHeight="1">
      <c r="A54" s="188" t="s">
        <v>620</v>
      </c>
      <c r="B54" s="188" t="s">
        <v>621</v>
      </c>
      <c r="C54" s="188" t="s">
        <v>622</v>
      </c>
      <c r="D54" s="188" t="s">
        <v>744</v>
      </c>
      <c r="E54" s="189">
        <v>39352</v>
      </c>
      <c r="F54" s="190">
        <v>715</v>
      </c>
      <c r="G54" s="190">
        <v>0</v>
      </c>
      <c r="H54" s="191">
        <v>620</v>
      </c>
      <c r="I54" s="191">
        <v>250</v>
      </c>
      <c r="J54" s="188" t="s">
        <v>624</v>
      </c>
      <c r="K54" s="188" t="s">
        <v>338</v>
      </c>
      <c r="L54" s="188" t="s">
        <v>636</v>
      </c>
      <c r="M54" s="192">
        <f t="shared" si="0"/>
        <v>38</v>
      </c>
      <c r="N54" s="193">
        <f t="shared" si="1"/>
        <v>0.62</v>
      </c>
      <c r="O54" s="194">
        <f t="shared" si="2"/>
        <v>1.6315789473684211E-2</v>
      </c>
    </row>
    <row r="55" spans="1:15" ht="12.75" customHeight="1">
      <c r="A55" s="188" t="s">
        <v>620</v>
      </c>
      <c r="B55" s="188" t="s">
        <v>621</v>
      </c>
      <c r="C55" s="188" t="s">
        <v>622</v>
      </c>
      <c r="D55" s="188" t="s">
        <v>745</v>
      </c>
      <c r="E55" s="189">
        <v>39380</v>
      </c>
      <c r="F55" s="190">
        <v>1073</v>
      </c>
      <c r="G55" s="190">
        <v>0</v>
      </c>
      <c r="H55" s="191">
        <v>930</v>
      </c>
      <c r="I55" s="191">
        <v>375</v>
      </c>
      <c r="J55" s="188" t="s">
        <v>624</v>
      </c>
      <c r="K55" s="188" t="s">
        <v>338</v>
      </c>
      <c r="L55" s="188" t="s">
        <v>746</v>
      </c>
      <c r="M55" s="192">
        <f t="shared" si="0"/>
        <v>38</v>
      </c>
      <c r="N55" s="193">
        <f t="shared" si="1"/>
        <v>0.62</v>
      </c>
      <c r="O55" s="194">
        <f t="shared" si="2"/>
        <v>1.6315789473684211E-2</v>
      </c>
    </row>
    <row r="56" spans="1:15" ht="12.75" customHeight="1">
      <c r="A56" s="188" t="s">
        <v>620</v>
      </c>
      <c r="B56" s="188" t="s">
        <v>621</v>
      </c>
      <c r="C56" s="188" t="s">
        <v>622</v>
      </c>
      <c r="D56" s="188" t="s">
        <v>747</v>
      </c>
      <c r="E56" s="189">
        <v>39485</v>
      </c>
      <c r="F56" s="190">
        <v>721</v>
      </c>
      <c r="G56" s="190">
        <v>0</v>
      </c>
      <c r="H56" s="191">
        <v>625</v>
      </c>
      <c r="I56" s="191">
        <v>252</v>
      </c>
      <c r="J56" s="188" t="s">
        <v>624</v>
      </c>
      <c r="K56" s="188" t="s">
        <v>338</v>
      </c>
      <c r="L56" s="188" t="s">
        <v>736</v>
      </c>
      <c r="M56" s="192">
        <f t="shared" si="0"/>
        <v>38</v>
      </c>
      <c r="N56" s="193">
        <f t="shared" si="1"/>
        <v>0.62003968253968256</v>
      </c>
      <c r="O56" s="194">
        <f t="shared" si="2"/>
        <v>1.6316833751044278E-2</v>
      </c>
    </row>
    <row r="57" spans="1:15" ht="12.75" customHeight="1">
      <c r="A57" s="188" t="s">
        <v>620</v>
      </c>
      <c r="B57" s="188" t="s">
        <v>621</v>
      </c>
      <c r="C57" s="188" t="s">
        <v>622</v>
      </c>
      <c r="D57" s="188" t="s">
        <v>748</v>
      </c>
      <c r="E57" s="189">
        <v>39415</v>
      </c>
      <c r="F57" s="190">
        <v>843</v>
      </c>
      <c r="G57" s="190">
        <v>0</v>
      </c>
      <c r="H57" s="191">
        <v>733</v>
      </c>
      <c r="I57" s="191">
        <v>294.5</v>
      </c>
      <c r="J57" s="188" t="s">
        <v>624</v>
      </c>
      <c r="K57" s="188" t="s">
        <v>338</v>
      </c>
      <c r="L57" s="188" t="s">
        <v>420</v>
      </c>
      <c r="M57" s="192">
        <f t="shared" si="0"/>
        <v>38</v>
      </c>
      <c r="N57" s="193">
        <f t="shared" si="1"/>
        <v>0.62224108658743638</v>
      </c>
      <c r="O57" s="194">
        <f t="shared" si="2"/>
        <v>1.6374765436511483E-2</v>
      </c>
    </row>
    <row r="58" spans="1:15" ht="12.75" customHeight="1">
      <c r="A58" s="188" t="s">
        <v>620</v>
      </c>
      <c r="B58" s="188" t="s">
        <v>621</v>
      </c>
      <c r="C58" s="188" t="s">
        <v>622</v>
      </c>
      <c r="D58" s="188" t="s">
        <v>749</v>
      </c>
      <c r="E58" s="189">
        <v>39520</v>
      </c>
      <c r="F58" s="190">
        <v>819</v>
      </c>
      <c r="G58" s="190">
        <v>0</v>
      </c>
      <c r="H58" s="191">
        <v>529</v>
      </c>
      <c r="I58" s="191">
        <v>287.5</v>
      </c>
      <c r="J58" s="188" t="s">
        <v>750</v>
      </c>
      <c r="K58" s="188" t="s">
        <v>338</v>
      </c>
      <c r="L58" s="188" t="s">
        <v>697</v>
      </c>
      <c r="M58" s="192">
        <f t="shared" si="0"/>
        <v>28</v>
      </c>
      <c r="N58" s="193">
        <f t="shared" si="1"/>
        <v>0.46</v>
      </c>
      <c r="O58" s="194">
        <f t="shared" si="2"/>
        <v>1.6428571428571428E-2</v>
      </c>
    </row>
    <row r="59" spans="1:15" ht="12.75" customHeight="1">
      <c r="A59" s="188" t="s">
        <v>620</v>
      </c>
      <c r="B59" s="188" t="s">
        <v>621</v>
      </c>
      <c r="C59" s="188" t="s">
        <v>622</v>
      </c>
      <c r="D59" s="188" t="s">
        <v>751</v>
      </c>
      <c r="E59" s="189">
        <v>39541</v>
      </c>
      <c r="F59" s="190">
        <v>570</v>
      </c>
      <c r="G59" s="190">
        <v>0</v>
      </c>
      <c r="H59" s="191">
        <v>500</v>
      </c>
      <c r="I59" s="191">
        <v>200</v>
      </c>
      <c r="J59" s="188" t="s">
        <v>624</v>
      </c>
      <c r="K59" s="188" t="s">
        <v>338</v>
      </c>
      <c r="L59" s="188" t="s">
        <v>752</v>
      </c>
      <c r="M59" s="192">
        <f t="shared" si="0"/>
        <v>38</v>
      </c>
      <c r="N59" s="193">
        <f t="shared" si="1"/>
        <v>0.625</v>
      </c>
      <c r="O59" s="194">
        <f t="shared" si="2"/>
        <v>1.6447368421052631E-2</v>
      </c>
    </row>
    <row r="60" spans="1:15" ht="12.75" customHeight="1">
      <c r="A60" s="188" t="s">
        <v>620</v>
      </c>
      <c r="B60" s="188" t="s">
        <v>621</v>
      </c>
      <c r="C60" s="188" t="s">
        <v>622</v>
      </c>
      <c r="D60" s="188" t="s">
        <v>753</v>
      </c>
      <c r="E60" s="189">
        <v>39471</v>
      </c>
      <c r="F60" s="190">
        <v>1001</v>
      </c>
      <c r="G60" s="190">
        <v>0</v>
      </c>
      <c r="H60" s="191">
        <v>700</v>
      </c>
      <c r="I60" s="191">
        <v>350</v>
      </c>
      <c r="J60" s="188" t="s">
        <v>652</v>
      </c>
      <c r="K60" s="188" t="s">
        <v>549</v>
      </c>
      <c r="L60" s="188" t="s">
        <v>754</v>
      </c>
      <c r="M60" s="192">
        <f t="shared" si="0"/>
        <v>30</v>
      </c>
      <c r="N60" s="193">
        <f t="shared" si="1"/>
        <v>0.5</v>
      </c>
      <c r="O60" s="194">
        <f t="shared" si="2"/>
        <v>1.6666666666666666E-2</v>
      </c>
    </row>
    <row r="61" spans="1:15" ht="12.75" customHeight="1">
      <c r="A61" s="188" t="s">
        <v>620</v>
      </c>
      <c r="B61" s="188" t="s">
        <v>621</v>
      </c>
      <c r="C61" s="188" t="s">
        <v>622</v>
      </c>
      <c r="D61" s="188" t="s">
        <v>755</v>
      </c>
      <c r="E61" s="189">
        <v>39534</v>
      </c>
      <c r="F61" s="190">
        <v>1424</v>
      </c>
      <c r="G61" s="190">
        <v>0</v>
      </c>
      <c r="H61" s="191">
        <v>1000</v>
      </c>
      <c r="I61" s="191">
        <v>500</v>
      </c>
      <c r="J61" s="188" t="s">
        <v>635</v>
      </c>
      <c r="K61" s="188" t="s">
        <v>338</v>
      </c>
      <c r="L61" s="188" t="s">
        <v>756</v>
      </c>
      <c r="M61" s="192">
        <f t="shared" si="0"/>
        <v>30</v>
      </c>
      <c r="N61" s="193">
        <f t="shared" si="1"/>
        <v>0.5</v>
      </c>
      <c r="O61" s="194">
        <f t="shared" si="2"/>
        <v>1.6666666666666666E-2</v>
      </c>
    </row>
    <row r="62" spans="1:15" ht="12.75" customHeight="1">
      <c r="A62" s="188" t="s">
        <v>620</v>
      </c>
      <c r="B62" s="188" t="s">
        <v>621</v>
      </c>
      <c r="C62" s="188" t="s">
        <v>622</v>
      </c>
      <c r="D62" s="188" t="s">
        <v>757</v>
      </c>
      <c r="E62" s="189">
        <v>39541</v>
      </c>
      <c r="F62" s="190">
        <v>1139</v>
      </c>
      <c r="G62" s="190">
        <v>0</v>
      </c>
      <c r="H62" s="191">
        <v>800</v>
      </c>
      <c r="I62" s="191">
        <v>400</v>
      </c>
      <c r="J62" s="188" t="s">
        <v>635</v>
      </c>
      <c r="K62" s="188" t="s">
        <v>338</v>
      </c>
      <c r="L62" s="188" t="s">
        <v>625</v>
      </c>
      <c r="M62" s="192">
        <f t="shared" si="0"/>
        <v>30</v>
      </c>
      <c r="N62" s="193">
        <f t="shared" si="1"/>
        <v>0.5</v>
      </c>
      <c r="O62" s="194">
        <f t="shared" si="2"/>
        <v>1.6666666666666666E-2</v>
      </c>
    </row>
    <row r="63" spans="1:15" ht="12.75" customHeight="1">
      <c r="A63" s="188" t="s">
        <v>620</v>
      </c>
      <c r="B63" s="188" t="s">
        <v>621</v>
      </c>
      <c r="C63" s="188" t="s">
        <v>622</v>
      </c>
      <c r="D63" s="188" t="s">
        <v>758</v>
      </c>
      <c r="E63" s="189">
        <v>39380</v>
      </c>
      <c r="F63" s="190">
        <v>543</v>
      </c>
      <c r="G63" s="190">
        <v>0</v>
      </c>
      <c r="H63" s="191">
        <v>486</v>
      </c>
      <c r="I63" s="191">
        <v>190</v>
      </c>
      <c r="J63" s="188" t="s">
        <v>624</v>
      </c>
      <c r="K63" s="188" t="s">
        <v>338</v>
      </c>
      <c r="L63" s="188" t="s">
        <v>759</v>
      </c>
      <c r="M63" s="192">
        <f t="shared" si="0"/>
        <v>38</v>
      </c>
      <c r="N63" s="193">
        <f t="shared" si="1"/>
        <v>0.63947368421052631</v>
      </c>
      <c r="O63" s="194">
        <f t="shared" si="2"/>
        <v>1.682825484764543E-2</v>
      </c>
    </row>
    <row r="64" spans="1:15" ht="12.75" customHeight="1">
      <c r="A64" s="188" t="s">
        <v>620</v>
      </c>
      <c r="B64" s="188" t="s">
        <v>621</v>
      </c>
      <c r="C64" s="188" t="s">
        <v>622</v>
      </c>
      <c r="D64" s="188" t="s">
        <v>760</v>
      </c>
      <c r="E64" s="189">
        <v>39485</v>
      </c>
      <c r="F64" s="190">
        <v>1287</v>
      </c>
      <c r="G64" s="190">
        <v>0</v>
      </c>
      <c r="H64" s="191">
        <v>910</v>
      </c>
      <c r="I64" s="191">
        <v>450</v>
      </c>
      <c r="J64" s="188" t="s">
        <v>667</v>
      </c>
      <c r="K64" s="188" t="s">
        <v>648</v>
      </c>
      <c r="L64" s="188" t="s">
        <v>718</v>
      </c>
      <c r="M64" s="192">
        <f t="shared" si="0"/>
        <v>30</v>
      </c>
      <c r="N64" s="193">
        <f t="shared" si="1"/>
        <v>0.50555555555555554</v>
      </c>
      <c r="O64" s="194">
        <f t="shared" si="2"/>
        <v>1.6851851851851851E-2</v>
      </c>
    </row>
    <row r="65" spans="1:15" ht="12.75" customHeight="1">
      <c r="A65" s="188" t="s">
        <v>620</v>
      </c>
      <c r="B65" s="188" t="s">
        <v>621</v>
      </c>
      <c r="C65" s="188" t="s">
        <v>622</v>
      </c>
      <c r="D65" s="188" t="s">
        <v>761</v>
      </c>
      <c r="E65" s="189">
        <v>39373</v>
      </c>
      <c r="F65" s="190">
        <v>1287</v>
      </c>
      <c r="G65" s="190">
        <v>0</v>
      </c>
      <c r="H65" s="191">
        <v>912</v>
      </c>
      <c r="I65" s="191">
        <v>450</v>
      </c>
      <c r="J65" s="188" t="s">
        <v>635</v>
      </c>
      <c r="K65" s="188" t="s">
        <v>338</v>
      </c>
      <c r="L65" s="188" t="s">
        <v>718</v>
      </c>
      <c r="M65" s="192">
        <f t="shared" si="0"/>
        <v>30</v>
      </c>
      <c r="N65" s="193">
        <f t="shared" si="1"/>
        <v>0.50666666666666671</v>
      </c>
      <c r="O65" s="194">
        <f t="shared" si="2"/>
        <v>1.6888888888888891E-2</v>
      </c>
    </row>
    <row r="66" spans="1:15" ht="12.75" customHeight="1">
      <c r="A66" s="188" t="s">
        <v>620</v>
      </c>
      <c r="B66" s="188" t="s">
        <v>621</v>
      </c>
      <c r="C66" s="188" t="s">
        <v>622</v>
      </c>
      <c r="D66" s="188" t="s">
        <v>762</v>
      </c>
      <c r="E66" s="189">
        <v>39611</v>
      </c>
      <c r="F66" s="190">
        <v>641</v>
      </c>
      <c r="G66" s="190">
        <v>0</v>
      </c>
      <c r="H66" s="191">
        <v>578</v>
      </c>
      <c r="I66" s="191">
        <v>225</v>
      </c>
      <c r="J66" s="188" t="s">
        <v>624</v>
      </c>
      <c r="K66" s="188" t="s">
        <v>338</v>
      </c>
      <c r="L66" s="188" t="s">
        <v>740</v>
      </c>
      <c r="M66" s="192">
        <f t="shared" ref="M66:M129" si="3">K66-J66</f>
        <v>38</v>
      </c>
      <c r="N66" s="193">
        <f t="shared" ref="N66:N129" si="4">H66/L66</f>
        <v>0.64222222222222225</v>
      </c>
      <c r="O66" s="194">
        <f t="shared" ref="O66:O129" si="5">N66/M66</f>
        <v>1.6900584795321638E-2</v>
      </c>
    </row>
    <row r="67" spans="1:15" ht="12.75" customHeight="1">
      <c r="A67" s="188" t="s">
        <v>620</v>
      </c>
      <c r="B67" s="188" t="s">
        <v>621</v>
      </c>
      <c r="C67" s="188" t="s">
        <v>622</v>
      </c>
      <c r="D67" s="188" t="s">
        <v>763</v>
      </c>
      <c r="E67" s="189">
        <v>39548</v>
      </c>
      <c r="F67" s="190">
        <v>958</v>
      </c>
      <c r="G67" s="190">
        <v>0</v>
      </c>
      <c r="H67" s="191">
        <v>864</v>
      </c>
      <c r="I67" s="191">
        <v>336</v>
      </c>
      <c r="J67" s="188" t="s">
        <v>624</v>
      </c>
      <c r="K67" s="188" t="s">
        <v>338</v>
      </c>
      <c r="L67" s="188" t="s">
        <v>764</v>
      </c>
      <c r="M67" s="192">
        <f t="shared" si="3"/>
        <v>38</v>
      </c>
      <c r="N67" s="193">
        <f t="shared" si="4"/>
        <v>0.6428571428571429</v>
      </c>
      <c r="O67" s="194">
        <f t="shared" si="5"/>
        <v>1.6917293233082709E-2</v>
      </c>
    </row>
    <row r="68" spans="1:15" ht="12.75" customHeight="1">
      <c r="A68" s="188" t="s">
        <v>620</v>
      </c>
      <c r="B68" s="188" t="s">
        <v>621</v>
      </c>
      <c r="C68" s="188" t="s">
        <v>622</v>
      </c>
      <c r="D68" s="188" t="s">
        <v>765</v>
      </c>
      <c r="E68" s="189">
        <v>39478</v>
      </c>
      <c r="F68" s="190">
        <v>740</v>
      </c>
      <c r="G68" s="190">
        <v>0</v>
      </c>
      <c r="H68" s="191">
        <v>667</v>
      </c>
      <c r="I68" s="191">
        <v>259</v>
      </c>
      <c r="J68" s="188" t="s">
        <v>624</v>
      </c>
      <c r="K68" s="188" t="s">
        <v>338</v>
      </c>
      <c r="L68" s="188" t="s">
        <v>766</v>
      </c>
      <c r="M68" s="192">
        <f t="shared" si="3"/>
        <v>38</v>
      </c>
      <c r="N68" s="193">
        <f t="shared" si="4"/>
        <v>0.64382239382239381</v>
      </c>
      <c r="O68" s="194">
        <f t="shared" si="5"/>
        <v>1.6942694574273522E-2</v>
      </c>
    </row>
    <row r="69" spans="1:15" ht="12.75" customHeight="1">
      <c r="A69" s="188" t="s">
        <v>620</v>
      </c>
      <c r="B69" s="188" t="s">
        <v>621</v>
      </c>
      <c r="C69" s="188" t="s">
        <v>622</v>
      </c>
      <c r="D69" s="188" t="s">
        <v>767</v>
      </c>
      <c r="E69" s="189">
        <v>39632</v>
      </c>
      <c r="F69" s="190">
        <v>1034</v>
      </c>
      <c r="G69" s="190">
        <v>0</v>
      </c>
      <c r="H69" s="191">
        <v>740</v>
      </c>
      <c r="I69" s="191">
        <v>363</v>
      </c>
      <c r="J69" s="188" t="s">
        <v>635</v>
      </c>
      <c r="K69" s="188" t="s">
        <v>338</v>
      </c>
      <c r="L69" s="188" t="s">
        <v>768</v>
      </c>
      <c r="M69" s="192">
        <f t="shared" si="3"/>
        <v>30</v>
      </c>
      <c r="N69" s="193">
        <f t="shared" si="4"/>
        <v>0.50964187327823696</v>
      </c>
      <c r="O69" s="194">
        <f t="shared" si="5"/>
        <v>1.69880624426079E-2</v>
      </c>
    </row>
    <row r="70" spans="1:15" ht="12.75" customHeight="1">
      <c r="A70" s="188" t="s">
        <v>620</v>
      </c>
      <c r="B70" s="188" t="s">
        <v>621</v>
      </c>
      <c r="C70" s="188" t="s">
        <v>622</v>
      </c>
      <c r="D70" s="188" t="s">
        <v>769</v>
      </c>
      <c r="E70" s="189">
        <v>39352</v>
      </c>
      <c r="F70" s="190">
        <v>285</v>
      </c>
      <c r="G70" s="190">
        <v>0</v>
      </c>
      <c r="H70" s="191">
        <v>257</v>
      </c>
      <c r="I70" s="191">
        <v>99.5</v>
      </c>
      <c r="J70" s="188" t="s">
        <v>624</v>
      </c>
      <c r="K70" s="188" t="s">
        <v>338</v>
      </c>
      <c r="L70" s="188" t="s">
        <v>770</v>
      </c>
      <c r="M70" s="192">
        <f t="shared" si="3"/>
        <v>38</v>
      </c>
      <c r="N70" s="193">
        <f t="shared" si="4"/>
        <v>0.64572864321608037</v>
      </c>
      <c r="O70" s="194">
        <f t="shared" si="5"/>
        <v>1.6992859032002115E-2</v>
      </c>
    </row>
    <row r="71" spans="1:15" ht="12.75" customHeight="1">
      <c r="A71" s="188" t="s">
        <v>620</v>
      </c>
      <c r="B71" s="188" t="s">
        <v>621</v>
      </c>
      <c r="C71" s="188" t="s">
        <v>622</v>
      </c>
      <c r="D71" s="188" t="s">
        <v>771</v>
      </c>
      <c r="E71" s="189">
        <v>39499</v>
      </c>
      <c r="F71" s="190">
        <v>1384</v>
      </c>
      <c r="G71" s="190">
        <v>0</v>
      </c>
      <c r="H71" s="191">
        <v>1250</v>
      </c>
      <c r="I71" s="191">
        <v>483.75</v>
      </c>
      <c r="J71" s="188" t="s">
        <v>624</v>
      </c>
      <c r="K71" s="188" t="s">
        <v>338</v>
      </c>
      <c r="L71" s="188" t="s">
        <v>772</v>
      </c>
      <c r="M71" s="192">
        <f t="shared" si="3"/>
        <v>38</v>
      </c>
      <c r="N71" s="193">
        <f t="shared" si="4"/>
        <v>0.64599483204134367</v>
      </c>
      <c r="O71" s="194">
        <f t="shared" si="5"/>
        <v>1.6999864001087991E-2</v>
      </c>
    </row>
    <row r="72" spans="1:15" ht="12.75" customHeight="1">
      <c r="A72" s="188" t="s">
        <v>620</v>
      </c>
      <c r="B72" s="188" t="s">
        <v>621</v>
      </c>
      <c r="C72" s="188" t="s">
        <v>622</v>
      </c>
      <c r="D72" s="188" t="s">
        <v>773</v>
      </c>
      <c r="E72" s="189">
        <v>39401</v>
      </c>
      <c r="F72" s="190">
        <v>972</v>
      </c>
      <c r="G72" s="190">
        <v>0</v>
      </c>
      <c r="H72" s="191">
        <v>880</v>
      </c>
      <c r="I72" s="191">
        <v>340</v>
      </c>
      <c r="J72" s="188" t="s">
        <v>624</v>
      </c>
      <c r="K72" s="188" t="s">
        <v>338</v>
      </c>
      <c r="L72" s="188" t="s">
        <v>774</v>
      </c>
      <c r="M72" s="192">
        <f t="shared" si="3"/>
        <v>38</v>
      </c>
      <c r="N72" s="193">
        <f t="shared" si="4"/>
        <v>0.6470588235294118</v>
      </c>
      <c r="O72" s="194">
        <f t="shared" si="5"/>
        <v>1.7027863777089786E-2</v>
      </c>
    </row>
    <row r="73" spans="1:15" ht="12.75" customHeight="1">
      <c r="A73" s="188" t="s">
        <v>620</v>
      </c>
      <c r="B73" s="188" t="s">
        <v>621</v>
      </c>
      <c r="C73" s="188" t="s">
        <v>622</v>
      </c>
      <c r="D73" s="188" t="s">
        <v>775</v>
      </c>
      <c r="E73" s="189">
        <v>39555</v>
      </c>
      <c r="F73" s="190">
        <v>855</v>
      </c>
      <c r="G73" s="190">
        <v>0</v>
      </c>
      <c r="H73" s="191">
        <v>472</v>
      </c>
      <c r="I73" s="191">
        <v>300</v>
      </c>
      <c r="J73" s="188" t="s">
        <v>571</v>
      </c>
      <c r="K73" s="188" t="s">
        <v>338</v>
      </c>
      <c r="L73" s="188" t="s">
        <v>632</v>
      </c>
      <c r="M73" s="192">
        <f t="shared" si="3"/>
        <v>23</v>
      </c>
      <c r="N73" s="193">
        <f t="shared" si="4"/>
        <v>0.39333333333333331</v>
      </c>
      <c r="O73" s="194">
        <f t="shared" si="5"/>
        <v>1.7101449275362317E-2</v>
      </c>
    </row>
    <row r="74" spans="1:15" ht="12.75" customHeight="1">
      <c r="A74" s="188" t="s">
        <v>620</v>
      </c>
      <c r="B74" s="188" t="s">
        <v>621</v>
      </c>
      <c r="C74" s="188" t="s">
        <v>622</v>
      </c>
      <c r="D74" s="188" t="s">
        <v>776</v>
      </c>
      <c r="E74" s="189">
        <v>39478</v>
      </c>
      <c r="F74" s="190">
        <v>1604</v>
      </c>
      <c r="G74" s="190">
        <v>0</v>
      </c>
      <c r="H74" s="191">
        <v>1460</v>
      </c>
      <c r="I74" s="191">
        <v>560.75</v>
      </c>
      <c r="J74" s="188" t="s">
        <v>624</v>
      </c>
      <c r="K74" s="188" t="s">
        <v>338</v>
      </c>
      <c r="L74" s="188" t="s">
        <v>777</v>
      </c>
      <c r="M74" s="192">
        <f t="shared" si="3"/>
        <v>38</v>
      </c>
      <c r="N74" s="193">
        <f t="shared" si="4"/>
        <v>0.65091395452518952</v>
      </c>
      <c r="O74" s="194">
        <f t="shared" si="5"/>
        <v>1.7129314592768147E-2</v>
      </c>
    </row>
    <row r="75" spans="1:15" ht="12.75" customHeight="1">
      <c r="A75" s="188" t="s">
        <v>620</v>
      </c>
      <c r="B75" s="188" t="s">
        <v>621</v>
      </c>
      <c r="C75" s="188" t="s">
        <v>622</v>
      </c>
      <c r="D75" s="188" t="s">
        <v>778</v>
      </c>
      <c r="E75" s="189">
        <v>39513</v>
      </c>
      <c r="F75" s="190">
        <v>641</v>
      </c>
      <c r="G75" s="190">
        <v>0</v>
      </c>
      <c r="H75" s="191">
        <v>465</v>
      </c>
      <c r="I75" s="191">
        <v>225</v>
      </c>
      <c r="J75" s="188" t="s">
        <v>635</v>
      </c>
      <c r="K75" s="188" t="s">
        <v>338</v>
      </c>
      <c r="L75" s="188" t="s">
        <v>740</v>
      </c>
      <c r="M75" s="192">
        <f t="shared" si="3"/>
        <v>30</v>
      </c>
      <c r="N75" s="193">
        <f t="shared" si="4"/>
        <v>0.51666666666666672</v>
      </c>
      <c r="O75" s="194">
        <f t="shared" si="5"/>
        <v>1.7222222222222226E-2</v>
      </c>
    </row>
    <row r="76" spans="1:15" ht="12.75" customHeight="1">
      <c r="A76" s="188" t="s">
        <v>620</v>
      </c>
      <c r="B76" s="188" t="s">
        <v>621</v>
      </c>
      <c r="C76" s="188" t="s">
        <v>622</v>
      </c>
      <c r="D76" s="188" t="s">
        <v>779</v>
      </c>
      <c r="E76" s="189">
        <v>39639</v>
      </c>
      <c r="F76" s="190">
        <v>1240</v>
      </c>
      <c r="G76" s="190">
        <v>0</v>
      </c>
      <c r="H76" s="191">
        <v>900</v>
      </c>
      <c r="I76" s="191">
        <v>435.25</v>
      </c>
      <c r="J76" s="188" t="s">
        <v>635</v>
      </c>
      <c r="K76" s="188" t="s">
        <v>338</v>
      </c>
      <c r="L76" s="188" t="s">
        <v>780</v>
      </c>
      <c r="M76" s="192">
        <f t="shared" si="3"/>
        <v>30</v>
      </c>
      <c r="N76" s="193">
        <f t="shared" si="4"/>
        <v>0.51694428489373923</v>
      </c>
      <c r="O76" s="194">
        <f t="shared" si="5"/>
        <v>1.7231476163124641E-2</v>
      </c>
    </row>
    <row r="77" spans="1:15" ht="12.75" customHeight="1">
      <c r="A77" s="188" t="s">
        <v>620</v>
      </c>
      <c r="B77" s="188" t="s">
        <v>621</v>
      </c>
      <c r="C77" s="188" t="s">
        <v>622</v>
      </c>
      <c r="D77" s="188" t="s">
        <v>781</v>
      </c>
      <c r="E77" s="189">
        <v>39282</v>
      </c>
      <c r="F77" s="190">
        <v>1931</v>
      </c>
      <c r="G77" s="190">
        <v>0</v>
      </c>
      <c r="H77" s="191">
        <v>1350</v>
      </c>
      <c r="I77" s="191">
        <v>675</v>
      </c>
      <c r="J77" s="188" t="s">
        <v>667</v>
      </c>
      <c r="K77" s="188" t="s">
        <v>442</v>
      </c>
      <c r="L77" s="188" t="s">
        <v>782</v>
      </c>
      <c r="M77" s="192">
        <f t="shared" si="3"/>
        <v>29</v>
      </c>
      <c r="N77" s="193">
        <f t="shared" si="4"/>
        <v>0.5</v>
      </c>
      <c r="O77" s="194">
        <f t="shared" si="5"/>
        <v>1.7241379310344827E-2</v>
      </c>
    </row>
    <row r="78" spans="1:15" ht="12.75" customHeight="1">
      <c r="A78" s="188" t="s">
        <v>620</v>
      </c>
      <c r="B78" s="188" t="s">
        <v>621</v>
      </c>
      <c r="C78" s="188" t="s">
        <v>622</v>
      </c>
      <c r="D78" s="188" t="s">
        <v>783</v>
      </c>
      <c r="E78" s="189">
        <v>39513</v>
      </c>
      <c r="F78" s="190">
        <v>855</v>
      </c>
      <c r="G78" s="190">
        <v>0</v>
      </c>
      <c r="H78" s="191">
        <v>790</v>
      </c>
      <c r="I78" s="191">
        <v>300</v>
      </c>
      <c r="J78" s="188" t="s">
        <v>624</v>
      </c>
      <c r="K78" s="188" t="s">
        <v>338</v>
      </c>
      <c r="L78" s="188" t="s">
        <v>632</v>
      </c>
      <c r="M78" s="192">
        <f t="shared" si="3"/>
        <v>38</v>
      </c>
      <c r="N78" s="193">
        <f t="shared" si="4"/>
        <v>0.65833333333333333</v>
      </c>
      <c r="O78" s="194">
        <f t="shared" si="5"/>
        <v>1.732456140350877E-2</v>
      </c>
    </row>
    <row r="79" spans="1:15" ht="12.75" customHeight="1">
      <c r="A79" s="188" t="s">
        <v>620</v>
      </c>
      <c r="B79" s="188" t="s">
        <v>621</v>
      </c>
      <c r="C79" s="188" t="s">
        <v>622</v>
      </c>
      <c r="D79" s="188" t="s">
        <v>784</v>
      </c>
      <c r="E79" s="189">
        <v>39317</v>
      </c>
      <c r="F79" s="190">
        <v>823</v>
      </c>
      <c r="G79" s="190">
        <v>0</v>
      </c>
      <c r="H79" s="191">
        <v>460</v>
      </c>
      <c r="I79" s="191">
        <v>287.5</v>
      </c>
      <c r="J79" s="188" t="s">
        <v>571</v>
      </c>
      <c r="K79" s="188" t="s">
        <v>338</v>
      </c>
      <c r="L79" s="188" t="s">
        <v>697</v>
      </c>
      <c r="M79" s="192">
        <f t="shared" si="3"/>
        <v>23</v>
      </c>
      <c r="N79" s="193">
        <f t="shared" si="4"/>
        <v>0.4</v>
      </c>
      <c r="O79" s="194">
        <f t="shared" si="5"/>
        <v>1.7391304347826087E-2</v>
      </c>
    </row>
    <row r="80" spans="1:15" ht="12.75" customHeight="1">
      <c r="A80" s="188" t="s">
        <v>620</v>
      </c>
      <c r="B80" s="188" t="s">
        <v>621</v>
      </c>
      <c r="C80" s="188" t="s">
        <v>622</v>
      </c>
      <c r="D80" s="188" t="s">
        <v>785</v>
      </c>
      <c r="E80" s="189">
        <v>39513</v>
      </c>
      <c r="F80" s="190">
        <v>1157</v>
      </c>
      <c r="G80" s="190">
        <v>0</v>
      </c>
      <c r="H80" s="191">
        <v>854</v>
      </c>
      <c r="I80" s="191">
        <v>406</v>
      </c>
      <c r="J80" s="188" t="s">
        <v>635</v>
      </c>
      <c r="K80" s="188" t="s">
        <v>338</v>
      </c>
      <c r="L80" s="188" t="s">
        <v>786</v>
      </c>
      <c r="M80" s="192">
        <f t="shared" si="3"/>
        <v>30</v>
      </c>
      <c r="N80" s="193">
        <f t="shared" si="4"/>
        <v>0.52586206896551724</v>
      </c>
      <c r="O80" s="194">
        <f t="shared" si="5"/>
        <v>1.752873563218391E-2</v>
      </c>
    </row>
    <row r="81" spans="1:15" ht="12.75" customHeight="1">
      <c r="A81" s="188" t="s">
        <v>620</v>
      </c>
      <c r="B81" s="188" t="s">
        <v>621</v>
      </c>
      <c r="C81" s="188" t="s">
        <v>622</v>
      </c>
      <c r="D81" s="188" t="s">
        <v>787</v>
      </c>
      <c r="E81" s="189">
        <v>39447</v>
      </c>
      <c r="F81" s="190">
        <v>2116</v>
      </c>
      <c r="G81" s="190">
        <v>0</v>
      </c>
      <c r="H81" s="191">
        <v>1664</v>
      </c>
      <c r="I81" s="191">
        <v>740</v>
      </c>
      <c r="J81" s="188" t="s">
        <v>353</v>
      </c>
      <c r="K81" s="188" t="s">
        <v>338</v>
      </c>
      <c r="L81" s="188" t="s">
        <v>788</v>
      </c>
      <c r="M81" s="192">
        <f t="shared" si="3"/>
        <v>32</v>
      </c>
      <c r="N81" s="193">
        <f t="shared" si="4"/>
        <v>0.56216216216216219</v>
      </c>
      <c r="O81" s="194">
        <f t="shared" si="5"/>
        <v>1.7567567567567569E-2</v>
      </c>
    </row>
    <row r="82" spans="1:15" ht="12.75" customHeight="1">
      <c r="A82" s="188" t="s">
        <v>620</v>
      </c>
      <c r="B82" s="188" t="s">
        <v>621</v>
      </c>
      <c r="C82" s="188" t="s">
        <v>622</v>
      </c>
      <c r="D82" s="188" t="s">
        <v>789</v>
      </c>
      <c r="E82" s="189">
        <v>39407</v>
      </c>
      <c r="F82" s="190">
        <v>849</v>
      </c>
      <c r="G82" s="190">
        <v>0</v>
      </c>
      <c r="H82" s="191">
        <v>628</v>
      </c>
      <c r="I82" s="191">
        <v>297</v>
      </c>
      <c r="J82" s="188" t="s">
        <v>635</v>
      </c>
      <c r="K82" s="188" t="s">
        <v>338</v>
      </c>
      <c r="L82" s="188" t="s">
        <v>790</v>
      </c>
      <c r="M82" s="192">
        <f t="shared" si="3"/>
        <v>30</v>
      </c>
      <c r="N82" s="193">
        <f t="shared" si="4"/>
        <v>0.52861952861952866</v>
      </c>
      <c r="O82" s="194">
        <f t="shared" si="5"/>
        <v>1.7620650953984289E-2</v>
      </c>
    </row>
    <row r="83" spans="1:15" ht="12.75" customHeight="1">
      <c r="A83" s="188" t="s">
        <v>620</v>
      </c>
      <c r="B83" s="188" t="s">
        <v>621</v>
      </c>
      <c r="C83" s="188" t="s">
        <v>622</v>
      </c>
      <c r="D83" s="188" t="s">
        <v>791</v>
      </c>
      <c r="E83" s="189">
        <v>39555</v>
      </c>
      <c r="F83" s="190">
        <v>1115</v>
      </c>
      <c r="G83" s="190">
        <v>0</v>
      </c>
      <c r="H83" s="191">
        <v>525</v>
      </c>
      <c r="I83" s="191">
        <v>391.5</v>
      </c>
      <c r="J83" s="188" t="s">
        <v>667</v>
      </c>
      <c r="K83" s="188" t="s">
        <v>338</v>
      </c>
      <c r="L83" s="188" t="s">
        <v>792</v>
      </c>
      <c r="M83" s="192">
        <f t="shared" si="3"/>
        <v>19</v>
      </c>
      <c r="N83" s="193">
        <f t="shared" si="4"/>
        <v>0.33524904214559387</v>
      </c>
      <c r="O83" s="194">
        <f t="shared" si="5"/>
        <v>1.7644686428715466E-2</v>
      </c>
    </row>
    <row r="84" spans="1:15" ht="12.75" customHeight="1">
      <c r="A84" s="188" t="s">
        <v>620</v>
      </c>
      <c r="B84" s="188" t="s">
        <v>621</v>
      </c>
      <c r="C84" s="188" t="s">
        <v>622</v>
      </c>
      <c r="D84" s="188" t="s">
        <v>793</v>
      </c>
      <c r="E84" s="189">
        <v>39527</v>
      </c>
      <c r="F84" s="190">
        <v>1837</v>
      </c>
      <c r="G84" s="190">
        <v>0</v>
      </c>
      <c r="H84" s="191">
        <v>1735</v>
      </c>
      <c r="I84" s="191">
        <v>645</v>
      </c>
      <c r="J84" s="188" t="s">
        <v>624</v>
      </c>
      <c r="K84" s="188" t="s">
        <v>338</v>
      </c>
      <c r="L84" s="188" t="s">
        <v>794</v>
      </c>
      <c r="M84" s="192">
        <f t="shared" si="3"/>
        <v>38</v>
      </c>
      <c r="N84" s="193">
        <f t="shared" si="4"/>
        <v>0.67248062015503873</v>
      </c>
      <c r="O84" s="194">
        <f t="shared" si="5"/>
        <v>1.7696858425132599E-2</v>
      </c>
    </row>
    <row r="85" spans="1:15" ht="12.75" customHeight="1">
      <c r="A85" s="188" t="s">
        <v>620</v>
      </c>
      <c r="B85" s="188" t="s">
        <v>621</v>
      </c>
      <c r="C85" s="188" t="s">
        <v>622</v>
      </c>
      <c r="D85" s="188" t="s">
        <v>795</v>
      </c>
      <c r="E85" s="189">
        <v>39324</v>
      </c>
      <c r="F85" s="190">
        <v>1144</v>
      </c>
      <c r="G85" s="190">
        <v>0</v>
      </c>
      <c r="H85" s="191">
        <v>792.96</v>
      </c>
      <c r="I85" s="191">
        <v>400</v>
      </c>
      <c r="J85" s="188" t="s">
        <v>750</v>
      </c>
      <c r="K85" s="188" t="s">
        <v>338</v>
      </c>
      <c r="L85" s="188" t="s">
        <v>625</v>
      </c>
      <c r="M85" s="192">
        <f t="shared" si="3"/>
        <v>28</v>
      </c>
      <c r="N85" s="193">
        <f t="shared" si="4"/>
        <v>0.49560000000000004</v>
      </c>
      <c r="O85" s="194">
        <f t="shared" si="5"/>
        <v>1.77E-2</v>
      </c>
    </row>
    <row r="86" spans="1:15" ht="12.75" customHeight="1">
      <c r="A86" s="188" t="s">
        <v>620</v>
      </c>
      <c r="B86" s="188" t="s">
        <v>621</v>
      </c>
      <c r="C86" s="188" t="s">
        <v>622</v>
      </c>
      <c r="D86" s="188" t="s">
        <v>796</v>
      </c>
      <c r="E86" s="189">
        <v>39447</v>
      </c>
      <c r="F86" s="190">
        <v>1115</v>
      </c>
      <c r="G86" s="190">
        <v>0</v>
      </c>
      <c r="H86" s="191">
        <v>749</v>
      </c>
      <c r="I86" s="191">
        <v>390</v>
      </c>
      <c r="J86" s="188" t="s">
        <v>639</v>
      </c>
      <c r="K86" s="188" t="s">
        <v>338</v>
      </c>
      <c r="L86" s="188" t="s">
        <v>797</v>
      </c>
      <c r="M86" s="192">
        <f t="shared" si="3"/>
        <v>27</v>
      </c>
      <c r="N86" s="193">
        <f t="shared" si="4"/>
        <v>0.48012820512820514</v>
      </c>
      <c r="O86" s="194">
        <f t="shared" si="5"/>
        <v>1.778252611585945E-2</v>
      </c>
    </row>
    <row r="87" spans="1:15" ht="12.75" customHeight="1">
      <c r="A87" s="188" t="s">
        <v>620</v>
      </c>
      <c r="B87" s="188" t="s">
        <v>621</v>
      </c>
      <c r="C87" s="188" t="s">
        <v>622</v>
      </c>
      <c r="D87" s="188" t="s">
        <v>798</v>
      </c>
      <c r="E87" s="189">
        <v>39415</v>
      </c>
      <c r="F87" s="190">
        <v>606</v>
      </c>
      <c r="G87" s="190">
        <v>0</v>
      </c>
      <c r="H87" s="191">
        <v>574</v>
      </c>
      <c r="I87" s="191">
        <v>212</v>
      </c>
      <c r="J87" s="188" t="s">
        <v>624</v>
      </c>
      <c r="K87" s="188" t="s">
        <v>338</v>
      </c>
      <c r="L87" s="188" t="s">
        <v>799</v>
      </c>
      <c r="M87" s="192">
        <f t="shared" si="3"/>
        <v>38</v>
      </c>
      <c r="N87" s="193">
        <f t="shared" si="4"/>
        <v>0.67688679245283023</v>
      </c>
      <c r="O87" s="194">
        <f t="shared" si="5"/>
        <v>1.7812810327706059E-2</v>
      </c>
    </row>
    <row r="88" spans="1:15" ht="12.75" customHeight="1">
      <c r="A88" s="188" t="s">
        <v>620</v>
      </c>
      <c r="B88" s="188" t="s">
        <v>621</v>
      </c>
      <c r="C88" s="188" t="s">
        <v>622</v>
      </c>
      <c r="D88" s="188" t="s">
        <v>800</v>
      </c>
      <c r="E88" s="189">
        <v>39240</v>
      </c>
      <c r="F88" s="190">
        <v>1073</v>
      </c>
      <c r="G88" s="190">
        <v>0</v>
      </c>
      <c r="H88" s="191">
        <v>1017</v>
      </c>
      <c r="I88" s="191">
        <v>375</v>
      </c>
      <c r="J88" s="188" t="s">
        <v>624</v>
      </c>
      <c r="K88" s="188" t="s">
        <v>338</v>
      </c>
      <c r="L88" s="188" t="s">
        <v>746</v>
      </c>
      <c r="M88" s="192">
        <f t="shared" si="3"/>
        <v>38</v>
      </c>
      <c r="N88" s="193">
        <f t="shared" si="4"/>
        <v>0.67800000000000005</v>
      </c>
      <c r="O88" s="194">
        <f t="shared" si="5"/>
        <v>1.7842105263157895E-2</v>
      </c>
    </row>
    <row r="89" spans="1:15" ht="12.75" customHeight="1">
      <c r="A89" s="188" t="s">
        <v>620</v>
      </c>
      <c r="B89" s="188" t="s">
        <v>621</v>
      </c>
      <c r="C89" s="188" t="s">
        <v>622</v>
      </c>
      <c r="D89" s="188" t="s">
        <v>801</v>
      </c>
      <c r="E89" s="189">
        <v>39429</v>
      </c>
      <c r="F89" s="190">
        <v>1125</v>
      </c>
      <c r="G89" s="190">
        <v>0</v>
      </c>
      <c r="H89" s="191">
        <v>845</v>
      </c>
      <c r="I89" s="191">
        <v>393.5</v>
      </c>
      <c r="J89" s="188" t="s">
        <v>635</v>
      </c>
      <c r="K89" s="188" t="s">
        <v>338</v>
      </c>
      <c r="L89" s="188" t="s">
        <v>802</v>
      </c>
      <c r="M89" s="192">
        <f t="shared" si="3"/>
        <v>30</v>
      </c>
      <c r="N89" s="193">
        <f t="shared" si="4"/>
        <v>0.53684879288437104</v>
      </c>
      <c r="O89" s="194">
        <f t="shared" si="5"/>
        <v>1.7894959762812367E-2</v>
      </c>
    </row>
    <row r="90" spans="1:15" ht="12.75" customHeight="1">
      <c r="A90" s="188" t="s">
        <v>620</v>
      </c>
      <c r="B90" s="188" t="s">
        <v>621</v>
      </c>
      <c r="C90" s="188" t="s">
        <v>622</v>
      </c>
      <c r="D90" s="188" t="s">
        <v>803</v>
      </c>
      <c r="E90" s="189">
        <v>39303</v>
      </c>
      <c r="F90" s="190">
        <v>1357</v>
      </c>
      <c r="G90" s="190">
        <v>0</v>
      </c>
      <c r="H90" s="191">
        <v>985.96</v>
      </c>
      <c r="I90" s="191">
        <v>474.75</v>
      </c>
      <c r="J90" s="188" t="s">
        <v>715</v>
      </c>
      <c r="K90" s="188" t="s">
        <v>338</v>
      </c>
      <c r="L90" s="188" t="s">
        <v>804</v>
      </c>
      <c r="M90" s="192">
        <f t="shared" si="3"/>
        <v>29</v>
      </c>
      <c r="N90" s="193">
        <f t="shared" si="4"/>
        <v>0.51919957872564515</v>
      </c>
      <c r="O90" s="194">
        <f t="shared" si="5"/>
        <v>1.7903433749160178E-2</v>
      </c>
    </row>
    <row r="91" spans="1:15" ht="12.75" customHeight="1">
      <c r="A91" s="188" t="s">
        <v>620</v>
      </c>
      <c r="B91" s="188" t="s">
        <v>621</v>
      </c>
      <c r="C91" s="188" t="s">
        <v>622</v>
      </c>
      <c r="D91" s="188" t="s">
        <v>805</v>
      </c>
      <c r="E91" s="189">
        <v>39395</v>
      </c>
      <c r="F91" s="190">
        <v>814</v>
      </c>
      <c r="G91" s="190">
        <v>0</v>
      </c>
      <c r="H91" s="191">
        <v>775</v>
      </c>
      <c r="I91" s="191">
        <v>284.5</v>
      </c>
      <c r="J91" s="188" t="s">
        <v>624</v>
      </c>
      <c r="K91" s="188" t="s">
        <v>338</v>
      </c>
      <c r="L91" s="188" t="s">
        <v>806</v>
      </c>
      <c r="M91" s="192">
        <f t="shared" si="3"/>
        <v>38</v>
      </c>
      <c r="N91" s="193">
        <f t="shared" si="4"/>
        <v>0.6810193321616872</v>
      </c>
      <c r="O91" s="194">
        <f t="shared" si="5"/>
        <v>1.7921561372675979E-2</v>
      </c>
    </row>
    <row r="92" spans="1:15" ht="12.75" customHeight="1">
      <c r="A92" s="188" t="s">
        <v>620</v>
      </c>
      <c r="B92" s="188" t="s">
        <v>621</v>
      </c>
      <c r="C92" s="188" t="s">
        <v>622</v>
      </c>
      <c r="D92" s="188" t="s">
        <v>807</v>
      </c>
      <c r="E92" s="189">
        <v>39541</v>
      </c>
      <c r="F92" s="190">
        <v>740</v>
      </c>
      <c r="G92" s="190">
        <v>0</v>
      </c>
      <c r="H92" s="191">
        <v>504</v>
      </c>
      <c r="I92" s="191">
        <v>260</v>
      </c>
      <c r="J92" s="188" t="s">
        <v>639</v>
      </c>
      <c r="K92" s="188" t="s">
        <v>338</v>
      </c>
      <c r="L92" s="188" t="s">
        <v>808</v>
      </c>
      <c r="M92" s="192">
        <f t="shared" si="3"/>
        <v>27</v>
      </c>
      <c r="N92" s="193">
        <f t="shared" si="4"/>
        <v>0.48461538461538461</v>
      </c>
      <c r="O92" s="194">
        <f t="shared" si="5"/>
        <v>1.7948717948717947E-2</v>
      </c>
    </row>
    <row r="93" spans="1:15" ht="12.75" customHeight="1">
      <c r="A93" s="188" t="s">
        <v>620</v>
      </c>
      <c r="B93" s="188" t="s">
        <v>621</v>
      </c>
      <c r="C93" s="188" t="s">
        <v>622</v>
      </c>
      <c r="D93" s="188" t="s">
        <v>809</v>
      </c>
      <c r="E93" s="189">
        <v>39395</v>
      </c>
      <c r="F93" s="190">
        <v>672</v>
      </c>
      <c r="G93" s="190">
        <v>0</v>
      </c>
      <c r="H93" s="191">
        <v>510</v>
      </c>
      <c r="I93" s="191">
        <v>235</v>
      </c>
      <c r="J93" s="188" t="s">
        <v>635</v>
      </c>
      <c r="K93" s="188" t="s">
        <v>338</v>
      </c>
      <c r="L93" s="188" t="s">
        <v>810</v>
      </c>
      <c r="M93" s="192">
        <f t="shared" si="3"/>
        <v>30</v>
      </c>
      <c r="N93" s="193">
        <f t="shared" si="4"/>
        <v>0.54255319148936165</v>
      </c>
      <c r="O93" s="194">
        <f t="shared" si="5"/>
        <v>1.8085106382978722E-2</v>
      </c>
    </row>
    <row r="94" spans="1:15" ht="12.75" customHeight="1">
      <c r="A94" s="188" t="s">
        <v>620</v>
      </c>
      <c r="B94" s="188" t="s">
        <v>621</v>
      </c>
      <c r="C94" s="188" t="s">
        <v>622</v>
      </c>
      <c r="D94" s="188" t="s">
        <v>811</v>
      </c>
      <c r="E94" s="189">
        <v>39226</v>
      </c>
      <c r="F94" s="190">
        <v>855</v>
      </c>
      <c r="G94" s="190">
        <v>0</v>
      </c>
      <c r="H94" s="191">
        <v>584.01</v>
      </c>
      <c r="I94" s="191">
        <v>299</v>
      </c>
      <c r="J94" s="188" t="s">
        <v>639</v>
      </c>
      <c r="K94" s="188" t="s">
        <v>338</v>
      </c>
      <c r="L94" s="188" t="s">
        <v>812</v>
      </c>
      <c r="M94" s="192">
        <f t="shared" si="3"/>
        <v>27</v>
      </c>
      <c r="N94" s="193">
        <f t="shared" si="4"/>
        <v>0.48830267558528428</v>
      </c>
      <c r="O94" s="194">
        <f t="shared" si="5"/>
        <v>1.8085284280936455E-2</v>
      </c>
    </row>
    <row r="95" spans="1:15" ht="12.75" customHeight="1">
      <c r="A95" s="188" t="s">
        <v>620</v>
      </c>
      <c r="B95" s="188" t="s">
        <v>621</v>
      </c>
      <c r="C95" s="188" t="s">
        <v>622</v>
      </c>
      <c r="D95" s="188" t="s">
        <v>813</v>
      </c>
      <c r="E95" s="189">
        <v>39447</v>
      </c>
      <c r="F95" s="190">
        <v>1144</v>
      </c>
      <c r="G95" s="190">
        <v>0</v>
      </c>
      <c r="H95" s="191">
        <v>725</v>
      </c>
      <c r="I95" s="191">
        <v>400</v>
      </c>
      <c r="J95" s="188" t="s">
        <v>652</v>
      </c>
      <c r="K95" s="188" t="s">
        <v>338</v>
      </c>
      <c r="L95" s="188" t="s">
        <v>625</v>
      </c>
      <c r="M95" s="192">
        <f t="shared" si="3"/>
        <v>25</v>
      </c>
      <c r="N95" s="193">
        <f t="shared" si="4"/>
        <v>0.453125</v>
      </c>
      <c r="O95" s="194">
        <f t="shared" si="5"/>
        <v>1.8124999999999999E-2</v>
      </c>
    </row>
    <row r="96" spans="1:15" ht="12.75" customHeight="1">
      <c r="A96" s="188" t="s">
        <v>620</v>
      </c>
      <c r="B96" s="188" t="s">
        <v>621</v>
      </c>
      <c r="C96" s="188" t="s">
        <v>622</v>
      </c>
      <c r="D96" s="188" t="s">
        <v>814</v>
      </c>
      <c r="E96" s="189">
        <v>39345</v>
      </c>
      <c r="F96" s="190">
        <v>958</v>
      </c>
      <c r="G96" s="190">
        <v>0</v>
      </c>
      <c r="H96" s="191">
        <v>730</v>
      </c>
      <c r="I96" s="191">
        <v>335</v>
      </c>
      <c r="J96" s="188" t="s">
        <v>635</v>
      </c>
      <c r="K96" s="188" t="s">
        <v>338</v>
      </c>
      <c r="L96" s="188" t="s">
        <v>815</v>
      </c>
      <c r="M96" s="192">
        <f t="shared" si="3"/>
        <v>30</v>
      </c>
      <c r="N96" s="193">
        <f t="shared" si="4"/>
        <v>0.54477611940298509</v>
      </c>
      <c r="O96" s="194">
        <f t="shared" si="5"/>
        <v>1.8159203980099504E-2</v>
      </c>
    </row>
    <row r="97" spans="1:15" ht="12.75" customHeight="1">
      <c r="A97" s="188" t="s">
        <v>620</v>
      </c>
      <c r="B97" s="188" t="s">
        <v>621</v>
      </c>
      <c r="C97" s="188" t="s">
        <v>622</v>
      </c>
      <c r="D97" s="188" t="s">
        <v>816</v>
      </c>
      <c r="E97" s="189">
        <v>39233</v>
      </c>
      <c r="F97" s="190">
        <v>772</v>
      </c>
      <c r="G97" s="190">
        <v>0</v>
      </c>
      <c r="H97" s="191">
        <v>531.04</v>
      </c>
      <c r="I97" s="191">
        <v>270</v>
      </c>
      <c r="J97" s="188" t="s">
        <v>639</v>
      </c>
      <c r="K97" s="188" t="s">
        <v>338</v>
      </c>
      <c r="L97" s="188" t="s">
        <v>817</v>
      </c>
      <c r="M97" s="192">
        <f t="shared" si="3"/>
        <v>27</v>
      </c>
      <c r="N97" s="193">
        <f t="shared" si="4"/>
        <v>0.49170370370370364</v>
      </c>
      <c r="O97" s="194">
        <f t="shared" si="5"/>
        <v>1.8211248285322359E-2</v>
      </c>
    </row>
    <row r="98" spans="1:15" ht="12.75" customHeight="1">
      <c r="A98" s="188" t="s">
        <v>620</v>
      </c>
      <c r="B98" s="188" t="s">
        <v>621</v>
      </c>
      <c r="C98" s="188" t="s">
        <v>622</v>
      </c>
      <c r="D98" s="188" t="s">
        <v>818</v>
      </c>
      <c r="E98" s="189">
        <v>39407</v>
      </c>
      <c r="F98" s="190">
        <v>1214</v>
      </c>
      <c r="G98" s="190">
        <v>0</v>
      </c>
      <c r="H98" s="191">
        <v>836</v>
      </c>
      <c r="I98" s="191">
        <v>424.5</v>
      </c>
      <c r="J98" s="188" t="s">
        <v>639</v>
      </c>
      <c r="K98" s="188" t="s">
        <v>338</v>
      </c>
      <c r="L98" s="188" t="s">
        <v>819</v>
      </c>
      <c r="M98" s="192">
        <f t="shared" si="3"/>
        <v>27</v>
      </c>
      <c r="N98" s="193">
        <f t="shared" si="4"/>
        <v>0.49234393404004712</v>
      </c>
      <c r="O98" s="194">
        <f t="shared" si="5"/>
        <v>1.8234960520001744E-2</v>
      </c>
    </row>
    <row r="99" spans="1:15" ht="12.75" customHeight="1">
      <c r="A99" s="188" t="s">
        <v>620</v>
      </c>
      <c r="B99" s="188" t="s">
        <v>621</v>
      </c>
      <c r="C99" s="188" t="s">
        <v>622</v>
      </c>
      <c r="D99" s="188" t="s">
        <v>820</v>
      </c>
      <c r="E99" s="189">
        <v>39527</v>
      </c>
      <c r="F99" s="190">
        <v>843</v>
      </c>
      <c r="G99" s="190">
        <v>0</v>
      </c>
      <c r="H99" s="191">
        <v>497</v>
      </c>
      <c r="I99" s="191">
        <v>295.75</v>
      </c>
      <c r="J99" s="188" t="s">
        <v>571</v>
      </c>
      <c r="K99" s="188" t="s">
        <v>338</v>
      </c>
      <c r="L99" s="188" t="s">
        <v>821</v>
      </c>
      <c r="M99" s="192">
        <f t="shared" si="3"/>
        <v>23</v>
      </c>
      <c r="N99" s="193">
        <f t="shared" si="4"/>
        <v>0.42011834319526625</v>
      </c>
      <c r="O99" s="194">
        <f t="shared" si="5"/>
        <v>1.8266014921533315E-2</v>
      </c>
    </row>
    <row r="100" spans="1:15" ht="12.75" customHeight="1">
      <c r="A100" s="188" t="s">
        <v>620</v>
      </c>
      <c r="B100" s="188" t="s">
        <v>621</v>
      </c>
      <c r="C100" s="188" t="s">
        <v>622</v>
      </c>
      <c r="D100" s="188" t="s">
        <v>822</v>
      </c>
      <c r="E100" s="189">
        <v>39611</v>
      </c>
      <c r="F100" s="190">
        <v>1014</v>
      </c>
      <c r="G100" s="190">
        <v>0</v>
      </c>
      <c r="H100" s="191">
        <v>703</v>
      </c>
      <c r="I100" s="191">
        <v>356</v>
      </c>
      <c r="J100" s="188" t="s">
        <v>639</v>
      </c>
      <c r="K100" s="188" t="s">
        <v>338</v>
      </c>
      <c r="L100" s="188" t="s">
        <v>823</v>
      </c>
      <c r="M100" s="192">
        <f t="shared" si="3"/>
        <v>27</v>
      </c>
      <c r="N100" s="193">
        <f t="shared" si="4"/>
        <v>0.4936797752808989</v>
      </c>
      <c r="O100" s="194">
        <f t="shared" si="5"/>
        <v>1.8284436121514775E-2</v>
      </c>
    </row>
    <row r="101" spans="1:15" ht="12.75" customHeight="1">
      <c r="A101" s="188" t="s">
        <v>620</v>
      </c>
      <c r="B101" s="188" t="s">
        <v>621</v>
      </c>
      <c r="C101" s="188" t="s">
        <v>622</v>
      </c>
      <c r="D101" s="188" t="s">
        <v>824</v>
      </c>
      <c r="E101" s="189">
        <v>39429</v>
      </c>
      <c r="F101" s="190">
        <v>801</v>
      </c>
      <c r="G101" s="190">
        <v>0</v>
      </c>
      <c r="H101" s="191">
        <v>780</v>
      </c>
      <c r="I101" s="191">
        <v>280</v>
      </c>
      <c r="J101" s="188" t="s">
        <v>624</v>
      </c>
      <c r="K101" s="188" t="s">
        <v>338</v>
      </c>
      <c r="L101" s="188" t="s">
        <v>825</v>
      </c>
      <c r="M101" s="192">
        <f t="shared" si="3"/>
        <v>38</v>
      </c>
      <c r="N101" s="193">
        <f t="shared" si="4"/>
        <v>0.6964285714285714</v>
      </c>
      <c r="O101" s="194">
        <f t="shared" si="5"/>
        <v>1.8327067669172931E-2</v>
      </c>
    </row>
    <row r="102" spans="1:15" ht="12.75" customHeight="1">
      <c r="A102" s="188" t="s">
        <v>620</v>
      </c>
      <c r="B102" s="188" t="s">
        <v>621</v>
      </c>
      <c r="C102" s="188" t="s">
        <v>622</v>
      </c>
      <c r="D102" s="188" t="s">
        <v>826</v>
      </c>
      <c r="E102" s="189">
        <v>39447</v>
      </c>
      <c r="F102" s="190">
        <v>1164</v>
      </c>
      <c r="G102" s="190">
        <v>0</v>
      </c>
      <c r="H102" s="191">
        <v>688</v>
      </c>
      <c r="I102" s="191">
        <v>407</v>
      </c>
      <c r="J102" s="188" t="s">
        <v>571</v>
      </c>
      <c r="K102" s="188" t="s">
        <v>338</v>
      </c>
      <c r="L102" s="188" t="s">
        <v>827</v>
      </c>
      <c r="M102" s="192">
        <f t="shared" si="3"/>
        <v>23</v>
      </c>
      <c r="N102" s="193">
        <f t="shared" si="4"/>
        <v>0.4226044226044226</v>
      </c>
      <c r="O102" s="194">
        <f t="shared" si="5"/>
        <v>1.8374105330627069E-2</v>
      </c>
    </row>
    <row r="103" spans="1:15" ht="12.75" customHeight="1">
      <c r="A103" s="188" t="s">
        <v>620</v>
      </c>
      <c r="B103" s="188" t="s">
        <v>621</v>
      </c>
      <c r="C103" s="188" t="s">
        <v>622</v>
      </c>
      <c r="D103" s="188" t="s">
        <v>828</v>
      </c>
      <c r="E103" s="189">
        <v>39366</v>
      </c>
      <c r="F103" s="190">
        <v>972</v>
      </c>
      <c r="G103" s="190">
        <v>0</v>
      </c>
      <c r="H103" s="191">
        <v>950</v>
      </c>
      <c r="I103" s="191">
        <v>340</v>
      </c>
      <c r="J103" s="188" t="s">
        <v>829</v>
      </c>
      <c r="K103" s="188" t="s">
        <v>733</v>
      </c>
      <c r="L103" s="188" t="s">
        <v>774</v>
      </c>
      <c r="M103" s="192">
        <f t="shared" si="3"/>
        <v>38</v>
      </c>
      <c r="N103" s="193">
        <f t="shared" si="4"/>
        <v>0.69852941176470584</v>
      </c>
      <c r="O103" s="194">
        <f t="shared" si="5"/>
        <v>1.8382352941176471E-2</v>
      </c>
    </row>
    <row r="104" spans="1:15" ht="12.75" customHeight="1">
      <c r="A104" s="188" t="s">
        <v>620</v>
      </c>
      <c r="B104" s="188" t="s">
        <v>621</v>
      </c>
      <c r="C104" s="188" t="s">
        <v>622</v>
      </c>
      <c r="D104" s="188" t="s">
        <v>830</v>
      </c>
      <c r="E104" s="189">
        <v>39507</v>
      </c>
      <c r="F104" s="190">
        <v>901</v>
      </c>
      <c r="G104" s="190">
        <v>0</v>
      </c>
      <c r="H104" s="191">
        <v>696</v>
      </c>
      <c r="I104" s="191">
        <v>315</v>
      </c>
      <c r="J104" s="188" t="s">
        <v>635</v>
      </c>
      <c r="K104" s="188" t="s">
        <v>338</v>
      </c>
      <c r="L104" s="188" t="s">
        <v>680</v>
      </c>
      <c r="M104" s="192">
        <f t="shared" si="3"/>
        <v>30</v>
      </c>
      <c r="N104" s="193">
        <f t="shared" si="4"/>
        <v>0.55238095238095242</v>
      </c>
      <c r="O104" s="194">
        <f t="shared" si="5"/>
        <v>1.8412698412698415E-2</v>
      </c>
    </row>
    <row r="105" spans="1:15" ht="12.75" customHeight="1">
      <c r="A105" s="188" t="s">
        <v>620</v>
      </c>
      <c r="B105" s="188" t="s">
        <v>621</v>
      </c>
      <c r="C105" s="188" t="s">
        <v>622</v>
      </c>
      <c r="D105" s="188" t="s">
        <v>831</v>
      </c>
      <c r="E105" s="189">
        <v>39261</v>
      </c>
      <c r="F105" s="190">
        <v>1001</v>
      </c>
      <c r="G105" s="190">
        <v>0</v>
      </c>
      <c r="H105" s="191">
        <v>980</v>
      </c>
      <c r="I105" s="191">
        <v>350</v>
      </c>
      <c r="J105" s="188" t="s">
        <v>635</v>
      </c>
      <c r="K105" s="188" t="s">
        <v>421</v>
      </c>
      <c r="L105" s="188" t="s">
        <v>754</v>
      </c>
      <c r="M105" s="192">
        <f t="shared" si="3"/>
        <v>38</v>
      </c>
      <c r="N105" s="193">
        <f t="shared" si="4"/>
        <v>0.7</v>
      </c>
      <c r="O105" s="194">
        <f t="shared" si="5"/>
        <v>1.8421052631578946E-2</v>
      </c>
    </row>
    <row r="106" spans="1:15" ht="12.75" customHeight="1">
      <c r="A106" s="188" t="s">
        <v>620</v>
      </c>
      <c r="B106" s="188" t="s">
        <v>621</v>
      </c>
      <c r="C106" s="188" t="s">
        <v>622</v>
      </c>
      <c r="D106" s="188" t="s">
        <v>832</v>
      </c>
      <c r="E106" s="189">
        <v>39407</v>
      </c>
      <c r="F106" s="190">
        <v>1216</v>
      </c>
      <c r="G106" s="190">
        <v>0</v>
      </c>
      <c r="H106" s="191">
        <v>1190</v>
      </c>
      <c r="I106" s="191">
        <v>425</v>
      </c>
      <c r="J106" s="188" t="s">
        <v>624</v>
      </c>
      <c r="K106" s="188" t="s">
        <v>338</v>
      </c>
      <c r="L106" s="188" t="s">
        <v>833</v>
      </c>
      <c r="M106" s="192">
        <f t="shared" si="3"/>
        <v>38</v>
      </c>
      <c r="N106" s="193">
        <f t="shared" si="4"/>
        <v>0.7</v>
      </c>
      <c r="O106" s="194">
        <f t="shared" si="5"/>
        <v>1.8421052631578946E-2</v>
      </c>
    </row>
    <row r="107" spans="1:15" ht="12.75" customHeight="1">
      <c r="A107" s="188" t="s">
        <v>620</v>
      </c>
      <c r="B107" s="188" t="s">
        <v>621</v>
      </c>
      <c r="C107" s="188" t="s">
        <v>622</v>
      </c>
      <c r="D107" s="188" t="s">
        <v>834</v>
      </c>
      <c r="E107" s="189">
        <v>39527</v>
      </c>
      <c r="F107" s="190">
        <v>985</v>
      </c>
      <c r="G107" s="190">
        <v>0</v>
      </c>
      <c r="H107" s="191">
        <v>765</v>
      </c>
      <c r="I107" s="191">
        <v>345.75</v>
      </c>
      <c r="J107" s="188" t="s">
        <v>635</v>
      </c>
      <c r="K107" s="188" t="s">
        <v>338</v>
      </c>
      <c r="L107" s="188" t="s">
        <v>835</v>
      </c>
      <c r="M107" s="192">
        <f t="shared" si="3"/>
        <v>30</v>
      </c>
      <c r="N107" s="193">
        <f t="shared" si="4"/>
        <v>0.55314533622559658</v>
      </c>
      <c r="O107" s="194">
        <f t="shared" si="5"/>
        <v>1.8438177874186553E-2</v>
      </c>
    </row>
    <row r="108" spans="1:15" ht="12.75" customHeight="1">
      <c r="A108" s="188" t="s">
        <v>620</v>
      </c>
      <c r="B108" s="188" t="s">
        <v>621</v>
      </c>
      <c r="C108" s="188" t="s">
        <v>622</v>
      </c>
      <c r="D108" s="188" t="s">
        <v>836</v>
      </c>
      <c r="E108" s="189">
        <v>39590</v>
      </c>
      <c r="F108" s="190">
        <v>933</v>
      </c>
      <c r="G108" s="190">
        <v>0</v>
      </c>
      <c r="H108" s="191">
        <v>725</v>
      </c>
      <c r="I108" s="191">
        <v>327.5</v>
      </c>
      <c r="J108" s="188" t="s">
        <v>635</v>
      </c>
      <c r="K108" s="188" t="s">
        <v>338</v>
      </c>
      <c r="L108" s="188" t="s">
        <v>837</v>
      </c>
      <c r="M108" s="192">
        <f t="shared" si="3"/>
        <v>30</v>
      </c>
      <c r="N108" s="193">
        <f t="shared" si="4"/>
        <v>0.55343511450381677</v>
      </c>
      <c r="O108" s="194">
        <f t="shared" si="5"/>
        <v>1.8447837150127225E-2</v>
      </c>
    </row>
    <row r="109" spans="1:15" ht="12.75" customHeight="1">
      <c r="A109" s="188" t="s">
        <v>620</v>
      </c>
      <c r="B109" s="188" t="s">
        <v>621</v>
      </c>
      <c r="C109" s="188" t="s">
        <v>622</v>
      </c>
      <c r="D109" s="188" t="s">
        <v>838</v>
      </c>
      <c r="E109" s="189">
        <v>39499</v>
      </c>
      <c r="F109" s="190">
        <v>672</v>
      </c>
      <c r="G109" s="190">
        <v>0</v>
      </c>
      <c r="H109" s="191">
        <v>660</v>
      </c>
      <c r="I109" s="191">
        <v>235</v>
      </c>
      <c r="J109" s="188" t="s">
        <v>624</v>
      </c>
      <c r="K109" s="188" t="s">
        <v>338</v>
      </c>
      <c r="L109" s="188" t="s">
        <v>810</v>
      </c>
      <c r="M109" s="192">
        <f t="shared" si="3"/>
        <v>38</v>
      </c>
      <c r="N109" s="193">
        <f t="shared" si="4"/>
        <v>0.7021276595744681</v>
      </c>
      <c r="O109" s="194">
        <f t="shared" si="5"/>
        <v>1.8477043673012318E-2</v>
      </c>
    </row>
    <row r="110" spans="1:15" ht="12.75" customHeight="1">
      <c r="A110" s="188" t="s">
        <v>620</v>
      </c>
      <c r="B110" s="188" t="s">
        <v>621</v>
      </c>
      <c r="C110" s="188" t="s">
        <v>622</v>
      </c>
      <c r="D110" s="188" t="s">
        <v>839</v>
      </c>
      <c r="E110" s="189">
        <v>39254</v>
      </c>
      <c r="F110" s="190">
        <v>855</v>
      </c>
      <c r="G110" s="190">
        <v>0</v>
      </c>
      <c r="H110" s="191">
        <v>839.95</v>
      </c>
      <c r="I110" s="191">
        <v>299</v>
      </c>
      <c r="J110" s="188" t="s">
        <v>624</v>
      </c>
      <c r="K110" s="188" t="s">
        <v>338</v>
      </c>
      <c r="L110" s="188" t="s">
        <v>812</v>
      </c>
      <c r="M110" s="192">
        <f t="shared" si="3"/>
        <v>38</v>
      </c>
      <c r="N110" s="193">
        <f t="shared" si="4"/>
        <v>0.70229933110367893</v>
      </c>
      <c r="O110" s="194">
        <f t="shared" si="5"/>
        <v>1.8481561344833655E-2</v>
      </c>
    </row>
    <row r="111" spans="1:15" ht="12.75" customHeight="1">
      <c r="A111" s="188" t="s">
        <v>620</v>
      </c>
      <c r="B111" s="188" t="s">
        <v>621</v>
      </c>
      <c r="C111" s="188" t="s">
        <v>622</v>
      </c>
      <c r="D111" s="188" t="s">
        <v>840</v>
      </c>
      <c r="E111" s="189">
        <v>39289</v>
      </c>
      <c r="F111" s="190">
        <v>409</v>
      </c>
      <c r="G111" s="190">
        <v>0</v>
      </c>
      <c r="H111" s="191">
        <v>401.94</v>
      </c>
      <c r="I111" s="191">
        <v>143</v>
      </c>
      <c r="J111" s="188" t="s">
        <v>624</v>
      </c>
      <c r="K111" s="188" t="s">
        <v>338</v>
      </c>
      <c r="L111" s="188" t="s">
        <v>841</v>
      </c>
      <c r="M111" s="192">
        <f t="shared" si="3"/>
        <v>38</v>
      </c>
      <c r="N111" s="193">
        <f t="shared" si="4"/>
        <v>0.70269230769230773</v>
      </c>
      <c r="O111" s="194">
        <f t="shared" si="5"/>
        <v>1.84919028340081E-2</v>
      </c>
    </row>
    <row r="112" spans="1:15" ht="12.75" customHeight="1">
      <c r="A112" s="188" t="s">
        <v>620</v>
      </c>
      <c r="B112" s="188" t="s">
        <v>621</v>
      </c>
      <c r="C112" s="188" t="s">
        <v>622</v>
      </c>
      <c r="D112" s="188" t="s">
        <v>842</v>
      </c>
      <c r="E112" s="189">
        <v>39261</v>
      </c>
      <c r="F112" s="190">
        <v>715</v>
      </c>
      <c r="G112" s="190">
        <v>0</v>
      </c>
      <c r="H112" s="191">
        <v>500</v>
      </c>
      <c r="I112" s="191">
        <v>250</v>
      </c>
      <c r="J112" s="188" t="s">
        <v>639</v>
      </c>
      <c r="K112" s="188" t="s">
        <v>338</v>
      </c>
      <c r="L112" s="188" t="s">
        <v>636</v>
      </c>
      <c r="M112" s="192">
        <f t="shared" si="3"/>
        <v>27</v>
      </c>
      <c r="N112" s="193">
        <f t="shared" si="4"/>
        <v>0.5</v>
      </c>
      <c r="O112" s="194">
        <f t="shared" si="5"/>
        <v>1.8518518518518517E-2</v>
      </c>
    </row>
    <row r="113" spans="1:15" ht="12.75" customHeight="1">
      <c r="A113" s="188" t="s">
        <v>620</v>
      </c>
      <c r="B113" s="188" t="s">
        <v>621</v>
      </c>
      <c r="C113" s="188" t="s">
        <v>622</v>
      </c>
      <c r="D113" s="188" t="s">
        <v>843</v>
      </c>
      <c r="E113" s="189">
        <v>39447</v>
      </c>
      <c r="F113" s="190">
        <v>1030</v>
      </c>
      <c r="G113" s="190">
        <v>0</v>
      </c>
      <c r="H113" s="191">
        <v>800</v>
      </c>
      <c r="I113" s="191">
        <v>360</v>
      </c>
      <c r="J113" s="188" t="s">
        <v>635</v>
      </c>
      <c r="K113" s="188" t="s">
        <v>338</v>
      </c>
      <c r="L113" s="188" t="s">
        <v>682</v>
      </c>
      <c r="M113" s="192">
        <f t="shared" si="3"/>
        <v>30</v>
      </c>
      <c r="N113" s="193">
        <f t="shared" si="4"/>
        <v>0.55555555555555558</v>
      </c>
      <c r="O113" s="194">
        <f t="shared" si="5"/>
        <v>1.8518518518518521E-2</v>
      </c>
    </row>
    <row r="114" spans="1:15" ht="12.75" customHeight="1">
      <c r="A114" s="188" t="s">
        <v>620</v>
      </c>
      <c r="B114" s="188" t="s">
        <v>621</v>
      </c>
      <c r="C114" s="188" t="s">
        <v>622</v>
      </c>
      <c r="D114" s="188" t="s">
        <v>844</v>
      </c>
      <c r="E114" s="189">
        <v>39447</v>
      </c>
      <c r="F114" s="190">
        <v>864</v>
      </c>
      <c r="G114" s="190">
        <v>0</v>
      </c>
      <c r="H114" s="191">
        <v>672</v>
      </c>
      <c r="I114" s="191">
        <v>302</v>
      </c>
      <c r="J114" s="188" t="s">
        <v>635</v>
      </c>
      <c r="K114" s="188" t="s">
        <v>338</v>
      </c>
      <c r="L114" s="188" t="s">
        <v>845</v>
      </c>
      <c r="M114" s="192">
        <f t="shared" si="3"/>
        <v>30</v>
      </c>
      <c r="N114" s="193">
        <f t="shared" si="4"/>
        <v>0.55629139072847678</v>
      </c>
      <c r="O114" s="194">
        <f t="shared" si="5"/>
        <v>1.8543046357615892E-2</v>
      </c>
    </row>
    <row r="115" spans="1:15" ht="12.75" customHeight="1">
      <c r="A115" s="188" t="s">
        <v>620</v>
      </c>
      <c r="B115" s="188" t="s">
        <v>621</v>
      </c>
      <c r="C115" s="188" t="s">
        <v>622</v>
      </c>
      <c r="D115" s="188" t="s">
        <v>846</v>
      </c>
      <c r="E115" s="189">
        <v>39415</v>
      </c>
      <c r="F115" s="190">
        <v>912</v>
      </c>
      <c r="G115" s="190">
        <v>0</v>
      </c>
      <c r="H115" s="191">
        <v>710</v>
      </c>
      <c r="I115" s="191">
        <v>318.75</v>
      </c>
      <c r="J115" s="188" t="s">
        <v>635</v>
      </c>
      <c r="K115" s="188" t="s">
        <v>338</v>
      </c>
      <c r="L115" s="188" t="s">
        <v>847</v>
      </c>
      <c r="M115" s="192">
        <f t="shared" si="3"/>
        <v>30</v>
      </c>
      <c r="N115" s="193">
        <f t="shared" si="4"/>
        <v>0.55686274509803924</v>
      </c>
      <c r="O115" s="194">
        <f t="shared" si="5"/>
        <v>1.8562091503267975E-2</v>
      </c>
    </row>
    <row r="116" spans="1:15" ht="12.75" customHeight="1">
      <c r="A116" s="188" t="s">
        <v>620</v>
      </c>
      <c r="B116" s="188" t="s">
        <v>621</v>
      </c>
      <c r="C116" s="188" t="s">
        <v>622</v>
      </c>
      <c r="D116" s="188" t="s">
        <v>848</v>
      </c>
      <c r="E116" s="189">
        <v>39233</v>
      </c>
      <c r="F116" s="190">
        <v>715</v>
      </c>
      <c r="G116" s="190">
        <v>0</v>
      </c>
      <c r="H116" s="191">
        <v>560</v>
      </c>
      <c r="I116" s="191">
        <v>250</v>
      </c>
      <c r="J116" s="188" t="s">
        <v>635</v>
      </c>
      <c r="K116" s="188" t="s">
        <v>338</v>
      </c>
      <c r="L116" s="188" t="s">
        <v>636</v>
      </c>
      <c r="M116" s="192">
        <f t="shared" si="3"/>
        <v>30</v>
      </c>
      <c r="N116" s="193">
        <f t="shared" si="4"/>
        <v>0.56000000000000005</v>
      </c>
      <c r="O116" s="194">
        <f t="shared" si="5"/>
        <v>1.8666666666666668E-2</v>
      </c>
    </row>
    <row r="117" spans="1:15" ht="12.75" customHeight="1">
      <c r="A117" s="188" t="s">
        <v>620</v>
      </c>
      <c r="B117" s="188" t="s">
        <v>621</v>
      </c>
      <c r="C117" s="188" t="s">
        <v>622</v>
      </c>
      <c r="D117" s="188" t="s">
        <v>849</v>
      </c>
      <c r="E117" s="189">
        <v>39254</v>
      </c>
      <c r="F117" s="190">
        <v>502</v>
      </c>
      <c r="G117" s="190">
        <v>0</v>
      </c>
      <c r="H117" s="191">
        <v>500.03</v>
      </c>
      <c r="I117" s="191">
        <v>175.5</v>
      </c>
      <c r="J117" s="188" t="s">
        <v>624</v>
      </c>
      <c r="K117" s="188" t="s">
        <v>338</v>
      </c>
      <c r="L117" s="188" t="s">
        <v>850</v>
      </c>
      <c r="M117" s="192">
        <f t="shared" si="3"/>
        <v>38</v>
      </c>
      <c r="N117" s="193">
        <f t="shared" si="4"/>
        <v>0.71229344729344723</v>
      </c>
      <c r="O117" s="194">
        <f t="shared" si="5"/>
        <v>1.8744564402459137E-2</v>
      </c>
    </row>
    <row r="118" spans="1:15" ht="12.75" customHeight="1">
      <c r="A118" s="188" t="s">
        <v>620</v>
      </c>
      <c r="B118" s="188" t="s">
        <v>621</v>
      </c>
      <c r="C118" s="188" t="s">
        <v>622</v>
      </c>
      <c r="D118" s="188" t="s">
        <v>851</v>
      </c>
      <c r="E118" s="189">
        <v>39492</v>
      </c>
      <c r="F118" s="190">
        <v>1184</v>
      </c>
      <c r="G118" s="190">
        <v>0</v>
      </c>
      <c r="H118" s="191">
        <v>934</v>
      </c>
      <c r="I118" s="191">
        <v>414</v>
      </c>
      <c r="J118" s="188" t="s">
        <v>635</v>
      </c>
      <c r="K118" s="188" t="s">
        <v>338</v>
      </c>
      <c r="L118" s="188" t="s">
        <v>852</v>
      </c>
      <c r="M118" s="192">
        <f t="shared" si="3"/>
        <v>30</v>
      </c>
      <c r="N118" s="193">
        <f t="shared" si="4"/>
        <v>0.56400966183574874</v>
      </c>
      <c r="O118" s="194">
        <f t="shared" si="5"/>
        <v>1.8800322061191626E-2</v>
      </c>
    </row>
    <row r="119" spans="1:15" ht="12.75" customHeight="1">
      <c r="A119" s="188" t="s">
        <v>620</v>
      </c>
      <c r="B119" s="188" t="s">
        <v>621</v>
      </c>
      <c r="C119" s="188" t="s">
        <v>622</v>
      </c>
      <c r="D119" s="188" t="s">
        <v>853</v>
      </c>
      <c r="E119" s="189">
        <v>39436</v>
      </c>
      <c r="F119" s="190">
        <v>1802</v>
      </c>
      <c r="G119" s="190">
        <v>0</v>
      </c>
      <c r="H119" s="191">
        <v>1422</v>
      </c>
      <c r="I119" s="191">
        <v>630</v>
      </c>
      <c r="J119" s="188" t="s">
        <v>635</v>
      </c>
      <c r="K119" s="188" t="s">
        <v>338</v>
      </c>
      <c r="L119" s="188" t="s">
        <v>854</v>
      </c>
      <c r="M119" s="192">
        <f t="shared" si="3"/>
        <v>30</v>
      </c>
      <c r="N119" s="193">
        <f t="shared" si="4"/>
        <v>0.56428571428571428</v>
      </c>
      <c r="O119" s="194">
        <f t="shared" si="5"/>
        <v>1.8809523809523811E-2</v>
      </c>
    </row>
    <row r="120" spans="1:15" ht="12.75" customHeight="1">
      <c r="A120" s="188" t="s">
        <v>620</v>
      </c>
      <c r="B120" s="188" t="s">
        <v>621</v>
      </c>
      <c r="C120" s="188" t="s">
        <v>622</v>
      </c>
      <c r="D120" s="188" t="s">
        <v>855</v>
      </c>
      <c r="E120" s="189">
        <v>39240</v>
      </c>
      <c r="F120" s="190">
        <v>898</v>
      </c>
      <c r="G120" s="190">
        <v>0</v>
      </c>
      <c r="H120" s="191">
        <v>449.04</v>
      </c>
      <c r="I120" s="191">
        <v>313.75</v>
      </c>
      <c r="J120" s="188" t="s">
        <v>667</v>
      </c>
      <c r="K120" s="188" t="s">
        <v>338</v>
      </c>
      <c r="L120" s="188" t="s">
        <v>856</v>
      </c>
      <c r="M120" s="192">
        <f t="shared" si="3"/>
        <v>19</v>
      </c>
      <c r="N120" s="193">
        <f t="shared" si="4"/>
        <v>0.35780079681274901</v>
      </c>
      <c r="O120" s="194">
        <f t="shared" si="5"/>
        <v>1.8831620884881526E-2</v>
      </c>
    </row>
    <row r="121" spans="1:15" ht="12.75" customHeight="1">
      <c r="A121" s="188" t="s">
        <v>620</v>
      </c>
      <c r="B121" s="188" t="s">
        <v>621</v>
      </c>
      <c r="C121" s="188" t="s">
        <v>622</v>
      </c>
      <c r="D121" s="188" t="s">
        <v>857</v>
      </c>
      <c r="E121" s="189">
        <v>39429</v>
      </c>
      <c r="F121" s="190">
        <v>358</v>
      </c>
      <c r="G121" s="190">
        <v>0</v>
      </c>
      <c r="H121" s="191">
        <v>179</v>
      </c>
      <c r="I121" s="191">
        <v>125</v>
      </c>
      <c r="J121" s="188" t="s">
        <v>667</v>
      </c>
      <c r="K121" s="188" t="s">
        <v>338</v>
      </c>
      <c r="L121" s="188" t="s">
        <v>858</v>
      </c>
      <c r="M121" s="192">
        <f t="shared" si="3"/>
        <v>19</v>
      </c>
      <c r="N121" s="193">
        <f t="shared" si="4"/>
        <v>0.35799999999999998</v>
      </c>
      <c r="O121" s="194">
        <f t="shared" si="5"/>
        <v>1.8842105263157893E-2</v>
      </c>
    </row>
    <row r="122" spans="1:15" ht="12.75" customHeight="1">
      <c r="A122" s="188" t="s">
        <v>620</v>
      </c>
      <c r="B122" s="188" t="s">
        <v>621</v>
      </c>
      <c r="C122" s="188" t="s">
        <v>622</v>
      </c>
      <c r="D122" s="188" t="s">
        <v>859</v>
      </c>
      <c r="E122" s="189">
        <v>39507</v>
      </c>
      <c r="F122" s="190">
        <v>1060</v>
      </c>
      <c r="G122" s="190">
        <v>0</v>
      </c>
      <c r="H122" s="191">
        <v>728</v>
      </c>
      <c r="I122" s="191">
        <v>370.75</v>
      </c>
      <c r="J122" s="188" t="s">
        <v>361</v>
      </c>
      <c r="K122" s="188" t="s">
        <v>338</v>
      </c>
      <c r="L122" s="188" t="s">
        <v>860</v>
      </c>
      <c r="M122" s="192">
        <f t="shared" si="3"/>
        <v>26</v>
      </c>
      <c r="N122" s="193">
        <f t="shared" si="4"/>
        <v>0.49089683074848278</v>
      </c>
      <c r="O122" s="194">
        <f t="shared" si="5"/>
        <v>1.8880647336480108E-2</v>
      </c>
    </row>
    <row r="123" spans="1:15" ht="12.75" customHeight="1">
      <c r="A123" s="188" t="s">
        <v>620</v>
      </c>
      <c r="B123" s="188" t="s">
        <v>621</v>
      </c>
      <c r="C123" s="188" t="s">
        <v>622</v>
      </c>
      <c r="D123" s="188" t="s">
        <v>861</v>
      </c>
      <c r="E123" s="189">
        <v>39324</v>
      </c>
      <c r="F123" s="190">
        <v>757</v>
      </c>
      <c r="G123" s="190">
        <v>0</v>
      </c>
      <c r="H123" s="191">
        <v>540</v>
      </c>
      <c r="I123" s="191">
        <v>264.5</v>
      </c>
      <c r="J123" s="188" t="s">
        <v>639</v>
      </c>
      <c r="K123" s="188" t="s">
        <v>338</v>
      </c>
      <c r="L123" s="188" t="s">
        <v>862</v>
      </c>
      <c r="M123" s="192">
        <f t="shared" si="3"/>
        <v>27</v>
      </c>
      <c r="N123" s="193">
        <f t="shared" si="4"/>
        <v>0.5103969754253308</v>
      </c>
      <c r="O123" s="194">
        <f t="shared" si="5"/>
        <v>1.890359168241966E-2</v>
      </c>
    </row>
    <row r="124" spans="1:15" ht="12.75" customHeight="1">
      <c r="A124" s="188" t="s">
        <v>620</v>
      </c>
      <c r="B124" s="188" t="s">
        <v>621</v>
      </c>
      <c r="C124" s="188" t="s">
        <v>622</v>
      </c>
      <c r="D124" s="188" t="s">
        <v>863</v>
      </c>
      <c r="E124" s="189">
        <v>39447</v>
      </c>
      <c r="F124" s="190">
        <v>592</v>
      </c>
      <c r="G124" s="190">
        <v>0</v>
      </c>
      <c r="H124" s="191">
        <v>595</v>
      </c>
      <c r="I124" s="191">
        <v>207</v>
      </c>
      <c r="J124" s="188" t="s">
        <v>624</v>
      </c>
      <c r="K124" s="188" t="s">
        <v>338</v>
      </c>
      <c r="L124" s="188" t="s">
        <v>864</v>
      </c>
      <c r="M124" s="192">
        <f t="shared" si="3"/>
        <v>38</v>
      </c>
      <c r="N124" s="193">
        <f t="shared" si="4"/>
        <v>0.71859903381642509</v>
      </c>
      <c r="O124" s="194">
        <f t="shared" si="5"/>
        <v>1.8910500889905923E-2</v>
      </c>
    </row>
    <row r="125" spans="1:15" ht="12.75" customHeight="1">
      <c r="A125" s="188" t="s">
        <v>620</v>
      </c>
      <c r="B125" s="188" t="s">
        <v>621</v>
      </c>
      <c r="C125" s="188" t="s">
        <v>622</v>
      </c>
      <c r="D125" s="188" t="s">
        <v>865</v>
      </c>
      <c r="E125" s="189">
        <v>39625</v>
      </c>
      <c r="F125" s="190">
        <v>427</v>
      </c>
      <c r="G125" s="190">
        <v>0</v>
      </c>
      <c r="H125" s="191">
        <v>432</v>
      </c>
      <c r="I125" s="191">
        <v>150</v>
      </c>
      <c r="J125" s="188" t="s">
        <v>624</v>
      </c>
      <c r="K125" s="188" t="s">
        <v>338</v>
      </c>
      <c r="L125" s="188" t="s">
        <v>677</v>
      </c>
      <c r="M125" s="192">
        <f t="shared" si="3"/>
        <v>38</v>
      </c>
      <c r="N125" s="193">
        <f t="shared" si="4"/>
        <v>0.72</v>
      </c>
      <c r="O125" s="194">
        <f t="shared" si="5"/>
        <v>1.8947368421052629E-2</v>
      </c>
    </row>
    <row r="126" spans="1:15" ht="12.75" customHeight="1">
      <c r="A126" s="188" t="s">
        <v>620</v>
      </c>
      <c r="B126" s="188" t="s">
        <v>621</v>
      </c>
      <c r="C126" s="188" t="s">
        <v>622</v>
      </c>
      <c r="D126" s="188" t="s">
        <v>866</v>
      </c>
      <c r="E126" s="189">
        <v>39513</v>
      </c>
      <c r="F126" s="190">
        <v>1743</v>
      </c>
      <c r="G126" s="190">
        <v>0</v>
      </c>
      <c r="H126" s="191">
        <v>1400</v>
      </c>
      <c r="I126" s="191">
        <v>612</v>
      </c>
      <c r="J126" s="188" t="s">
        <v>635</v>
      </c>
      <c r="K126" s="188" t="s">
        <v>338</v>
      </c>
      <c r="L126" s="188" t="s">
        <v>867</v>
      </c>
      <c r="M126" s="192">
        <f t="shared" si="3"/>
        <v>30</v>
      </c>
      <c r="N126" s="193">
        <f t="shared" si="4"/>
        <v>0.57189542483660127</v>
      </c>
      <c r="O126" s="194">
        <f t="shared" si="5"/>
        <v>1.906318082788671E-2</v>
      </c>
    </row>
    <row r="127" spans="1:15" ht="12.75" customHeight="1">
      <c r="A127" s="188" t="s">
        <v>620</v>
      </c>
      <c r="B127" s="188" t="s">
        <v>621</v>
      </c>
      <c r="C127" s="188" t="s">
        <v>622</v>
      </c>
      <c r="D127" s="188" t="s">
        <v>868</v>
      </c>
      <c r="E127" s="189">
        <v>39590</v>
      </c>
      <c r="F127" s="190">
        <v>779</v>
      </c>
      <c r="G127" s="190">
        <v>0</v>
      </c>
      <c r="H127" s="191">
        <v>626</v>
      </c>
      <c r="I127" s="191">
        <v>273.5</v>
      </c>
      <c r="J127" s="188" t="s">
        <v>635</v>
      </c>
      <c r="K127" s="188" t="s">
        <v>338</v>
      </c>
      <c r="L127" s="188" t="s">
        <v>869</v>
      </c>
      <c r="M127" s="192">
        <f t="shared" si="3"/>
        <v>30</v>
      </c>
      <c r="N127" s="193">
        <f t="shared" si="4"/>
        <v>0.57221206581352835</v>
      </c>
      <c r="O127" s="194">
        <f t="shared" si="5"/>
        <v>1.9073735527117611E-2</v>
      </c>
    </row>
    <row r="128" spans="1:15" ht="12.75" customHeight="1">
      <c r="A128" s="188" t="s">
        <v>620</v>
      </c>
      <c r="B128" s="188" t="s">
        <v>621</v>
      </c>
      <c r="C128" s="188" t="s">
        <v>622</v>
      </c>
      <c r="D128" s="188" t="s">
        <v>870</v>
      </c>
      <c r="E128" s="189">
        <v>39555</v>
      </c>
      <c r="F128" s="190">
        <v>1220</v>
      </c>
      <c r="G128" s="190">
        <v>0</v>
      </c>
      <c r="H128" s="191">
        <v>754</v>
      </c>
      <c r="I128" s="191">
        <v>428.25</v>
      </c>
      <c r="J128" s="188" t="s">
        <v>571</v>
      </c>
      <c r="K128" s="188" t="s">
        <v>338</v>
      </c>
      <c r="L128" s="188" t="s">
        <v>871</v>
      </c>
      <c r="M128" s="192">
        <f t="shared" si="3"/>
        <v>23</v>
      </c>
      <c r="N128" s="193">
        <f t="shared" si="4"/>
        <v>0.44016345592527728</v>
      </c>
      <c r="O128" s="194">
        <f t="shared" si="5"/>
        <v>1.9137541561968577E-2</v>
      </c>
    </row>
    <row r="129" spans="1:15" ht="12.75" customHeight="1">
      <c r="A129" s="188" t="s">
        <v>620</v>
      </c>
      <c r="B129" s="188" t="s">
        <v>621</v>
      </c>
      <c r="C129" s="188" t="s">
        <v>622</v>
      </c>
      <c r="D129" s="188" t="s">
        <v>872</v>
      </c>
      <c r="E129" s="189">
        <v>39317</v>
      </c>
      <c r="F129" s="190">
        <v>966</v>
      </c>
      <c r="G129" s="190">
        <v>0</v>
      </c>
      <c r="H129" s="191">
        <v>775.98</v>
      </c>
      <c r="I129" s="191">
        <v>337.5</v>
      </c>
      <c r="J129" s="188" t="s">
        <v>750</v>
      </c>
      <c r="K129" s="188" t="s">
        <v>327</v>
      </c>
      <c r="L129" s="188" t="s">
        <v>707</v>
      </c>
      <c r="M129" s="192">
        <f t="shared" si="3"/>
        <v>30</v>
      </c>
      <c r="N129" s="193">
        <f t="shared" si="4"/>
        <v>0.57479999999999998</v>
      </c>
      <c r="O129" s="194">
        <f t="shared" si="5"/>
        <v>1.916E-2</v>
      </c>
    </row>
    <row r="130" spans="1:15" ht="12.75" customHeight="1">
      <c r="A130" s="188" t="s">
        <v>620</v>
      </c>
      <c r="B130" s="188" t="s">
        <v>621</v>
      </c>
      <c r="C130" s="188" t="s">
        <v>622</v>
      </c>
      <c r="D130" s="188" t="s">
        <v>873</v>
      </c>
      <c r="E130" s="189">
        <v>39604</v>
      </c>
      <c r="F130" s="190">
        <v>513</v>
      </c>
      <c r="G130" s="190">
        <v>0</v>
      </c>
      <c r="H130" s="191">
        <v>346</v>
      </c>
      <c r="I130" s="191">
        <v>180.25</v>
      </c>
      <c r="J130" s="188" t="s">
        <v>652</v>
      </c>
      <c r="K130" s="188" t="s">
        <v>338</v>
      </c>
      <c r="L130" s="188" t="s">
        <v>874</v>
      </c>
      <c r="M130" s="192">
        <f t="shared" ref="M130:M193" si="6">K130-J130</f>
        <v>25</v>
      </c>
      <c r="N130" s="193">
        <f t="shared" ref="N130:N193" si="7">H130/L130</f>
        <v>0.47988904299583912</v>
      </c>
      <c r="O130" s="194">
        <f t="shared" ref="O130:O193" si="8">N130/M130</f>
        <v>1.9195561719833564E-2</v>
      </c>
    </row>
    <row r="131" spans="1:15" ht="12.75" customHeight="1">
      <c r="A131" s="188" t="s">
        <v>620</v>
      </c>
      <c r="B131" s="188" t="s">
        <v>621</v>
      </c>
      <c r="C131" s="188" t="s">
        <v>622</v>
      </c>
      <c r="D131" s="188" t="s">
        <v>875</v>
      </c>
      <c r="E131" s="189">
        <v>39407</v>
      </c>
      <c r="F131" s="190">
        <v>721</v>
      </c>
      <c r="G131" s="190">
        <v>0</v>
      </c>
      <c r="H131" s="191">
        <v>581</v>
      </c>
      <c r="I131" s="191">
        <v>252</v>
      </c>
      <c r="J131" s="188" t="s">
        <v>635</v>
      </c>
      <c r="K131" s="188" t="s">
        <v>338</v>
      </c>
      <c r="L131" s="188" t="s">
        <v>736</v>
      </c>
      <c r="M131" s="192">
        <f t="shared" si="6"/>
        <v>30</v>
      </c>
      <c r="N131" s="193">
        <f t="shared" si="7"/>
        <v>0.57638888888888884</v>
      </c>
      <c r="O131" s="194">
        <f t="shared" si="8"/>
        <v>1.9212962962962963E-2</v>
      </c>
    </row>
    <row r="132" spans="1:15" ht="12.75" customHeight="1">
      <c r="A132" s="188" t="s">
        <v>620</v>
      </c>
      <c r="B132" s="188" t="s">
        <v>621</v>
      </c>
      <c r="C132" s="188" t="s">
        <v>622</v>
      </c>
      <c r="D132" s="188" t="s">
        <v>876</v>
      </c>
      <c r="E132" s="189">
        <v>39275</v>
      </c>
      <c r="F132" s="190">
        <v>1073</v>
      </c>
      <c r="G132" s="190">
        <v>0</v>
      </c>
      <c r="H132" s="191">
        <v>750</v>
      </c>
      <c r="I132" s="191">
        <v>375</v>
      </c>
      <c r="J132" s="188" t="s">
        <v>361</v>
      </c>
      <c r="K132" s="188" t="s">
        <v>338</v>
      </c>
      <c r="L132" s="188" t="s">
        <v>746</v>
      </c>
      <c r="M132" s="192">
        <f t="shared" si="6"/>
        <v>26</v>
      </c>
      <c r="N132" s="193">
        <f t="shared" si="7"/>
        <v>0.5</v>
      </c>
      <c r="O132" s="194">
        <f t="shared" si="8"/>
        <v>1.9230769230769232E-2</v>
      </c>
    </row>
    <row r="133" spans="1:15" ht="12.75" customHeight="1">
      <c r="A133" s="188" t="s">
        <v>620</v>
      </c>
      <c r="B133" s="188" t="s">
        <v>621</v>
      </c>
      <c r="C133" s="188" t="s">
        <v>622</v>
      </c>
      <c r="D133" s="188" t="s">
        <v>877</v>
      </c>
      <c r="E133" s="189">
        <v>39625</v>
      </c>
      <c r="F133" s="190">
        <v>1218</v>
      </c>
      <c r="G133" s="190">
        <v>0</v>
      </c>
      <c r="H133" s="191">
        <v>1250</v>
      </c>
      <c r="I133" s="191">
        <v>427.5</v>
      </c>
      <c r="J133" s="188" t="s">
        <v>624</v>
      </c>
      <c r="K133" s="188" t="s">
        <v>338</v>
      </c>
      <c r="L133" s="188" t="s">
        <v>462</v>
      </c>
      <c r="M133" s="192">
        <f t="shared" si="6"/>
        <v>38</v>
      </c>
      <c r="N133" s="193">
        <f t="shared" si="7"/>
        <v>0.73099415204678364</v>
      </c>
      <c r="O133" s="194">
        <f t="shared" si="8"/>
        <v>1.9236688211757464E-2</v>
      </c>
    </row>
    <row r="134" spans="1:15" ht="12.75" customHeight="1">
      <c r="A134" s="188" t="s">
        <v>620</v>
      </c>
      <c r="B134" s="188" t="s">
        <v>621</v>
      </c>
      <c r="C134" s="188" t="s">
        <v>622</v>
      </c>
      <c r="D134" s="188" t="s">
        <v>878</v>
      </c>
      <c r="E134" s="189">
        <v>39233</v>
      </c>
      <c r="F134" s="190">
        <v>1399</v>
      </c>
      <c r="G134" s="190">
        <v>0</v>
      </c>
      <c r="H134" s="191">
        <v>790.63</v>
      </c>
      <c r="I134" s="191">
        <v>489.25</v>
      </c>
      <c r="J134" s="188" t="s">
        <v>879</v>
      </c>
      <c r="K134" s="188" t="s">
        <v>338</v>
      </c>
      <c r="L134" s="188" t="s">
        <v>880</v>
      </c>
      <c r="M134" s="192">
        <f t="shared" si="6"/>
        <v>21</v>
      </c>
      <c r="N134" s="193">
        <f t="shared" si="7"/>
        <v>0.40400102197240673</v>
      </c>
      <c r="O134" s="194">
        <f t="shared" si="8"/>
        <v>1.9238143903447941E-2</v>
      </c>
    </row>
    <row r="135" spans="1:15" ht="12.75" customHeight="1">
      <c r="A135" s="188" t="s">
        <v>620</v>
      </c>
      <c r="B135" s="188" t="s">
        <v>621</v>
      </c>
      <c r="C135" s="188" t="s">
        <v>622</v>
      </c>
      <c r="D135" s="188" t="s">
        <v>881</v>
      </c>
      <c r="E135" s="189">
        <v>39429</v>
      </c>
      <c r="F135" s="190">
        <v>752</v>
      </c>
      <c r="G135" s="190">
        <v>0</v>
      </c>
      <c r="H135" s="191">
        <v>609</v>
      </c>
      <c r="I135" s="191">
        <v>263.25</v>
      </c>
      <c r="J135" s="188" t="s">
        <v>635</v>
      </c>
      <c r="K135" s="188" t="s">
        <v>338</v>
      </c>
      <c r="L135" s="188" t="s">
        <v>882</v>
      </c>
      <c r="M135" s="192">
        <f t="shared" si="6"/>
        <v>30</v>
      </c>
      <c r="N135" s="193">
        <f t="shared" si="7"/>
        <v>0.57834757834757833</v>
      </c>
      <c r="O135" s="194">
        <f t="shared" si="8"/>
        <v>1.9278252611585944E-2</v>
      </c>
    </row>
    <row r="136" spans="1:15" ht="12.75" customHeight="1">
      <c r="A136" s="188" t="s">
        <v>620</v>
      </c>
      <c r="B136" s="188" t="s">
        <v>621</v>
      </c>
      <c r="C136" s="188" t="s">
        <v>622</v>
      </c>
      <c r="D136" s="188" t="s">
        <v>883</v>
      </c>
      <c r="E136" s="189">
        <v>39527</v>
      </c>
      <c r="F136" s="190">
        <v>1068</v>
      </c>
      <c r="G136" s="190">
        <v>0</v>
      </c>
      <c r="H136" s="191">
        <v>1100</v>
      </c>
      <c r="I136" s="191">
        <v>375</v>
      </c>
      <c r="J136" s="188" t="s">
        <v>624</v>
      </c>
      <c r="K136" s="188" t="s">
        <v>338</v>
      </c>
      <c r="L136" s="188" t="s">
        <v>746</v>
      </c>
      <c r="M136" s="192">
        <f t="shared" si="6"/>
        <v>38</v>
      </c>
      <c r="N136" s="193">
        <f t="shared" si="7"/>
        <v>0.73333333333333328</v>
      </c>
      <c r="O136" s="194">
        <f t="shared" si="8"/>
        <v>1.9298245614035085E-2</v>
      </c>
    </row>
    <row r="137" spans="1:15" ht="12.75" customHeight="1">
      <c r="A137" s="188" t="s">
        <v>620</v>
      </c>
      <c r="B137" s="188" t="s">
        <v>621</v>
      </c>
      <c r="C137" s="188" t="s">
        <v>622</v>
      </c>
      <c r="D137" s="188" t="s">
        <v>884</v>
      </c>
      <c r="E137" s="189">
        <v>39447</v>
      </c>
      <c r="F137" s="190">
        <v>1179</v>
      </c>
      <c r="G137" s="190">
        <v>0</v>
      </c>
      <c r="H137" s="191">
        <v>896</v>
      </c>
      <c r="I137" s="191">
        <v>412.5</v>
      </c>
      <c r="J137" s="188" t="s">
        <v>750</v>
      </c>
      <c r="K137" s="188" t="s">
        <v>338</v>
      </c>
      <c r="L137" s="188" t="s">
        <v>885</v>
      </c>
      <c r="M137" s="192">
        <f t="shared" si="6"/>
        <v>28</v>
      </c>
      <c r="N137" s="193">
        <f t="shared" si="7"/>
        <v>0.54303030303030309</v>
      </c>
      <c r="O137" s="194">
        <f t="shared" si="8"/>
        <v>1.9393939393939397E-2</v>
      </c>
    </row>
    <row r="138" spans="1:15" ht="12.75" customHeight="1">
      <c r="A138" s="188" t="s">
        <v>620</v>
      </c>
      <c r="B138" s="188" t="s">
        <v>621</v>
      </c>
      <c r="C138" s="188" t="s">
        <v>622</v>
      </c>
      <c r="D138" s="188" t="s">
        <v>886</v>
      </c>
      <c r="E138" s="189">
        <v>39597</v>
      </c>
      <c r="F138" s="190">
        <v>593</v>
      </c>
      <c r="G138" s="190">
        <v>0</v>
      </c>
      <c r="H138" s="191">
        <v>614</v>
      </c>
      <c r="I138" s="191">
        <v>208</v>
      </c>
      <c r="J138" s="188" t="s">
        <v>624</v>
      </c>
      <c r="K138" s="188" t="s">
        <v>338</v>
      </c>
      <c r="L138" s="188" t="s">
        <v>734</v>
      </c>
      <c r="M138" s="192">
        <f t="shared" si="6"/>
        <v>38</v>
      </c>
      <c r="N138" s="193">
        <f t="shared" si="7"/>
        <v>0.73798076923076927</v>
      </c>
      <c r="O138" s="194">
        <f t="shared" si="8"/>
        <v>1.9420546558704455E-2</v>
      </c>
    </row>
    <row r="139" spans="1:15" ht="12.75" customHeight="1">
      <c r="A139" s="188" t="s">
        <v>620</v>
      </c>
      <c r="B139" s="188" t="s">
        <v>621</v>
      </c>
      <c r="C139" s="188" t="s">
        <v>622</v>
      </c>
      <c r="D139" s="188" t="s">
        <v>887</v>
      </c>
      <c r="E139" s="189">
        <v>39492</v>
      </c>
      <c r="F139" s="190">
        <v>1507</v>
      </c>
      <c r="G139" s="190">
        <v>0</v>
      </c>
      <c r="H139" s="191">
        <v>780</v>
      </c>
      <c r="I139" s="191">
        <v>527</v>
      </c>
      <c r="J139" s="188" t="s">
        <v>667</v>
      </c>
      <c r="K139" s="188" t="s">
        <v>338</v>
      </c>
      <c r="L139" s="188" t="s">
        <v>888</v>
      </c>
      <c r="M139" s="192">
        <f t="shared" si="6"/>
        <v>19</v>
      </c>
      <c r="N139" s="193">
        <f t="shared" si="7"/>
        <v>0.37001897533206829</v>
      </c>
      <c r="O139" s="194">
        <f t="shared" si="8"/>
        <v>1.947468291221412E-2</v>
      </c>
    </row>
    <row r="140" spans="1:15" ht="12.75" customHeight="1">
      <c r="A140" s="188" t="s">
        <v>620</v>
      </c>
      <c r="B140" s="188" t="s">
        <v>621</v>
      </c>
      <c r="C140" s="188" t="s">
        <v>622</v>
      </c>
      <c r="D140" s="188" t="s">
        <v>889</v>
      </c>
      <c r="E140" s="189">
        <v>39226</v>
      </c>
      <c r="F140" s="190">
        <v>1199</v>
      </c>
      <c r="G140" s="190">
        <v>0</v>
      </c>
      <c r="H140" s="191">
        <v>815.02</v>
      </c>
      <c r="I140" s="191">
        <v>419.25</v>
      </c>
      <c r="J140" s="188" t="s">
        <v>667</v>
      </c>
      <c r="K140" s="188" t="s">
        <v>338</v>
      </c>
      <c r="L140" s="188" t="s">
        <v>890</v>
      </c>
      <c r="M140" s="192">
        <f t="shared" si="6"/>
        <v>19</v>
      </c>
      <c r="N140" s="193">
        <f t="shared" si="7"/>
        <v>0.37012715712988192</v>
      </c>
      <c r="O140" s="194">
        <f t="shared" si="8"/>
        <v>1.9480376691046419E-2</v>
      </c>
    </row>
    <row r="141" spans="1:15" ht="12.75" customHeight="1">
      <c r="A141" s="188" t="s">
        <v>620</v>
      </c>
      <c r="B141" s="188" t="s">
        <v>621</v>
      </c>
      <c r="C141" s="188" t="s">
        <v>622</v>
      </c>
      <c r="D141" s="188" t="s">
        <v>891</v>
      </c>
      <c r="E141" s="189">
        <v>39499</v>
      </c>
      <c r="F141" s="190">
        <v>1101</v>
      </c>
      <c r="G141" s="190">
        <v>0</v>
      </c>
      <c r="H141" s="191">
        <v>780</v>
      </c>
      <c r="I141" s="191">
        <v>385</v>
      </c>
      <c r="J141" s="188" t="s">
        <v>361</v>
      </c>
      <c r="K141" s="188" t="s">
        <v>338</v>
      </c>
      <c r="L141" s="188" t="s">
        <v>892</v>
      </c>
      <c r="M141" s="192">
        <f t="shared" si="6"/>
        <v>26</v>
      </c>
      <c r="N141" s="193">
        <f t="shared" si="7"/>
        <v>0.50649350649350644</v>
      </c>
      <c r="O141" s="194">
        <f t="shared" si="8"/>
        <v>1.948051948051948E-2</v>
      </c>
    </row>
    <row r="142" spans="1:15" ht="12.75" customHeight="1">
      <c r="A142" s="188" t="s">
        <v>620</v>
      </c>
      <c r="B142" s="188" t="s">
        <v>621</v>
      </c>
      <c r="C142" s="188" t="s">
        <v>622</v>
      </c>
      <c r="D142" s="188" t="s">
        <v>893</v>
      </c>
      <c r="E142" s="189">
        <v>39233</v>
      </c>
      <c r="F142" s="190">
        <v>801</v>
      </c>
      <c r="G142" s="190">
        <v>0</v>
      </c>
      <c r="H142" s="191">
        <v>414.96</v>
      </c>
      <c r="I142" s="191">
        <v>280</v>
      </c>
      <c r="J142" s="188" t="s">
        <v>667</v>
      </c>
      <c r="K142" s="188" t="s">
        <v>338</v>
      </c>
      <c r="L142" s="188" t="s">
        <v>825</v>
      </c>
      <c r="M142" s="192">
        <f t="shared" si="6"/>
        <v>19</v>
      </c>
      <c r="N142" s="193">
        <f t="shared" si="7"/>
        <v>0.3705</v>
      </c>
      <c r="O142" s="194">
        <f t="shared" si="8"/>
        <v>1.95E-2</v>
      </c>
    </row>
    <row r="143" spans="1:15" ht="12.75" customHeight="1">
      <c r="A143" s="188" t="s">
        <v>620</v>
      </c>
      <c r="B143" s="188" t="s">
        <v>621</v>
      </c>
      <c r="C143" s="188" t="s">
        <v>622</v>
      </c>
      <c r="D143" s="188" t="s">
        <v>894</v>
      </c>
      <c r="E143" s="189">
        <v>39576</v>
      </c>
      <c r="F143" s="190">
        <v>783</v>
      </c>
      <c r="G143" s="190">
        <v>0</v>
      </c>
      <c r="H143" s="191">
        <v>665</v>
      </c>
      <c r="I143" s="191">
        <v>275</v>
      </c>
      <c r="J143" s="188" t="s">
        <v>560</v>
      </c>
      <c r="K143" s="188" t="s">
        <v>648</v>
      </c>
      <c r="L143" s="188" t="s">
        <v>557</v>
      </c>
      <c r="M143" s="192">
        <f t="shared" si="6"/>
        <v>31</v>
      </c>
      <c r="N143" s="193">
        <f t="shared" si="7"/>
        <v>0.6045454545454545</v>
      </c>
      <c r="O143" s="194">
        <f t="shared" si="8"/>
        <v>1.9501466275659823E-2</v>
      </c>
    </row>
    <row r="144" spans="1:15" ht="12.75" customHeight="1">
      <c r="A144" s="188" t="s">
        <v>620</v>
      </c>
      <c r="B144" s="188" t="s">
        <v>621</v>
      </c>
      <c r="C144" s="188" t="s">
        <v>622</v>
      </c>
      <c r="D144" s="188" t="s">
        <v>895</v>
      </c>
      <c r="E144" s="189">
        <v>39541</v>
      </c>
      <c r="F144" s="190">
        <v>2228</v>
      </c>
      <c r="G144" s="190">
        <v>0</v>
      </c>
      <c r="H144" s="191">
        <v>1588</v>
      </c>
      <c r="I144" s="191">
        <v>782.25</v>
      </c>
      <c r="J144" s="188" t="s">
        <v>361</v>
      </c>
      <c r="K144" s="188" t="s">
        <v>338</v>
      </c>
      <c r="L144" s="188" t="s">
        <v>896</v>
      </c>
      <c r="M144" s="192">
        <f t="shared" si="6"/>
        <v>26</v>
      </c>
      <c r="N144" s="193">
        <f t="shared" si="7"/>
        <v>0.50751038670501758</v>
      </c>
      <c r="O144" s="194">
        <f t="shared" si="8"/>
        <v>1.9519630257885293E-2</v>
      </c>
    </row>
    <row r="145" spans="1:15" ht="12.75" customHeight="1">
      <c r="A145" s="188" t="s">
        <v>620</v>
      </c>
      <c r="B145" s="188" t="s">
        <v>621</v>
      </c>
      <c r="C145" s="188" t="s">
        <v>622</v>
      </c>
      <c r="D145" s="188" t="s">
        <v>897</v>
      </c>
      <c r="E145" s="189">
        <v>39507</v>
      </c>
      <c r="F145" s="190">
        <v>1298</v>
      </c>
      <c r="G145" s="190">
        <v>0</v>
      </c>
      <c r="H145" s="191">
        <v>959</v>
      </c>
      <c r="I145" s="191">
        <v>454</v>
      </c>
      <c r="J145" s="188" t="s">
        <v>639</v>
      </c>
      <c r="K145" s="188" t="s">
        <v>338</v>
      </c>
      <c r="L145" s="188" t="s">
        <v>272</v>
      </c>
      <c r="M145" s="192">
        <f t="shared" si="6"/>
        <v>27</v>
      </c>
      <c r="N145" s="193">
        <f t="shared" si="7"/>
        <v>0.52808370044052866</v>
      </c>
      <c r="O145" s="194">
        <f t="shared" si="8"/>
        <v>1.9558655571871433E-2</v>
      </c>
    </row>
    <row r="146" spans="1:15" ht="12.75" customHeight="1">
      <c r="A146" s="188" t="s">
        <v>620</v>
      </c>
      <c r="B146" s="188" t="s">
        <v>621</v>
      </c>
      <c r="C146" s="188" t="s">
        <v>622</v>
      </c>
      <c r="D146" s="188" t="s">
        <v>898</v>
      </c>
      <c r="E146" s="189">
        <v>39436</v>
      </c>
      <c r="F146" s="190">
        <v>812</v>
      </c>
      <c r="G146" s="190">
        <v>0</v>
      </c>
      <c r="H146" s="191">
        <v>512</v>
      </c>
      <c r="I146" s="191">
        <v>284</v>
      </c>
      <c r="J146" s="188" t="s">
        <v>571</v>
      </c>
      <c r="K146" s="188" t="s">
        <v>338</v>
      </c>
      <c r="L146" s="188" t="s">
        <v>899</v>
      </c>
      <c r="M146" s="192">
        <f t="shared" si="6"/>
        <v>23</v>
      </c>
      <c r="N146" s="193">
        <f t="shared" si="7"/>
        <v>0.45070422535211269</v>
      </c>
      <c r="O146" s="194">
        <f t="shared" si="8"/>
        <v>1.9595835884874464E-2</v>
      </c>
    </row>
    <row r="147" spans="1:15" ht="12.75" customHeight="1">
      <c r="A147" s="188" t="s">
        <v>620</v>
      </c>
      <c r="B147" s="188" t="s">
        <v>621</v>
      </c>
      <c r="C147" s="188" t="s">
        <v>622</v>
      </c>
      <c r="D147" s="188" t="s">
        <v>900</v>
      </c>
      <c r="E147" s="189">
        <v>39499</v>
      </c>
      <c r="F147" s="190">
        <v>1502</v>
      </c>
      <c r="G147" s="190">
        <v>0</v>
      </c>
      <c r="H147" s="191">
        <v>1235</v>
      </c>
      <c r="I147" s="191">
        <v>525</v>
      </c>
      <c r="J147" s="188" t="s">
        <v>635</v>
      </c>
      <c r="K147" s="188" t="s">
        <v>338</v>
      </c>
      <c r="L147" s="188" t="s">
        <v>701</v>
      </c>
      <c r="M147" s="192">
        <f t="shared" si="6"/>
        <v>30</v>
      </c>
      <c r="N147" s="193">
        <f t="shared" si="7"/>
        <v>0.58809523809523812</v>
      </c>
      <c r="O147" s="194">
        <f t="shared" si="8"/>
        <v>1.9603174603174605E-2</v>
      </c>
    </row>
    <row r="148" spans="1:15" ht="12.75" customHeight="1">
      <c r="A148" s="188" t="s">
        <v>620</v>
      </c>
      <c r="B148" s="188" t="s">
        <v>621</v>
      </c>
      <c r="C148" s="188" t="s">
        <v>622</v>
      </c>
      <c r="D148" s="188" t="s">
        <v>901</v>
      </c>
      <c r="E148" s="189">
        <v>39275</v>
      </c>
      <c r="F148" s="190">
        <v>853</v>
      </c>
      <c r="G148" s="190">
        <v>0</v>
      </c>
      <c r="H148" s="191">
        <v>889.98</v>
      </c>
      <c r="I148" s="191">
        <v>298.25</v>
      </c>
      <c r="J148" s="188" t="s">
        <v>624</v>
      </c>
      <c r="K148" s="188" t="s">
        <v>338</v>
      </c>
      <c r="L148" s="188" t="s">
        <v>902</v>
      </c>
      <c r="M148" s="192">
        <f t="shared" si="6"/>
        <v>38</v>
      </c>
      <c r="N148" s="193">
        <f t="shared" si="7"/>
        <v>0.74600167644593463</v>
      </c>
      <c r="O148" s="194">
        <f t="shared" si="8"/>
        <v>1.96316230643667E-2</v>
      </c>
    </row>
    <row r="149" spans="1:15" ht="12.75" customHeight="1">
      <c r="A149" s="188" t="s">
        <v>620</v>
      </c>
      <c r="B149" s="188" t="s">
        <v>621</v>
      </c>
      <c r="C149" s="188" t="s">
        <v>622</v>
      </c>
      <c r="D149" s="188" t="s">
        <v>903</v>
      </c>
      <c r="E149" s="189">
        <v>39447</v>
      </c>
      <c r="F149" s="190">
        <v>1330</v>
      </c>
      <c r="G149" s="190">
        <v>0</v>
      </c>
      <c r="H149" s="191">
        <v>1390</v>
      </c>
      <c r="I149" s="191">
        <v>465</v>
      </c>
      <c r="J149" s="188" t="s">
        <v>624</v>
      </c>
      <c r="K149" s="188" t="s">
        <v>338</v>
      </c>
      <c r="L149" s="188" t="s">
        <v>904</v>
      </c>
      <c r="M149" s="192">
        <f t="shared" si="6"/>
        <v>38</v>
      </c>
      <c r="N149" s="193">
        <f t="shared" si="7"/>
        <v>0.74731182795698925</v>
      </c>
      <c r="O149" s="194">
        <f t="shared" si="8"/>
        <v>1.9666100735710245E-2</v>
      </c>
    </row>
    <row r="150" spans="1:15" ht="12.75" customHeight="1">
      <c r="A150" s="188" t="s">
        <v>620</v>
      </c>
      <c r="B150" s="188" t="s">
        <v>621</v>
      </c>
      <c r="C150" s="188" t="s">
        <v>622</v>
      </c>
      <c r="D150" s="188" t="s">
        <v>905</v>
      </c>
      <c r="E150" s="189">
        <v>39520</v>
      </c>
      <c r="F150" s="190">
        <v>598</v>
      </c>
      <c r="G150" s="190">
        <v>0</v>
      </c>
      <c r="H150" s="191">
        <v>413</v>
      </c>
      <c r="I150" s="191">
        <v>210</v>
      </c>
      <c r="J150" s="188" t="s">
        <v>652</v>
      </c>
      <c r="K150" s="188" t="s">
        <v>338</v>
      </c>
      <c r="L150" s="188" t="s">
        <v>906</v>
      </c>
      <c r="M150" s="192">
        <f t="shared" si="6"/>
        <v>25</v>
      </c>
      <c r="N150" s="193">
        <f t="shared" si="7"/>
        <v>0.49166666666666664</v>
      </c>
      <c r="O150" s="194">
        <f t="shared" si="8"/>
        <v>1.9666666666666666E-2</v>
      </c>
    </row>
    <row r="151" spans="1:15" ht="12.75" customHeight="1">
      <c r="A151" s="188" t="s">
        <v>620</v>
      </c>
      <c r="B151" s="188" t="s">
        <v>621</v>
      </c>
      <c r="C151" s="188" t="s">
        <v>622</v>
      </c>
      <c r="D151" s="188" t="s">
        <v>907</v>
      </c>
      <c r="E151" s="189">
        <v>39611</v>
      </c>
      <c r="F151" s="190">
        <v>735</v>
      </c>
      <c r="G151" s="190">
        <v>0</v>
      </c>
      <c r="H151" s="191">
        <v>610</v>
      </c>
      <c r="I151" s="191">
        <v>258</v>
      </c>
      <c r="J151" s="188" t="s">
        <v>635</v>
      </c>
      <c r="K151" s="188" t="s">
        <v>338</v>
      </c>
      <c r="L151" s="188" t="s">
        <v>908</v>
      </c>
      <c r="M151" s="192">
        <f t="shared" si="6"/>
        <v>30</v>
      </c>
      <c r="N151" s="193">
        <f t="shared" si="7"/>
        <v>0.59108527131782951</v>
      </c>
      <c r="O151" s="194">
        <f t="shared" si="8"/>
        <v>1.9702842377260985E-2</v>
      </c>
    </row>
    <row r="152" spans="1:15" ht="12.75" customHeight="1">
      <c r="A152" s="188" t="s">
        <v>620</v>
      </c>
      <c r="B152" s="188" t="s">
        <v>621</v>
      </c>
      <c r="C152" s="188" t="s">
        <v>622</v>
      </c>
      <c r="D152" s="188" t="s">
        <v>909</v>
      </c>
      <c r="E152" s="189">
        <v>39282</v>
      </c>
      <c r="F152" s="190">
        <v>286</v>
      </c>
      <c r="G152" s="190">
        <v>0</v>
      </c>
      <c r="H152" s="191">
        <v>300</v>
      </c>
      <c r="I152" s="191">
        <v>100</v>
      </c>
      <c r="J152" s="188" t="s">
        <v>624</v>
      </c>
      <c r="K152" s="188" t="s">
        <v>338</v>
      </c>
      <c r="L152" s="188" t="s">
        <v>910</v>
      </c>
      <c r="M152" s="192">
        <f t="shared" si="6"/>
        <v>38</v>
      </c>
      <c r="N152" s="193">
        <f t="shared" si="7"/>
        <v>0.75</v>
      </c>
      <c r="O152" s="194">
        <f t="shared" si="8"/>
        <v>1.9736842105263157E-2</v>
      </c>
    </row>
    <row r="153" spans="1:15" ht="12.75" customHeight="1">
      <c r="A153" s="188" t="s">
        <v>620</v>
      </c>
      <c r="B153" s="188" t="s">
        <v>621</v>
      </c>
      <c r="C153" s="188" t="s">
        <v>622</v>
      </c>
      <c r="D153" s="188" t="s">
        <v>911</v>
      </c>
      <c r="E153" s="189">
        <v>39324</v>
      </c>
      <c r="F153" s="190">
        <v>715</v>
      </c>
      <c r="G153" s="190">
        <v>0</v>
      </c>
      <c r="H153" s="191">
        <v>750</v>
      </c>
      <c r="I153" s="191">
        <v>250</v>
      </c>
      <c r="J153" s="188" t="s">
        <v>829</v>
      </c>
      <c r="K153" s="188" t="s">
        <v>733</v>
      </c>
      <c r="L153" s="188" t="s">
        <v>636</v>
      </c>
      <c r="M153" s="192">
        <f t="shared" si="6"/>
        <v>38</v>
      </c>
      <c r="N153" s="193">
        <f t="shared" si="7"/>
        <v>0.75</v>
      </c>
      <c r="O153" s="194">
        <f t="shared" si="8"/>
        <v>1.9736842105263157E-2</v>
      </c>
    </row>
    <row r="154" spans="1:15" ht="12.75" customHeight="1">
      <c r="A154" s="188" t="s">
        <v>620</v>
      </c>
      <c r="B154" s="188" t="s">
        <v>621</v>
      </c>
      <c r="C154" s="188" t="s">
        <v>622</v>
      </c>
      <c r="D154" s="188" t="s">
        <v>912</v>
      </c>
      <c r="E154" s="189">
        <v>39254</v>
      </c>
      <c r="F154" s="190">
        <v>1026</v>
      </c>
      <c r="G154" s="190">
        <v>0</v>
      </c>
      <c r="H154" s="191">
        <v>765.96</v>
      </c>
      <c r="I154" s="191">
        <v>359</v>
      </c>
      <c r="J154" s="188" t="s">
        <v>639</v>
      </c>
      <c r="K154" s="188" t="s">
        <v>338</v>
      </c>
      <c r="L154" s="188" t="s">
        <v>577</v>
      </c>
      <c r="M154" s="192">
        <f t="shared" si="6"/>
        <v>27</v>
      </c>
      <c r="N154" s="193">
        <f t="shared" si="7"/>
        <v>0.53339832869080783</v>
      </c>
      <c r="O154" s="194">
        <f t="shared" si="8"/>
        <v>1.9755493655215103E-2</v>
      </c>
    </row>
    <row r="155" spans="1:15" ht="12.75" customHeight="1">
      <c r="A155" s="188" t="s">
        <v>620</v>
      </c>
      <c r="B155" s="188" t="s">
        <v>621</v>
      </c>
      <c r="C155" s="188" t="s">
        <v>622</v>
      </c>
      <c r="D155" s="188" t="s">
        <v>913</v>
      </c>
      <c r="E155" s="189">
        <v>39395</v>
      </c>
      <c r="F155" s="190">
        <v>959</v>
      </c>
      <c r="G155" s="190">
        <v>0</v>
      </c>
      <c r="H155" s="191">
        <v>610</v>
      </c>
      <c r="I155" s="191">
        <v>335.5</v>
      </c>
      <c r="J155" s="188" t="s">
        <v>571</v>
      </c>
      <c r="K155" s="188" t="s">
        <v>338</v>
      </c>
      <c r="L155" s="188" t="s">
        <v>914</v>
      </c>
      <c r="M155" s="192">
        <f t="shared" si="6"/>
        <v>23</v>
      </c>
      <c r="N155" s="193">
        <f t="shared" si="7"/>
        <v>0.45454545454545453</v>
      </c>
      <c r="O155" s="194">
        <f t="shared" si="8"/>
        <v>1.9762845849802372E-2</v>
      </c>
    </row>
    <row r="156" spans="1:15" ht="12.75" customHeight="1">
      <c r="A156" s="188" t="s">
        <v>620</v>
      </c>
      <c r="B156" s="188" t="s">
        <v>621</v>
      </c>
      <c r="C156" s="188" t="s">
        <v>622</v>
      </c>
      <c r="D156" s="188" t="s">
        <v>915</v>
      </c>
      <c r="E156" s="189">
        <v>39310</v>
      </c>
      <c r="F156" s="190">
        <v>1073</v>
      </c>
      <c r="G156" s="190">
        <v>0</v>
      </c>
      <c r="H156" s="191">
        <v>1129.95</v>
      </c>
      <c r="I156" s="191">
        <v>375</v>
      </c>
      <c r="J156" s="188" t="s">
        <v>624</v>
      </c>
      <c r="K156" s="188" t="s">
        <v>338</v>
      </c>
      <c r="L156" s="188" t="s">
        <v>746</v>
      </c>
      <c r="M156" s="192">
        <f t="shared" si="6"/>
        <v>38</v>
      </c>
      <c r="N156" s="193">
        <f t="shared" si="7"/>
        <v>0.75330000000000008</v>
      </c>
      <c r="O156" s="194">
        <f t="shared" si="8"/>
        <v>1.9823684210526316E-2</v>
      </c>
    </row>
    <row r="157" spans="1:15" ht="12.75" customHeight="1">
      <c r="A157" s="188" t="s">
        <v>620</v>
      </c>
      <c r="B157" s="188" t="s">
        <v>621</v>
      </c>
      <c r="C157" s="188" t="s">
        <v>622</v>
      </c>
      <c r="D157" s="188" t="s">
        <v>916</v>
      </c>
      <c r="E157" s="189">
        <v>39555</v>
      </c>
      <c r="F157" s="190">
        <v>908</v>
      </c>
      <c r="G157" s="190">
        <v>0</v>
      </c>
      <c r="H157" s="191">
        <v>760</v>
      </c>
      <c r="I157" s="191">
        <v>318.75</v>
      </c>
      <c r="J157" s="188" t="s">
        <v>635</v>
      </c>
      <c r="K157" s="188" t="s">
        <v>338</v>
      </c>
      <c r="L157" s="188" t="s">
        <v>847</v>
      </c>
      <c r="M157" s="192">
        <f t="shared" si="6"/>
        <v>30</v>
      </c>
      <c r="N157" s="193">
        <f t="shared" si="7"/>
        <v>0.59607843137254901</v>
      </c>
      <c r="O157" s="194">
        <f t="shared" si="8"/>
        <v>1.9869281045751634E-2</v>
      </c>
    </row>
    <row r="158" spans="1:15" ht="12.75" customHeight="1">
      <c r="A158" s="188" t="s">
        <v>620</v>
      </c>
      <c r="B158" s="188" t="s">
        <v>621</v>
      </c>
      <c r="C158" s="188" t="s">
        <v>622</v>
      </c>
      <c r="D158" s="188" t="s">
        <v>917</v>
      </c>
      <c r="E158" s="189">
        <v>39513</v>
      </c>
      <c r="F158" s="190">
        <v>937</v>
      </c>
      <c r="G158" s="190">
        <v>0</v>
      </c>
      <c r="H158" s="191">
        <v>497</v>
      </c>
      <c r="I158" s="191">
        <v>329</v>
      </c>
      <c r="J158" s="188" t="s">
        <v>667</v>
      </c>
      <c r="K158" s="188" t="s">
        <v>338</v>
      </c>
      <c r="L158" s="188" t="s">
        <v>918</v>
      </c>
      <c r="M158" s="192">
        <f t="shared" si="6"/>
        <v>19</v>
      </c>
      <c r="N158" s="193">
        <f t="shared" si="7"/>
        <v>0.37765957446808512</v>
      </c>
      <c r="O158" s="194">
        <f t="shared" si="8"/>
        <v>1.9876819708846586E-2</v>
      </c>
    </row>
    <row r="159" spans="1:15" ht="12.75" customHeight="1">
      <c r="A159" s="188" t="s">
        <v>620</v>
      </c>
      <c r="B159" s="188" t="s">
        <v>621</v>
      </c>
      <c r="C159" s="188" t="s">
        <v>622</v>
      </c>
      <c r="D159" s="188" t="s">
        <v>919</v>
      </c>
      <c r="E159" s="189">
        <v>39447</v>
      </c>
      <c r="F159" s="190">
        <v>1036</v>
      </c>
      <c r="G159" s="190">
        <v>0</v>
      </c>
      <c r="H159" s="191">
        <v>923.97</v>
      </c>
      <c r="I159" s="191">
        <v>362.5</v>
      </c>
      <c r="J159" s="188" t="s">
        <v>353</v>
      </c>
      <c r="K159" s="188" t="s">
        <v>338</v>
      </c>
      <c r="L159" s="188" t="s">
        <v>920</v>
      </c>
      <c r="M159" s="192">
        <f t="shared" si="6"/>
        <v>32</v>
      </c>
      <c r="N159" s="193">
        <f t="shared" si="7"/>
        <v>0.63722068965517242</v>
      </c>
      <c r="O159" s="194">
        <f t="shared" si="8"/>
        <v>1.9913146551724138E-2</v>
      </c>
    </row>
    <row r="160" spans="1:15" ht="12.75" customHeight="1">
      <c r="A160" s="188" t="s">
        <v>620</v>
      </c>
      <c r="B160" s="188" t="s">
        <v>621</v>
      </c>
      <c r="C160" s="188" t="s">
        <v>622</v>
      </c>
      <c r="D160" s="188" t="s">
        <v>921</v>
      </c>
      <c r="E160" s="189">
        <v>39422</v>
      </c>
      <c r="F160" s="190">
        <v>787</v>
      </c>
      <c r="G160" s="190">
        <v>0</v>
      </c>
      <c r="H160" s="191">
        <v>920</v>
      </c>
      <c r="I160" s="191">
        <v>275</v>
      </c>
      <c r="J160" s="188" t="s">
        <v>503</v>
      </c>
      <c r="K160" s="188" t="s">
        <v>648</v>
      </c>
      <c r="L160" s="188" t="s">
        <v>557</v>
      </c>
      <c r="M160" s="192">
        <f t="shared" si="6"/>
        <v>42</v>
      </c>
      <c r="N160" s="193">
        <f t="shared" si="7"/>
        <v>0.83636363636363631</v>
      </c>
      <c r="O160" s="194">
        <f t="shared" si="8"/>
        <v>1.9913419913419911E-2</v>
      </c>
    </row>
    <row r="161" spans="1:15" ht="12.75" customHeight="1">
      <c r="A161" s="188" t="s">
        <v>620</v>
      </c>
      <c r="B161" s="188" t="s">
        <v>621</v>
      </c>
      <c r="C161" s="188" t="s">
        <v>622</v>
      </c>
      <c r="D161" s="188" t="s">
        <v>922</v>
      </c>
      <c r="E161" s="189">
        <v>39555</v>
      </c>
      <c r="F161" s="190">
        <v>790</v>
      </c>
      <c r="G161" s="190">
        <v>0</v>
      </c>
      <c r="H161" s="191">
        <v>774</v>
      </c>
      <c r="I161" s="191">
        <v>277.5</v>
      </c>
      <c r="J161" s="188" t="s">
        <v>829</v>
      </c>
      <c r="K161" s="188" t="s">
        <v>338</v>
      </c>
      <c r="L161" s="188" t="s">
        <v>923</v>
      </c>
      <c r="M161" s="192">
        <f t="shared" si="6"/>
        <v>35</v>
      </c>
      <c r="N161" s="193">
        <f t="shared" si="7"/>
        <v>0.69729729729729728</v>
      </c>
      <c r="O161" s="194">
        <f t="shared" si="8"/>
        <v>1.9922779922779923E-2</v>
      </c>
    </row>
    <row r="162" spans="1:15" ht="12.75" customHeight="1">
      <c r="A162" s="188" t="s">
        <v>620</v>
      </c>
      <c r="B162" s="188" t="s">
        <v>621</v>
      </c>
      <c r="C162" s="188" t="s">
        <v>622</v>
      </c>
      <c r="D162" s="188" t="s">
        <v>924</v>
      </c>
      <c r="E162" s="189">
        <v>39534</v>
      </c>
      <c r="F162" s="190">
        <v>2136</v>
      </c>
      <c r="G162" s="190">
        <v>0</v>
      </c>
      <c r="H162" s="191">
        <v>2390.83</v>
      </c>
      <c r="I162" s="191">
        <v>750</v>
      </c>
      <c r="J162" s="188" t="s">
        <v>750</v>
      </c>
      <c r="K162" s="188" t="s">
        <v>299</v>
      </c>
      <c r="L162" s="188" t="s">
        <v>925</v>
      </c>
      <c r="M162" s="192">
        <f t="shared" si="6"/>
        <v>40</v>
      </c>
      <c r="N162" s="193">
        <f t="shared" si="7"/>
        <v>0.79694333333333334</v>
      </c>
      <c r="O162" s="194">
        <f t="shared" si="8"/>
        <v>1.9923583333333335E-2</v>
      </c>
    </row>
    <row r="163" spans="1:15" ht="12.75" customHeight="1">
      <c r="A163" s="188" t="s">
        <v>620</v>
      </c>
      <c r="B163" s="188" t="s">
        <v>621</v>
      </c>
      <c r="C163" s="188" t="s">
        <v>622</v>
      </c>
      <c r="D163" s="188" t="s">
        <v>926</v>
      </c>
      <c r="E163" s="189">
        <v>39520</v>
      </c>
      <c r="F163" s="190">
        <v>963</v>
      </c>
      <c r="G163" s="190">
        <v>0</v>
      </c>
      <c r="H163" s="191">
        <v>815</v>
      </c>
      <c r="I163" s="191">
        <v>338</v>
      </c>
      <c r="J163" s="188" t="s">
        <v>635</v>
      </c>
      <c r="K163" s="188" t="s">
        <v>338</v>
      </c>
      <c r="L163" s="188" t="s">
        <v>927</v>
      </c>
      <c r="M163" s="192">
        <f t="shared" si="6"/>
        <v>30</v>
      </c>
      <c r="N163" s="193">
        <f t="shared" si="7"/>
        <v>0.60281065088757402</v>
      </c>
      <c r="O163" s="194">
        <f t="shared" si="8"/>
        <v>2.0093688362919134E-2</v>
      </c>
    </row>
    <row r="164" spans="1:15" ht="12.75" customHeight="1">
      <c r="A164" s="188" t="s">
        <v>620</v>
      </c>
      <c r="B164" s="188" t="s">
        <v>621</v>
      </c>
      <c r="C164" s="188" t="s">
        <v>622</v>
      </c>
      <c r="D164" s="188" t="s">
        <v>928</v>
      </c>
      <c r="E164" s="189">
        <v>39632</v>
      </c>
      <c r="F164" s="190">
        <v>819</v>
      </c>
      <c r="G164" s="190">
        <v>0</v>
      </c>
      <c r="H164" s="191">
        <v>442</v>
      </c>
      <c r="I164" s="191">
        <v>287.75</v>
      </c>
      <c r="J164" s="188" t="s">
        <v>667</v>
      </c>
      <c r="K164" s="188" t="s">
        <v>338</v>
      </c>
      <c r="L164" s="188" t="s">
        <v>929</v>
      </c>
      <c r="M164" s="192">
        <f t="shared" si="6"/>
        <v>19</v>
      </c>
      <c r="N164" s="193">
        <f t="shared" si="7"/>
        <v>0.38401390095569071</v>
      </c>
      <c r="O164" s="194">
        <f t="shared" si="8"/>
        <v>2.0211257945036355E-2</v>
      </c>
    </row>
    <row r="165" spans="1:15" ht="12.75" customHeight="1">
      <c r="A165" s="188" t="s">
        <v>620</v>
      </c>
      <c r="B165" s="188" t="s">
        <v>621</v>
      </c>
      <c r="C165" s="188" t="s">
        <v>622</v>
      </c>
      <c r="D165" s="188" t="s">
        <v>930</v>
      </c>
      <c r="E165" s="189">
        <v>39568</v>
      </c>
      <c r="F165" s="190">
        <v>1274</v>
      </c>
      <c r="G165" s="190">
        <v>0</v>
      </c>
      <c r="H165" s="191">
        <v>980</v>
      </c>
      <c r="I165" s="191">
        <v>447.25</v>
      </c>
      <c r="J165" s="188" t="s">
        <v>639</v>
      </c>
      <c r="K165" s="188" t="s">
        <v>338</v>
      </c>
      <c r="L165" s="188" t="s">
        <v>931</v>
      </c>
      <c r="M165" s="192">
        <f t="shared" si="6"/>
        <v>27</v>
      </c>
      <c r="N165" s="193">
        <f t="shared" si="7"/>
        <v>0.54779206260480717</v>
      </c>
      <c r="O165" s="194">
        <f t="shared" si="8"/>
        <v>2.0288594911289155E-2</v>
      </c>
    </row>
    <row r="166" spans="1:15" ht="12.75" customHeight="1">
      <c r="A166" s="188" t="s">
        <v>620</v>
      </c>
      <c r="B166" s="188" t="s">
        <v>621</v>
      </c>
      <c r="C166" s="188" t="s">
        <v>622</v>
      </c>
      <c r="D166" s="188" t="s">
        <v>932</v>
      </c>
      <c r="E166" s="189">
        <v>39380</v>
      </c>
      <c r="F166" s="190">
        <v>930</v>
      </c>
      <c r="G166" s="190">
        <v>0</v>
      </c>
      <c r="H166" s="191">
        <v>845</v>
      </c>
      <c r="I166" s="191">
        <v>325</v>
      </c>
      <c r="J166" s="188" t="s">
        <v>353</v>
      </c>
      <c r="K166" s="188" t="s">
        <v>338</v>
      </c>
      <c r="L166" s="188" t="s">
        <v>699</v>
      </c>
      <c r="M166" s="192">
        <f t="shared" si="6"/>
        <v>32</v>
      </c>
      <c r="N166" s="193">
        <f t="shared" si="7"/>
        <v>0.65</v>
      </c>
      <c r="O166" s="194">
        <f t="shared" si="8"/>
        <v>2.0312500000000001E-2</v>
      </c>
    </row>
    <row r="167" spans="1:15" ht="12.75" customHeight="1">
      <c r="A167" s="188" t="s">
        <v>620</v>
      </c>
      <c r="B167" s="188" t="s">
        <v>621</v>
      </c>
      <c r="C167" s="188" t="s">
        <v>622</v>
      </c>
      <c r="D167" s="188" t="s">
        <v>933</v>
      </c>
      <c r="E167" s="189">
        <v>39339</v>
      </c>
      <c r="F167" s="190">
        <v>1287</v>
      </c>
      <c r="G167" s="190">
        <v>0</v>
      </c>
      <c r="H167" s="191">
        <v>1100</v>
      </c>
      <c r="I167" s="191">
        <v>450</v>
      </c>
      <c r="J167" s="188" t="s">
        <v>635</v>
      </c>
      <c r="K167" s="188" t="s">
        <v>338</v>
      </c>
      <c r="L167" s="188" t="s">
        <v>718</v>
      </c>
      <c r="M167" s="192">
        <f t="shared" si="6"/>
        <v>30</v>
      </c>
      <c r="N167" s="193">
        <f t="shared" si="7"/>
        <v>0.61111111111111116</v>
      </c>
      <c r="O167" s="194">
        <f t="shared" si="8"/>
        <v>2.0370370370370372E-2</v>
      </c>
    </row>
    <row r="168" spans="1:15" ht="12.75" customHeight="1">
      <c r="A168" s="188" t="s">
        <v>620</v>
      </c>
      <c r="B168" s="188" t="s">
        <v>621</v>
      </c>
      <c r="C168" s="188" t="s">
        <v>622</v>
      </c>
      <c r="D168" s="188" t="s">
        <v>934</v>
      </c>
      <c r="E168" s="189">
        <v>39380</v>
      </c>
      <c r="F168" s="190">
        <v>934</v>
      </c>
      <c r="G168" s="190">
        <v>0</v>
      </c>
      <c r="H168" s="191">
        <v>559</v>
      </c>
      <c r="I168" s="191">
        <v>326.5</v>
      </c>
      <c r="J168" s="188" t="s">
        <v>879</v>
      </c>
      <c r="K168" s="188" t="s">
        <v>338</v>
      </c>
      <c r="L168" s="188" t="s">
        <v>935</v>
      </c>
      <c r="M168" s="192">
        <f t="shared" si="6"/>
        <v>21</v>
      </c>
      <c r="N168" s="193">
        <f t="shared" si="7"/>
        <v>0.42802450229709033</v>
      </c>
      <c r="O168" s="194">
        <f t="shared" si="8"/>
        <v>2.0382119157004303E-2</v>
      </c>
    </row>
    <row r="169" spans="1:15" ht="12.75" customHeight="1">
      <c r="A169" s="188" t="s">
        <v>620</v>
      </c>
      <c r="B169" s="188" t="s">
        <v>621</v>
      </c>
      <c r="C169" s="188" t="s">
        <v>622</v>
      </c>
      <c r="D169" s="188" t="s">
        <v>936</v>
      </c>
      <c r="E169" s="189">
        <v>39429</v>
      </c>
      <c r="F169" s="190">
        <v>772</v>
      </c>
      <c r="G169" s="190">
        <v>0</v>
      </c>
      <c r="H169" s="191">
        <v>927</v>
      </c>
      <c r="I169" s="191">
        <v>270</v>
      </c>
      <c r="J169" s="188" t="s">
        <v>560</v>
      </c>
      <c r="K169" s="188" t="s">
        <v>415</v>
      </c>
      <c r="L169" s="188" t="s">
        <v>817</v>
      </c>
      <c r="M169" s="192">
        <f t="shared" si="6"/>
        <v>42</v>
      </c>
      <c r="N169" s="193">
        <f t="shared" si="7"/>
        <v>0.85833333333333328</v>
      </c>
      <c r="O169" s="194">
        <f t="shared" si="8"/>
        <v>2.0436507936507937E-2</v>
      </c>
    </row>
    <row r="170" spans="1:15" ht="12.75" customHeight="1">
      <c r="A170" s="188" t="s">
        <v>620</v>
      </c>
      <c r="B170" s="188" t="s">
        <v>621</v>
      </c>
      <c r="C170" s="188" t="s">
        <v>622</v>
      </c>
      <c r="D170" s="188" t="s">
        <v>937</v>
      </c>
      <c r="E170" s="189">
        <v>39447</v>
      </c>
      <c r="F170" s="190">
        <v>1573</v>
      </c>
      <c r="G170" s="190">
        <v>0</v>
      </c>
      <c r="H170" s="191">
        <v>1350</v>
      </c>
      <c r="I170" s="191">
        <v>550</v>
      </c>
      <c r="J170" s="188" t="s">
        <v>635</v>
      </c>
      <c r="K170" s="188" t="s">
        <v>338</v>
      </c>
      <c r="L170" s="188" t="s">
        <v>938</v>
      </c>
      <c r="M170" s="192">
        <f t="shared" si="6"/>
        <v>30</v>
      </c>
      <c r="N170" s="193">
        <f t="shared" si="7"/>
        <v>0.61363636363636365</v>
      </c>
      <c r="O170" s="194">
        <f t="shared" si="8"/>
        <v>2.0454545454545454E-2</v>
      </c>
    </row>
    <row r="171" spans="1:15" ht="12.75" customHeight="1">
      <c r="A171" s="188" t="s">
        <v>620</v>
      </c>
      <c r="B171" s="188" t="s">
        <v>621</v>
      </c>
      <c r="C171" s="188" t="s">
        <v>622</v>
      </c>
      <c r="D171" s="188" t="s">
        <v>939</v>
      </c>
      <c r="E171" s="189">
        <v>39289</v>
      </c>
      <c r="F171" s="190">
        <v>340</v>
      </c>
      <c r="G171" s="190">
        <v>0</v>
      </c>
      <c r="H171" s="191">
        <v>369.99</v>
      </c>
      <c r="I171" s="191">
        <v>119</v>
      </c>
      <c r="J171" s="188" t="s">
        <v>624</v>
      </c>
      <c r="K171" s="188" t="s">
        <v>338</v>
      </c>
      <c r="L171" s="188" t="s">
        <v>163</v>
      </c>
      <c r="M171" s="192">
        <f t="shared" si="6"/>
        <v>38</v>
      </c>
      <c r="N171" s="193">
        <f t="shared" si="7"/>
        <v>0.77728991596638652</v>
      </c>
      <c r="O171" s="194">
        <f t="shared" si="8"/>
        <v>2.045499778858912E-2</v>
      </c>
    </row>
    <row r="172" spans="1:15" ht="12.75" customHeight="1">
      <c r="A172" s="188" t="s">
        <v>620</v>
      </c>
      <c r="B172" s="188" t="s">
        <v>621</v>
      </c>
      <c r="C172" s="188" t="s">
        <v>622</v>
      </c>
      <c r="D172" s="188" t="s">
        <v>940</v>
      </c>
      <c r="E172" s="189">
        <v>39339</v>
      </c>
      <c r="F172" s="190">
        <v>697</v>
      </c>
      <c r="G172" s="190">
        <v>0</v>
      </c>
      <c r="H172" s="191">
        <v>499.98</v>
      </c>
      <c r="I172" s="191">
        <v>243.75</v>
      </c>
      <c r="J172" s="188" t="s">
        <v>652</v>
      </c>
      <c r="K172" s="188" t="s">
        <v>338</v>
      </c>
      <c r="L172" s="188" t="s">
        <v>941</v>
      </c>
      <c r="M172" s="192">
        <f t="shared" si="6"/>
        <v>25</v>
      </c>
      <c r="N172" s="193">
        <f t="shared" si="7"/>
        <v>0.51280000000000003</v>
      </c>
      <c r="O172" s="194">
        <f t="shared" si="8"/>
        <v>2.0512000000000002E-2</v>
      </c>
    </row>
    <row r="173" spans="1:15" ht="12.75" customHeight="1">
      <c r="A173" s="188" t="s">
        <v>620</v>
      </c>
      <c r="B173" s="188" t="s">
        <v>621</v>
      </c>
      <c r="C173" s="188" t="s">
        <v>622</v>
      </c>
      <c r="D173" s="188" t="s">
        <v>942</v>
      </c>
      <c r="E173" s="189">
        <v>39527</v>
      </c>
      <c r="F173" s="190">
        <v>987</v>
      </c>
      <c r="G173" s="190">
        <v>0</v>
      </c>
      <c r="H173" s="191">
        <v>540.48</v>
      </c>
      <c r="I173" s="191">
        <v>346.5</v>
      </c>
      <c r="J173" s="188" t="s">
        <v>667</v>
      </c>
      <c r="K173" s="188" t="s">
        <v>338</v>
      </c>
      <c r="L173" s="188" t="s">
        <v>943</v>
      </c>
      <c r="M173" s="192">
        <f t="shared" si="6"/>
        <v>19</v>
      </c>
      <c r="N173" s="193">
        <f t="shared" si="7"/>
        <v>0.38995670995670995</v>
      </c>
      <c r="O173" s="194">
        <f t="shared" si="8"/>
        <v>2.0524037366142629E-2</v>
      </c>
    </row>
    <row r="174" spans="1:15" ht="12.75" customHeight="1">
      <c r="A174" s="188" t="s">
        <v>620</v>
      </c>
      <c r="B174" s="188" t="s">
        <v>621</v>
      </c>
      <c r="C174" s="188" t="s">
        <v>622</v>
      </c>
      <c r="D174" s="188" t="s">
        <v>944</v>
      </c>
      <c r="E174" s="189">
        <v>39373</v>
      </c>
      <c r="F174" s="190">
        <v>858</v>
      </c>
      <c r="G174" s="190">
        <v>0</v>
      </c>
      <c r="H174" s="191">
        <v>940</v>
      </c>
      <c r="I174" s="191">
        <v>300</v>
      </c>
      <c r="J174" s="188" t="s">
        <v>624</v>
      </c>
      <c r="K174" s="188" t="s">
        <v>338</v>
      </c>
      <c r="L174" s="188" t="s">
        <v>632</v>
      </c>
      <c r="M174" s="192">
        <f t="shared" si="6"/>
        <v>38</v>
      </c>
      <c r="N174" s="193">
        <f t="shared" si="7"/>
        <v>0.78333333333333333</v>
      </c>
      <c r="O174" s="194">
        <f t="shared" si="8"/>
        <v>2.0614035087719296E-2</v>
      </c>
    </row>
    <row r="175" spans="1:15" ht="12.75" customHeight="1">
      <c r="A175" s="188" t="s">
        <v>620</v>
      </c>
      <c r="B175" s="188" t="s">
        <v>621</v>
      </c>
      <c r="C175" s="188" t="s">
        <v>622</v>
      </c>
      <c r="D175" s="188" t="s">
        <v>945</v>
      </c>
      <c r="E175" s="189">
        <v>39303</v>
      </c>
      <c r="F175" s="190">
        <v>880</v>
      </c>
      <c r="G175" s="190">
        <v>0</v>
      </c>
      <c r="H175" s="191">
        <v>686.04</v>
      </c>
      <c r="I175" s="191">
        <v>307.75</v>
      </c>
      <c r="J175" s="188" t="s">
        <v>639</v>
      </c>
      <c r="K175" s="188" t="s">
        <v>338</v>
      </c>
      <c r="L175" s="188" t="s">
        <v>946</v>
      </c>
      <c r="M175" s="192">
        <f t="shared" si="6"/>
        <v>27</v>
      </c>
      <c r="N175" s="193">
        <f t="shared" si="7"/>
        <v>0.55730300568643376</v>
      </c>
      <c r="O175" s="194">
        <f t="shared" si="8"/>
        <v>2.064085206246051E-2</v>
      </c>
    </row>
    <row r="176" spans="1:15" ht="12.75" customHeight="1">
      <c r="A176" s="188" t="s">
        <v>620</v>
      </c>
      <c r="B176" s="188" t="s">
        <v>621</v>
      </c>
      <c r="C176" s="188" t="s">
        <v>622</v>
      </c>
      <c r="D176" s="188" t="s">
        <v>947</v>
      </c>
      <c r="E176" s="189">
        <v>39436</v>
      </c>
      <c r="F176" s="190">
        <v>787</v>
      </c>
      <c r="G176" s="190">
        <v>0</v>
      </c>
      <c r="H176" s="191">
        <v>682</v>
      </c>
      <c r="I176" s="191">
        <v>275</v>
      </c>
      <c r="J176" s="188" t="s">
        <v>635</v>
      </c>
      <c r="K176" s="188" t="s">
        <v>338</v>
      </c>
      <c r="L176" s="188" t="s">
        <v>557</v>
      </c>
      <c r="M176" s="192">
        <f t="shared" si="6"/>
        <v>30</v>
      </c>
      <c r="N176" s="193">
        <f t="shared" si="7"/>
        <v>0.62</v>
      </c>
      <c r="O176" s="194">
        <f t="shared" si="8"/>
        <v>2.0666666666666667E-2</v>
      </c>
    </row>
    <row r="177" spans="1:15" ht="12.75" customHeight="1">
      <c r="A177" s="188" t="s">
        <v>620</v>
      </c>
      <c r="B177" s="188" t="s">
        <v>621</v>
      </c>
      <c r="C177" s="188" t="s">
        <v>622</v>
      </c>
      <c r="D177" s="188" t="s">
        <v>948</v>
      </c>
      <c r="E177" s="189">
        <v>39471</v>
      </c>
      <c r="F177" s="190">
        <v>1073</v>
      </c>
      <c r="G177" s="190">
        <v>0</v>
      </c>
      <c r="H177" s="191">
        <v>930</v>
      </c>
      <c r="I177" s="191">
        <v>375</v>
      </c>
      <c r="J177" s="188" t="s">
        <v>635</v>
      </c>
      <c r="K177" s="188" t="s">
        <v>338</v>
      </c>
      <c r="L177" s="188" t="s">
        <v>746</v>
      </c>
      <c r="M177" s="192">
        <f t="shared" si="6"/>
        <v>30</v>
      </c>
      <c r="N177" s="193">
        <f t="shared" si="7"/>
        <v>0.62</v>
      </c>
      <c r="O177" s="194">
        <f t="shared" si="8"/>
        <v>2.0666666666666667E-2</v>
      </c>
    </row>
    <row r="178" spans="1:15" ht="12.75" customHeight="1">
      <c r="A178" s="188" t="s">
        <v>620</v>
      </c>
      <c r="B178" s="188" t="s">
        <v>621</v>
      </c>
      <c r="C178" s="188" t="s">
        <v>622</v>
      </c>
      <c r="D178" s="188" t="s">
        <v>949</v>
      </c>
      <c r="E178" s="189">
        <v>39485</v>
      </c>
      <c r="F178" s="190">
        <v>1395</v>
      </c>
      <c r="G178" s="190">
        <v>0</v>
      </c>
      <c r="H178" s="191">
        <v>1209</v>
      </c>
      <c r="I178" s="191">
        <v>487.5</v>
      </c>
      <c r="J178" s="188" t="s">
        <v>635</v>
      </c>
      <c r="K178" s="188" t="s">
        <v>338</v>
      </c>
      <c r="L178" s="188" t="s">
        <v>950</v>
      </c>
      <c r="M178" s="192">
        <f t="shared" si="6"/>
        <v>30</v>
      </c>
      <c r="N178" s="193">
        <f t="shared" si="7"/>
        <v>0.62</v>
      </c>
      <c r="O178" s="194">
        <f t="shared" si="8"/>
        <v>2.0666666666666667E-2</v>
      </c>
    </row>
    <row r="179" spans="1:15" ht="12.75" customHeight="1">
      <c r="A179" s="188" t="s">
        <v>620</v>
      </c>
      <c r="B179" s="188" t="s">
        <v>621</v>
      </c>
      <c r="C179" s="188" t="s">
        <v>622</v>
      </c>
      <c r="D179" s="188" t="s">
        <v>951</v>
      </c>
      <c r="E179" s="189">
        <v>39447</v>
      </c>
      <c r="F179" s="190">
        <v>824</v>
      </c>
      <c r="G179" s="190">
        <v>0</v>
      </c>
      <c r="H179" s="191">
        <v>715</v>
      </c>
      <c r="I179" s="191">
        <v>288</v>
      </c>
      <c r="J179" s="188" t="s">
        <v>635</v>
      </c>
      <c r="K179" s="188" t="s">
        <v>338</v>
      </c>
      <c r="L179" s="188" t="s">
        <v>952</v>
      </c>
      <c r="M179" s="192">
        <f t="shared" si="6"/>
        <v>30</v>
      </c>
      <c r="N179" s="193">
        <f t="shared" si="7"/>
        <v>0.62065972222222221</v>
      </c>
      <c r="O179" s="194">
        <f t="shared" si="8"/>
        <v>2.0688657407407406E-2</v>
      </c>
    </row>
    <row r="180" spans="1:15" ht="12.75" customHeight="1">
      <c r="A180" s="188" t="s">
        <v>620</v>
      </c>
      <c r="B180" s="188" t="s">
        <v>621</v>
      </c>
      <c r="C180" s="188" t="s">
        <v>622</v>
      </c>
      <c r="D180" s="188" t="s">
        <v>953</v>
      </c>
      <c r="E180" s="189">
        <v>39590</v>
      </c>
      <c r="F180" s="190">
        <v>902</v>
      </c>
      <c r="G180" s="190">
        <v>0</v>
      </c>
      <c r="H180" s="191">
        <v>498</v>
      </c>
      <c r="I180" s="191">
        <v>316.5</v>
      </c>
      <c r="J180" s="188" t="s">
        <v>667</v>
      </c>
      <c r="K180" s="188" t="s">
        <v>338</v>
      </c>
      <c r="L180" s="188" t="s">
        <v>954</v>
      </c>
      <c r="M180" s="192">
        <f t="shared" si="6"/>
        <v>19</v>
      </c>
      <c r="N180" s="193">
        <f t="shared" si="7"/>
        <v>0.39336492890995262</v>
      </c>
      <c r="O180" s="194">
        <f t="shared" si="8"/>
        <v>2.0703417311050139E-2</v>
      </c>
    </row>
    <row r="181" spans="1:15" ht="12.75" customHeight="1">
      <c r="A181" s="188" t="s">
        <v>620</v>
      </c>
      <c r="B181" s="188" t="s">
        <v>621</v>
      </c>
      <c r="C181" s="188" t="s">
        <v>622</v>
      </c>
      <c r="D181" s="188" t="s">
        <v>955</v>
      </c>
      <c r="E181" s="189">
        <v>39345</v>
      </c>
      <c r="F181" s="190">
        <v>855</v>
      </c>
      <c r="G181" s="190">
        <v>0</v>
      </c>
      <c r="H181" s="191">
        <v>496</v>
      </c>
      <c r="I181" s="191">
        <v>299</v>
      </c>
      <c r="J181" s="188" t="s">
        <v>560</v>
      </c>
      <c r="K181" s="188" t="s">
        <v>338</v>
      </c>
      <c r="L181" s="188" t="s">
        <v>812</v>
      </c>
      <c r="M181" s="192">
        <f t="shared" si="6"/>
        <v>20</v>
      </c>
      <c r="N181" s="193">
        <f t="shared" si="7"/>
        <v>0.41471571906354515</v>
      </c>
      <c r="O181" s="194">
        <f t="shared" si="8"/>
        <v>2.0735785953177259E-2</v>
      </c>
    </row>
    <row r="182" spans="1:15" ht="12.75" customHeight="1">
      <c r="A182" s="188" t="s">
        <v>620</v>
      </c>
      <c r="B182" s="188" t="s">
        <v>621</v>
      </c>
      <c r="C182" s="188" t="s">
        <v>622</v>
      </c>
      <c r="D182" s="188" t="s">
        <v>956</v>
      </c>
      <c r="E182" s="189">
        <v>39478</v>
      </c>
      <c r="F182" s="190">
        <v>752</v>
      </c>
      <c r="G182" s="190">
        <v>0</v>
      </c>
      <c r="H182" s="191">
        <v>504</v>
      </c>
      <c r="I182" s="191">
        <v>263.25</v>
      </c>
      <c r="J182" s="188" t="s">
        <v>571</v>
      </c>
      <c r="K182" s="188" t="s">
        <v>338</v>
      </c>
      <c r="L182" s="188" t="s">
        <v>882</v>
      </c>
      <c r="M182" s="192">
        <f t="shared" si="6"/>
        <v>23</v>
      </c>
      <c r="N182" s="193">
        <f t="shared" si="7"/>
        <v>0.47863247863247865</v>
      </c>
      <c r="O182" s="194">
        <f t="shared" si="8"/>
        <v>2.0810107766629508E-2</v>
      </c>
    </row>
    <row r="183" spans="1:15" ht="12.75" customHeight="1">
      <c r="A183" s="188" t="s">
        <v>620</v>
      </c>
      <c r="B183" s="188" t="s">
        <v>621</v>
      </c>
      <c r="C183" s="188" t="s">
        <v>622</v>
      </c>
      <c r="D183" s="188" t="s">
        <v>957</v>
      </c>
      <c r="E183" s="189">
        <v>39387</v>
      </c>
      <c r="F183" s="190">
        <v>914</v>
      </c>
      <c r="G183" s="190">
        <v>0</v>
      </c>
      <c r="H183" s="191">
        <v>665</v>
      </c>
      <c r="I183" s="191">
        <v>319.5</v>
      </c>
      <c r="J183" s="188" t="s">
        <v>652</v>
      </c>
      <c r="K183" s="188" t="s">
        <v>338</v>
      </c>
      <c r="L183" s="188" t="s">
        <v>958</v>
      </c>
      <c r="M183" s="192">
        <f t="shared" si="6"/>
        <v>25</v>
      </c>
      <c r="N183" s="193">
        <f t="shared" si="7"/>
        <v>0.52034428794992171</v>
      </c>
      <c r="O183" s="194">
        <f t="shared" si="8"/>
        <v>2.0813771517996869E-2</v>
      </c>
    </row>
    <row r="184" spans="1:15" ht="12.75" customHeight="1">
      <c r="A184" s="188" t="s">
        <v>620</v>
      </c>
      <c r="B184" s="188" t="s">
        <v>621</v>
      </c>
      <c r="C184" s="188" t="s">
        <v>622</v>
      </c>
      <c r="D184" s="188" t="s">
        <v>959</v>
      </c>
      <c r="E184" s="189">
        <v>39485</v>
      </c>
      <c r="F184" s="190">
        <v>1287</v>
      </c>
      <c r="G184" s="190">
        <v>0</v>
      </c>
      <c r="H184" s="191">
        <v>1125</v>
      </c>
      <c r="I184" s="191">
        <v>450</v>
      </c>
      <c r="J184" s="188" t="s">
        <v>635</v>
      </c>
      <c r="K184" s="188" t="s">
        <v>338</v>
      </c>
      <c r="L184" s="188" t="s">
        <v>718</v>
      </c>
      <c r="M184" s="192">
        <f t="shared" si="6"/>
        <v>30</v>
      </c>
      <c r="N184" s="193">
        <f t="shared" si="7"/>
        <v>0.625</v>
      </c>
      <c r="O184" s="194">
        <f t="shared" si="8"/>
        <v>2.0833333333333332E-2</v>
      </c>
    </row>
    <row r="185" spans="1:15" ht="12.75" customHeight="1">
      <c r="A185" s="188" t="s">
        <v>620</v>
      </c>
      <c r="B185" s="188" t="s">
        <v>621</v>
      </c>
      <c r="C185" s="188" t="s">
        <v>622</v>
      </c>
      <c r="D185" s="188" t="s">
        <v>960</v>
      </c>
      <c r="E185" s="189">
        <v>39590</v>
      </c>
      <c r="F185" s="190">
        <v>973</v>
      </c>
      <c r="G185" s="190">
        <v>0</v>
      </c>
      <c r="H185" s="191">
        <v>541</v>
      </c>
      <c r="I185" s="191">
        <v>341.5</v>
      </c>
      <c r="J185" s="188" t="s">
        <v>667</v>
      </c>
      <c r="K185" s="188" t="s">
        <v>338</v>
      </c>
      <c r="L185" s="188" t="s">
        <v>961</v>
      </c>
      <c r="M185" s="192">
        <f t="shared" si="6"/>
        <v>19</v>
      </c>
      <c r="N185" s="193">
        <f t="shared" si="7"/>
        <v>0.39604685212298685</v>
      </c>
      <c r="O185" s="194">
        <f t="shared" si="8"/>
        <v>2.084457116436773E-2</v>
      </c>
    </row>
    <row r="186" spans="1:15" ht="12.75" customHeight="1">
      <c r="A186" s="188" t="s">
        <v>620</v>
      </c>
      <c r="B186" s="188" t="s">
        <v>621</v>
      </c>
      <c r="C186" s="188" t="s">
        <v>622</v>
      </c>
      <c r="D186" s="188" t="s">
        <v>962</v>
      </c>
      <c r="E186" s="189">
        <v>39568</v>
      </c>
      <c r="F186" s="190">
        <v>848</v>
      </c>
      <c r="G186" s="190">
        <v>0</v>
      </c>
      <c r="H186" s="191">
        <v>750</v>
      </c>
      <c r="I186" s="191">
        <v>297.5</v>
      </c>
      <c r="J186" s="188" t="s">
        <v>635</v>
      </c>
      <c r="K186" s="188" t="s">
        <v>338</v>
      </c>
      <c r="L186" s="188" t="s">
        <v>519</v>
      </c>
      <c r="M186" s="192">
        <f t="shared" si="6"/>
        <v>30</v>
      </c>
      <c r="N186" s="193">
        <f t="shared" si="7"/>
        <v>0.63025210084033612</v>
      </c>
      <c r="O186" s="194">
        <f t="shared" si="8"/>
        <v>2.1008403361344536E-2</v>
      </c>
    </row>
    <row r="187" spans="1:15" ht="12.75" customHeight="1">
      <c r="A187" s="188" t="s">
        <v>620</v>
      </c>
      <c r="B187" s="188" t="s">
        <v>621</v>
      </c>
      <c r="C187" s="188" t="s">
        <v>622</v>
      </c>
      <c r="D187" s="188" t="s">
        <v>963</v>
      </c>
      <c r="E187" s="189">
        <v>39282</v>
      </c>
      <c r="F187" s="190">
        <v>792</v>
      </c>
      <c r="G187" s="190">
        <v>0</v>
      </c>
      <c r="H187" s="191">
        <v>745.02</v>
      </c>
      <c r="I187" s="191">
        <v>277</v>
      </c>
      <c r="J187" s="188" t="s">
        <v>353</v>
      </c>
      <c r="K187" s="188" t="s">
        <v>338</v>
      </c>
      <c r="L187" s="188" t="s">
        <v>964</v>
      </c>
      <c r="M187" s="192">
        <f t="shared" si="6"/>
        <v>32</v>
      </c>
      <c r="N187" s="193">
        <f t="shared" si="7"/>
        <v>0.67240072202166068</v>
      </c>
      <c r="O187" s="194">
        <f t="shared" si="8"/>
        <v>2.1012522563176896E-2</v>
      </c>
    </row>
    <row r="188" spans="1:15" ht="12.75" customHeight="1">
      <c r="A188" s="188" t="s">
        <v>620</v>
      </c>
      <c r="B188" s="188" t="s">
        <v>621</v>
      </c>
      <c r="C188" s="188" t="s">
        <v>622</v>
      </c>
      <c r="D188" s="188" t="s">
        <v>965</v>
      </c>
      <c r="E188" s="189">
        <v>39310</v>
      </c>
      <c r="F188" s="190">
        <v>1153</v>
      </c>
      <c r="G188" s="190">
        <v>0</v>
      </c>
      <c r="H188" s="191">
        <v>643.99</v>
      </c>
      <c r="I188" s="191">
        <v>403</v>
      </c>
      <c r="J188" s="188" t="s">
        <v>667</v>
      </c>
      <c r="K188" s="188" t="s">
        <v>338</v>
      </c>
      <c r="L188" s="188" t="s">
        <v>966</v>
      </c>
      <c r="M188" s="192">
        <f t="shared" si="6"/>
        <v>19</v>
      </c>
      <c r="N188" s="193">
        <f t="shared" si="7"/>
        <v>0.39949751861042182</v>
      </c>
      <c r="O188" s="194">
        <f t="shared" si="8"/>
        <v>2.1026185190022202E-2</v>
      </c>
    </row>
    <row r="189" spans="1:15" ht="12.75" customHeight="1">
      <c r="A189" s="188" t="s">
        <v>620</v>
      </c>
      <c r="B189" s="188" t="s">
        <v>621</v>
      </c>
      <c r="C189" s="188" t="s">
        <v>622</v>
      </c>
      <c r="D189" s="188" t="s">
        <v>967</v>
      </c>
      <c r="E189" s="189">
        <v>39555</v>
      </c>
      <c r="F189" s="190">
        <v>891</v>
      </c>
      <c r="G189" s="190">
        <v>0</v>
      </c>
      <c r="H189" s="191">
        <v>712</v>
      </c>
      <c r="I189" s="191">
        <v>312.5</v>
      </c>
      <c r="J189" s="188" t="s">
        <v>639</v>
      </c>
      <c r="K189" s="188" t="s">
        <v>338</v>
      </c>
      <c r="L189" s="188" t="s">
        <v>716</v>
      </c>
      <c r="M189" s="192">
        <f t="shared" si="6"/>
        <v>27</v>
      </c>
      <c r="N189" s="193">
        <f t="shared" si="7"/>
        <v>0.5696</v>
      </c>
      <c r="O189" s="194">
        <f t="shared" si="8"/>
        <v>2.1096296296296297E-2</v>
      </c>
    </row>
    <row r="190" spans="1:15" ht="12.75" customHeight="1">
      <c r="A190" s="188" t="s">
        <v>620</v>
      </c>
      <c r="B190" s="188" t="s">
        <v>621</v>
      </c>
      <c r="C190" s="188" t="s">
        <v>622</v>
      </c>
      <c r="D190" s="188" t="s">
        <v>968</v>
      </c>
      <c r="E190" s="189">
        <v>39447</v>
      </c>
      <c r="F190" s="190">
        <v>744</v>
      </c>
      <c r="G190" s="190">
        <v>0</v>
      </c>
      <c r="H190" s="191">
        <v>571</v>
      </c>
      <c r="I190" s="191">
        <v>260</v>
      </c>
      <c r="J190" s="188" t="s">
        <v>361</v>
      </c>
      <c r="K190" s="188" t="s">
        <v>338</v>
      </c>
      <c r="L190" s="188" t="s">
        <v>808</v>
      </c>
      <c r="M190" s="192">
        <f t="shared" si="6"/>
        <v>26</v>
      </c>
      <c r="N190" s="193">
        <f t="shared" si="7"/>
        <v>0.54903846153846159</v>
      </c>
      <c r="O190" s="194">
        <f t="shared" si="8"/>
        <v>2.1116863905325446E-2</v>
      </c>
    </row>
    <row r="191" spans="1:15" ht="12.75" customHeight="1">
      <c r="A191" s="188" t="s">
        <v>620</v>
      </c>
      <c r="B191" s="188" t="s">
        <v>621</v>
      </c>
      <c r="C191" s="188" t="s">
        <v>622</v>
      </c>
      <c r="D191" s="188" t="s">
        <v>969</v>
      </c>
      <c r="E191" s="189">
        <v>39436</v>
      </c>
      <c r="F191" s="190">
        <v>1144</v>
      </c>
      <c r="G191" s="190">
        <v>0</v>
      </c>
      <c r="H191" s="191">
        <v>1285.71</v>
      </c>
      <c r="I191" s="191">
        <v>400</v>
      </c>
      <c r="J191" s="188" t="s">
        <v>639</v>
      </c>
      <c r="K191" s="188" t="s">
        <v>648</v>
      </c>
      <c r="L191" s="188" t="s">
        <v>625</v>
      </c>
      <c r="M191" s="192">
        <f t="shared" si="6"/>
        <v>38</v>
      </c>
      <c r="N191" s="193">
        <f t="shared" si="7"/>
        <v>0.80356875000000005</v>
      </c>
      <c r="O191" s="194">
        <f t="shared" si="8"/>
        <v>2.1146546052631582E-2</v>
      </c>
    </row>
    <row r="192" spans="1:15" ht="12.75" customHeight="1">
      <c r="A192" s="188" t="s">
        <v>620</v>
      </c>
      <c r="B192" s="188" t="s">
        <v>621</v>
      </c>
      <c r="C192" s="188" t="s">
        <v>622</v>
      </c>
      <c r="D192" s="188" t="s">
        <v>970</v>
      </c>
      <c r="E192" s="189">
        <v>39436</v>
      </c>
      <c r="F192" s="190">
        <v>858</v>
      </c>
      <c r="G192" s="190">
        <v>0</v>
      </c>
      <c r="H192" s="191">
        <v>964.29</v>
      </c>
      <c r="I192" s="191">
        <v>300</v>
      </c>
      <c r="J192" s="188" t="s">
        <v>639</v>
      </c>
      <c r="K192" s="188" t="s">
        <v>648</v>
      </c>
      <c r="L192" s="188" t="s">
        <v>632</v>
      </c>
      <c r="M192" s="192">
        <f t="shared" si="6"/>
        <v>38</v>
      </c>
      <c r="N192" s="193">
        <f t="shared" si="7"/>
        <v>0.80357499999999993</v>
      </c>
      <c r="O192" s="194">
        <f t="shared" si="8"/>
        <v>2.1146710526315789E-2</v>
      </c>
    </row>
    <row r="193" spans="1:15" ht="12.75" customHeight="1">
      <c r="A193" s="188" t="s">
        <v>620</v>
      </c>
      <c r="B193" s="188" t="s">
        <v>621</v>
      </c>
      <c r="C193" s="188" t="s">
        <v>622</v>
      </c>
      <c r="D193" s="188" t="s">
        <v>971</v>
      </c>
      <c r="E193" s="189">
        <v>39548</v>
      </c>
      <c r="F193" s="190">
        <v>449</v>
      </c>
      <c r="G193" s="190">
        <v>0</v>
      </c>
      <c r="H193" s="191">
        <v>400</v>
      </c>
      <c r="I193" s="191">
        <v>157.5</v>
      </c>
      <c r="J193" s="188" t="s">
        <v>635</v>
      </c>
      <c r="K193" s="188" t="s">
        <v>338</v>
      </c>
      <c r="L193" s="188" t="s">
        <v>972</v>
      </c>
      <c r="M193" s="192">
        <f t="shared" si="6"/>
        <v>30</v>
      </c>
      <c r="N193" s="193">
        <f t="shared" si="7"/>
        <v>0.63492063492063489</v>
      </c>
      <c r="O193" s="194">
        <f t="shared" si="8"/>
        <v>2.1164021164021163E-2</v>
      </c>
    </row>
    <row r="194" spans="1:15" ht="12.75" customHeight="1">
      <c r="A194" s="188" t="s">
        <v>620</v>
      </c>
      <c r="B194" s="188" t="s">
        <v>621</v>
      </c>
      <c r="C194" s="188" t="s">
        <v>622</v>
      </c>
      <c r="D194" s="188" t="s">
        <v>973</v>
      </c>
      <c r="E194" s="189">
        <v>39447</v>
      </c>
      <c r="F194" s="190">
        <v>1780</v>
      </c>
      <c r="G194" s="190">
        <v>0</v>
      </c>
      <c r="H194" s="191">
        <v>1910.12</v>
      </c>
      <c r="I194" s="191">
        <v>622.5</v>
      </c>
      <c r="J194" s="188" t="s">
        <v>387</v>
      </c>
      <c r="K194" s="188" t="s">
        <v>338</v>
      </c>
      <c r="L194" s="188" t="s">
        <v>974</v>
      </c>
      <c r="M194" s="192">
        <f t="shared" ref="M194:M257" si="9">K194-J194</f>
        <v>36</v>
      </c>
      <c r="N194" s="193">
        <f t="shared" ref="N194:N257" si="10">H194/L194</f>
        <v>0.76711646586345372</v>
      </c>
      <c r="O194" s="194">
        <f t="shared" ref="O194:O257" si="11">N194/M194</f>
        <v>2.1308790718429269E-2</v>
      </c>
    </row>
    <row r="195" spans="1:15" ht="12.75" customHeight="1">
      <c r="A195" s="188" t="s">
        <v>620</v>
      </c>
      <c r="B195" s="188" t="s">
        <v>621</v>
      </c>
      <c r="C195" s="188" t="s">
        <v>622</v>
      </c>
      <c r="D195" s="188" t="s">
        <v>975</v>
      </c>
      <c r="E195" s="189">
        <v>39568</v>
      </c>
      <c r="F195" s="190">
        <v>893</v>
      </c>
      <c r="G195" s="190">
        <v>0</v>
      </c>
      <c r="H195" s="191">
        <v>722</v>
      </c>
      <c r="I195" s="191">
        <v>313.5</v>
      </c>
      <c r="J195" s="188" t="s">
        <v>639</v>
      </c>
      <c r="K195" s="188" t="s">
        <v>338</v>
      </c>
      <c r="L195" s="188" t="s">
        <v>976</v>
      </c>
      <c r="M195" s="192">
        <f t="shared" si="9"/>
        <v>27</v>
      </c>
      <c r="N195" s="193">
        <f t="shared" si="10"/>
        <v>0.5757575757575758</v>
      </c>
      <c r="O195" s="194">
        <f t="shared" si="11"/>
        <v>2.1324354657687991E-2</v>
      </c>
    </row>
    <row r="196" spans="1:15" ht="12.75" customHeight="1">
      <c r="A196" s="188" t="s">
        <v>620</v>
      </c>
      <c r="B196" s="188" t="s">
        <v>621</v>
      </c>
      <c r="C196" s="188" t="s">
        <v>622</v>
      </c>
      <c r="D196" s="188" t="s">
        <v>977</v>
      </c>
      <c r="E196" s="189">
        <v>39520</v>
      </c>
      <c r="F196" s="190">
        <v>1019</v>
      </c>
      <c r="G196" s="190">
        <v>0</v>
      </c>
      <c r="H196" s="191">
        <v>763</v>
      </c>
      <c r="I196" s="191">
        <v>357.75</v>
      </c>
      <c r="J196" s="188" t="s">
        <v>652</v>
      </c>
      <c r="K196" s="188" t="s">
        <v>338</v>
      </c>
      <c r="L196" s="188" t="s">
        <v>978</v>
      </c>
      <c r="M196" s="192">
        <f t="shared" si="9"/>
        <v>25</v>
      </c>
      <c r="N196" s="193">
        <f t="shared" si="10"/>
        <v>0.53319357092941999</v>
      </c>
      <c r="O196" s="194">
        <f t="shared" si="11"/>
        <v>2.13277428371768E-2</v>
      </c>
    </row>
    <row r="197" spans="1:15" ht="12.75" customHeight="1">
      <c r="A197" s="188" t="s">
        <v>620</v>
      </c>
      <c r="B197" s="188" t="s">
        <v>621</v>
      </c>
      <c r="C197" s="188" t="s">
        <v>622</v>
      </c>
      <c r="D197" s="188" t="s">
        <v>979</v>
      </c>
      <c r="E197" s="189">
        <v>39447</v>
      </c>
      <c r="F197" s="190">
        <v>1419</v>
      </c>
      <c r="G197" s="190">
        <v>0</v>
      </c>
      <c r="H197" s="191">
        <v>1060</v>
      </c>
      <c r="I197" s="191">
        <v>496.25</v>
      </c>
      <c r="J197" s="188" t="s">
        <v>652</v>
      </c>
      <c r="K197" s="188" t="s">
        <v>338</v>
      </c>
      <c r="L197" s="188" t="s">
        <v>980</v>
      </c>
      <c r="M197" s="192">
        <f t="shared" si="9"/>
        <v>25</v>
      </c>
      <c r="N197" s="193">
        <f t="shared" si="10"/>
        <v>0.53400503778337527</v>
      </c>
      <c r="O197" s="194">
        <f t="shared" si="11"/>
        <v>2.1360201511335011E-2</v>
      </c>
    </row>
    <row r="198" spans="1:15" ht="12.75" customHeight="1">
      <c r="A198" s="188" t="s">
        <v>620</v>
      </c>
      <c r="B198" s="188" t="s">
        <v>621</v>
      </c>
      <c r="C198" s="188" t="s">
        <v>622</v>
      </c>
      <c r="D198" s="188" t="s">
        <v>981</v>
      </c>
      <c r="E198" s="189">
        <v>39618</v>
      </c>
      <c r="F198" s="190">
        <v>1122</v>
      </c>
      <c r="G198" s="190">
        <v>0</v>
      </c>
      <c r="H198" s="191">
        <v>775</v>
      </c>
      <c r="I198" s="191">
        <v>394</v>
      </c>
      <c r="J198" s="188" t="s">
        <v>571</v>
      </c>
      <c r="K198" s="188" t="s">
        <v>338</v>
      </c>
      <c r="L198" s="188" t="s">
        <v>982</v>
      </c>
      <c r="M198" s="192">
        <f t="shared" si="9"/>
        <v>23</v>
      </c>
      <c r="N198" s="193">
        <f t="shared" si="10"/>
        <v>0.49175126903553301</v>
      </c>
      <c r="O198" s="194">
        <f t="shared" si="11"/>
        <v>2.1380489958066653E-2</v>
      </c>
    </row>
    <row r="199" spans="1:15" ht="12.75" customHeight="1">
      <c r="A199" s="188" t="s">
        <v>620</v>
      </c>
      <c r="B199" s="188" t="s">
        <v>621</v>
      </c>
      <c r="C199" s="188" t="s">
        <v>622</v>
      </c>
      <c r="D199" s="188" t="s">
        <v>983</v>
      </c>
      <c r="E199" s="189">
        <v>39618</v>
      </c>
      <c r="F199" s="190">
        <v>718</v>
      </c>
      <c r="G199" s="190">
        <v>0</v>
      </c>
      <c r="H199" s="191">
        <v>498</v>
      </c>
      <c r="I199" s="191">
        <v>252</v>
      </c>
      <c r="J199" s="188" t="s">
        <v>571</v>
      </c>
      <c r="K199" s="188" t="s">
        <v>338</v>
      </c>
      <c r="L199" s="188" t="s">
        <v>736</v>
      </c>
      <c r="M199" s="192">
        <f t="shared" si="9"/>
        <v>23</v>
      </c>
      <c r="N199" s="193">
        <f t="shared" si="10"/>
        <v>0.49404761904761907</v>
      </c>
      <c r="O199" s="194">
        <f t="shared" si="11"/>
        <v>2.148033126293996E-2</v>
      </c>
    </row>
    <row r="200" spans="1:15" ht="12.75" customHeight="1">
      <c r="A200" s="188" t="s">
        <v>620</v>
      </c>
      <c r="B200" s="188" t="s">
        <v>621</v>
      </c>
      <c r="C200" s="188" t="s">
        <v>622</v>
      </c>
      <c r="D200" s="188" t="s">
        <v>984</v>
      </c>
      <c r="E200" s="189">
        <v>39611</v>
      </c>
      <c r="F200" s="190">
        <v>1341</v>
      </c>
      <c r="G200" s="190">
        <v>0</v>
      </c>
      <c r="H200" s="191">
        <v>1215.32</v>
      </c>
      <c r="I200" s="191">
        <v>470.75</v>
      </c>
      <c r="J200" s="188" t="s">
        <v>635</v>
      </c>
      <c r="K200" s="188" t="s">
        <v>338</v>
      </c>
      <c r="L200" s="188" t="s">
        <v>985</v>
      </c>
      <c r="M200" s="192">
        <f t="shared" si="9"/>
        <v>30</v>
      </c>
      <c r="N200" s="193">
        <f t="shared" si="10"/>
        <v>0.64541688794476892</v>
      </c>
      <c r="O200" s="194">
        <f t="shared" si="11"/>
        <v>2.1513896264825631E-2</v>
      </c>
    </row>
    <row r="201" spans="1:15" ht="12.75" customHeight="1">
      <c r="A201" s="188" t="s">
        <v>620</v>
      </c>
      <c r="B201" s="188" t="s">
        <v>621</v>
      </c>
      <c r="C201" s="188" t="s">
        <v>622</v>
      </c>
      <c r="D201" s="188" t="s">
        <v>986</v>
      </c>
      <c r="E201" s="189">
        <v>39478</v>
      </c>
      <c r="F201" s="190">
        <v>1522</v>
      </c>
      <c r="G201" s="190">
        <v>0</v>
      </c>
      <c r="H201" s="191">
        <v>1515</v>
      </c>
      <c r="I201" s="191">
        <v>532.5</v>
      </c>
      <c r="J201" s="188" t="s">
        <v>742</v>
      </c>
      <c r="K201" s="188" t="s">
        <v>338</v>
      </c>
      <c r="L201" s="188" t="s">
        <v>987</v>
      </c>
      <c r="M201" s="192">
        <f t="shared" si="9"/>
        <v>33</v>
      </c>
      <c r="N201" s="193">
        <f t="shared" si="10"/>
        <v>0.71126760563380287</v>
      </c>
      <c r="O201" s="194">
        <f t="shared" si="11"/>
        <v>2.1553563807084935E-2</v>
      </c>
    </row>
    <row r="202" spans="1:15" ht="12.75" customHeight="1">
      <c r="A202" s="188" t="s">
        <v>620</v>
      </c>
      <c r="B202" s="188" t="s">
        <v>621</v>
      </c>
      <c r="C202" s="188" t="s">
        <v>622</v>
      </c>
      <c r="D202" s="188" t="s">
        <v>988</v>
      </c>
      <c r="E202" s="189">
        <v>39625</v>
      </c>
      <c r="F202" s="190">
        <v>973</v>
      </c>
      <c r="G202" s="190">
        <v>0</v>
      </c>
      <c r="H202" s="191">
        <v>561</v>
      </c>
      <c r="I202" s="191">
        <v>341.5</v>
      </c>
      <c r="J202" s="188" t="s">
        <v>667</v>
      </c>
      <c r="K202" s="188" t="s">
        <v>338</v>
      </c>
      <c r="L202" s="188" t="s">
        <v>961</v>
      </c>
      <c r="M202" s="192">
        <f t="shared" si="9"/>
        <v>19</v>
      </c>
      <c r="N202" s="193">
        <f t="shared" si="10"/>
        <v>0.41068814055636899</v>
      </c>
      <c r="O202" s="194">
        <f t="shared" si="11"/>
        <v>2.1615165292440473E-2</v>
      </c>
    </row>
    <row r="203" spans="1:15" ht="12.75" customHeight="1">
      <c r="A203" s="188" t="s">
        <v>620</v>
      </c>
      <c r="B203" s="188" t="s">
        <v>621</v>
      </c>
      <c r="C203" s="188" t="s">
        <v>622</v>
      </c>
      <c r="D203" s="188" t="s">
        <v>989</v>
      </c>
      <c r="E203" s="189">
        <v>39639</v>
      </c>
      <c r="F203" s="190">
        <v>815</v>
      </c>
      <c r="G203" s="190">
        <v>0</v>
      </c>
      <c r="H203" s="191">
        <v>470</v>
      </c>
      <c r="I203" s="191">
        <v>286</v>
      </c>
      <c r="J203" s="188" t="s">
        <v>667</v>
      </c>
      <c r="K203" s="188" t="s">
        <v>338</v>
      </c>
      <c r="L203" s="188" t="s">
        <v>990</v>
      </c>
      <c r="M203" s="192">
        <f t="shared" si="9"/>
        <v>19</v>
      </c>
      <c r="N203" s="193">
        <f t="shared" si="10"/>
        <v>0.41083916083916083</v>
      </c>
      <c r="O203" s="194">
        <f t="shared" si="11"/>
        <v>2.1623113728376886E-2</v>
      </c>
    </row>
    <row r="204" spans="1:15" ht="12.75" customHeight="1">
      <c r="A204" s="188" t="s">
        <v>620</v>
      </c>
      <c r="B204" s="188" t="s">
        <v>621</v>
      </c>
      <c r="C204" s="188" t="s">
        <v>622</v>
      </c>
      <c r="D204" s="188" t="s">
        <v>991</v>
      </c>
      <c r="E204" s="189">
        <v>39499</v>
      </c>
      <c r="F204" s="190">
        <v>722</v>
      </c>
      <c r="G204" s="190">
        <v>0</v>
      </c>
      <c r="H204" s="191">
        <v>590</v>
      </c>
      <c r="I204" s="191">
        <v>252.5</v>
      </c>
      <c r="J204" s="188" t="s">
        <v>639</v>
      </c>
      <c r="K204" s="188" t="s">
        <v>338</v>
      </c>
      <c r="L204" s="188" t="s">
        <v>992</v>
      </c>
      <c r="M204" s="192">
        <f t="shared" si="9"/>
        <v>27</v>
      </c>
      <c r="N204" s="193">
        <f t="shared" si="10"/>
        <v>0.58415841584158412</v>
      </c>
      <c r="O204" s="194">
        <f t="shared" si="11"/>
        <v>2.1635496883021636E-2</v>
      </c>
    </row>
    <row r="205" spans="1:15" ht="12.75" customHeight="1">
      <c r="A205" s="188" t="s">
        <v>620</v>
      </c>
      <c r="B205" s="188" t="s">
        <v>621</v>
      </c>
      <c r="C205" s="188" t="s">
        <v>622</v>
      </c>
      <c r="D205" s="188" t="s">
        <v>993</v>
      </c>
      <c r="E205" s="189">
        <v>39639</v>
      </c>
      <c r="F205" s="190">
        <v>911</v>
      </c>
      <c r="G205" s="190">
        <v>0</v>
      </c>
      <c r="H205" s="191">
        <v>582</v>
      </c>
      <c r="I205" s="191">
        <v>320</v>
      </c>
      <c r="J205" s="188" t="s">
        <v>879</v>
      </c>
      <c r="K205" s="188" t="s">
        <v>338</v>
      </c>
      <c r="L205" s="188" t="s">
        <v>994</v>
      </c>
      <c r="M205" s="192">
        <f t="shared" si="9"/>
        <v>21</v>
      </c>
      <c r="N205" s="193">
        <f t="shared" si="10"/>
        <v>0.45468750000000002</v>
      </c>
      <c r="O205" s="194">
        <f t="shared" si="11"/>
        <v>2.1651785714285714E-2</v>
      </c>
    </row>
    <row r="206" spans="1:15" ht="12.75" customHeight="1">
      <c r="A206" s="188" t="s">
        <v>620</v>
      </c>
      <c r="B206" s="188" t="s">
        <v>621</v>
      </c>
      <c r="C206" s="188" t="s">
        <v>622</v>
      </c>
      <c r="D206" s="188" t="s">
        <v>995</v>
      </c>
      <c r="E206" s="189">
        <v>39447</v>
      </c>
      <c r="F206" s="190">
        <v>958</v>
      </c>
      <c r="G206" s="190">
        <v>0</v>
      </c>
      <c r="H206" s="191">
        <v>871</v>
      </c>
      <c r="I206" s="191">
        <v>335</v>
      </c>
      <c r="J206" s="188" t="s">
        <v>635</v>
      </c>
      <c r="K206" s="188" t="s">
        <v>338</v>
      </c>
      <c r="L206" s="188" t="s">
        <v>815</v>
      </c>
      <c r="M206" s="192">
        <f t="shared" si="9"/>
        <v>30</v>
      </c>
      <c r="N206" s="193">
        <f t="shared" si="10"/>
        <v>0.65</v>
      </c>
      <c r="O206" s="194">
        <f t="shared" si="11"/>
        <v>2.1666666666666667E-2</v>
      </c>
    </row>
    <row r="207" spans="1:15" ht="12.75" customHeight="1">
      <c r="A207" s="188" t="s">
        <v>620</v>
      </c>
      <c r="B207" s="188" t="s">
        <v>621</v>
      </c>
      <c r="C207" s="188" t="s">
        <v>622</v>
      </c>
      <c r="D207" s="188" t="s">
        <v>996</v>
      </c>
      <c r="E207" s="189">
        <v>39269</v>
      </c>
      <c r="F207" s="190">
        <v>912</v>
      </c>
      <c r="G207" s="190">
        <v>0</v>
      </c>
      <c r="H207" s="191">
        <v>749.96</v>
      </c>
      <c r="I207" s="191">
        <v>318.75</v>
      </c>
      <c r="J207" s="188" t="s">
        <v>639</v>
      </c>
      <c r="K207" s="188" t="s">
        <v>338</v>
      </c>
      <c r="L207" s="188" t="s">
        <v>847</v>
      </c>
      <c r="M207" s="192">
        <f t="shared" si="9"/>
        <v>27</v>
      </c>
      <c r="N207" s="193">
        <f t="shared" si="10"/>
        <v>0.58820392156862744</v>
      </c>
      <c r="O207" s="194">
        <f t="shared" si="11"/>
        <v>2.1785330428467684E-2</v>
      </c>
    </row>
    <row r="208" spans="1:15" ht="12.75" customHeight="1">
      <c r="A208" s="188" t="s">
        <v>620</v>
      </c>
      <c r="B208" s="188" t="s">
        <v>621</v>
      </c>
      <c r="C208" s="188" t="s">
        <v>622</v>
      </c>
      <c r="D208" s="188" t="s">
        <v>997</v>
      </c>
      <c r="E208" s="189">
        <v>39555</v>
      </c>
      <c r="F208" s="190">
        <v>1033</v>
      </c>
      <c r="G208" s="190">
        <v>0</v>
      </c>
      <c r="H208" s="191">
        <v>855</v>
      </c>
      <c r="I208" s="191">
        <v>362.5</v>
      </c>
      <c r="J208" s="188" t="s">
        <v>639</v>
      </c>
      <c r="K208" s="188" t="s">
        <v>338</v>
      </c>
      <c r="L208" s="188" t="s">
        <v>920</v>
      </c>
      <c r="M208" s="192">
        <f t="shared" si="9"/>
        <v>27</v>
      </c>
      <c r="N208" s="193">
        <f t="shared" si="10"/>
        <v>0.58965517241379306</v>
      </c>
      <c r="O208" s="194">
        <f t="shared" si="11"/>
        <v>2.1839080459770115E-2</v>
      </c>
    </row>
    <row r="209" spans="1:15" ht="12.75" customHeight="1">
      <c r="A209" s="188" t="s">
        <v>620</v>
      </c>
      <c r="B209" s="188" t="s">
        <v>621</v>
      </c>
      <c r="C209" s="188" t="s">
        <v>622</v>
      </c>
      <c r="D209" s="188" t="s">
        <v>998</v>
      </c>
      <c r="E209" s="189">
        <v>39447</v>
      </c>
      <c r="F209" s="190">
        <v>906</v>
      </c>
      <c r="G209" s="190">
        <v>0</v>
      </c>
      <c r="H209" s="191">
        <v>1053</v>
      </c>
      <c r="I209" s="191">
        <v>317</v>
      </c>
      <c r="J209" s="188" t="s">
        <v>624</v>
      </c>
      <c r="K209" s="188" t="s">
        <v>338</v>
      </c>
      <c r="L209" s="188" t="s">
        <v>999</v>
      </c>
      <c r="M209" s="192">
        <f t="shared" si="9"/>
        <v>38</v>
      </c>
      <c r="N209" s="193">
        <f t="shared" si="10"/>
        <v>0.83044164037854895</v>
      </c>
      <c r="O209" s="194">
        <f t="shared" si="11"/>
        <v>2.1853727378382867E-2</v>
      </c>
    </row>
    <row r="210" spans="1:15" ht="12.75" customHeight="1">
      <c r="A210" s="188" t="s">
        <v>620</v>
      </c>
      <c r="B210" s="188" t="s">
        <v>621</v>
      </c>
      <c r="C210" s="188" t="s">
        <v>622</v>
      </c>
      <c r="D210" s="188" t="s">
        <v>1000</v>
      </c>
      <c r="E210" s="189">
        <v>39618</v>
      </c>
      <c r="F210" s="190">
        <v>826</v>
      </c>
      <c r="G210" s="190">
        <v>0</v>
      </c>
      <c r="H210" s="191">
        <v>786</v>
      </c>
      <c r="I210" s="191">
        <v>290</v>
      </c>
      <c r="J210" s="188" t="s">
        <v>503</v>
      </c>
      <c r="K210" s="188" t="s">
        <v>338</v>
      </c>
      <c r="L210" s="188" t="s">
        <v>1001</v>
      </c>
      <c r="M210" s="192">
        <f t="shared" si="9"/>
        <v>31</v>
      </c>
      <c r="N210" s="193">
        <f t="shared" si="10"/>
        <v>0.67758620689655169</v>
      </c>
      <c r="O210" s="194">
        <f t="shared" si="11"/>
        <v>2.185761957730812E-2</v>
      </c>
    </row>
    <row r="211" spans="1:15" ht="12.75" customHeight="1">
      <c r="A211" s="188" t="s">
        <v>620</v>
      </c>
      <c r="B211" s="188" t="s">
        <v>621</v>
      </c>
      <c r="C211" s="188" t="s">
        <v>622</v>
      </c>
      <c r="D211" s="188" t="s">
        <v>1002</v>
      </c>
      <c r="E211" s="189">
        <v>39576</v>
      </c>
      <c r="F211" s="190">
        <v>584</v>
      </c>
      <c r="G211" s="190">
        <v>0</v>
      </c>
      <c r="H211" s="191">
        <v>539</v>
      </c>
      <c r="I211" s="191">
        <v>205</v>
      </c>
      <c r="J211" s="188" t="s">
        <v>624</v>
      </c>
      <c r="K211" s="188" t="s">
        <v>257</v>
      </c>
      <c r="L211" s="188" t="s">
        <v>1003</v>
      </c>
      <c r="M211" s="192">
        <f t="shared" si="9"/>
        <v>30</v>
      </c>
      <c r="N211" s="193">
        <f t="shared" si="10"/>
        <v>0.65731707317073174</v>
      </c>
      <c r="O211" s="194">
        <f t="shared" si="11"/>
        <v>2.1910569105691058E-2</v>
      </c>
    </row>
    <row r="212" spans="1:15" ht="12.75" customHeight="1">
      <c r="A212" s="188" t="s">
        <v>620</v>
      </c>
      <c r="B212" s="188" t="s">
        <v>621</v>
      </c>
      <c r="C212" s="188" t="s">
        <v>622</v>
      </c>
      <c r="D212" s="188" t="s">
        <v>1004</v>
      </c>
      <c r="E212" s="189">
        <v>39576</v>
      </c>
      <c r="F212" s="190">
        <v>602</v>
      </c>
      <c r="G212" s="190">
        <v>0</v>
      </c>
      <c r="H212" s="191">
        <v>705.35</v>
      </c>
      <c r="I212" s="191">
        <v>211.5</v>
      </c>
      <c r="J212" s="188" t="s">
        <v>624</v>
      </c>
      <c r="K212" s="188" t="s">
        <v>338</v>
      </c>
      <c r="L212" s="188" t="s">
        <v>1005</v>
      </c>
      <c r="M212" s="192">
        <f t="shared" si="9"/>
        <v>38</v>
      </c>
      <c r="N212" s="193">
        <f t="shared" si="10"/>
        <v>0.83374704491725771</v>
      </c>
      <c r="O212" s="194">
        <f t="shared" si="11"/>
        <v>2.1940711708348888E-2</v>
      </c>
    </row>
    <row r="213" spans="1:15" ht="12.75" customHeight="1">
      <c r="A213" s="188" t="s">
        <v>620</v>
      </c>
      <c r="B213" s="188" t="s">
        <v>621</v>
      </c>
      <c r="C213" s="188" t="s">
        <v>622</v>
      </c>
      <c r="D213" s="188" t="s">
        <v>1006</v>
      </c>
      <c r="E213" s="189">
        <v>39548</v>
      </c>
      <c r="F213" s="190">
        <v>1282</v>
      </c>
      <c r="G213" s="190">
        <v>0</v>
      </c>
      <c r="H213" s="191">
        <v>871</v>
      </c>
      <c r="I213" s="191">
        <v>450</v>
      </c>
      <c r="J213" s="188" t="s">
        <v>710</v>
      </c>
      <c r="K213" s="188" t="s">
        <v>338</v>
      </c>
      <c r="L213" s="188" t="s">
        <v>718</v>
      </c>
      <c r="M213" s="192">
        <f t="shared" si="9"/>
        <v>22</v>
      </c>
      <c r="N213" s="193">
        <f t="shared" si="10"/>
        <v>0.48388888888888887</v>
      </c>
      <c r="O213" s="194">
        <f t="shared" si="11"/>
        <v>2.1994949494949494E-2</v>
      </c>
    </row>
    <row r="214" spans="1:15" ht="12.75" customHeight="1">
      <c r="A214" s="188" t="s">
        <v>620</v>
      </c>
      <c r="B214" s="188" t="s">
        <v>621</v>
      </c>
      <c r="C214" s="188" t="s">
        <v>622</v>
      </c>
      <c r="D214" s="188" t="s">
        <v>1007</v>
      </c>
      <c r="E214" s="189">
        <v>39240</v>
      </c>
      <c r="F214" s="190">
        <v>798</v>
      </c>
      <c r="G214" s="190">
        <v>0</v>
      </c>
      <c r="H214" s="191">
        <v>567.04</v>
      </c>
      <c r="I214" s="191">
        <v>279</v>
      </c>
      <c r="J214" s="188" t="s">
        <v>571</v>
      </c>
      <c r="K214" s="188" t="s">
        <v>338</v>
      </c>
      <c r="L214" s="188" t="s">
        <v>1008</v>
      </c>
      <c r="M214" s="192">
        <f t="shared" si="9"/>
        <v>23</v>
      </c>
      <c r="N214" s="193">
        <f t="shared" si="10"/>
        <v>0.50810035842293899</v>
      </c>
      <c r="O214" s="194">
        <f t="shared" si="11"/>
        <v>2.2091319931432131E-2</v>
      </c>
    </row>
    <row r="215" spans="1:15" ht="12.75" customHeight="1">
      <c r="A215" s="188" t="s">
        <v>620</v>
      </c>
      <c r="B215" s="188" t="s">
        <v>621</v>
      </c>
      <c r="C215" s="188" t="s">
        <v>622</v>
      </c>
      <c r="D215" s="188" t="s">
        <v>1009</v>
      </c>
      <c r="E215" s="189">
        <v>39219</v>
      </c>
      <c r="F215" s="190">
        <v>1073</v>
      </c>
      <c r="G215" s="190">
        <v>0</v>
      </c>
      <c r="H215" s="191">
        <v>630</v>
      </c>
      <c r="I215" s="191">
        <v>375</v>
      </c>
      <c r="J215" s="188" t="s">
        <v>667</v>
      </c>
      <c r="K215" s="188" t="s">
        <v>338</v>
      </c>
      <c r="L215" s="188" t="s">
        <v>746</v>
      </c>
      <c r="M215" s="192">
        <f t="shared" si="9"/>
        <v>19</v>
      </c>
      <c r="N215" s="193">
        <f t="shared" si="10"/>
        <v>0.42</v>
      </c>
      <c r="O215" s="194">
        <f t="shared" si="11"/>
        <v>2.2105263157894735E-2</v>
      </c>
    </row>
    <row r="216" spans="1:15" ht="12.75" customHeight="1">
      <c r="A216" s="188" t="s">
        <v>620</v>
      </c>
      <c r="B216" s="188" t="s">
        <v>621</v>
      </c>
      <c r="C216" s="188" t="s">
        <v>622</v>
      </c>
      <c r="D216" s="188" t="s">
        <v>1010</v>
      </c>
      <c r="E216" s="189">
        <v>39447</v>
      </c>
      <c r="F216" s="190">
        <v>1406</v>
      </c>
      <c r="G216" s="190">
        <v>0</v>
      </c>
      <c r="H216" s="191">
        <v>1305</v>
      </c>
      <c r="I216" s="191">
        <v>491.5</v>
      </c>
      <c r="J216" s="188" t="s">
        <v>635</v>
      </c>
      <c r="K216" s="188" t="s">
        <v>338</v>
      </c>
      <c r="L216" s="188" t="s">
        <v>1011</v>
      </c>
      <c r="M216" s="192">
        <f t="shared" si="9"/>
        <v>30</v>
      </c>
      <c r="N216" s="193">
        <f t="shared" si="10"/>
        <v>0.66378433367243128</v>
      </c>
      <c r="O216" s="194">
        <f t="shared" si="11"/>
        <v>2.2126144455747711E-2</v>
      </c>
    </row>
    <row r="217" spans="1:15" ht="12.75" customHeight="1">
      <c r="A217" s="188" t="s">
        <v>620</v>
      </c>
      <c r="B217" s="188" t="s">
        <v>621</v>
      </c>
      <c r="C217" s="188" t="s">
        <v>622</v>
      </c>
      <c r="D217" s="188" t="s">
        <v>1012</v>
      </c>
      <c r="E217" s="189">
        <v>39447</v>
      </c>
      <c r="F217" s="190">
        <v>628</v>
      </c>
      <c r="G217" s="190">
        <v>0</v>
      </c>
      <c r="H217" s="191">
        <v>545</v>
      </c>
      <c r="I217" s="191">
        <v>219.5</v>
      </c>
      <c r="J217" s="188" t="s">
        <v>750</v>
      </c>
      <c r="K217" s="188" t="s">
        <v>338</v>
      </c>
      <c r="L217" s="188" t="s">
        <v>1013</v>
      </c>
      <c r="M217" s="192">
        <f t="shared" si="9"/>
        <v>28</v>
      </c>
      <c r="N217" s="193">
        <f t="shared" si="10"/>
        <v>0.62072892938496582</v>
      </c>
      <c r="O217" s="194">
        <f t="shared" si="11"/>
        <v>2.2168890335177351E-2</v>
      </c>
    </row>
    <row r="218" spans="1:15" ht="12.75" customHeight="1">
      <c r="A218" s="188" t="s">
        <v>620</v>
      </c>
      <c r="B218" s="188" t="s">
        <v>621</v>
      </c>
      <c r="C218" s="188" t="s">
        <v>622</v>
      </c>
      <c r="D218" s="188" t="s">
        <v>1014</v>
      </c>
      <c r="E218" s="189">
        <v>39447</v>
      </c>
      <c r="F218" s="190">
        <v>1195</v>
      </c>
      <c r="G218" s="190">
        <v>0</v>
      </c>
      <c r="H218" s="191">
        <v>1000</v>
      </c>
      <c r="I218" s="191">
        <v>417.5</v>
      </c>
      <c r="J218" s="188" t="s">
        <v>639</v>
      </c>
      <c r="K218" s="188" t="s">
        <v>338</v>
      </c>
      <c r="L218" s="188" t="s">
        <v>1015</v>
      </c>
      <c r="M218" s="192">
        <f t="shared" si="9"/>
        <v>27</v>
      </c>
      <c r="N218" s="193">
        <f t="shared" si="10"/>
        <v>0.59880239520958078</v>
      </c>
      <c r="O218" s="194">
        <f t="shared" si="11"/>
        <v>2.2177866489243733E-2</v>
      </c>
    </row>
    <row r="219" spans="1:15" ht="12.75" customHeight="1">
      <c r="A219" s="188" t="s">
        <v>620</v>
      </c>
      <c r="B219" s="188" t="s">
        <v>621</v>
      </c>
      <c r="C219" s="188" t="s">
        <v>622</v>
      </c>
      <c r="D219" s="188" t="s">
        <v>1016</v>
      </c>
      <c r="E219" s="189">
        <v>39499</v>
      </c>
      <c r="F219" s="190">
        <v>1330</v>
      </c>
      <c r="G219" s="190">
        <v>0</v>
      </c>
      <c r="H219" s="191">
        <v>1239</v>
      </c>
      <c r="I219" s="191">
        <v>465</v>
      </c>
      <c r="J219" s="188" t="s">
        <v>635</v>
      </c>
      <c r="K219" s="188" t="s">
        <v>338</v>
      </c>
      <c r="L219" s="188" t="s">
        <v>904</v>
      </c>
      <c r="M219" s="192">
        <f t="shared" si="9"/>
        <v>30</v>
      </c>
      <c r="N219" s="193">
        <f t="shared" si="10"/>
        <v>0.66612903225806452</v>
      </c>
      <c r="O219" s="194">
        <f t="shared" si="11"/>
        <v>2.2204301075268818E-2</v>
      </c>
    </row>
    <row r="220" spans="1:15" ht="12.75" customHeight="1">
      <c r="A220" s="188" t="s">
        <v>620</v>
      </c>
      <c r="B220" s="188" t="s">
        <v>621</v>
      </c>
      <c r="C220" s="188" t="s">
        <v>622</v>
      </c>
      <c r="D220" s="188" t="s">
        <v>1017</v>
      </c>
      <c r="E220" s="189">
        <v>39447</v>
      </c>
      <c r="F220" s="190">
        <v>530</v>
      </c>
      <c r="G220" s="190">
        <v>0</v>
      </c>
      <c r="H220" s="191">
        <v>494</v>
      </c>
      <c r="I220" s="191">
        <v>185.25</v>
      </c>
      <c r="J220" s="188" t="s">
        <v>635</v>
      </c>
      <c r="K220" s="188" t="s">
        <v>338</v>
      </c>
      <c r="L220" s="188" t="s">
        <v>1018</v>
      </c>
      <c r="M220" s="192">
        <f t="shared" si="9"/>
        <v>30</v>
      </c>
      <c r="N220" s="193">
        <f t="shared" si="10"/>
        <v>0.66666666666666663</v>
      </c>
      <c r="O220" s="194">
        <f t="shared" si="11"/>
        <v>2.222222222222222E-2</v>
      </c>
    </row>
    <row r="221" spans="1:15" ht="12.75" customHeight="1">
      <c r="A221" s="188" t="s">
        <v>620</v>
      </c>
      <c r="B221" s="188" t="s">
        <v>621</v>
      </c>
      <c r="C221" s="188" t="s">
        <v>622</v>
      </c>
      <c r="D221" s="188" t="s">
        <v>1019</v>
      </c>
      <c r="E221" s="189">
        <v>39447</v>
      </c>
      <c r="F221" s="190">
        <v>1448</v>
      </c>
      <c r="G221" s="190">
        <v>0</v>
      </c>
      <c r="H221" s="191">
        <v>1215</v>
      </c>
      <c r="I221" s="191">
        <v>506.25</v>
      </c>
      <c r="J221" s="188" t="s">
        <v>639</v>
      </c>
      <c r="K221" s="188" t="s">
        <v>338</v>
      </c>
      <c r="L221" s="188" t="s">
        <v>1020</v>
      </c>
      <c r="M221" s="192">
        <f t="shared" si="9"/>
        <v>27</v>
      </c>
      <c r="N221" s="193">
        <f t="shared" si="10"/>
        <v>0.6</v>
      </c>
      <c r="O221" s="194">
        <f t="shared" si="11"/>
        <v>2.2222222222222223E-2</v>
      </c>
    </row>
    <row r="222" spans="1:15" ht="12.75" customHeight="1">
      <c r="A222" s="188" t="s">
        <v>620</v>
      </c>
      <c r="B222" s="188" t="s">
        <v>621</v>
      </c>
      <c r="C222" s="188" t="s">
        <v>622</v>
      </c>
      <c r="D222" s="188" t="s">
        <v>1021</v>
      </c>
      <c r="E222" s="189">
        <v>39520</v>
      </c>
      <c r="F222" s="190">
        <v>855</v>
      </c>
      <c r="G222" s="190">
        <v>0</v>
      </c>
      <c r="H222" s="191">
        <v>535</v>
      </c>
      <c r="I222" s="191">
        <v>300</v>
      </c>
      <c r="J222" s="188" t="s">
        <v>560</v>
      </c>
      <c r="K222" s="188" t="s">
        <v>338</v>
      </c>
      <c r="L222" s="188" t="s">
        <v>632</v>
      </c>
      <c r="M222" s="192">
        <f t="shared" si="9"/>
        <v>20</v>
      </c>
      <c r="N222" s="193">
        <f t="shared" si="10"/>
        <v>0.44583333333333336</v>
      </c>
      <c r="O222" s="194">
        <f t="shared" si="11"/>
        <v>2.2291666666666668E-2</v>
      </c>
    </row>
    <row r="223" spans="1:15" ht="12.75" customHeight="1">
      <c r="A223" s="188" t="s">
        <v>620</v>
      </c>
      <c r="B223" s="188" t="s">
        <v>621</v>
      </c>
      <c r="C223" s="188" t="s">
        <v>622</v>
      </c>
      <c r="D223" s="188" t="s">
        <v>1022</v>
      </c>
      <c r="E223" s="189">
        <v>39534</v>
      </c>
      <c r="F223" s="190">
        <v>1325</v>
      </c>
      <c r="G223" s="190">
        <v>0</v>
      </c>
      <c r="H223" s="191">
        <v>1245</v>
      </c>
      <c r="I223" s="191">
        <v>465</v>
      </c>
      <c r="J223" s="188" t="s">
        <v>635</v>
      </c>
      <c r="K223" s="188" t="s">
        <v>338</v>
      </c>
      <c r="L223" s="188" t="s">
        <v>904</v>
      </c>
      <c r="M223" s="192">
        <f t="shared" si="9"/>
        <v>30</v>
      </c>
      <c r="N223" s="193">
        <f t="shared" si="10"/>
        <v>0.66935483870967738</v>
      </c>
      <c r="O223" s="194">
        <f t="shared" si="11"/>
        <v>2.2311827956989248E-2</v>
      </c>
    </row>
    <row r="224" spans="1:15" ht="12.75" customHeight="1">
      <c r="A224" s="188" t="s">
        <v>620</v>
      </c>
      <c r="B224" s="188" t="s">
        <v>621</v>
      </c>
      <c r="C224" s="188" t="s">
        <v>622</v>
      </c>
      <c r="D224" s="188" t="s">
        <v>1023</v>
      </c>
      <c r="E224" s="189">
        <v>39422</v>
      </c>
      <c r="F224" s="190">
        <v>1144</v>
      </c>
      <c r="G224" s="190">
        <v>0</v>
      </c>
      <c r="H224" s="191">
        <v>1000</v>
      </c>
      <c r="I224" s="191">
        <v>400</v>
      </c>
      <c r="J224" s="188" t="s">
        <v>750</v>
      </c>
      <c r="K224" s="188" t="s">
        <v>338</v>
      </c>
      <c r="L224" s="188" t="s">
        <v>625</v>
      </c>
      <c r="M224" s="192">
        <f t="shared" si="9"/>
        <v>28</v>
      </c>
      <c r="N224" s="193">
        <f t="shared" si="10"/>
        <v>0.625</v>
      </c>
      <c r="O224" s="194">
        <f t="shared" si="11"/>
        <v>2.2321428571428572E-2</v>
      </c>
    </row>
    <row r="225" spans="1:15" ht="12.75" customHeight="1">
      <c r="A225" s="188" t="s">
        <v>620</v>
      </c>
      <c r="B225" s="188" t="s">
        <v>621</v>
      </c>
      <c r="C225" s="188" t="s">
        <v>622</v>
      </c>
      <c r="D225" s="188" t="s">
        <v>1024</v>
      </c>
      <c r="E225" s="189">
        <v>39597</v>
      </c>
      <c r="F225" s="190">
        <v>1382</v>
      </c>
      <c r="G225" s="190">
        <v>0</v>
      </c>
      <c r="H225" s="191">
        <v>1300</v>
      </c>
      <c r="I225" s="191">
        <v>485.25</v>
      </c>
      <c r="J225" s="188" t="s">
        <v>635</v>
      </c>
      <c r="K225" s="188" t="s">
        <v>338</v>
      </c>
      <c r="L225" s="188" t="s">
        <v>1025</v>
      </c>
      <c r="M225" s="192">
        <f t="shared" si="9"/>
        <v>30</v>
      </c>
      <c r="N225" s="193">
        <f t="shared" si="10"/>
        <v>0.66975785677485833</v>
      </c>
      <c r="O225" s="194">
        <f t="shared" si="11"/>
        <v>2.2325261892495278E-2</v>
      </c>
    </row>
    <row r="226" spans="1:15" ht="12.75" customHeight="1">
      <c r="A226" s="188" t="s">
        <v>620</v>
      </c>
      <c r="B226" s="188" t="s">
        <v>621</v>
      </c>
      <c r="C226" s="188" t="s">
        <v>622</v>
      </c>
      <c r="D226" s="188" t="s">
        <v>1026</v>
      </c>
      <c r="E226" s="189">
        <v>39331</v>
      </c>
      <c r="F226" s="190">
        <v>1055</v>
      </c>
      <c r="G226" s="190">
        <v>0</v>
      </c>
      <c r="H226" s="191">
        <v>987.96</v>
      </c>
      <c r="I226" s="191">
        <v>368.75</v>
      </c>
      <c r="J226" s="188" t="s">
        <v>635</v>
      </c>
      <c r="K226" s="188" t="s">
        <v>338</v>
      </c>
      <c r="L226" s="188" t="s">
        <v>1027</v>
      </c>
      <c r="M226" s="192">
        <f t="shared" si="9"/>
        <v>30</v>
      </c>
      <c r="N226" s="193">
        <f t="shared" si="10"/>
        <v>0.66980338983050847</v>
      </c>
      <c r="O226" s="194">
        <f t="shared" si="11"/>
        <v>2.2326779661016947E-2</v>
      </c>
    </row>
    <row r="227" spans="1:15" ht="12.75" customHeight="1">
      <c r="A227" s="188" t="s">
        <v>620</v>
      </c>
      <c r="B227" s="188" t="s">
        <v>621</v>
      </c>
      <c r="C227" s="188" t="s">
        <v>622</v>
      </c>
      <c r="D227" s="188" t="s">
        <v>1028</v>
      </c>
      <c r="E227" s="189">
        <v>39520</v>
      </c>
      <c r="F227" s="190">
        <v>598</v>
      </c>
      <c r="G227" s="190">
        <v>0</v>
      </c>
      <c r="H227" s="191">
        <v>508</v>
      </c>
      <c r="I227" s="191">
        <v>210</v>
      </c>
      <c r="J227" s="188" t="s">
        <v>639</v>
      </c>
      <c r="K227" s="188" t="s">
        <v>338</v>
      </c>
      <c r="L227" s="188" t="s">
        <v>906</v>
      </c>
      <c r="M227" s="192">
        <f t="shared" si="9"/>
        <v>27</v>
      </c>
      <c r="N227" s="193">
        <f t="shared" si="10"/>
        <v>0.60476190476190472</v>
      </c>
      <c r="O227" s="194">
        <f t="shared" si="11"/>
        <v>2.2398589065255731E-2</v>
      </c>
    </row>
    <row r="228" spans="1:15" ht="12.75" customHeight="1">
      <c r="A228" s="188" t="s">
        <v>620</v>
      </c>
      <c r="B228" s="188" t="s">
        <v>621</v>
      </c>
      <c r="C228" s="188" t="s">
        <v>622</v>
      </c>
      <c r="D228" s="188" t="s">
        <v>1029</v>
      </c>
      <c r="E228" s="189">
        <v>39380</v>
      </c>
      <c r="F228" s="190">
        <v>790</v>
      </c>
      <c r="G228" s="190">
        <v>0</v>
      </c>
      <c r="H228" s="191">
        <v>470</v>
      </c>
      <c r="I228" s="191">
        <v>276</v>
      </c>
      <c r="J228" s="188" t="s">
        <v>667</v>
      </c>
      <c r="K228" s="188" t="s">
        <v>338</v>
      </c>
      <c r="L228" s="188" t="s">
        <v>1030</v>
      </c>
      <c r="M228" s="192">
        <f t="shared" si="9"/>
        <v>19</v>
      </c>
      <c r="N228" s="193">
        <f t="shared" si="10"/>
        <v>0.42572463768115942</v>
      </c>
      <c r="O228" s="194">
        <f t="shared" si="11"/>
        <v>2.240655987795576E-2</v>
      </c>
    </row>
    <row r="229" spans="1:15" ht="12.75" customHeight="1">
      <c r="A229" s="188" t="s">
        <v>620</v>
      </c>
      <c r="B229" s="188" t="s">
        <v>621</v>
      </c>
      <c r="C229" s="188" t="s">
        <v>622</v>
      </c>
      <c r="D229" s="188" t="s">
        <v>1031</v>
      </c>
      <c r="E229" s="189">
        <v>39380</v>
      </c>
      <c r="F229" s="190">
        <v>888</v>
      </c>
      <c r="G229" s="190">
        <v>0</v>
      </c>
      <c r="H229" s="191">
        <v>529</v>
      </c>
      <c r="I229" s="191">
        <v>310.25</v>
      </c>
      <c r="J229" s="188" t="s">
        <v>667</v>
      </c>
      <c r="K229" s="188" t="s">
        <v>338</v>
      </c>
      <c r="L229" s="188" t="s">
        <v>1032</v>
      </c>
      <c r="M229" s="192">
        <f t="shared" si="9"/>
        <v>19</v>
      </c>
      <c r="N229" s="193">
        <f t="shared" si="10"/>
        <v>0.42626913779210313</v>
      </c>
      <c r="O229" s="194">
        <f t="shared" si="11"/>
        <v>2.2435217778531743E-2</v>
      </c>
    </row>
    <row r="230" spans="1:15" ht="12.75" customHeight="1">
      <c r="A230" s="188" t="s">
        <v>620</v>
      </c>
      <c r="B230" s="188" t="s">
        <v>621</v>
      </c>
      <c r="C230" s="188" t="s">
        <v>622</v>
      </c>
      <c r="D230" s="188" t="s">
        <v>1033</v>
      </c>
      <c r="E230" s="189">
        <v>39568</v>
      </c>
      <c r="F230" s="190">
        <v>1321</v>
      </c>
      <c r="G230" s="190">
        <v>0</v>
      </c>
      <c r="H230" s="191">
        <v>835</v>
      </c>
      <c r="I230" s="191">
        <v>464</v>
      </c>
      <c r="J230" s="188" t="s">
        <v>560</v>
      </c>
      <c r="K230" s="188" t="s">
        <v>338</v>
      </c>
      <c r="L230" s="188" t="s">
        <v>1034</v>
      </c>
      <c r="M230" s="192">
        <f t="shared" si="9"/>
        <v>20</v>
      </c>
      <c r="N230" s="193">
        <f t="shared" si="10"/>
        <v>0.44989224137931033</v>
      </c>
      <c r="O230" s="194">
        <f t="shared" si="11"/>
        <v>2.2494612068965518E-2</v>
      </c>
    </row>
    <row r="231" spans="1:15" ht="12.75" customHeight="1">
      <c r="A231" s="188" t="s">
        <v>620</v>
      </c>
      <c r="B231" s="188" t="s">
        <v>621</v>
      </c>
      <c r="C231" s="188" t="s">
        <v>622</v>
      </c>
      <c r="D231" s="188" t="s">
        <v>1035</v>
      </c>
      <c r="E231" s="189">
        <v>39226</v>
      </c>
      <c r="F231" s="190">
        <v>554</v>
      </c>
      <c r="G231" s="190">
        <v>0</v>
      </c>
      <c r="H231" s="191">
        <v>524.96</v>
      </c>
      <c r="I231" s="191">
        <v>194</v>
      </c>
      <c r="J231" s="188" t="s">
        <v>624</v>
      </c>
      <c r="K231" s="188" t="s">
        <v>257</v>
      </c>
      <c r="L231" s="188" t="s">
        <v>1036</v>
      </c>
      <c r="M231" s="192">
        <f t="shared" si="9"/>
        <v>30</v>
      </c>
      <c r="N231" s="193">
        <f t="shared" si="10"/>
        <v>0.67649484536082483</v>
      </c>
      <c r="O231" s="194">
        <f t="shared" si="11"/>
        <v>2.2549828178694161E-2</v>
      </c>
    </row>
    <row r="232" spans="1:15" ht="12.75" customHeight="1">
      <c r="A232" s="188" t="s">
        <v>620</v>
      </c>
      <c r="B232" s="188" t="s">
        <v>621</v>
      </c>
      <c r="C232" s="188" t="s">
        <v>622</v>
      </c>
      <c r="D232" s="188" t="s">
        <v>1037</v>
      </c>
      <c r="E232" s="189">
        <v>39331</v>
      </c>
      <c r="F232" s="190">
        <v>821</v>
      </c>
      <c r="G232" s="190">
        <v>0</v>
      </c>
      <c r="H232" s="191">
        <v>879.98</v>
      </c>
      <c r="I232" s="191">
        <v>286.75</v>
      </c>
      <c r="J232" s="188" t="s">
        <v>720</v>
      </c>
      <c r="K232" s="188" t="s">
        <v>338</v>
      </c>
      <c r="L232" s="188" t="s">
        <v>1038</v>
      </c>
      <c r="M232" s="192">
        <f t="shared" si="9"/>
        <v>34</v>
      </c>
      <c r="N232" s="193">
        <f t="shared" si="10"/>
        <v>0.76720139494333039</v>
      </c>
      <c r="O232" s="194">
        <f t="shared" si="11"/>
        <v>2.2564746910097952E-2</v>
      </c>
    </row>
    <row r="233" spans="1:15" ht="12.75" customHeight="1">
      <c r="A233" s="188" t="s">
        <v>620</v>
      </c>
      <c r="B233" s="188" t="s">
        <v>621</v>
      </c>
      <c r="C233" s="188" t="s">
        <v>622</v>
      </c>
      <c r="D233" s="188" t="s">
        <v>1039</v>
      </c>
      <c r="E233" s="189">
        <v>39233</v>
      </c>
      <c r="F233" s="190">
        <v>597</v>
      </c>
      <c r="G233" s="190">
        <v>0</v>
      </c>
      <c r="H233" s="191">
        <v>433.97</v>
      </c>
      <c r="I233" s="191">
        <v>209</v>
      </c>
      <c r="J233" s="188" t="s">
        <v>571</v>
      </c>
      <c r="K233" s="188" t="s">
        <v>338</v>
      </c>
      <c r="L233" s="188" t="s">
        <v>1040</v>
      </c>
      <c r="M233" s="192">
        <f t="shared" si="9"/>
        <v>23</v>
      </c>
      <c r="N233" s="193">
        <f t="shared" si="10"/>
        <v>0.51910287081339712</v>
      </c>
      <c r="O233" s="194">
        <f t="shared" si="11"/>
        <v>2.2569690035365093E-2</v>
      </c>
    </row>
    <row r="234" spans="1:15" ht="12.75" customHeight="1">
      <c r="A234" s="188" t="s">
        <v>620</v>
      </c>
      <c r="B234" s="188" t="s">
        <v>621</v>
      </c>
      <c r="C234" s="188" t="s">
        <v>622</v>
      </c>
      <c r="D234" s="188" t="s">
        <v>1041</v>
      </c>
      <c r="E234" s="189">
        <v>39541</v>
      </c>
      <c r="F234" s="190">
        <v>1265</v>
      </c>
      <c r="G234" s="190">
        <v>0</v>
      </c>
      <c r="H234" s="191">
        <v>1125</v>
      </c>
      <c r="I234" s="191">
        <v>444</v>
      </c>
      <c r="J234" s="188" t="s">
        <v>750</v>
      </c>
      <c r="K234" s="188" t="s">
        <v>338</v>
      </c>
      <c r="L234" s="188" t="s">
        <v>1042</v>
      </c>
      <c r="M234" s="192">
        <f t="shared" si="9"/>
        <v>28</v>
      </c>
      <c r="N234" s="193">
        <f t="shared" si="10"/>
        <v>0.63344594594594594</v>
      </c>
      <c r="O234" s="194">
        <f t="shared" si="11"/>
        <v>2.2623069498069498E-2</v>
      </c>
    </row>
    <row r="235" spans="1:15" ht="12.75" customHeight="1">
      <c r="A235" s="188" t="s">
        <v>620</v>
      </c>
      <c r="B235" s="188" t="s">
        <v>621</v>
      </c>
      <c r="C235" s="188" t="s">
        <v>622</v>
      </c>
      <c r="D235" s="188" t="s">
        <v>1043</v>
      </c>
      <c r="E235" s="189">
        <v>39598</v>
      </c>
      <c r="F235" s="190">
        <v>729</v>
      </c>
      <c r="G235" s="190">
        <v>0</v>
      </c>
      <c r="H235" s="191">
        <v>880.64</v>
      </c>
      <c r="I235" s="191">
        <v>256</v>
      </c>
      <c r="J235" s="188" t="s">
        <v>624</v>
      </c>
      <c r="K235" s="188" t="s">
        <v>338</v>
      </c>
      <c r="L235" s="188" t="s">
        <v>507</v>
      </c>
      <c r="M235" s="192">
        <f t="shared" si="9"/>
        <v>38</v>
      </c>
      <c r="N235" s="193">
        <f t="shared" si="10"/>
        <v>0.86</v>
      </c>
      <c r="O235" s="194">
        <f t="shared" si="11"/>
        <v>2.2631578947368419E-2</v>
      </c>
    </row>
    <row r="236" spans="1:15" ht="12.75" customHeight="1">
      <c r="A236" s="188" t="s">
        <v>620</v>
      </c>
      <c r="B236" s="188" t="s">
        <v>621</v>
      </c>
      <c r="C236" s="188" t="s">
        <v>622</v>
      </c>
      <c r="D236" s="188" t="s">
        <v>1044</v>
      </c>
      <c r="E236" s="189">
        <v>39555</v>
      </c>
      <c r="F236" s="190">
        <v>989</v>
      </c>
      <c r="G236" s="190">
        <v>0</v>
      </c>
      <c r="H236" s="191">
        <v>820</v>
      </c>
      <c r="I236" s="191">
        <v>347.25</v>
      </c>
      <c r="J236" s="188" t="s">
        <v>361</v>
      </c>
      <c r="K236" s="188" t="s">
        <v>338</v>
      </c>
      <c r="L236" s="188" t="s">
        <v>1045</v>
      </c>
      <c r="M236" s="192">
        <f t="shared" si="9"/>
        <v>26</v>
      </c>
      <c r="N236" s="193">
        <f t="shared" si="10"/>
        <v>0.59035277177825773</v>
      </c>
      <c r="O236" s="194">
        <f t="shared" si="11"/>
        <v>2.2705875837625296E-2</v>
      </c>
    </row>
    <row r="237" spans="1:15" ht="12.75" customHeight="1">
      <c r="A237" s="188" t="s">
        <v>620</v>
      </c>
      <c r="B237" s="188" t="s">
        <v>621</v>
      </c>
      <c r="C237" s="188" t="s">
        <v>622</v>
      </c>
      <c r="D237" s="188" t="s">
        <v>1046</v>
      </c>
      <c r="E237" s="189">
        <v>39219</v>
      </c>
      <c r="F237" s="190">
        <v>934</v>
      </c>
      <c r="G237" s="190">
        <v>0</v>
      </c>
      <c r="H237" s="191">
        <v>835.84</v>
      </c>
      <c r="I237" s="191">
        <v>326.5</v>
      </c>
      <c r="J237" s="188" t="s">
        <v>750</v>
      </c>
      <c r="K237" s="188" t="s">
        <v>338</v>
      </c>
      <c r="L237" s="188" t="s">
        <v>935</v>
      </c>
      <c r="M237" s="192">
        <f t="shared" si="9"/>
        <v>28</v>
      </c>
      <c r="N237" s="193">
        <f t="shared" si="10"/>
        <v>0.64</v>
      </c>
      <c r="O237" s="194">
        <f t="shared" si="11"/>
        <v>2.2857142857142857E-2</v>
      </c>
    </row>
    <row r="238" spans="1:15" ht="12.75" customHeight="1">
      <c r="A238" s="188" t="s">
        <v>620</v>
      </c>
      <c r="B238" s="188" t="s">
        <v>621</v>
      </c>
      <c r="C238" s="188" t="s">
        <v>622</v>
      </c>
      <c r="D238" s="188" t="s">
        <v>1047</v>
      </c>
      <c r="E238" s="189">
        <v>39289</v>
      </c>
      <c r="F238" s="190">
        <v>1012</v>
      </c>
      <c r="G238" s="190">
        <v>0</v>
      </c>
      <c r="H238" s="191">
        <v>881.04</v>
      </c>
      <c r="I238" s="191">
        <v>354</v>
      </c>
      <c r="J238" s="188" t="s">
        <v>639</v>
      </c>
      <c r="K238" s="188" t="s">
        <v>338</v>
      </c>
      <c r="L238" s="188" t="s">
        <v>1048</v>
      </c>
      <c r="M238" s="192">
        <f t="shared" si="9"/>
        <v>27</v>
      </c>
      <c r="N238" s="193">
        <f t="shared" si="10"/>
        <v>0.62220338983050849</v>
      </c>
      <c r="O238" s="194">
        <f t="shared" si="11"/>
        <v>2.3044569993722536E-2</v>
      </c>
    </row>
    <row r="239" spans="1:15" ht="12.75" customHeight="1">
      <c r="A239" s="188" t="s">
        <v>620</v>
      </c>
      <c r="B239" s="188" t="s">
        <v>621</v>
      </c>
      <c r="C239" s="188" t="s">
        <v>622</v>
      </c>
      <c r="D239" s="188" t="s">
        <v>1049</v>
      </c>
      <c r="E239" s="189">
        <v>39507</v>
      </c>
      <c r="F239" s="190">
        <v>944</v>
      </c>
      <c r="G239" s="190">
        <v>0</v>
      </c>
      <c r="H239" s="191">
        <v>792</v>
      </c>
      <c r="I239" s="191">
        <v>330</v>
      </c>
      <c r="J239" s="188" t="s">
        <v>361</v>
      </c>
      <c r="K239" s="188" t="s">
        <v>338</v>
      </c>
      <c r="L239" s="188" t="s">
        <v>1050</v>
      </c>
      <c r="M239" s="192">
        <f t="shared" si="9"/>
        <v>26</v>
      </c>
      <c r="N239" s="193">
        <f t="shared" si="10"/>
        <v>0.6</v>
      </c>
      <c r="O239" s="194">
        <f t="shared" si="11"/>
        <v>2.3076923076923075E-2</v>
      </c>
    </row>
    <row r="240" spans="1:15" ht="12.75" customHeight="1">
      <c r="A240" s="188" t="s">
        <v>620</v>
      </c>
      <c r="B240" s="188" t="s">
        <v>621</v>
      </c>
      <c r="C240" s="188" t="s">
        <v>622</v>
      </c>
      <c r="D240" s="188" t="s">
        <v>1051</v>
      </c>
      <c r="E240" s="189">
        <v>39507</v>
      </c>
      <c r="F240" s="190">
        <v>1012</v>
      </c>
      <c r="G240" s="190">
        <v>0</v>
      </c>
      <c r="H240" s="191">
        <v>792</v>
      </c>
      <c r="I240" s="191">
        <v>354</v>
      </c>
      <c r="J240" s="188" t="s">
        <v>1052</v>
      </c>
      <c r="K240" s="188" t="s">
        <v>338</v>
      </c>
      <c r="L240" s="188" t="s">
        <v>1048</v>
      </c>
      <c r="M240" s="192">
        <f t="shared" si="9"/>
        <v>24</v>
      </c>
      <c r="N240" s="193">
        <f t="shared" si="10"/>
        <v>0.55932203389830504</v>
      </c>
      <c r="O240" s="194">
        <f t="shared" si="11"/>
        <v>2.3305084745762709E-2</v>
      </c>
    </row>
    <row r="241" spans="1:15" ht="12.75" customHeight="1">
      <c r="A241" s="188" t="s">
        <v>620</v>
      </c>
      <c r="B241" s="188" t="s">
        <v>621</v>
      </c>
      <c r="C241" s="188" t="s">
        <v>622</v>
      </c>
      <c r="D241" s="188" t="s">
        <v>1053</v>
      </c>
      <c r="E241" s="189">
        <v>39443</v>
      </c>
      <c r="F241" s="190">
        <v>858</v>
      </c>
      <c r="G241" s="190">
        <v>0</v>
      </c>
      <c r="H241" s="191">
        <v>840</v>
      </c>
      <c r="I241" s="191">
        <v>300</v>
      </c>
      <c r="J241" s="188" t="s">
        <v>635</v>
      </c>
      <c r="K241" s="188" t="s">
        <v>338</v>
      </c>
      <c r="L241" s="188" t="s">
        <v>632</v>
      </c>
      <c r="M241" s="192">
        <f t="shared" si="9"/>
        <v>30</v>
      </c>
      <c r="N241" s="193">
        <f t="shared" si="10"/>
        <v>0.7</v>
      </c>
      <c r="O241" s="194">
        <f t="shared" si="11"/>
        <v>2.3333333333333331E-2</v>
      </c>
    </row>
    <row r="242" spans="1:15" ht="12.75" customHeight="1">
      <c r="A242" s="188" t="s">
        <v>620</v>
      </c>
      <c r="B242" s="188" t="s">
        <v>621</v>
      </c>
      <c r="C242" s="188" t="s">
        <v>622</v>
      </c>
      <c r="D242" s="188" t="s">
        <v>1054</v>
      </c>
      <c r="E242" s="189">
        <v>39289</v>
      </c>
      <c r="F242" s="190">
        <v>1705</v>
      </c>
      <c r="G242" s="190">
        <v>0</v>
      </c>
      <c r="H242" s="191">
        <v>1118.0999999999999</v>
      </c>
      <c r="I242" s="191">
        <v>596</v>
      </c>
      <c r="J242" s="188" t="s">
        <v>560</v>
      </c>
      <c r="K242" s="188" t="s">
        <v>338</v>
      </c>
      <c r="L242" s="188" t="s">
        <v>1055</v>
      </c>
      <c r="M242" s="192">
        <f t="shared" si="9"/>
        <v>20</v>
      </c>
      <c r="N242" s="193">
        <f t="shared" si="10"/>
        <v>0.46900167785234897</v>
      </c>
      <c r="O242" s="194">
        <f t="shared" si="11"/>
        <v>2.3450083892617449E-2</v>
      </c>
    </row>
    <row r="243" spans="1:15" ht="12.75" customHeight="1">
      <c r="A243" s="188" t="s">
        <v>620</v>
      </c>
      <c r="B243" s="188" t="s">
        <v>621</v>
      </c>
      <c r="C243" s="188" t="s">
        <v>622</v>
      </c>
      <c r="D243" s="188" t="s">
        <v>1056</v>
      </c>
      <c r="E243" s="189">
        <v>39422</v>
      </c>
      <c r="F243" s="190">
        <v>1036</v>
      </c>
      <c r="G243" s="190">
        <v>0</v>
      </c>
      <c r="H243" s="191">
        <v>1025</v>
      </c>
      <c r="I243" s="191">
        <v>362.5</v>
      </c>
      <c r="J243" s="188" t="s">
        <v>635</v>
      </c>
      <c r="K243" s="188" t="s">
        <v>338</v>
      </c>
      <c r="L243" s="188" t="s">
        <v>920</v>
      </c>
      <c r="M243" s="192">
        <f t="shared" si="9"/>
        <v>30</v>
      </c>
      <c r="N243" s="193">
        <f t="shared" si="10"/>
        <v>0.7068965517241379</v>
      </c>
      <c r="O243" s="194">
        <f t="shared" si="11"/>
        <v>2.3563218390804597E-2</v>
      </c>
    </row>
    <row r="244" spans="1:15" ht="12.75" customHeight="1">
      <c r="A244" s="188" t="s">
        <v>620</v>
      </c>
      <c r="B244" s="188" t="s">
        <v>621</v>
      </c>
      <c r="C244" s="188" t="s">
        <v>622</v>
      </c>
      <c r="D244" s="188" t="s">
        <v>1057</v>
      </c>
      <c r="E244" s="189">
        <v>39317</v>
      </c>
      <c r="F244" s="190">
        <v>537</v>
      </c>
      <c r="G244" s="190">
        <v>0</v>
      </c>
      <c r="H244" s="191">
        <v>603.38</v>
      </c>
      <c r="I244" s="191">
        <v>187.5</v>
      </c>
      <c r="J244" s="188" t="s">
        <v>571</v>
      </c>
      <c r="K244" s="188" t="s">
        <v>648</v>
      </c>
      <c r="L244" s="188" t="s">
        <v>1058</v>
      </c>
      <c r="M244" s="192">
        <f t="shared" si="9"/>
        <v>34</v>
      </c>
      <c r="N244" s="193">
        <f t="shared" si="10"/>
        <v>0.8045066666666667</v>
      </c>
      <c r="O244" s="194">
        <f t="shared" si="11"/>
        <v>2.3661960784313728E-2</v>
      </c>
    </row>
    <row r="245" spans="1:15" ht="12.75" customHeight="1">
      <c r="A245" s="188" t="s">
        <v>620</v>
      </c>
      <c r="B245" s="188" t="s">
        <v>621</v>
      </c>
      <c r="C245" s="188" t="s">
        <v>622</v>
      </c>
      <c r="D245" s="188" t="s">
        <v>1059</v>
      </c>
      <c r="E245" s="189">
        <v>39447</v>
      </c>
      <c r="F245" s="190">
        <v>725</v>
      </c>
      <c r="G245" s="190">
        <v>0</v>
      </c>
      <c r="H245" s="191">
        <v>530</v>
      </c>
      <c r="I245" s="191">
        <v>253.5</v>
      </c>
      <c r="J245" s="188" t="s">
        <v>710</v>
      </c>
      <c r="K245" s="188" t="s">
        <v>338</v>
      </c>
      <c r="L245" s="188" t="s">
        <v>1060</v>
      </c>
      <c r="M245" s="192">
        <f t="shared" si="9"/>
        <v>22</v>
      </c>
      <c r="N245" s="193">
        <f t="shared" si="10"/>
        <v>0.52268244575936884</v>
      </c>
      <c r="O245" s="194">
        <f t="shared" si="11"/>
        <v>2.3758292989062221E-2</v>
      </c>
    </row>
    <row r="246" spans="1:15" ht="12.75" customHeight="1">
      <c r="A246" s="188" t="s">
        <v>620</v>
      </c>
      <c r="B246" s="188" t="s">
        <v>621</v>
      </c>
      <c r="C246" s="188" t="s">
        <v>622</v>
      </c>
      <c r="D246" s="188" t="s">
        <v>1061</v>
      </c>
      <c r="E246" s="189">
        <v>39447</v>
      </c>
      <c r="F246" s="190">
        <v>1161</v>
      </c>
      <c r="G246" s="190">
        <v>0</v>
      </c>
      <c r="H246" s="191">
        <v>1475</v>
      </c>
      <c r="I246" s="191">
        <v>405.75</v>
      </c>
      <c r="J246" s="188" t="s">
        <v>624</v>
      </c>
      <c r="K246" s="188" t="s">
        <v>338</v>
      </c>
      <c r="L246" s="188" t="s">
        <v>1062</v>
      </c>
      <c r="M246" s="192">
        <f t="shared" si="9"/>
        <v>38</v>
      </c>
      <c r="N246" s="193">
        <f t="shared" si="10"/>
        <v>0.9088108441158349</v>
      </c>
      <c r="O246" s="194">
        <f t="shared" si="11"/>
        <v>2.391607484515355E-2</v>
      </c>
    </row>
    <row r="247" spans="1:15" ht="12.75" customHeight="1">
      <c r="A247" s="188" t="s">
        <v>620</v>
      </c>
      <c r="B247" s="188" t="s">
        <v>621</v>
      </c>
      <c r="C247" s="188" t="s">
        <v>622</v>
      </c>
      <c r="D247" s="188" t="s">
        <v>1063</v>
      </c>
      <c r="E247" s="189">
        <v>39447</v>
      </c>
      <c r="F247" s="190">
        <v>824</v>
      </c>
      <c r="G247" s="190">
        <v>0</v>
      </c>
      <c r="H247" s="191">
        <v>829</v>
      </c>
      <c r="I247" s="191">
        <v>288</v>
      </c>
      <c r="J247" s="188" t="s">
        <v>635</v>
      </c>
      <c r="K247" s="188" t="s">
        <v>338</v>
      </c>
      <c r="L247" s="188" t="s">
        <v>952</v>
      </c>
      <c r="M247" s="192">
        <f t="shared" si="9"/>
        <v>30</v>
      </c>
      <c r="N247" s="193">
        <f t="shared" si="10"/>
        <v>0.71961805555555558</v>
      </c>
      <c r="O247" s="194">
        <f t="shared" si="11"/>
        <v>2.3987268518518519E-2</v>
      </c>
    </row>
    <row r="248" spans="1:15" ht="12.75" customHeight="1">
      <c r="A248" s="188" t="s">
        <v>620</v>
      </c>
      <c r="B248" s="188" t="s">
        <v>621</v>
      </c>
      <c r="C248" s="188" t="s">
        <v>622</v>
      </c>
      <c r="D248" s="188" t="s">
        <v>1064</v>
      </c>
      <c r="E248" s="189">
        <v>39289</v>
      </c>
      <c r="F248" s="190">
        <v>715</v>
      </c>
      <c r="G248" s="190">
        <v>0</v>
      </c>
      <c r="H248" s="191">
        <v>720</v>
      </c>
      <c r="I248" s="191">
        <v>250</v>
      </c>
      <c r="J248" s="188" t="s">
        <v>635</v>
      </c>
      <c r="K248" s="188" t="s">
        <v>338</v>
      </c>
      <c r="L248" s="188" t="s">
        <v>636</v>
      </c>
      <c r="M248" s="192">
        <f t="shared" si="9"/>
        <v>30</v>
      </c>
      <c r="N248" s="193">
        <f t="shared" si="10"/>
        <v>0.72</v>
      </c>
      <c r="O248" s="194">
        <f t="shared" si="11"/>
        <v>2.4E-2</v>
      </c>
    </row>
    <row r="249" spans="1:15" ht="12.75" customHeight="1">
      <c r="A249" s="188" t="s">
        <v>620</v>
      </c>
      <c r="B249" s="188" t="s">
        <v>621</v>
      </c>
      <c r="C249" s="188" t="s">
        <v>622</v>
      </c>
      <c r="D249" s="188" t="s">
        <v>1065</v>
      </c>
      <c r="E249" s="189">
        <v>39407</v>
      </c>
      <c r="F249" s="190">
        <v>572</v>
      </c>
      <c r="G249" s="190">
        <v>0</v>
      </c>
      <c r="H249" s="191">
        <v>500</v>
      </c>
      <c r="I249" s="191">
        <v>200</v>
      </c>
      <c r="J249" s="188" t="s">
        <v>361</v>
      </c>
      <c r="K249" s="188" t="s">
        <v>338</v>
      </c>
      <c r="L249" s="188" t="s">
        <v>752</v>
      </c>
      <c r="M249" s="192">
        <f t="shared" si="9"/>
        <v>26</v>
      </c>
      <c r="N249" s="193">
        <f t="shared" si="10"/>
        <v>0.625</v>
      </c>
      <c r="O249" s="194">
        <f t="shared" si="11"/>
        <v>2.403846153846154E-2</v>
      </c>
    </row>
    <row r="250" spans="1:15" ht="12.75" customHeight="1">
      <c r="A250" s="188" t="s">
        <v>620</v>
      </c>
      <c r="B250" s="188" t="s">
        <v>621</v>
      </c>
      <c r="C250" s="188" t="s">
        <v>622</v>
      </c>
      <c r="D250" s="188" t="s">
        <v>1066</v>
      </c>
      <c r="E250" s="189">
        <v>39447</v>
      </c>
      <c r="F250" s="190">
        <v>383</v>
      </c>
      <c r="G250" s="190">
        <v>0</v>
      </c>
      <c r="H250" s="191">
        <v>347.64</v>
      </c>
      <c r="I250" s="191">
        <v>133.75</v>
      </c>
      <c r="J250" s="188" t="s">
        <v>639</v>
      </c>
      <c r="K250" s="188" t="s">
        <v>338</v>
      </c>
      <c r="L250" s="188" t="s">
        <v>1067</v>
      </c>
      <c r="M250" s="192">
        <f t="shared" si="9"/>
        <v>27</v>
      </c>
      <c r="N250" s="193">
        <f t="shared" si="10"/>
        <v>0.64979439252336446</v>
      </c>
      <c r="O250" s="194">
        <f t="shared" si="11"/>
        <v>2.4066458982346831E-2</v>
      </c>
    </row>
    <row r="251" spans="1:15" ht="12.75" customHeight="1">
      <c r="A251" s="188" t="s">
        <v>620</v>
      </c>
      <c r="B251" s="188" t="s">
        <v>621</v>
      </c>
      <c r="C251" s="188" t="s">
        <v>622</v>
      </c>
      <c r="D251" s="188" t="s">
        <v>1068</v>
      </c>
      <c r="E251" s="189">
        <v>39447</v>
      </c>
      <c r="F251" s="190">
        <v>924</v>
      </c>
      <c r="G251" s="190">
        <v>0</v>
      </c>
      <c r="H251" s="191">
        <v>935</v>
      </c>
      <c r="I251" s="191">
        <v>323</v>
      </c>
      <c r="J251" s="188" t="s">
        <v>635</v>
      </c>
      <c r="K251" s="188" t="s">
        <v>338</v>
      </c>
      <c r="L251" s="188" t="s">
        <v>1069</v>
      </c>
      <c r="M251" s="192">
        <f t="shared" si="9"/>
        <v>30</v>
      </c>
      <c r="N251" s="193">
        <f t="shared" si="10"/>
        <v>0.72368421052631582</v>
      </c>
      <c r="O251" s="194">
        <f t="shared" si="11"/>
        <v>2.4122807017543862E-2</v>
      </c>
    </row>
    <row r="252" spans="1:15" ht="12.75" customHeight="1">
      <c r="A252" s="188" t="s">
        <v>620</v>
      </c>
      <c r="B252" s="188" t="s">
        <v>621</v>
      </c>
      <c r="C252" s="188" t="s">
        <v>622</v>
      </c>
      <c r="D252" s="188" t="s">
        <v>1070</v>
      </c>
      <c r="E252" s="189">
        <v>39387</v>
      </c>
      <c r="F252" s="190">
        <v>1982</v>
      </c>
      <c r="G252" s="190">
        <v>0</v>
      </c>
      <c r="H252" s="191">
        <v>2008.2</v>
      </c>
      <c r="I252" s="191">
        <v>693.25</v>
      </c>
      <c r="J252" s="188" t="s">
        <v>635</v>
      </c>
      <c r="K252" s="188" t="s">
        <v>338</v>
      </c>
      <c r="L252" s="188" t="s">
        <v>1071</v>
      </c>
      <c r="M252" s="192">
        <f t="shared" si="9"/>
        <v>30</v>
      </c>
      <c r="N252" s="193">
        <f t="shared" si="10"/>
        <v>0.72419761990623877</v>
      </c>
      <c r="O252" s="194">
        <f t="shared" si="11"/>
        <v>2.4139920663541294E-2</v>
      </c>
    </row>
    <row r="253" spans="1:15" ht="12.75" customHeight="1">
      <c r="A253" s="188" t="s">
        <v>620</v>
      </c>
      <c r="B253" s="188" t="s">
        <v>621</v>
      </c>
      <c r="C253" s="188" t="s">
        <v>622</v>
      </c>
      <c r="D253" s="188" t="s">
        <v>1072</v>
      </c>
      <c r="E253" s="189">
        <v>39359</v>
      </c>
      <c r="F253" s="190">
        <v>1287</v>
      </c>
      <c r="G253" s="190">
        <v>0</v>
      </c>
      <c r="H253" s="191">
        <v>1044</v>
      </c>
      <c r="I253" s="191">
        <v>450</v>
      </c>
      <c r="J253" s="188" t="s">
        <v>1052</v>
      </c>
      <c r="K253" s="188" t="s">
        <v>338</v>
      </c>
      <c r="L253" s="188" t="s">
        <v>718</v>
      </c>
      <c r="M253" s="192">
        <f t="shared" si="9"/>
        <v>24</v>
      </c>
      <c r="N253" s="193">
        <f t="shared" si="10"/>
        <v>0.57999999999999996</v>
      </c>
      <c r="O253" s="194">
        <f t="shared" si="11"/>
        <v>2.4166666666666666E-2</v>
      </c>
    </row>
    <row r="254" spans="1:15" ht="12.75" customHeight="1">
      <c r="A254" s="188" t="s">
        <v>620</v>
      </c>
      <c r="B254" s="188" t="s">
        <v>621</v>
      </c>
      <c r="C254" s="188" t="s">
        <v>622</v>
      </c>
      <c r="D254" s="188" t="s">
        <v>1073</v>
      </c>
      <c r="E254" s="189">
        <v>39422</v>
      </c>
      <c r="F254" s="190">
        <v>558</v>
      </c>
      <c r="G254" s="190">
        <v>0</v>
      </c>
      <c r="H254" s="191">
        <v>475</v>
      </c>
      <c r="I254" s="191">
        <v>195</v>
      </c>
      <c r="J254" s="188" t="s">
        <v>652</v>
      </c>
      <c r="K254" s="188" t="s">
        <v>338</v>
      </c>
      <c r="L254" s="188" t="s">
        <v>656</v>
      </c>
      <c r="M254" s="192">
        <f t="shared" si="9"/>
        <v>25</v>
      </c>
      <c r="N254" s="193">
        <f t="shared" si="10"/>
        <v>0.60897435897435892</v>
      </c>
      <c r="O254" s="194">
        <f t="shared" si="11"/>
        <v>2.4358974358974356E-2</v>
      </c>
    </row>
    <row r="255" spans="1:15" ht="12.75" customHeight="1">
      <c r="A255" s="188" t="s">
        <v>620</v>
      </c>
      <c r="B255" s="188" t="s">
        <v>621</v>
      </c>
      <c r="C255" s="188" t="s">
        <v>622</v>
      </c>
      <c r="D255" s="188" t="s">
        <v>1074</v>
      </c>
      <c r="E255" s="189">
        <v>39303</v>
      </c>
      <c r="F255" s="190">
        <v>194</v>
      </c>
      <c r="G255" s="190">
        <v>0</v>
      </c>
      <c r="H255" s="191">
        <v>249.99</v>
      </c>
      <c r="I255" s="191">
        <v>67.5</v>
      </c>
      <c r="J255" s="188" t="s">
        <v>624</v>
      </c>
      <c r="K255" s="188" t="s">
        <v>338</v>
      </c>
      <c r="L255" s="188" t="s">
        <v>1075</v>
      </c>
      <c r="M255" s="192">
        <f t="shared" si="9"/>
        <v>38</v>
      </c>
      <c r="N255" s="193">
        <f t="shared" si="10"/>
        <v>0.92588888888888887</v>
      </c>
      <c r="O255" s="194">
        <f t="shared" si="11"/>
        <v>2.4365497076023392E-2</v>
      </c>
    </row>
    <row r="256" spans="1:15" ht="12.75" customHeight="1">
      <c r="A256" s="188" t="s">
        <v>620</v>
      </c>
      <c r="B256" s="188" t="s">
        <v>621</v>
      </c>
      <c r="C256" s="188" t="s">
        <v>622</v>
      </c>
      <c r="D256" s="188" t="s">
        <v>1076</v>
      </c>
      <c r="E256" s="189">
        <v>39507</v>
      </c>
      <c r="F256" s="190">
        <v>1093</v>
      </c>
      <c r="G256" s="190">
        <v>0</v>
      </c>
      <c r="H256" s="191">
        <v>1008</v>
      </c>
      <c r="I256" s="191">
        <v>382.5</v>
      </c>
      <c r="J256" s="188" t="s">
        <v>639</v>
      </c>
      <c r="K256" s="188" t="s">
        <v>338</v>
      </c>
      <c r="L256" s="188" t="s">
        <v>1077</v>
      </c>
      <c r="M256" s="192">
        <f t="shared" si="9"/>
        <v>27</v>
      </c>
      <c r="N256" s="193">
        <f t="shared" si="10"/>
        <v>0.6588235294117647</v>
      </c>
      <c r="O256" s="194">
        <f t="shared" si="11"/>
        <v>2.4400871459694988E-2</v>
      </c>
    </row>
    <row r="257" spans="1:15" ht="12.75" customHeight="1">
      <c r="A257" s="188" t="s">
        <v>620</v>
      </c>
      <c r="B257" s="188" t="s">
        <v>621</v>
      </c>
      <c r="C257" s="188" t="s">
        <v>622</v>
      </c>
      <c r="D257" s="188" t="s">
        <v>1078</v>
      </c>
      <c r="E257" s="189">
        <v>39275</v>
      </c>
      <c r="F257" s="190">
        <v>644</v>
      </c>
      <c r="G257" s="190">
        <v>0</v>
      </c>
      <c r="H257" s="191">
        <v>659.97</v>
      </c>
      <c r="I257" s="191">
        <v>225</v>
      </c>
      <c r="J257" s="188" t="s">
        <v>635</v>
      </c>
      <c r="K257" s="188" t="s">
        <v>338</v>
      </c>
      <c r="L257" s="188" t="s">
        <v>740</v>
      </c>
      <c r="M257" s="192">
        <f t="shared" si="9"/>
        <v>30</v>
      </c>
      <c r="N257" s="193">
        <f t="shared" si="10"/>
        <v>0.73330000000000006</v>
      </c>
      <c r="O257" s="194">
        <f t="shared" si="11"/>
        <v>2.4443333333333334E-2</v>
      </c>
    </row>
    <row r="258" spans="1:15" ht="12.75" customHeight="1">
      <c r="A258" s="188" t="s">
        <v>620</v>
      </c>
      <c r="B258" s="188" t="s">
        <v>621</v>
      </c>
      <c r="C258" s="188" t="s">
        <v>622</v>
      </c>
      <c r="D258" s="188" t="s">
        <v>1079</v>
      </c>
      <c r="E258" s="189">
        <v>39447</v>
      </c>
      <c r="F258" s="190">
        <v>725</v>
      </c>
      <c r="G258" s="190">
        <v>0</v>
      </c>
      <c r="H258" s="191">
        <v>848.44</v>
      </c>
      <c r="I258" s="191">
        <v>253.5</v>
      </c>
      <c r="J258" s="188" t="s">
        <v>750</v>
      </c>
      <c r="K258" s="188" t="s">
        <v>631</v>
      </c>
      <c r="L258" s="188" t="s">
        <v>1060</v>
      </c>
      <c r="M258" s="192">
        <f t="shared" ref="M258:M321" si="12">K258-J258</f>
        <v>34</v>
      </c>
      <c r="N258" s="193">
        <f t="shared" ref="N258:N321" si="13">H258/L258</f>
        <v>0.8367258382642998</v>
      </c>
      <c r="O258" s="194">
        <f t="shared" ref="O258:O321" si="14">N258/M258</f>
        <v>2.4609583478361757E-2</v>
      </c>
    </row>
    <row r="259" spans="1:15" ht="12.75" customHeight="1">
      <c r="A259" s="188" t="s">
        <v>620</v>
      </c>
      <c r="B259" s="188" t="s">
        <v>621</v>
      </c>
      <c r="C259" s="188" t="s">
        <v>622</v>
      </c>
      <c r="D259" s="188" t="s">
        <v>1080</v>
      </c>
      <c r="E259" s="189">
        <v>39247</v>
      </c>
      <c r="F259" s="190">
        <v>386</v>
      </c>
      <c r="G259" s="190">
        <v>0</v>
      </c>
      <c r="H259" s="191">
        <v>360.02</v>
      </c>
      <c r="I259" s="191">
        <v>135</v>
      </c>
      <c r="J259" s="188" t="s">
        <v>639</v>
      </c>
      <c r="K259" s="188" t="s">
        <v>338</v>
      </c>
      <c r="L259" s="188" t="s">
        <v>1081</v>
      </c>
      <c r="M259" s="192">
        <f t="shared" si="12"/>
        <v>27</v>
      </c>
      <c r="N259" s="193">
        <f t="shared" si="13"/>
        <v>0.66670370370370369</v>
      </c>
      <c r="O259" s="194">
        <f t="shared" si="14"/>
        <v>2.4692729766803839E-2</v>
      </c>
    </row>
    <row r="260" spans="1:15" ht="12.75" customHeight="1">
      <c r="A260" s="188" t="s">
        <v>620</v>
      </c>
      <c r="B260" s="188" t="s">
        <v>621</v>
      </c>
      <c r="C260" s="188" t="s">
        <v>622</v>
      </c>
      <c r="D260" s="188" t="s">
        <v>1082</v>
      </c>
      <c r="E260" s="189">
        <v>39597</v>
      </c>
      <c r="F260" s="190">
        <v>704</v>
      </c>
      <c r="G260" s="190">
        <v>0</v>
      </c>
      <c r="H260" s="191">
        <v>932</v>
      </c>
      <c r="I260" s="191">
        <v>247</v>
      </c>
      <c r="J260" s="188" t="s">
        <v>624</v>
      </c>
      <c r="K260" s="188" t="s">
        <v>338</v>
      </c>
      <c r="L260" s="188" t="s">
        <v>1083</v>
      </c>
      <c r="M260" s="192">
        <f t="shared" si="12"/>
        <v>38</v>
      </c>
      <c r="N260" s="193">
        <f t="shared" si="13"/>
        <v>0.94331983805668018</v>
      </c>
      <c r="O260" s="194">
        <f t="shared" si="14"/>
        <v>2.4824206264649477E-2</v>
      </c>
    </row>
    <row r="261" spans="1:15" ht="12.75" customHeight="1">
      <c r="A261" s="188" t="s">
        <v>620</v>
      </c>
      <c r="B261" s="188" t="s">
        <v>621</v>
      </c>
      <c r="C261" s="188" t="s">
        <v>622</v>
      </c>
      <c r="D261" s="188" t="s">
        <v>1084</v>
      </c>
      <c r="E261" s="189">
        <v>39639</v>
      </c>
      <c r="F261" s="190">
        <v>717</v>
      </c>
      <c r="G261" s="190">
        <v>0</v>
      </c>
      <c r="H261" s="191">
        <v>500</v>
      </c>
      <c r="I261" s="191">
        <v>251.75</v>
      </c>
      <c r="J261" s="188" t="s">
        <v>560</v>
      </c>
      <c r="K261" s="188" t="s">
        <v>338</v>
      </c>
      <c r="L261" s="188" t="s">
        <v>1085</v>
      </c>
      <c r="M261" s="192">
        <f t="shared" si="12"/>
        <v>20</v>
      </c>
      <c r="N261" s="193">
        <f t="shared" si="13"/>
        <v>0.49652432969215493</v>
      </c>
      <c r="O261" s="194">
        <f t="shared" si="14"/>
        <v>2.4826216484607748E-2</v>
      </c>
    </row>
    <row r="262" spans="1:15" ht="12.75" customHeight="1">
      <c r="A262" s="188" t="s">
        <v>620</v>
      </c>
      <c r="B262" s="188" t="s">
        <v>621</v>
      </c>
      <c r="C262" s="188" t="s">
        <v>622</v>
      </c>
      <c r="D262" s="188" t="s">
        <v>1086</v>
      </c>
      <c r="E262" s="189">
        <v>39520</v>
      </c>
      <c r="F262" s="190">
        <v>739</v>
      </c>
      <c r="G262" s="190">
        <v>0</v>
      </c>
      <c r="H262" s="191">
        <v>490</v>
      </c>
      <c r="I262" s="191">
        <v>259.25</v>
      </c>
      <c r="J262" s="188" t="s">
        <v>667</v>
      </c>
      <c r="K262" s="188" t="s">
        <v>338</v>
      </c>
      <c r="L262" s="188" t="s">
        <v>1087</v>
      </c>
      <c r="M262" s="192">
        <f t="shared" si="12"/>
        <v>19</v>
      </c>
      <c r="N262" s="193">
        <f t="shared" si="13"/>
        <v>0.47251687560270011</v>
      </c>
      <c r="O262" s="194">
        <f t="shared" si="14"/>
        <v>2.4869309242247374E-2</v>
      </c>
    </row>
    <row r="263" spans="1:15" ht="12.75" customHeight="1">
      <c r="A263" s="188" t="s">
        <v>620</v>
      </c>
      <c r="B263" s="188" t="s">
        <v>621</v>
      </c>
      <c r="C263" s="188" t="s">
        <v>622</v>
      </c>
      <c r="D263" s="188" t="s">
        <v>1088</v>
      </c>
      <c r="E263" s="189">
        <v>39345</v>
      </c>
      <c r="F263" s="190">
        <v>1287</v>
      </c>
      <c r="G263" s="190">
        <v>0</v>
      </c>
      <c r="H263" s="191">
        <v>1347</v>
      </c>
      <c r="I263" s="191">
        <v>450</v>
      </c>
      <c r="J263" s="188" t="s">
        <v>635</v>
      </c>
      <c r="K263" s="188" t="s">
        <v>338</v>
      </c>
      <c r="L263" s="188" t="s">
        <v>718</v>
      </c>
      <c r="M263" s="192">
        <f t="shared" si="12"/>
        <v>30</v>
      </c>
      <c r="N263" s="193">
        <f t="shared" si="13"/>
        <v>0.74833333333333329</v>
      </c>
      <c r="O263" s="194">
        <f t="shared" si="14"/>
        <v>2.4944444444444443E-2</v>
      </c>
    </row>
    <row r="264" spans="1:15" ht="12.75" customHeight="1">
      <c r="A264" s="188" t="s">
        <v>620</v>
      </c>
      <c r="B264" s="188" t="s">
        <v>621</v>
      </c>
      <c r="C264" s="188" t="s">
        <v>622</v>
      </c>
      <c r="D264" s="188" t="s">
        <v>1089</v>
      </c>
      <c r="E264" s="189">
        <v>39611</v>
      </c>
      <c r="F264" s="190">
        <v>904</v>
      </c>
      <c r="G264" s="190">
        <v>0</v>
      </c>
      <c r="H264" s="191">
        <v>951</v>
      </c>
      <c r="I264" s="191">
        <v>317.5</v>
      </c>
      <c r="J264" s="188" t="s">
        <v>635</v>
      </c>
      <c r="K264" s="188" t="s">
        <v>338</v>
      </c>
      <c r="L264" s="188" t="s">
        <v>1090</v>
      </c>
      <c r="M264" s="192">
        <f t="shared" si="12"/>
        <v>30</v>
      </c>
      <c r="N264" s="193">
        <f t="shared" si="13"/>
        <v>0.7488188976377953</v>
      </c>
      <c r="O264" s="194">
        <f t="shared" si="14"/>
        <v>2.4960629921259844E-2</v>
      </c>
    </row>
    <row r="265" spans="1:15" ht="12.75" customHeight="1">
      <c r="A265" s="188" t="s">
        <v>620</v>
      </c>
      <c r="B265" s="188" t="s">
        <v>621</v>
      </c>
      <c r="C265" s="188" t="s">
        <v>622</v>
      </c>
      <c r="D265" s="188" t="s">
        <v>1091</v>
      </c>
      <c r="E265" s="189">
        <v>39436</v>
      </c>
      <c r="F265" s="190">
        <v>858</v>
      </c>
      <c r="G265" s="190">
        <v>0</v>
      </c>
      <c r="H265" s="191">
        <v>1259</v>
      </c>
      <c r="I265" s="191">
        <v>300</v>
      </c>
      <c r="J265" s="188" t="s">
        <v>624</v>
      </c>
      <c r="K265" s="188" t="s">
        <v>1092</v>
      </c>
      <c r="L265" s="188" t="s">
        <v>632</v>
      </c>
      <c r="M265" s="192">
        <f t="shared" si="12"/>
        <v>42</v>
      </c>
      <c r="N265" s="193">
        <f t="shared" si="13"/>
        <v>1.0491666666666666</v>
      </c>
      <c r="O265" s="194">
        <f t="shared" si="14"/>
        <v>2.4980158730158727E-2</v>
      </c>
    </row>
    <row r="266" spans="1:15" ht="12.75" customHeight="1">
      <c r="A266" s="188" t="s">
        <v>620</v>
      </c>
      <c r="B266" s="188" t="s">
        <v>621</v>
      </c>
      <c r="C266" s="188" t="s">
        <v>622</v>
      </c>
      <c r="D266" s="188" t="s">
        <v>1093</v>
      </c>
      <c r="E266" s="189">
        <v>39471</v>
      </c>
      <c r="F266" s="190">
        <v>915</v>
      </c>
      <c r="G266" s="190">
        <v>0</v>
      </c>
      <c r="H266" s="191">
        <v>992</v>
      </c>
      <c r="I266" s="191">
        <v>320</v>
      </c>
      <c r="J266" s="188" t="s">
        <v>560</v>
      </c>
      <c r="K266" s="188" t="s">
        <v>648</v>
      </c>
      <c r="L266" s="188" t="s">
        <v>994</v>
      </c>
      <c r="M266" s="192">
        <f t="shared" si="12"/>
        <v>31</v>
      </c>
      <c r="N266" s="193">
        <f t="shared" si="13"/>
        <v>0.77500000000000002</v>
      </c>
      <c r="O266" s="194">
        <f t="shared" si="14"/>
        <v>2.5000000000000001E-2</v>
      </c>
    </row>
    <row r="267" spans="1:15" ht="12.75" customHeight="1">
      <c r="A267" s="188" t="s">
        <v>620</v>
      </c>
      <c r="B267" s="188" t="s">
        <v>621</v>
      </c>
      <c r="C267" s="188" t="s">
        <v>622</v>
      </c>
      <c r="D267" s="188" t="s">
        <v>1094</v>
      </c>
      <c r="E267" s="189">
        <v>39576</v>
      </c>
      <c r="F267" s="190">
        <v>1202</v>
      </c>
      <c r="G267" s="190">
        <v>0</v>
      </c>
      <c r="H267" s="191">
        <v>1266</v>
      </c>
      <c r="I267" s="191">
        <v>422</v>
      </c>
      <c r="J267" s="188" t="s">
        <v>635</v>
      </c>
      <c r="K267" s="188" t="s">
        <v>338</v>
      </c>
      <c r="L267" s="188" t="s">
        <v>1095</v>
      </c>
      <c r="M267" s="192">
        <f t="shared" si="12"/>
        <v>30</v>
      </c>
      <c r="N267" s="193">
        <f t="shared" si="13"/>
        <v>0.75</v>
      </c>
      <c r="O267" s="194">
        <f t="shared" si="14"/>
        <v>2.5000000000000001E-2</v>
      </c>
    </row>
    <row r="268" spans="1:15" ht="12.75" customHeight="1">
      <c r="A268" s="188" t="s">
        <v>620</v>
      </c>
      <c r="B268" s="188" t="s">
        <v>621</v>
      </c>
      <c r="C268" s="188" t="s">
        <v>622</v>
      </c>
      <c r="D268" s="188" t="s">
        <v>1096</v>
      </c>
      <c r="E268" s="189">
        <v>39583</v>
      </c>
      <c r="F268" s="190">
        <v>1273</v>
      </c>
      <c r="G268" s="190">
        <v>0</v>
      </c>
      <c r="H268" s="191">
        <v>983.56</v>
      </c>
      <c r="I268" s="191">
        <v>447</v>
      </c>
      <c r="J268" s="188" t="s">
        <v>710</v>
      </c>
      <c r="K268" s="188" t="s">
        <v>338</v>
      </c>
      <c r="L268" s="188" t="s">
        <v>406</v>
      </c>
      <c r="M268" s="192">
        <f t="shared" si="12"/>
        <v>22</v>
      </c>
      <c r="N268" s="193">
        <f t="shared" si="13"/>
        <v>0.55008948545861291</v>
      </c>
      <c r="O268" s="194">
        <f t="shared" si="14"/>
        <v>2.5004067520846041E-2</v>
      </c>
    </row>
    <row r="269" spans="1:15" ht="12.75" customHeight="1">
      <c r="A269" s="188" t="s">
        <v>620</v>
      </c>
      <c r="B269" s="188" t="s">
        <v>621</v>
      </c>
      <c r="C269" s="188" t="s">
        <v>622</v>
      </c>
      <c r="D269" s="188" t="s">
        <v>1097</v>
      </c>
      <c r="E269" s="189">
        <v>39447</v>
      </c>
      <c r="F269" s="190">
        <v>1760</v>
      </c>
      <c r="G269" s="190">
        <v>0</v>
      </c>
      <c r="H269" s="191">
        <v>1615</v>
      </c>
      <c r="I269" s="191">
        <v>615.25</v>
      </c>
      <c r="J269" s="188" t="s">
        <v>361</v>
      </c>
      <c r="K269" s="188" t="s">
        <v>338</v>
      </c>
      <c r="L269" s="188" t="s">
        <v>1098</v>
      </c>
      <c r="M269" s="192">
        <f t="shared" si="12"/>
        <v>26</v>
      </c>
      <c r="N269" s="193">
        <f t="shared" si="13"/>
        <v>0.65623730190979279</v>
      </c>
      <c r="O269" s="194">
        <f t="shared" si="14"/>
        <v>2.5239896227299722E-2</v>
      </c>
    </row>
    <row r="270" spans="1:15" ht="12.75" customHeight="1">
      <c r="A270" s="188" t="s">
        <v>620</v>
      </c>
      <c r="B270" s="188" t="s">
        <v>621</v>
      </c>
      <c r="C270" s="188" t="s">
        <v>622</v>
      </c>
      <c r="D270" s="188" t="s">
        <v>1099</v>
      </c>
      <c r="E270" s="189">
        <v>39478</v>
      </c>
      <c r="F270" s="190">
        <v>715</v>
      </c>
      <c r="G270" s="190">
        <v>0</v>
      </c>
      <c r="H270" s="191">
        <v>860</v>
      </c>
      <c r="I270" s="191">
        <v>250</v>
      </c>
      <c r="J270" s="188" t="s">
        <v>720</v>
      </c>
      <c r="K270" s="188" t="s">
        <v>338</v>
      </c>
      <c r="L270" s="188" t="s">
        <v>636</v>
      </c>
      <c r="M270" s="192">
        <f t="shared" si="12"/>
        <v>34</v>
      </c>
      <c r="N270" s="193">
        <f t="shared" si="13"/>
        <v>0.86</v>
      </c>
      <c r="O270" s="194">
        <f t="shared" si="14"/>
        <v>2.5294117647058825E-2</v>
      </c>
    </row>
    <row r="271" spans="1:15" ht="12.75" customHeight="1">
      <c r="A271" s="188" t="s">
        <v>620</v>
      </c>
      <c r="B271" s="188" t="s">
        <v>621</v>
      </c>
      <c r="C271" s="188" t="s">
        <v>622</v>
      </c>
      <c r="D271" s="188" t="s">
        <v>1100</v>
      </c>
      <c r="E271" s="189">
        <v>39492</v>
      </c>
      <c r="F271" s="190">
        <v>855</v>
      </c>
      <c r="G271" s="190">
        <v>0</v>
      </c>
      <c r="H271" s="191">
        <v>575</v>
      </c>
      <c r="I271" s="191">
        <v>299</v>
      </c>
      <c r="J271" s="188" t="s">
        <v>667</v>
      </c>
      <c r="K271" s="188" t="s">
        <v>338</v>
      </c>
      <c r="L271" s="188" t="s">
        <v>812</v>
      </c>
      <c r="M271" s="192">
        <f t="shared" si="12"/>
        <v>19</v>
      </c>
      <c r="N271" s="193">
        <f t="shared" si="13"/>
        <v>0.48076923076923078</v>
      </c>
      <c r="O271" s="194">
        <f t="shared" si="14"/>
        <v>2.5303643724696356E-2</v>
      </c>
    </row>
    <row r="272" spans="1:15" ht="12.75" customHeight="1">
      <c r="A272" s="188" t="s">
        <v>620</v>
      </c>
      <c r="B272" s="188" t="s">
        <v>621</v>
      </c>
      <c r="C272" s="188" t="s">
        <v>622</v>
      </c>
      <c r="D272" s="188" t="s">
        <v>1101</v>
      </c>
      <c r="E272" s="189">
        <v>39331</v>
      </c>
      <c r="F272" s="190">
        <v>1252</v>
      </c>
      <c r="G272" s="190">
        <v>0</v>
      </c>
      <c r="H272" s="191">
        <v>1108.98</v>
      </c>
      <c r="I272" s="191">
        <v>437.5</v>
      </c>
      <c r="J272" s="188" t="s">
        <v>652</v>
      </c>
      <c r="K272" s="188" t="s">
        <v>338</v>
      </c>
      <c r="L272" s="188" t="s">
        <v>727</v>
      </c>
      <c r="M272" s="192">
        <f t="shared" si="12"/>
        <v>25</v>
      </c>
      <c r="N272" s="193">
        <f t="shared" si="13"/>
        <v>0.63370285714285712</v>
      </c>
      <c r="O272" s="194">
        <f t="shared" si="14"/>
        <v>2.5348114285714284E-2</v>
      </c>
    </row>
    <row r="273" spans="1:15" ht="12.75" customHeight="1">
      <c r="A273" s="188" t="s">
        <v>620</v>
      </c>
      <c r="B273" s="188" t="s">
        <v>621</v>
      </c>
      <c r="C273" s="188" t="s">
        <v>622</v>
      </c>
      <c r="D273" s="188" t="s">
        <v>1102</v>
      </c>
      <c r="E273" s="189">
        <v>39429</v>
      </c>
      <c r="F273" s="190">
        <v>1252</v>
      </c>
      <c r="G273" s="190">
        <v>0</v>
      </c>
      <c r="H273" s="191">
        <v>891</v>
      </c>
      <c r="I273" s="191">
        <v>437.5</v>
      </c>
      <c r="J273" s="188" t="s">
        <v>560</v>
      </c>
      <c r="K273" s="188" t="s">
        <v>338</v>
      </c>
      <c r="L273" s="188" t="s">
        <v>727</v>
      </c>
      <c r="M273" s="192">
        <f t="shared" si="12"/>
        <v>20</v>
      </c>
      <c r="N273" s="193">
        <f t="shared" si="13"/>
        <v>0.50914285714285712</v>
      </c>
      <c r="O273" s="194">
        <f t="shared" si="14"/>
        <v>2.5457142857142855E-2</v>
      </c>
    </row>
    <row r="274" spans="1:15" ht="12.75" customHeight="1">
      <c r="A274" s="188" t="s">
        <v>620</v>
      </c>
      <c r="B274" s="188" t="s">
        <v>621</v>
      </c>
      <c r="C274" s="188" t="s">
        <v>622</v>
      </c>
      <c r="D274" s="188" t="s">
        <v>1103</v>
      </c>
      <c r="E274" s="189">
        <v>39568</v>
      </c>
      <c r="F274" s="190">
        <v>535</v>
      </c>
      <c r="G274" s="190">
        <v>0</v>
      </c>
      <c r="H274" s="191">
        <v>382</v>
      </c>
      <c r="I274" s="191">
        <v>187.5</v>
      </c>
      <c r="J274" s="188" t="s">
        <v>560</v>
      </c>
      <c r="K274" s="188" t="s">
        <v>338</v>
      </c>
      <c r="L274" s="188" t="s">
        <v>1058</v>
      </c>
      <c r="M274" s="192">
        <f t="shared" si="12"/>
        <v>20</v>
      </c>
      <c r="N274" s="193">
        <f t="shared" si="13"/>
        <v>0.5093333333333333</v>
      </c>
      <c r="O274" s="194">
        <f t="shared" si="14"/>
        <v>2.5466666666666665E-2</v>
      </c>
    </row>
    <row r="275" spans="1:15" ht="12.75" customHeight="1">
      <c r="A275" s="188" t="s">
        <v>620</v>
      </c>
      <c r="B275" s="188" t="s">
        <v>621</v>
      </c>
      <c r="C275" s="188" t="s">
        <v>622</v>
      </c>
      <c r="D275" s="188" t="s">
        <v>1104</v>
      </c>
      <c r="E275" s="189">
        <v>39261</v>
      </c>
      <c r="F275" s="190">
        <v>1216</v>
      </c>
      <c r="G275" s="190">
        <v>0</v>
      </c>
      <c r="H275" s="191">
        <v>999.94</v>
      </c>
      <c r="I275" s="191">
        <v>425</v>
      </c>
      <c r="J275" s="188" t="s">
        <v>571</v>
      </c>
      <c r="K275" s="188" t="s">
        <v>338</v>
      </c>
      <c r="L275" s="188" t="s">
        <v>833</v>
      </c>
      <c r="M275" s="192">
        <f t="shared" si="12"/>
        <v>23</v>
      </c>
      <c r="N275" s="193">
        <f t="shared" si="13"/>
        <v>0.58820000000000006</v>
      </c>
      <c r="O275" s="194">
        <f t="shared" si="14"/>
        <v>2.5573913043478263E-2</v>
      </c>
    </row>
    <row r="276" spans="1:15" ht="12.75" customHeight="1">
      <c r="A276" s="188" t="s">
        <v>620</v>
      </c>
      <c r="B276" s="188" t="s">
        <v>621</v>
      </c>
      <c r="C276" s="188" t="s">
        <v>622</v>
      </c>
      <c r="D276" s="188" t="s">
        <v>1105</v>
      </c>
      <c r="E276" s="189">
        <v>39443</v>
      </c>
      <c r="F276" s="190">
        <v>1082</v>
      </c>
      <c r="G276" s="190">
        <v>0</v>
      </c>
      <c r="H276" s="191">
        <v>1049</v>
      </c>
      <c r="I276" s="191">
        <v>378.5</v>
      </c>
      <c r="J276" s="188" t="s">
        <v>639</v>
      </c>
      <c r="K276" s="188" t="s">
        <v>338</v>
      </c>
      <c r="L276" s="188" t="s">
        <v>1106</v>
      </c>
      <c r="M276" s="192">
        <f t="shared" si="12"/>
        <v>27</v>
      </c>
      <c r="N276" s="193">
        <f t="shared" si="13"/>
        <v>0.69286657859973577</v>
      </c>
      <c r="O276" s="194">
        <f t="shared" si="14"/>
        <v>2.5661725133323546E-2</v>
      </c>
    </row>
    <row r="277" spans="1:15" ht="12.75" customHeight="1">
      <c r="A277" s="188" t="s">
        <v>620</v>
      </c>
      <c r="B277" s="188" t="s">
        <v>621</v>
      </c>
      <c r="C277" s="188" t="s">
        <v>622</v>
      </c>
      <c r="D277" s="188" t="s">
        <v>1107</v>
      </c>
      <c r="E277" s="189">
        <v>39296</v>
      </c>
      <c r="F277" s="190">
        <v>1144</v>
      </c>
      <c r="G277" s="190">
        <v>0</v>
      </c>
      <c r="H277" s="191">
        <v>866.08</v>
      </c>
      <c r="I277" s="191">
        <v>400</v>
      </c>
      <c r="J277" s="188" t="s">
        <v>879</v>
      </c>
      <c r="K277" s="188" t="s">
        <v>338</v>
      </c>
      <c r="L277" s="188" t="s">
        <v>625</v>
      </c>
      <c r="M277" s="192">
        <f t="shared" si="12"/>
        <v>21</v>
      </c>
      <c r="N277" s="193">
        <f t="shared" si="13"/>
        <v>0.5413</v>
      </c>
      <c r="O277" s="194">
        <f t="shared" si="14"/>
        <v>2.5776190476190477E-2</v>
      </c>
    </row>
    <row r="278" spans="1:15" ht="12.75" customHeight="1">
      <c r="A278" s="188" t="s">
        <v>620</v>
      </c>
      <c r="B278" s="188" t="s">
        <v>621</v>
      </c>
      <c r="C278" s="188" t="s">
        <v>622</v>
      </c>
      <c r="D278" s="188" t="s">
        <v>1108</v>
      </c>
      <c r="E278" s="189">
        <v>39568</v>
      </c>
      <c r="F278" s="190">
        <v>1211</v>
      </c>
      <c r="G278" s="190">
        <v>0</v>
      </c>
      <c r="H278" s="191">
        <v>1271.07</v>
      </c>
      <c r="I278" s="191">
        <v>425</v>
      </c>
      <c r="J278" s="188" t="s">
        <v>715</v>
      </c>
      <c r="K278" s="188" t="s">
        <v>338</v>
      </c>
      <c r="L278" s="188" t="s">
        <v>833</v>
      </c>
      <c r="M278" s="192">
        <f t="shared" si="12"/>
        <v>29</v>
      </c>
      <c r="N278" s="193">
        <f t="shared" si="13"/>
        <v>0.74768823529411765</v>
      </c>
      <c r="O278" s="194">
        <f t="shared" si="14"/>
        <v>2.5782352941176472E-2</v>
      </c>
    </row>
    <row r="279" spans="1:15" ht="12.75" customHeight="1">
      <c r="A279" s="188" t="s">
        <v>620</v>
      </c>
      <c r="B279" s="188" t="s">
        <v>621</v>
      </c>
      <c r="C279" s="188" t="s">
        <v>622</v>
      </c>
      <c r="D279" s="188" t="s">
        <v>1109</v>
      </c>
      <c r="E279" s="189">
        <v>39447</v>
      </c>
      <c r="F279" s="190">
        <v>554</v>
      </c>
      <c r="G279" s="190">
        <v>0</v>
      </c>
      <c r="H279" s="191">
        <v>521</v>
      </c>
      <c r="I279" s="191">
        <v>194</v>
      </c>
      <c r="J279" s="188" t="s">
        <v>361</v>
      </c>
      <c r="K279" s="188" t="s">
        <v>338</v>
      </c>
      <c r="L279" s="188" t="s">
        <v>1036</v>
      </c>
      <c r="M279" s="192">
        <f t="shared" si="12"/>
        <v>26</v>
      </c>
      <c r="N279" s="193">
        <f t="shared" si="13"/>
        <v>0.67139175257731953</v>
      </c>
      <c r="O279" s="194">
        <f t="shared" si="14"/>
        <v>2.582275971451229E-2</v>
      </c>
    </row>
    <row r="280" spans="1:15" ht="12.75" customHeight="1">
      <c r="A280" s="188" t="s">
        <v>620</v>
      </c>
      <c r="B280" s="188" t="s">
        <v>621</v>
      </c>
      <c r="C280" s="188" t="s">
        <v>622</v>
      </c>
      <c r="D280" s="188" t="s">
        <v>1110</v>
      </c>
      <c r="E280" s="189">
        <v>39492</v>
      </c>
      <c r="F280" s="190">
        <v>2288</v>
      </c>
      <c r="G280" s="190">
        <v>0</v>
      </c>
      <c r="H280" s="191">
        <v>2485</v>
      </c>
      <c r="I280" s="191">
        <v>800</v>
      </c>
      <c r="J280" s="188" t="s">
        <v>635</v>
      </c>
      <c r="K280" s="188" t="s">
        <v>338</v>
      </c>
      <c r="L280" s="188" t="s">
        <v>1111</v>
      </c>
      <c r="M280" s="192">
        <f t="shared" si="12"/>
        <v>30</v>
      </c>
      <c r="N280" s="193">
        <f t="shared" si="13"/>
        <v>0.77656250000000004</v>
      </c>
      <c r="O280" s="194">
        <f t="shared" si="14"/>
        <v>2.5885416666666668E-2</v>
      </c>
    </row>
    <row r="281" spans="1:15" ht="12.75" customHeight="1">
      <c r="A281" s="188" t="s">
        <v>620</v>
      </c>
      <c r="B281" s="188" t="s">
        <v>621</v>
      </c>
      <c r="C281" s="188" t="s">
        <v>622</v>
      </c>
      <c r="D281" s="188" t="s">
        <v>1112</v>
      </c>
      <c r="E281" s="189">
        <v>39352</v>
      </c>
      <c r="F281" s="190">
        <v>818</v>
      </c>
      <c r="G281" s="190">
        <v>0</v>
      </c>
      <c r="H281" s="191">
        <v>800</v>
      </c>
      <c r="I281" s="191">
        <v>286</v>
      </c>
      <c r="J281" s="188" t="s">
        <v>639</v>
      </c>
      <c r="K281" s="188" t="s">
        <v>338</v>
      </c>
      <c r="L281" s="188" t="s">
        <v>990</v>
      </c>
      <c r="M281" s="192">
        <f t="shared" si="12"/>
        <v>27</v>
      </c>
      <c r="N281" s="193">
        <f t="shared" si="13"/>
        <v>0.69930069930069927</v>
      </c>
      <c r="O281" s="194">
        <f t="shared" si="14"/>
        <v>2.5900025900025898E-2</v>
      </c>
    </row>
    <row r="282" spans="1:15" ht="12.75" customHeight="1">
      <c r="A282" s="188" t="s">
        <v>620</v>
      </c>
      <c r="B282" s="188" t="s">
        <v>621</v>
      </c>
      <c r="C282" s="188" t="s">
        <v>622</v>
      </c>
      <c r="D282" s="188" t="s">
        <v>1113</v>
      </c>
      <c r="E282" s="189">
        <v>39625</v>
      </c>
      <c r="F282" s="190">
        <v>840</v>
      </c>
      <c r="G282" s="190">
        <v>0</v>
      </c>
      <c r="H282" s="191">
        <v>1162</v>
      </c>
      <c r="I282" s="191">
        <v>295</v>
      </c>
      <c r="J282" s="188" t="s">
        <v>624</v>
      </c>
      <c r="K282" s="188" t="s">
        <v>338</v>
      </c>
      <c r="L282" s="188" t="s">
        <v>447</v>
      </c>
      <c r="M282" s="192">
        <f t="shared" si="12"/>
        <v>38</v>
      </c>
      <c r="N282" s="193">
        <f t="shared" si="13"/>
        <v>0.98474576271186443</v>
      </c>
      <c r="O282" s="194">
        <f t="shared" si="14"/>
        <v>2.5914362176628011E-2</v>
      </c>
    </row>
    <row r="283" spans="1:15" ht="12.75" customHeight="1">
      <c r="A283" s="188" t="s">
        <v>620</v>
      </c>
      <c r="B283" s="188" t="s">
        <v>621</v>
      </c>
      <c r="C283" s="188" t="s">
        <v>622</v>
      </c>
      <c r="D283" s="188" t="s">
        <v>1114</v>
      </c>
      <c r="E283" s="189">
        <v>39541</v>
      </c>
      <c r="F283" s="190">
        <v>897</v>
      </c>
      <c r="G283" s="190">
        <v>0</v>
      </c>
      <c r="H283" s="191">
        <v>882</v>
      </c>
      <c r="I283" s="191">
        <v>315</v>
      </c>
      <c r="J283" s="188" t="s">
        <v>639</v>
      </c>
      <c r="K283" s="188" t="s">
        <v>338</v>
      </c>
      <c r="L283" s="188" t="s">
        <v>680</v>
      </c>
      <c r="M283" s="192">
        <f t="shared" si="12"/>
        <v>27</v>
      </c>
      <c r="N283" s="193">
        <f t="shared" si="13"/>
        <v>0.7</v>
      </c>
      <c r="O283" s="194">
        <f t="shared" si="14"/>
        <v>2.5925925925925925E-2</v>
      </c>
    </row>
    <row r="284" spans="1:15" ht="12.75" customHeight="1">
      <c r="A284" s="188" t="s">
        <v>620</v>
      </c>
      <c r="B284" s="188" t="s">
        <v>621</v>
      </c>
      <c r="C284" s="188" t="s">
        <v>622</v>
      </c>
      <c r="D284" s="188" t="s">
        <v>1115</v>
      </c>
      <c r="E284" s="189">
        <v>39534</v>
      </c>
      <c r="F284" s="190">
        <v>1071</v>
      </c>
      <c r="G284" s="190">
        <v>0</v>
      </c>
      <c r="H284" s="191">
        <v>743</v>
      </c>
      <c r="I284" s="191">
        <v>376</v>
      </c>
      <c r="J284" s="188" t="s">
        <v>667</v>
      </c>
      <c r="K284" s="188" t="s">
        <v>338</v>
      </c>
      <c r="L284" s="188" t="s">
        <v>1116</v>
      </c>
      <c r="M284" s="192">
        <f t="shared" si="12"/>
        <v>19</v>
      </c>
      <c r="N284" s="193">
        <f t="shared" si="13"/>
        <v>0.49401595744680848</v>
      </c>
      <c r="O284" s="194">
        <f t="shared" si="14"/>
        <v>2.6000839865621499E-2</v>
      </c>
    </row>
    <row r="285" spans="1:15" ht="12.75" customHeight="1">
      <c r="A285" s="188" t="s">
        <v>620</v>
      </c>
      <c r="B285" s="188" t="s">
        <v>621</v>
      </c>
      <c r="C285" s="188" t="s">
        <v>622</v>
      </c>
      <c r="D285" s="188" t="s">
        <v>1117</v>
      </c>
      <c r="E285" s="189">
        <v>39568</v>
      </c>
      <c r="F285" s="190">
        <v>925</v>
      </c>
      <c r="G285" s="190">
        <v>0</v>
      </c>
      <c r="H285" s="191">
        <v>779</v>
      </c>
      <c r="I285" s="191">
        <v>324.75</v>
      </c>
      <c r="J285" s="188" t="s">
        <v>571</v>
      </c>
      <c r="K285" s="188" t="s">
        <v>338</v>
      </c>
      <c r="L285" s="188" t="s">
        <v>1118</v>
      </c>
      <c r="M285" s="192">
        <f t="shared" si="12"/>
        <v>23</v>
      </c>
      <c r="N285" s="193">
        <f t="shared" si="13"/>
        <v>0.59969207082371057</v>
      </c>
      <c r="O285" s="194">
        <f t="shared" si="14"/>
        <v>2.6073568296683069E-2</v>
      </c>
    </row>
    <row r="286" spans="1:15" ht="12.75" customHeight="1">
      <c r="A286" s="188" t="s">
        <v>620</v>
      </c>
      <c r="B286" s="188" t="s">
        <v>621</v>
      </c>
      <c r="C286" s="188" t="s">
        <v>622</v>
      </c>
      <c r="D286" s="188" t="s">
        <v>1119</v>
      </c>
      <c r="E286" s="189">
        <v>39416</v>
      </c>
      <c r="F286" s="190">
        <v>1341</v>
      </c>
      <c r="G286" s="190">
        <v>0</v>
      </c>
      <c r="H286" s="191">
        <v>1272</v>
      </c>
      <c r="I286" s="191">
        <v>469</v>
      </c>
      <c r="J286" s="188" t="s">
        <v>361</v>
      </c>
      <c r="K286" s="188" t="s">
        <v>338</v>
      </c>
      <c r="L286" s="188" t="s">
        <v>1120</v>
      </c>
      <c r="M286" s="192">
        <f t="shared" si="12"/>
        <v>26</v>
      </c>
      <c r="N286" s="193">
        <f t="shared" si="13"/>
        <v>0.67803837953091683</v>
      </c>
      <c r="O286" s="194">
        <f t="shared" si="14"/>
        <v>2.607839921272757E-2</v>
      </c>
    </row>
    <row r="287" spans="1:15" ht="12.75" customHeight="1">
      <c r="A287" s="188" t="s">
        <v>620</v>
      </c>
      <c r="B287" s="188" t="s">
        <v>621</v>
      </c>
      <c r="C287" s="188" t="s">
        <v>622</v>
      </c>
      <c r="D287" s="188" t="s">
        <v>1121</v>
      </c>
      <c r="E287" s="189">
        <v>39555</v>
      </c>
      <c r="F287" s="190">
        <v>712</v>
      </c>
      <c r="G287" s="190">
        <v>0</v>
      </c>
      <c r="H287" s="191">
        <v>600</v>
      </c>
      <c r="I287" s="191">
        <v>250</v>
      </c>
      <c r="J287" s="188" t="s">
        <v>571</v>
      </c>
      <c r="K287" s="188" t="s">
        <v>338</v>
      </c>
      <c r="L287" s="188" t="s">
        <v>636</v>
      </c>
      <c r="M287" s="192">
        <f t="shared" si="12"/>
        <v>23</v>
      </c>
      <c r="N287" s="193">
        <f t="shared" si="13"/>
        <v>0.6</v>
      </c>
      <c r="O287" s="194">
        <f t="shared" si="14"/>
        <v>2.6086956521739129E-2</v>
      </c>
    </row>
    <row r="288" spans="1:15" ht="12.75" customHeight="1">
      <c r="A288" s="188" t="s">
        <v>620</v>
      </c>
      <c r="B288" s="188" t="s">
        <v>621</v>
      </c>
      <c r="C288" s="188" t="s">
        <v>622</v>
      </c>
      <c r="D288" s="188" t="s">
        <v>1122</v>
      </c>
      <c r="E288" s="189">
        <v>39485</v>
      </c>
      <c r="F288" s="190">
        <v>721</v>
      </c>
      <c r="G288" s="190">
        <v>0</v>
      </c>
      <c r="H288" s="191">
        <v>1000</v>
      </c>
      <c r="I288" s="191">
        <v>252</v>
      </c>
      <c r="J288" s="188" t="s">
        <v>624</v>
      </c>
      <c r="K288" s="188" t="s">
        <v>338</v>
      </c>
      <c r="L288" s="188" t="s">
        <v>736</v>
      </c>
      <c r="M288" s="192">
        <f t="shared" si="12"/>
        <v>38</v>
      </c>
      <c r="N288" s="193">
        <f t="shared" si="13"/>
        <v>0.99206349206349209</v>
      </c>
      <c r="O288" s="194">
        <f t="shared" si="14"/>
        <v>2.6106934001670846E-2</v>
      </c>
    </row>
    <row r="289" spans="1:15" ht="12.75" customHeight="1">
      <c r="A289" s="188" t="s">
        <v>620</v>
      </c>
      <c r="B289" s="188" t="s">
        <v>621</v>
      </c>
      <c r="C289" s="188" t="s">
        <v>622</v>
      </c>
      <c r="D289" s="188" t="s">
        <v>1123</v>
      </c>
      <c r="E289" s="189">
        <v>39447</v>
      </c>
      <c r="F289" s="190">
        <v>1159</v>
      </c>
      <c r="G289" s="190">
        <v>0</v>
      </c>
      <c r="H289" s="191">
        <v>849</v>
      </c>
      <c r="I289" s="191">
        <v>405.5</v>
      </c>
      <c r="J289" s="188" t="s">
        <v>560</v>
      </c>
      <c r="K289" s="188" t="s">
        <v>338</v>
      </c>
      <c r="L289" s="188" t="s">
        <v>1124</v>
      </c>
      <c r="M289" s="192">
        <f t="shared" si="12"/>
        <v>20</v>
      </c>
      <c r="N289" s="193">
        <f t="shared" si="13"/>
        <v>0.52342786683107279</v>
      </c>
      <c r="O289" s="194">
        <f t="shared" si="14"/>
        <v>2.6171393341553641E-2</v>
      </c>
    </row>
    <row r="290" spans="1:15" ht="12.75" customHeight="1">
      <c r="A290" s="188" t="s">
        <v>620</v>
      </c>
      <c r="B290" s="188" t="s">
        <v>621</v>
      </c>
      <c r="C290" s="188" t="s">
        <v>622</v>
      </c>
      <c r="D290" s="188" t="s">
        <v>1125</v>
      </c>
      <c r="E290" s="189">
        <v>39436</v>
      </c>
      <c r="F290" s="190">
        <v>315</v>
      </c>
      <c r="G290" s="190">
        <v>0</v>
      </c>
      <c r="H290" s="191">
        <v>450</v>
      </c>
      <c r="I290" s="191">
        <v>110</v>
      </c>
      <c r="J290" s="188" t="s">
        <v>624</v>
      </c>
      <c r="K290" s="188" t="s">
        <v>333</v>
      </c>
      <c r="L290" s="188" t="s">
        <v>705</v>
      </c>
      <c r="M290" s="192">
        <f t="shared" si="12"/>
        <v>39</v>
      </c>
      <c r="N290" s="193">
        <f t="shared" si="13"/>
        <v>1.0227272727272727</v>
      </c>
      <c r="O290" s="194">
        <f t="shared" si="14"/>
        <v>2.6223776223776224E-2</v>
      </c>
    </row>
    <row r="291" spans="1:15" ht="12.75" customHeight="1">
      <c r="A291" s="188" t="s">
        <v>620</v>
      </c>
      <c r="B291" s="188" t="s">
        <v>621</v>
      </c>
      <c r="C291" s="188" t="s">
        <v>622</v>
      </c>
      <c r="D291" s="188" t="s">
        <v>1126</v>
      </c>
      <c r="E291" s="189">
        <v>39527</v>
      </c>
      <c r="F291" s="190">
        <v>279</v>
      </c>
      <c r="G291" s="190">
        <v>0</v>
      </c>
      <c r="H291" s="191">
        <v>310.87</v>
      </c>
      <c r="I291" s="191">
        <v>98</v>
      </c>
      <c r="J291" s="188" t="s">
        <v>1052</v>
      </c>
      <c r="K291" s="188" t="s">
        <v>631</v>
      </c>
      <c r="L291" s="188" t="s">
        <v>1127</v>
      </c>
      <c r="M291" s="192">
        <f t="shared" si="12"/>
        <v>30</v>
      </c>
      <c r="N291" s="193">
        <f t="shared" si="13"/>
        <v>0.79303571428571429</v>
      </c>
      <c r="O291" s="194">
        <f t="shared" si="14"/>
        <v>2.6434523809523811E-2</v>
      </c>
    </row>
    <row r="292" spans="1:15" ht="12.75" customHeight="1">
      <c r="A292" s="188" t="s">
        <v>620</v>
      </c>
      <c r="B292" s="188" t="s">
        <v>621</v>
      </c>
      <c r="C292" s="188" t="s">
        <v>622</v>
      </c>
      <c r="D292" s="188" t="s">
        <v>1128</v>
      </c>
      <c r="E292" s="189">
        <v>39436</v>
      </c>
      <c r="F292" s="190">
        <v>343</v>
      </c>
      <c r="G292" s="190">
        <v>0</v>
      </c>
      <c r="H292" s="191">
        <v>432</v>
      </c>
      <c r="I292" s="191">
        <v>120</v>
      </c>
      <c r="J292" s="188" t="s">
        <v>720</v>
      </c>
      <c r="K292" s="188" t="s">
        <v>338</v>
      </c>
      <c r="L292" s="188" t="s">
        <v>1129</v>
      </c>
      <c r="M292" s="192">
        <f t="shared" si="12"/>
        <v>34</v>
      </c>
      <c r="N292" s="193">
        <f t="shared" si="13"/>
        <v>0.9</v>
      </c>
      <c r="O292" s="194">
        <f t="shared" si="14"/>
        <v>2.6470588235294117E-2</v>
      </c>
    </row>
    <row r="293" spans="1:15" ht="12.75" customHeight="1">
      <c r="A293" s="188" t="s">
        <v>620</v>
      </c>
      <c r="B293" s="188" t="s">
        <v>621</v>
      </c>
      <c r="C293" s="188" t="s">
        <v>622</v>
      </c>
      <c r="D293" s="188" t="s">
        <v>1130</v>
      </c>
      <c r="E293" s="189">
        <v>39282</v>
      </c>
      <c r="F293" s="190">
        <v>1125</v>
      </c>
      <c r="G293" s="190">
        <v>0</v>
      </c>
      <c r="H293" s="191">
        <v>795.97</v>
      </c>
      <c r="I293" s="191">
        <v>393.5</v>
      </c>
      <c r="J293" s="188" t="s">
        <v>667</v>
      </c>
      <c r="K293" s="188" t="s">
        <v>338</v>
      </c>
      <c r="L293" s="188" t="s">
        <v>802</v>
      </c>
      <c r="M293" s="192">
        <f t="shared" si="12"/>
        <v>19</v>
      </c>
      <c r="N293" s="193">
        <f t="shared" si="13"/>
        <v>0.50569885641677259</v>
      </c>
      <c r="O293" s="194">
        <f t="shared" si="14"/>
        <v>2.6615729285093294E-2</v>
      </c>
    </row>
    <row r="294" spans="1:15" ht="12.75" customHeight="1">
      <c r="A294" s="188" t="s">
        <v>620</v>
      </c>
      <c r="B294" s="188" t="s">
        <v>621</v>
      </c>
      <c r="C294" s="188" t="s">
        <v>622</v>
      </c>
      <c r="D294" s="188" t="s">
        <v>1131</v>
      </c>
      <c r="E294" s="189">
        <v>39261</v>
      </c>
      <c r="F294" s="190">
        <v>715</v>
      </c>
      <c r="G294" s="190">
        <v>0</v>
      </c>
      <c r="H294" s="191">
        <v>800</v>
      </c>
      <c r="I294" s="191">
        <v>250</v>
      </c>
      <c r="J294" s="188" t="s">
        <v>635</v>
      </c>
      <c r="K294" s="188" t="s">
        <v>338</v>
      </c>
      <c r="L294" s="188" t="s">
        <v>636</v>
      </c>
      <c r="M294" s="192">
        <f t="shared" si="12"/>
        <v>30</v>
      </c>
      <c r="N294" s="193">
        <f t="shared" si="13"/>
        <v>0.8</v>
      </c>
      <c r="O294" s="194">
        <f t="shared" si="14"/>
        <v>2.6666666666666668E-2</v>
      </c>
    </row>
    <row r="295" spans="1:15" ht="12.75" customHeight="1">
      <c r="A295" s="188" t="s">
        <v>620</v>
      </c>
      <c r="B295" s="188" t="s">
        <v>621</v>
      </c>
      <c r="C295" s="188" t="s">
        <v>622</v>
      </c>
      <c r="D295" s="188" t="s">
        <v>1132</v>
      </c>
      <c r="E295" s="189">
        <v>39576</v>
      </c>
      <c r="F295" s="190">
        <v>1050</v>
      </c>
      <c r="G295" s="190">
        <v>0</v>
      </c>
      <c r="H295" s="191">
        <v>1023</v>
      </c>
      <c r="I295" s="191">
        <v>368.75</v>
      </c>
      <c r="J295" s="188" t="s">
        <v>361</v>
      </c>
      <c r="K295" s="188" t="s">
        <v>338</v>
      </c>
      <c r="L295" s="188" t="s">
        <v>1027</v>
      </c>
      <c r="M295" s="192">
        <f t="shared" si="12"/>
        <v>26</v>
      </c>
      <c r="N295" s="193">
        <f t="shared" si="13"/>
        <v>0.69355932203389825</v>
      </c>
      <c r="O295" s="194">
        <f t="shared" si="14"/>
        <v>2.6675358539765319E-2</v>
      </c>
    </row>
    <row r="296" spans="1:15" ht="12.75" customHeight="1">
      <c r="A296" s="188" t="s">
        <v>620</v>
      </c>
      <c r="B296" s="188" t="s">
        <v>621</v>
      </c>
      <c r="C296" s="188" t="s">
        <v>622</v>
      </c>
      <c r="D296" s="188" t="s">
        <v>1133</v>
      </c>
      <c r="E296" s="189">
        <v>39447</v>
      </c>
      <c r="F296" s="190">
        <v>1076</v>
      </c>
      <c r="G296" s="190">
        <v>0</v>
      </c>
      <c r="H296" s="191">
        <v>843</v>
      </c>
      <c r="I296" s="191">
        <v>376</v>
      </c>
      <c r="J296" s="188" t="s">
        <v>879</v>
      </c>
      <c r="K296" s="188" t="s">
        <v>338</v>
      </c>
      <c r="L296" s="188" t="s">
        <v>1116</v>
      </c>
      <c r="M296" s="192">
        <f t="shared" si="12"/>
        <v>21</v>
      </c>
      <c r="N296" s="193">
        <f t="shared" si="13"/>
        <v>0.5605053191489362</v>
      </c>
      <c r="O296" s="194">
        <f t="shared" si="14"/>
        <v>2.6690729483282678E-2</v>
      </c>
    </row>
    <row r="297" spans="1:15" ht="12.75" customHeight="1">
      <c r="A297" s="188" t="s">
        <v>620</v>
      </c>
      <c r="B297" s="188" t="s">
        <v>621</v>
      </c>
      <c r="C297" s="188" t="s">
        <v>622</v>
      </c>
      <c r="D297" s="188" t="s">
        <v>1134</v>
      </c>
      <c r="E297" s="189">
        <v>39541</v>
      </c>
      <c r="F297" s="190">
        <v>1053</v>
      </c>
      <c r="G297" s="190">
        <v>0</v>
      </c>
      <c r="H297" s="191">
        <v>750</v>
      </c>
      <c r="I297" s="191">
        <v>369.5</v>
      </c>
      <c r="J297" s="188" t="s">
        <v>667</v>
      </c>
      <c r="K297" s="188" t="s">
        <v>338</v>
      </c>
      <c r="L297" s="188" t="s">
        <v>1135</v>
      </c>
      <c r="M297" s="192">
        <f t="shared" si="12"/>
        <v>19</v>
      </c>
      <c r="N297" s="193">
        <f t="shared" si="13"/>
        <v>0.50744248985115026</v>
      </c>
      <c r="O297" s="194">
        <f t="shared" si="14"/>
        <v>2.6707499465850014E-2</v>
      </c>
    </row>
    <row r="298" spans="1:15" ht="12.75" customHeight="1">
      <c r="A298" s="188" t="s">
        <v>620</v>
      </c>
      <c r="B298" s="188" t="s">
        <v>621</v>
      </c>
      <c r="C298" s="188" t="s">
        <v>622</v>
      </c>
      <c r="D298" s="188" t="s">
        <v>1136</v>
      </c>
      <c r="E298" s="189">
        <v>39541</v>
      </c>
      <c r="F298" s="190">
        <v>250</v>
      </c>
      <c r="G298" s="190">
        <v>0</v>
      </c>
      <c r="H298" s="191">
        <v>215.16</v>
      </c>
      <c r="I298" s="191">
        <v>87.5</v>
      </c>
      <c r="J298" s="188" t="s">
        <v>571</v>
      </c>
      <c r="K298" s="188" t="s">
        <v>338</v>
      </c>
      <c r="L298" s="188" t="s">
        <v>1137</v>
      </c>
      <c r="M298" s="192">
        <f t="shared" si="12"/>
        <v>23</v>
      </c>
      <c r="N298" s="193">
        <f t="shared" si="13"/>
        <v>0.61474285714285715</v>
      </c>
      <c r="O298" s="194">
        <f t="shared" si="14"/>
        <v>2.6727950310559006E-2</v>
      </c>
    </row>
    <row r="299" spans="1:15" ht="12.75" customHeight="1">
      <c r="A299" s="188" t="s">
        <v>620</v>
      </c>
      <c r="B299" s="188" t="s">
        <v>621</v>
      </c>
      <c r="C299" s="188" t="s">
        <v>622</v>
      </c>
      <c r="D299" s="188" t="s">
        <v>1138</v>
      </c>
      <c r="E299" s="189">
        <v>39447</v>
      </c>
      <c r="F299" s="190">
        <v>750</v>
      </c>
      <c r="G299" s="190">
        <v>0</v>
      </c>
      <c r="H299" s="191">
        <v>760</v>
      </c>
      <c r="I299" s="191">
        <v>262.5</v>
      </c>
      <c r="J299" s="188" t="s">
        <v>639</v>
      </c>
      <c r="K299" s="188" t="s">
        <v>338</v>
      </c>
      <c r="L299" s="188" t="s">
        <v>1139</v>
      </c>
      <c r="M299" s="192">
        <f t="shared" si="12"/>
        <v>27</v>
      </c>
      <c r="N299" s="193">
        <f t="shared" si="13"/>
        <v>0.72380952380952379</v>
      </c>
      <c r="O299" s="194">
        <f t="shared" si="14"/>
        <v>2.6807760141093474E-2</v>
      </c>
    </row>
    <row r="300" spans="1:15" ht="12.75" customHeight="1">
      <c r="A300" s="188" t="s">
        <v>620</v>
      </c>
      <c r="B300" s="188" t="s">
        <v>621</v>
      </c>
      <c r="C300" s="188" t="s">
        <v>622</v>
      </c>
      <c r="D300" s="188" t="s">
        <v>1140</v>
      </c>
      <c r="E300" s="189">
        <v>39310</v>
      </c>
      <c r="F300" s="190">
        <v>708</v>
      </c>
      <c r="G300" s="190">
        <v>0</v>
      </c>
      <c r="H300" s="191">
        <v>505.01</v>
      </c>
      <c r="I300" s="191">
        <v>247.75</v>
      </c>
      <c r="J300" s="188" t="s">
        <v>667</v>
      </c>
      <c r="K300" s="188" t="s">
        <v>338</v>
      </c>
      <c r="L300" s="188" t="s">
        <v>1141</v>
      </c>
      <c r="M300" s="192">
        <f t="shared" si="12"/>
        <v>19</v>
      </c>
      <c r="N300" s="193">
        <f t="shared" si="13"/>
        <v>0.50959636730575175</v>
      </c>
      <c r="O300" s="194">
        <f t="shared" si="14"/>
        <v>2.6820861437144829E-2</v>
      </c>
    </row>
    <row r="301" spans="1:15" ht="12.75" customHeight="1">
      <c r="A301" s="188" t="s">
        <v>620</v>
      </c>
      <c r="B301" s="188" t="s">
        <v>621</v>
      </c>
      <c r="C301" s="188" t="s">
        <v>622</v>
      </c>
      <c r="D301" s="188" t="s">
        <v>1142</v>
      </c>
      <c r="E301" s="189">
        <v>39422</v>
      </c>
      <c r="F301" s="190">
        <v>572</v>
      </c>
      <c r="G301" s="190">
        <v>0</v>
      </c>
      <c r="H301" s="191">
        <v>558</v>
      </c>
      <c r="I301" s="191">
        <v>200</v>
      </c>
      <c r="J301" s="188" t="s">
        <v>361</v>
      </c>
      <c r="K301" s="188" t="s">
        <v>338</v>
      </c>
      <c r="L301" s="188" t="s">
        <v>752</v>
      </c>
      <c r="M301" s="192">
        <f t="shared" si="12"/>
        <v>26</v>
      </c>
      <c r="N301" s="193">
        <f t="shared" si="13"/>
        <v>0.69750000000000001</v>
      </c>
      <c r="O301" s="194">
        <f t="shared" si="14"/>
        <v>2.6826923076923078E-2</v>
      </c>
    </row>
    <row r="302" spans="1:15" ht="12.75" customHeight="1">
      <c r="A302" s="188" t="s">
        <v>620</v>
      </c>
      <c r="B302" s="188" t="s">
        <v>621</v>
      </c>
      <c r="C302" s="188" t="s">
        <v>622</v>
      </c>
      <c r="D302" s="188" t="s">
        <v>1143</v>
      </c>
      <c r="E302" s="189">
        <v>39499</v>
      </c>
      <c r="F302" s="190">
        <v>1203</v>
      </c>
      <c r="G302" s="190">
        <v>0</v>
      </c>
      <c r="H302" s="191">
        <v>858</v>
      </c>
      <c r="I302" s="191">
        <v>420.75</v>
      </c>
      <c r="J302" s="188" t="s">
        <v>667</v>
      </c>
      <c r="K302" s="188" t="s">
        <v>338</v>
      </c>
      <c r="L302" s="188" t="s">
        <v>1144</v>
      </c>
      <c r="M302" s="192">
        <f t="shared" si="12"/>
        <v>19</v>
      </c>
      <c r="N302" s="193">
        <f t="shared" si="13"/>
        <v>0.50980392156862742</v>
      </c>
      <c r="O302" s="194">
        <f t="shared" si="14"/>
        <v>2.6831785345717233E-2</v>
      </c>
    </row>
    <row r="303" spans="1:15" ht="12.75" customHeight="1">
      <c r="A303" s="188" t="s">
        <v>620</v>
      </c>
      <c r="B303" s="188" t="s">
        <v>621</v>
      </c>
      <c r="C303" s="188" t="s">
        <v>622</v>
      </c>
      <c r="D303" s="188" t="s">
        <v>1145</v>
      </c>
      <c r="E303" s="189">
        <v>39212</v>
      </c>
      <c r="F303" s="190">
        <v>686</v>
      </c>
      <c r="G303" s="190">
        <v>0</v>
      </c>
      <c r="H303" s="191">
        <v>489.6</v>
      </c>
      <c r="I303" s="191">
        <v>240</v>
      </c>
      <c r="J303" s="188" t="s">
        <v>667</v>
      </c>
      <c r="K303" s="188" t="s">
        <v>338</v>
      </c>
      <c r="L303" s="188" t="s">
        <v>1146</v>
      </c>
      <c r="M303" s="192">
        <f t="shared" si="12"/>
        <v>19</v>
      </c>
      <c r="N303" s="193">
        <f t="shared" si="13"/>
        <v>0.51</v>
      </c>
      <c r="O303" s="194">
        <f t="shared" si="14"/>
        <v>2.6842105263157896E-2</v>
      </c>
    </row>
    <row r="304" spans="1:15" ht="12.75" customHeight="1">
      <c r="A304" s="188" t="s">
        <v>620</v>
      </c>
      <c r="B304" s="188" t="s">
        <v>621</v>
      </c>
      <c r="C304" s="188" t="s">
        <v>622</v>
      </c>
      <c r="D304" s="188" t="s">
        <v>1147</v>
      </c>
      <c r="E304" s="189">
        <v>39254</v>
      </c>
      <c r="F304" s="190">
        <v>858</v>
      </c>
      <c r="G304" s="190">
        <v>0</v>
      </c>
      <c r="H304" s="191">
        <v>612</v>
      </c>
      <c r="I304" s="191">
        <v>300</v>
      </c>
      <c r="J304" s="188" t="s">
        <v>667</v>
      </c>
      <c r="K304" s="188" t="s">
        <v>338</v>
      </c>
      <c r="L304" s="188" t="s">
        <v>632</v>
      </c>
      <c r="M304" s="192">
        <f t="shared" si="12"/>
        <v>19</v>
      </c>
      <c r="N304" s="193">
        <f t="shared" si="13"/>
        <v>0.51</v>
      </c>
      <c r="O304" s="194">
        <f t="shared" si="14"/>
        <v>2.6842105263157896E-2</v>
      </c>
    </row>
    <row r="305" spans="1:15" ht="12.75" customHeight="1">
      <c r="A305" s="188" t="s">
        <v>620</v>
      </c>
      <c r="B305" s="188" t="s">
        <v>621</v>
      </c>
      <c r="C305" s="188" t="s">
        <v>622</v>
      </c>
      <c r="D305" s="188" t="s">
        <v>1148</v>
      </c>
      <c r="E305" s="189">
        <v>39261</v>
      </c>
      <c r="F305" s="190">
        <v>824</v>
      </c>
      <c r="G305" s="190">
        <v>0</v>
      </c>
      <c r="H305" s="191">
        <v>589.94000000000005</v>
      </c>
      <c r="I305" s="191">
        <v>288</v>
      </c>
      <c r="J305" s="188" t="s">
        <v>667</v>
      </c>
      <c r="K305" s="188" t="s">
        <v>338</v>
      </c>
      <c r="L305" s="188" t="s">
        <v>952</v>
      </c>
      <c r="M305" s="192">
        <f t="shared" si="12"/>
        <v>19</v>
      </c>
      <c r="N305" s="193">
        <f t="shared" si="13"/>
        <v>0.5121006944444445</v>
      </c>
      <c r="O305" s="194">
        <f t="shared" si="14"/>
        <v>2.6952668128654975E-2</v>
      </c>
    </row>
    <row r="306" spans="1:15" ht="12.75" customHeight="1">
      <c r="A306" s="188" t="s">
        <v>620</v>
      </c>
      <c r="B306" s="188" t="s">
        <v>621</v>
      </c>
      <c r="C306" s="188" t="s">
        <v>622</v>
      </c>
      <c r="D306" s="188" t="s">
        <v>1149</v>
      </c>
      <c r="E306" s="189">
        <v>39261</v>
      </c>
      <c r="F306" s="190">
        <v>1562</v>
      </c>
      <c r="G306" s="190">
        <v>0</v>
      </c>
      <c r="H306" s="191">
        <v>1774.94</v>
      </c>
      <c r="I306" s="191">
        <v>546</v>
      </c>
      <c r="J306" s="188" t="s">
        <v>635</v>
      </c>
      <c r="K306" s="188" t="s">
        <v>338</v>
      </c>
      <c r="L306" s="188" t="s">
        <v>403</v>
      </c>
      <c r="M306" s="192">
        <f t="shared" si="12"/>
        <v>30</v>
      </c>
      <c r="N306" s="193">
        <f t="shared" si="13"/>
        <v>0.81270146520146525</v>
      </c>
      <c r="O306" s="194">
        <f t="shared" si="14"/>
        <v>2.7090048840048842E-2</v>
      </c>
    </row>
    <row r="307" spans="1:15" ht="12.75" customHeight="1">
      <c r="A307" s="188" t="s">
        <v>620</v>
      </c>
      <c r="B307" s="188" t="s">
        <v>621</v>
      </c>
      <c r="C307" s="188" t="s">
        <v>622</v>
      </c>
      <c r="D307" s="188" t="s">
        <v>1150</v>
      </c>
      <c r="E307" s="189">
        <v>39447</v>
      </c>
      <c r="F307" s="190">
        <v>722</v>
      </c>
      <c r="G307" s="190">
        <v>0</v>
      </c>
      <c r="H307" s="191">
        <v>935</v>
      </c>
      <c r="I307" s="191">
        <v>252.5</v>
      </c>
      <c r="J307" s="188" t="s">
        <v>720</v>
      </c>
      <c r="K307" s="188" t="s">
        <v>338</v>
      </c>
      <c r="L307" s="188" t="s">
        <v>992</v>
      </c>
      <c r="M307" s="192">
        <f t="shared" si="12"/>
        <v>34</v>
      </c>
      <c r="N307" s="193">
        <f t="shared" si="13"/>
        <v>0.92574257425742579</v>
      </c>
      <c r="O307" s="194">
        <f t="shared" si="14"/>
        <v>2.7227722772277228E-2</v>
      </c>
    </row>
    <row r="308" spans="1:15" ht="12.75" customHeight="1">
      <c r="A308" s="188" t="s">
        <v>620</v>
      </c>
      <c r="B308" s="188" t="s">
        <v>621</v>
      </c>
      <c r="C308" s="188" t="s">
        <v>622</v>
      </c>
      <c r="D308" s="188" t="s">
        <v>1151</v>
      </c>
      <c r="E308" s="189">
        <v>39447</v>
      </c>
      <c r="F308" s="190">
        <v>858</v>
      </c>
      <c r="G308" s="190">
        <v>0</v>
      </c>
      <c r="H308" s="191">
        <v>656.67</v>
      </c>
      <c r="I308" s="191">
        <v>300</v>
      </c>
      <c r="J308" s="188" t="s">
        <v>560</v>
      </c>
      <c r="K308" s="188" t="s">
        <v>338</v>
      </c>
      <c r="L308" s="188" t="s">
        <v>632</v>
      </c>
      <c r="M308" s="192">
        <f t="shared" si="12"/>
        <v>20</v>
      </c>
      <c r="N308" s="193">
        <f t="shared" si="13"/>
        <v>0.54722499999999996</v>
      </c>
      <c r="O308" s="194">
        <f t="shared" si="14"/>
        <v>2.7361249999999997E-2</v>
      </c>
    </row>
    <row r="309" spans="1:15" ht="12.75" customHeight="1">
      <c r="A309" s="188" t="s">
        <v>620</v>
      </c>
      <c r="B309" s="188" t="s">
        <v>621</v>
      </c>
      <c r="C309" s="188" t="s">
        <v>622</v>
      </c>
      <c r="D309" s="188" t="s">
        <v>1152</v>
      </c>
      <c r="E309" s="189">
        <v>39212</v>
      </c>
      <c r="F309" s="190">
        <v>358</v>
      </c>
      <c r="G309" s="190">
        <v>0</v>
      </c>
      <c r="H309" s="191">
        <v>260</v>
      </c>
      <c r="I309" s="191">
        <v>125</v>
      </c>
      <c r="J309" s="188" t="s">
        <v>667</v>
      </c>
      <c r="K309" s="188" t="s">
        <v>338</v>
      </c>
      <c r="L309" s="188" t="s">
        <v>858</v>
      </c>
      <c r="M309" s="192">
        <f t="shared" si="12"/>
        <v>19</v>
      </c>
      <c r="N309" s="193">
        <f t="shared" si="13"/>
        <v>0.52</v>
      </c>
      <c r="O309" s="194">
        <f t="shared" si="14"/>
        <v>2.736842105263158E-2</v>
      </c>
    </row>
    <row r="310" spans="1:15" ht="12.75" customHeight="1">
      <c r="A310" s="188" t="s">
        <v>620</v>
      </c>
      <c r="B310" s="188" t="s">
        <v>621</v>
      </c>
      <c r="C310" s="188" t="s">
        <v>622</v>
      </c>
      <c r="D310" s="188" t="s">
        <v>1153</v>
      </c>
      <c r="E310" s="189">
        <v>39499</v>
      </c>
      <c r="F310" s="190">
        <v>851</v>
      </c>
      <c r="G310" s="190">
        <v>0</v>
      </c>
      <c r="H310" s="191">
        <v>880</v>
      </c>
      <c r="I310" s="191">
        <v>297.5</v>
      </c>
      <c r="J310" s="188" t="s">
        <v>639</v>
      </c>
      <c r="K310" s="188" t="s">
        <v>338</v>
      </c>
      <c r="L310" s="188" t="s">
        <v>519</v>
      </c>
      <c r="M310" s="192">
        <f t="shared" si="12"/>
        <v>27</v>
      </c>
      <c r="N310" s="193">
        <f t="shared" si="13"/>
        <v>0.73949579831932777</v>
      </c>
      <c r="O310" s="194">
        <f t="shared" si="14"/>
        <v>2.7388733271086214E-2</v>
      </c>
    </row>
    <row r="311" spans="1:15" ht="12.75" customHeight="1">
      <c r="A311" s="188" t="s">
        <v>620</v>
      </c>
      <c r="B311" s="188" t="s">
        <v>621</v>
      </c>
      <c r="C311" s="188" t="s">
        <v>622</v>
      </c>
      <c r="D311" s="188" t="s">
        <v>1154</v>
      </c>
      <c r="E311" s="189">
        <v>39611</v>
      </c>
      <c r="F311" s="190">
        <v>986</v>
      </c>
      <c r="G311" s="190">
        <v>0</v>
      </c>
      <c r="H311" s="191">
        <v>1445</v>
      </c>
      <c r="I311" s="191">
        <v>346</v>
      </c>
      <c r="J311" s="188" t="s">
        <v>624</v>
      </c>
      <c r="K311" s="188" t="s">
        <v>338</v>
      </c>
      <c r="L311" s="188" t="s">
        <v>1155</v>
      </c>
      <c r="M311" s="192">
        <f t="shared" si="12"/>
        <v>38</v>
      </c>
      <c r="N311" s="193">
        <f t="shared" si="13"/>
        <v>1.0440751445086704</v>
      </c>
      <c r="O311" s="194">
        <f t="shared" si="14"/>
        <v>2.747566169759659E-2</v>
      </c>
    </row>
    <row r="312" spans="1:15" ht="12.75" customHeight="1">
      <c r="A312" s="188" t="s">
        <v>620</v>
      </c>
      <c r="B312" s="188" t="s">
        <v>621</v>
      </c>
      <c r="C312" s="188" t="s">
        <v>622</v>
      </c>
      <c r="D312" s="188" t="s">
        <v>1156</v>
      </c>
      <c r="E312" s="189">
        <v>39395</v>
      </c>
      <c r="F312" s="190">
        <v>594</v>
      </c>
      <c r="G312" s="190">
        <v>0</v>
      </c>
      <c r="H312" s="191">
        <v>867.68</v>
      </c>
      <c r="I312" s="191">
        <v>207.5</v>
      </c>
      <c r="J312" s="188" t="s">
        <v>624</v>
      </c>
      <c r="K312" s="188" t="s">
        <v>338</v>
      </c>
      <c r="L312" s="188" t="s">
        <v>1157</v>
      </c>
      <c r="M312" s="192">
        <f t="shared" si="12"/>
        <v>38</v>
      </c>
      <c r="N312" s="193">
        <f t="shared" si="13"/>
        <v>1.0453975903614456</v>
      </c>
      <c r="O312" s="194">
        <f t="shared" si="14"/>
        <v>2.7510462904248568E-2</v>
      </c>
    </row>
    <row r="313" spans="1:15" ht="12.75" customHeight="1">
      <c r="A313" s="188" t="s">
        <v>620</v>
      </c>
      <c r="B313" s="188" t="s">
        <v>621</v>
      </c>
      <c r="C313" s="188" t="s">
        <v>622</v>
      </c>
      <c r="D313" s="188" t="s">
        <v>1158</v>
      </c>
      <c r="E313" s="189">
        <v>39520</v>
      </c>
      <c r="F313" s="190">
        <v>737</v>
      </c>
      <c r="G313" s="190">
        <v>0</v>
      </c>
      <c r="H313" s="191">
        <v>855</v>
      </c>
      <c r="I313" s="191">
        <v>258.75</v>
      </c>
      <c r="J313" s="188" t="s">
        <v>635</v>
      </c>
      <c r="K313" s="188" t="s">
        <v>338</v>
      </c>
      <c r="L313" s="188" t="s">
        <v>1159</v>
      </c>
      <c r="M313" s="192">
        <f t="shared" si="12"/>
        <v>30</v>
      </c>
      <c r="N313" s="193">
        <f t="shared" si="13"/>
        <v>0.82608695652173914</v>
      </c>
      <c r="O313" s="194">
        <f t="shared" si="14"/>
        <v>2.753623188405797E-2</v>
      </c>
    </row>
    <row r="314" spans="1:15" ht="12.75" customHeight="1">
      <c r="A314" s="188" t="s">
        <v>620</v>
      </c>
      <c r="B314" s="188" t="s">
        <v>621</v>
      </c>
      <c r="C314" s="188" t="s">
        <v>622</v>
      </c>
      <c r="D314" s="188" t="s">
        <v>1160</v>
      </c>
      <c r="E314" s="189">
        <v>39289</v>
      </c>
      <c r="F314" s="190">
        <v>686</v>
      </c>
      <c r="G314" s="190">
        <v>0</v>
      </c>
      <c r="H314" s="191">
        <v>528.96</v>
      </c>
      <c r="I314" s="191">
        <v>240</v>
      </c>
      <c r="J314" s="188" t="s">
        <v>560</v>
      </c>
      <c r="K314" s="188" t="s">
        <v>338</v>
      </c>
      <c r="L314" s="188" t="s">
        <v>1146</v>
      </c>
      <c r="M314" s="192">
        <f t="shared" si="12"/>
        <v>20</v>
      </c>
      <c r="N314" s="193">
        <f t="shared" si="13"/>
        <v>0.55100000000000005</v>
      </c>
      <c r="O314" s="194">
        <f t="shared" si="14"/>
        <v>2.7550000000000002E-2</v>
      </c>
    </row>
    <row r="315" spans="1:15" ht="12.75" customHeight="1">
      <c r="A315" s="188" t="s">
        <v>620</v>
      </c>
      <c r="B315" s="188" t="s">
        <v>621</v>
      </c>
      <c r="C315" s="188" t="s">
        <v>622</v>
      </c>
      <c r="D315" s="188" t="s">
        <v>1161</v>
      </c>
      <c r="E315" s="189">
        <v>39395</v>
      </c>
      <c r="F315" s="190">
        <v>377</v>
      </c>
      <c r="G315" s="190">
        <v>0</v>
      </c>
      <c r="H315" s="191">
        <v>438</v>
      </c>
      <c r="I315" s="191">
        <v>132</v>
      </c>
      <c r="J315" s="188" t="s">
        <v>635</v>
      </c>
      <c r="K315" s="188" t="s">
        <v>338</v>
      </c>
      <c r="L315" s="188" t="s">
        <v>1162</v>
      </c>
      <c r="M315" s="192">
        <f t="shared" si="12"/>
        <v>30</v>
      </c>
      <c r="N315" s="193">
        <f t="shared" si="13"/>
        <v>0.82954545454545459</v>
      </c>
      <c r="O315" s="194">
        <f t="shared" si="14"/>
        <v>2.7651515151515153E-2</v>
      </c>
    </row>
    <row r="316" spans="1:15" ht="12.75" customHeight="1">
      <c r="A316" s="188" t="s">
        <v>620</v>
      </c>
      <c r="B316" s="188" t="s">
        <v>621</v>
      </c>
      <c r="C316" s="188" t="s">
        <v>622</v>
      </c>
      <c r="D316" s="188" t="s">
        <v>1163</v>
      </c>
      <c r="E316" s="189">
        <v>39625</v>
      </c>
      <c r="F316" s="190">
        <v>677</v>
      </c>
      <c r="G316" s="190">
        <v>0</v>
      </c>
      <c r="H316" s="191">
        <v>710</v>
      </c>
      <c r="I316" s="191">
        <v>237.5</v>
      </c>
      <c r="J316" s="188" t="s">
        <v>639</v>
      </c>
      <c r="K316" s="188" t="s">
        <v>338</v>
      </c>
      <c r="L316" s="188" t="s">
        <v>1164</v>
      </c>
      <c r="M316" s="192">
        <f t="shared" si="12"/>
        <v>27</v>
      </c>
      <c r="N316" s="193">
        <f t="shared" si="13"/>
        <v>0.74736842105263157</v>
      </c>
      <c r="O316" s="194">
        <f t="shared" si="14"/>
        <v>2.7680311890838208E-2</v>
      </c>
    </row>
    <row r="317" spans="1:15" ht="12.75" customHeight="1">
      <c r="A317" s="188" t="s">
        <v>620</v>
      </c>
      <c r="B317" s="188" t="s">
        <v>621</v>
      </c>
      <c r="C317" s="188" t="s">
        <v>622</v>
      </c>
      <c r="D317" s="188" t="s">
        <v>1165</v>
      </c>
      <c r="E317" s="189">
        <v>39339</v>
      </c>
      <c r="F317" s="190">
        <v>1584</v>
      </c>
      <c r="G317" s="190">
        <v>0</v>
      </c>
      <c r="H317" s="191">
        <v>1660.01</v>
      </c>
      <c r="I317" s="191">
        <v>554</v>
      </c>
      <c r="J317" s="188" t="s">
        <v>639</v>
      </c>
      <c r="K317" s="188" t="s">
        <v>338</v>
      </c>
      <c r="L317" s="188" t="s">
        <v>1166</v>
      </c>
      <c r="M317" s="192">
        <f t="shared" si="12"/>
        <v>27</v>
      </c>
      <c r="N317" s="193">
        <f t="shared" si="13"/>
        <v>0.74910198555956675</v>
      </c>
      <c r="O317" s="194">
        <f t="shared" si="14"/>
        <v>2.7744517983687659E-2</v>
      </c>
    </row>
    <row r="318" spans="1:15" ht="12.75" customHeight="1">
      <c r="A318" s="188" t="s">
        <v>620</v>
      </c>
      <c r="B318" s="188" t="s">
        <v>621</v>
      </c>
      <c r="C318" s="188" t="s">
        <v>622</v>
      </c>
      <c r="D318" s="188" t="s">
        <v>1167</v>
      </c>
      <c r="E318" s="189">
        <v>39590</v>
      </c>
      <c r="F318" s="190">
        <v>765</v>
      </c>
      <c r="G318" s="190">
        <v>0</v>
      </c>
      <c r="H318" s="191">
        <v>895</v>
      </c>
      <c r="I318" s="191">
        <v>268.75</v>
      </c>
      <c r="J318" s="188" t="s">
        <v>635</v>
      </c>
      <c r="K318" s="188" t="s">
        <v>338</v>
      </c>
      <c r="L318" s="188" t="s">
        <v>1168</v>
      </c>
      <c r="M318" s="192">
        <f t="shared" si="12"/>
        <v>30</v>
      </c>
      <c r="N318" s="193">
        <f t="shared" si="13"/>
        <v>0.83255813953488367</v>
      </c>
      <c r="O318" s="194">
        <f t="shared" si="14"/>
        <v>2.7751937984496121E-2</v>
      </c>
    </row>
    <row r="319" spans="1:15" ht="12.75" customHeight="1">
      <c r="A319" s="188" t="s">
        <v>620</v>
      </c>
      <c r="B319" s="188" t="s">
        <v>621</v>
      </c>
      <c r="C319" s="188" t="s">
        <v>622</v>
      </c>
      <c r="D319" s="188" t="s">
        <v>1169</v>
      </c>
      <c r="E319" s="189">
        <v>39331</v>
      </c>
      <c r="F319" s="190">
        <v>607</v>
      </c>
      <c r="G319" s="190">
        <v>0</v>
      </c>
      <c r="H319" s="191">
        <v>545.02</v>
      </c>
      <c r="I319" s="191">
        <v>212.5</v>
      </c>
      <c r="J319" s="188" t="s">
        <v>571</v>
      </c>
      <c r="K319" s="188" t="s">
        <v>338</v>
      </c>
      <c r="L319" s="188" t="s">
        <v>1170</v>
      </c>
      <c r="M319" s="192">
        <f t="shared" si="12"/>
        <v>23</v>
      </c>
      <c r="N319" s="193">
        <f t="shared" si="13"/>
        <v>0.64119999999999999</v>
      </c>
      <c r="O319" s="194">
        <f t="shared" si="14"/>
        <v>2.7878260869565217E-2</v>
      </c>
    </row>
    <row r="320" spans="1:15" ht="12.75" customHeight="1">
      <c r="A320" s="188" t="s">
        <v>620</v>
      </c>
      <c r="B320" s="188" t="s">
        <v>621</v>
      </c>
      <c r="C320" s="188" t="s">
        <v>622</v>
      </c>
      <c r="D320" s="188" t="s">
        <v>1171</v>
      </c>
      <c r="E320" s="189">
        <v>39212</v>
      </c>
      <c r="F320" s="190">
        <v>1036</v>
      </c>
      <c r="G320" s="190">
        <v>0</v>
      </c>
      <c r="H320" s="191">
        <v>768.5</v>
      </c>
      <c r="I320" s="191">
        <v>362.5</v>
      </c>
      <c r="J320" s="188" t="s">
        <v>667</v>
      </c>
      <c r="K320" s="188" t="s">
        <v>338</v>
      </c>
      <c r="L320" s="188" t="s">
        <v>920</v>
      </c>
      <c r="M320" s="192">
        <f t="shared" si="12"/>
        <v>19</v>
      </c>
      <c r="N320" s="193">
        <f t="shared" si="13"/>
        <v>0.53</v>
      </c>
      <c r="O320" s="194">
        <f t="shared" si="14"/>
        <v>2.7894736842105264E-2</v>
      </c>
    </row>
    <row r="321" spans="1:15" ht="12.75" customHeight="1">
      <c r="A321" s="188" t="s">
        <v>620</v>
      </c>
      <c r="B321" s="188" t="s">
        <v>621</v>
      </c>
      <c r="C321" s="188" t="s">
        <v>622</v>
      </c>
      <c r="D321" s="188" t="s">
        <v>1172</v>
      </c>
      <c r="E321" s="189">
        <v>39331</v>
      </c>
      <c r="F321" s="190">
        <v>1176</v>
      </c>
      <c r="G321" s="190">
        <v>0</v>
      </c>
      <c r="H321" s="191">
        <v>964.04</v>
      </c>
      <c r="I321" s="191">
        <v>411</v>
      </c>
      <c r="J321" s="188" t="s">
        <v>879</v>
      </c>
      <c r="K321" s="188" t="s">
        <v>338</v>
      </c>
      <c r="L321" s="188" t="s">
        <v>1173</v>
      </c>
      <c r="M321" s="192">
        <f t="shared" si="12"/>
        <v>21</v>
      </c>
      <c r="N321" s="193">
        <f t="shared" si="13"/>
        <v>0.58639902676399025</v>
      </c>
      <c r="O321" s="194">
        <f t="shared" si="14"/>
        <v>2.7923763179237632E-2</v>
      </c>
    </row>
    <row r="322" spans="1:15" ht="12.75" customHeight="1">
      <c r="A322" s="188" t="s">
        <v>620</v>
      </c>
      <c r="B322" s="188" t="s">
        <v>621</v>
      </c>
      <c r="C322" s="188" t="s">
        <v>622</v>
      </c>
      <c r="D322" s="188" t="s">
        <v>1174</v>
      </c>
      <c r="E322" s="189">
        <v>39527</v>
      </c>
      <c r="F322" s="190">
        <v>556</v>
      </c>
      <c r="G322" s="190">
        <v>0</v>
      </c>
      <c r="H322" s="191">
        <v>830</v>
      </c>
      <c r="I322" s="191">
        <v>195.25</v>
      </c>
      <c r="J322" s="188" t="s">
        <v>624</v>
      </c>
      <c r="K322" s="188" t="s">
        <v>338</v>
      </c>
      <c r="L322" s="188" t="s">
        <v>1175</v>
      </c>
      <c r="M322" s="192">
        <f t="shared" ref="M322:M385" si="15">K322-J322</f>
        <v>38</v>
      </c>
      <c r="N322" s="193">
        <f t="shared" ref="N322:N385" si="16">H322/L322</f>
        <v>1.0627400768245838</v>
      </c>
      <c r="O322" s="194">
        <f t="shared" ref="O322:O385" si="17">N322/M322</f>
        <v>2.7966844126962733E-2</v>
      </c>
    </row>
    <row r="323" spans="1:15" ht="12.75" customHeight="1">
      <c r="A323" s="188" t="s">
        <v>620</v>
      </c>
      <c r="B323" s="188" t="s">
        <v>621</v>
      </c>
      <c r="C323" s="188" t="s">
        <v>622</v>
      </c>
      <c r="D323" s="188" t="s">
        <v>1176</v>
      </c>
      <c r="E323" s="189">
        <v>39447</v>
      </c>
      <c r="F323" s="190">
        <v>572</v>
      </c>
      <c r="G323" s="190">
        <v>0</v>
      </c>
      <c r="H323" s="191">
        <v>559.42999999999995</v>
      </c>
      <c r="I323" s="191">
        <v>200</v>
      </c>
      <c r="J323" s="188" t="s">
        <v>652</v>
      </c>
      <c r="K323" s="188" t="s">
        <v>338</v>
      </c>
      <c r="L323" s="188" t="s">
        <v>752</v>
      </c>
      <c r="M323" s="192">
        <f t="shared" si="15"/>
        <v>25</v>
      </c>
      <c r="N323" s="193">
        <f t="shared" si="16"/>
        <v>0.69928749999999995</v>
      </c>
      <c r="O323" s="194">
        <f t="shared" si="17"/>
        <v>2.7971499999999996E-2</v>
      </c>
    </row>
    <row r="324" spans="1:15" ht="12.75" customHeight="1">
      <c r="A324" s="188" t="s">
        <v>620</v>
      </c>
      <c r="B324" s="188" t="s">
        <v>621</v>
      </c>
      <c r="C324" s="188" t="s">
        <v>622</v>
      </c>
      <c r="D324" s="188" t="s">
        <v>1177</v>
      </c>
      <c r="E324" s="189">
        <v>39387</v>
      </c>
      <c r="F324" s="190">
        <v>409</v>
      </c>
      <c r="G324" s="190">
        <v>0</v>
      </c>
      <c r="H324" s="191">
        <v>320</v>
      </c>
      <c r="I324" s="191">
        <v>143</v>
      </c>
      <c r="J324" s="188" t="s">
        <v>560</v>
      </c>
      <c r="K324" s="188" t="s">
        <v>338</v>
      </c>
      <c r="L324" s="188" t="s">
        <v>841</v>
      </c>
      <c r="M324" s="192">
        <f t="shared" si="15"/>
        <v>20</v>
      </c>
      <c r="N324" s="193">
        <f t="shared" si="16"/>
        <v>0.55944055944055948</v>
      </c>
      <c r="O324" s="194">
        <f t="shared" si="17"/>
        <v>2.7972027972027975E-2</v>
      </c>
    </row>
    <row r="325" spans="1:15" ht="12.75" customHeight="1">
      <c r="A325" s="188" t="s">
        <v>620</v>
      </c>
      <c r="B325" s="188" t="s">
        <v>621</v>
      </c>
      <c r="C325" s="188" t="s">
        <v>622</v>
      </c>
      <c r="D325" s="188" t="s">
        <v>1178</v>
      </c>
      <c r="E325" s="189">
        <v>39499</v>
      </c>
      <c r="F325" s="190">
        <v>134</v>
      </c>
      <c r="G325" s="190">
        <v>0</v>
      </c>
      <c r="H325" s="191">
        <v>199</v>
      </c>
      <c r="I325" s="191">
        <v>46.75</v>
      </c>
      <c r="J325" s="188" t="s">
        <v>624</v>
      </c>
      <c r="K325" s="188" t="s">
        <v>338</v>
      </c>
      <c r="L325" s="188" t="s">
        <v>1179</v>
      </c>
      <c r="M325" s="192">
        <f t="shared" si="15"/>
        <v>38</v>
      </c>
      <c r="N325" s="193">
        <f t="shared" si="16"/>
        <v>1.0641711229946524</v>
      </c>
      <c r="O325" s="194">
        <f t="shared" si="17"/>
        <v>2.8004503236701381E-2</v>
      </c>
    </row>
    <row r="326" spans="1:15" ht="12.75" customHeight="1">
      <c r="A326" s="188" t="s">
        <v>620</v>
      </c>
      <c r="B326" s="188" t="s">
        <v>621</v>
      </c>
      <c r="C326" s="188" t="s">
        <v>622</v>
      </c>
      <c r="D326" s="188" t="s">
        <v>1180</v>
      </c>
      <c r="E326" s="189">
        <v>39590</v>
      </c>
      <c r="F326" s="190">
        <v>338</v>
      </c>
      <c r="G326" s="190">
        <v>0</v>
      </c>
      <c r="H326" s="191">
        <v>440</v>
      </c>
      <c r="I326" s="191">
        <v>118.75</v>
      </c>
      <c r="J326" s="188" t="s">
        <v>742</v>
      </c>
      <c r="K326" s="188" t="s">
        <v>338</v>
      </c>
      <c r="L326" s="188" t="s">
        <v>1181</v>
      </c>
      <c r="M326" s="192">
        <f t="shared" si="15"/>
        <v>33</v>
      </c>
      <c r="N326" s="193">
        <f t="shared" si="16"/>
        <v>0.9263157894736842</v>
      </c>
      <c r="O326" s="194">
        <f t="shared" si="17"/>
        <v>2.8070175438596492E-2</v>
      </c>
    </row>
    <row r="327" spans="1:15" ht="12.75" customHeight="1">
      <c r="A327" s="188" t="s">
        <v>620</v>
      </c>
      <c r="B327" s="188" t="s">
        <v>621</v>
      </c>
      <c r="C327" s="188" t="s">
        <v>622</v>
      </c>
      <c r="D327" s="188" t="s">
        <v>1182</v>
      </c>
      <c r="E327" s="189">
        <v>39353</v>
      </c>
      <c r="F327" s="190">
        <v>1152</v>
      </c>
      <c r="G327" s="190">
        <v>0</v>
      </c>
      <c r="H327" s="191">
        <v>860</v>
      </c>
      <c r="I327" s="191">
        <v>402.75</v>
      </c>
      <c r="J327" s="188" t="s">
        <v>667</v>
      </c>
      <c r="K327" s="188" t="s">
        <v>338</v>
      </c>
      <c r="L327" s="188" t="s">
        <v>1183</v>
      </c>
      <c r="M327" s="192">
        <f t="shared" si="15"/>
        <v>19</v>
      </c>
      <c r="N327" s="193">
        <f t="shared" si="16"/>
        <v>0.53382991930477963</v>
      </c>
      <c r="O327" s="194">
        <f t="shared" si="17"/>
        <v>2.8096311542356821E-2</v>
      </c>
    </row>
    <row r="328" spans="1:15" ht="12.75" customHeight="1">
      <c r="A328" s="188" t="s">
        <v>620</v>
      </c>
      <c r="B328" s="188" t="s">
        <v>621</v>
      </c>
      <c r="C328" s="188" t="s">
        <v>622</v>
      </c>
      <c r="D328" s="188" t="s">
        <v>1184</v>
      </c>
      <c r="E328" s="189">
        <v>39247</v>
      </c>
      <c r="F328" s="190">
        <v>329</v>
      </c>
      <c r="G328" s="190">
        <v>0</v>
      </c>
      <c r="H328" s="191">
        <v>374.99</v>
      </c>
      <c r="I328" s="191">
        <v>115</v>
      </c>
      <c r="J328" s="188" t="s">
        <v>715</v>
      </c>
      <c r="K328" s="188" t="s">
        <v>338</v>
      </c>
      <c r="L328" s="188" t="s">
        <v>1185</v>
      </c>
      <c r="M328" s="192">
        <f t="shared" si="15"/>
        <v>29</v>
      </c>
      <c r="N328" s="193">
        <f t="shared" si="16"/>
        <v>0.8151956521739131</v>
      </c>
      <c r="O328" s="194">
        <f t="shared" si="17"/>
        <v>2.8110194902548728E-2</v>
      </c>
    </row>
    <row r="329" spans="1:15" ht="12.75" customHeight="1">
      <c r="A329" s="188" t="s">
        <v>620</v>
      </c>
      <c r="B329" s="188" t="s">
        <v>621</v>
      </c>
      <c r="C329" s="188" t="s">
        <v>622</v>
      </c>
      <c r="D329" s="188" t="s">
        <v>1186</v>
      </c>
      <c r="E329" s="189">
        <v>39513</v>
      </c>
      <c r="F329" s="190">
        <v>815</v>
      </c>
      <c r="G329" s="190">
        <v>0</v>
      </c>
      <c r="H329" s="191">
        <v>804.02</v>
      </c>
      <c r="I329" s="191">
        <v>286</v>
      </c>
      <c r="J329" s="188" t="s">
        <v>652</v>
      </c>
      <c r="K329" s="188" t="s">
        <v>338</v>
      </c>
      <c r="L329" s="188" t="s">
        <v>990</v>
      </c>
      <c r="M329" s="192">
        <f t="shared" si="15"/>
        <v>25</v>
      </c>
      <c r="N329" s="193">
        <f t="shared" si="16"/>
        <v>0.70281468531468527</v>
      </c>
      <c r="O329" s="194">
        <f t="shared" si="17"/>
        <v>2.811258741258741E-2</v>
      </c>
    </row>
    <row r="330" spans="1:15" ht="12.75" customHeight="1">
      <c r="A330" s="188" t="s">
        <v>620</v>
      </c>
      <c r="B330" s="188" t="s">
        <v>621</v>
      </c>
      <c r="C330" s="188" t="s">
        <v>622</v>
      </c>
      <c r="D330" s="188" t="s">
        <v>1187</v>
      </c>
      <c r="E330" s="189">
        <v>39366</v>
      </c>
      <c r="F330" s="190">
        <v>787</v>
      </c>
      <c r="G330" s="190">
        <v>0</v>
      </c>
      <c r="H330" s="191">
        <v>930.16</v>
      </c>
      <c r="I330" s="191">
        <v>275</v>
      </c>
      <c r="J330" s="188" t="s">
        <v>652</v>
      </c>
      <c r="K330" s="188" t="s">
        <v>549</v>
      </c>
      <c r="L330" s="188" t="s">
        <v>557</v>
      </c>
      <c r="M330" s="192">
        <f t="shared" si="15"/>
        <v>30</v>
      </c>
      <c r="N330" s="193">
        <f t="shared" si="16"/>
        <v>0.84560000000000002</v>
      </c>
      <c r="O330" s="194">
        <f t="shared" si="17"/>
        <v>2.8186666666666669E-2</v>
      </c>
    </row>
    <row r="331" spans="1:15" ht="12.75" customHeight="1">
      <c r="A331" s="188" t="s">
        <v>620</v>
      </c>
      <c r="B331" s="188" t="s">
        <v>621</v>
      </c>
      <c r="C331" s="188" t="s">
        <v>622</v>
      </c>
      <c r="D331" s="188" t="s">
        <v>1188</v>
      </c>
      <c r="E331" s="189">
        <v>39507</v>
      </c>
      <c r="F331" s="190">
        <v>680</v>
      </c>
      <c r="G331" s="190">
        <v>0</v>
      </c>
      <c r="H331" s="191">
        <v>857.73</v>
      </c>
      <c r="I331" s="191">
        <v>237.5</v>
      </c>
      <c r="J331" s="188" t="s">
        <v>879</v>
      </c>
      <c r="K331" s="188" t="s">
        <v>648</v>
      </c>
      <c r="L331" s="188" t="s">
        <v>1164</v>
      </c>
      <c r="M331" s="192">
        <f t="shared" si="15"/>
        <v>32</v>
      </c>
      <c r="N331" s="193">
        <f t="shared" si="16"/>
        <v>0.90287368421052638</v>
      </c>
      <c r="O331" s="194">
        <f t="shared" si="17"/>
        <v>2.8214802631578949E-2</v>
      </c>
    </row>
    <row r="332" spans="1:15" ht="12.75" customHeight="1">
      <c r="A332" s="188" t="s">
        <v>620</v>
      </c>
      <c r="B332" s="188" t="s">
        <v>621</v>
      </c>
      <c r="C332" s="188" t="s">
        <v>622</v>
      </c>
      <c r="D332" s="188" t="s">
        <v>1189</v>
      </c>
      <c r="E332" s="189">
        <v>39507</v>
      </c>
      <c r="F332" s="190">
        <v>840</v>
      </c>
      <c r="G332" s="190">
        <v>0</v>
      </c>
      <c r="H332" s="191">
        <v>632</v>
      </c>
      <c r="I332" s="191">
        <v>294</v>
      </c>
      <c r="J332" s="188" t="s">
        <v>667</v>
      </c>
      <c r="K332" s="188" t="s">
        <v>338</v>
      </c>
      <c r="L332" s="188" t="s">
        <v>1190</v>
      </c>
      <c r="M332" s="192">
        <f t="shared" si="15"/>
        <v>19</v>
      </c>
      <c r="N332" s="193">
        <f t="shared" si="16"/>
        <v>0.5374149659863946</v>
      </c>
      <c r="O332" s="194">
        <f t="shared" si="17"/>
        <v>2.8284998209810241E-2</v>
      </c>
    </row>
    <row r="333" spans="1:15" ht="12.75" customHeight="1">
      <c r="A333" s="188" t="s">
        <v>620</v>
      </c>
      <c r="B333" s="188" t="s">
        <v>621</v>
      </c>
      <c r="C333" s="188" t="s">
        <v>622</v>
      </c>
      <c r="D333" s="188" t="s">
        <v>1191</v>
      </c>
      <c r="E333" s="189">
        <v>39485</v>
      </c>
      <c r="F333" s="190">
        <v>1544</v>
      </c>
      <c r="G333" s="190">
        <v>0</v>
      </c>
      <c r="H333" s="191">
        <v>1161</v>
      </c>
      <c r="I333" s="191">
        <v>540</v>
      </c>
      <c r="J333" s="188" t="s">
        <v>667</v>
      </c>
      <c r="K333" s="188" t="s">
        <v>338</v>
      </c>
      <c r="L333" s="188" t="s">
        <v>494</v>
      </c>
      <c r="M333" s="192">
        <f t="shared" si="15"/>
        <v>19</v>
      </c>
      <c r="N333" s="193">
        <f t="shared" si="16"/>
        <v>0.53749999999999998</v>
      </c>
      <c r="O333" s="194">
        <f t="shared" si="17"/>
        <v>2.8289473684210524E-2</v>
      </c>
    </row>
    <row r="334" spans="1:15" ht="12.75" customHeight="1">
      <c r="A334" s="188" t="s">
        <v>620</v>
      </c>
      <c r="B334" s="188" t="s">
        <v>621</v>
      </c>
      <c r="C334" s="188" t="s">
        <v>622</v>
      </c>
      <c r="D334" s="188" t="s">
        <v>1192</v>
      </c>
      <c r="E334" s="189">
        <v>39447</v>
      </c>
      <c r="F334" s="190">
        <v>626</v>
      </c>
      <c r="G334" s="190">
        <v>0</v>
      </c>
      <c r="H334" s="191">
        <v>570</v>
      </c>
      <c r="I334" s="191">
        <v>219</v>
      </c>
      <c r="J334" s="188" t="s">
        <v>571</v>
      </c>
      <c r="K334" s="188" t="s">
        <v>338</v>
      </c>
      <c r="L334" s="188" t="s">
        <v>1193</v>
      </c>
      <c r="M334" s="192">
        <f t="shared" si="15"/>
        <v>23</v>
      </c>
      <c r="N334" s="193">
        <f t="shared" si="16"/>
        <v>0.65068493150684936</v>
      </c>
      <c r="O334" s="194">
        <f t="shared" si="17"/>
        <v>2.8290649195949973E-2</v>
      </c>
    </row>
    <row r="335" spans="1:15" ht="12.75" customHeight="1">
      <c r="A335" s="188" t="s">
        <v>620</v>
      </c>
      <c r="B335" s="188" t="s">
        <v>621</v>
      </c>
      <c r="C335" s="188" t="s">
        <v>622</v>
      </c>
      <c r="D335" s="188" t="s">
        <v>1194</v>
      </c>
      <c r="E335" s="189">
        <v>39226</v>
      </c>
      <c r="F335" s="190">
        <v>1158</v>
      </c>
      <c r="G335" s="190">
        <v>0</v>
      </c>
      <c r="H335" s="191">
        <v>1754.95</v>
      </c>
      <c r="I335" s="191">
        <v>405</v>
      </c>
      <c r="J335" s="188" t="s">
        <v>624</v>
      </c>
      <c r="K335" s="188" t="s">
        <v>338</v>
      </c>
      <c r="L335" s="188" t="s">
        <v>1195</v>
      </c>
      <c r="M335" s="192">
        <f t="shared" si="15"/>
        <v>38</v>
      </c>
      <c r="N335" s="193">
        <f t="shared" si="16"/>
        <v>1.0833024691358024</v>
      </c>
      <c r="O335" s="194">
        <f t="shared" si="17"/>
        <v>2.8507959714100063E-2</v>
      </c>
    </row>
    <row r="336" spans="1:15" ht="12.75" customHeight="1">
      <c r="A336" s="188" t="s">
        <v>620</v>
      </c>
      <c r="B336" s="188" t="s">
        <v>621</v>
      </c>
      <c r="C336" s="188" t="s">
        <v>622</v>
      </c>
      <c r="D336" s="188" t="s">
        <v>1196</v>
      </c>
      <c r="E336" s="189">
        <v>39485</v>
      </c>
      <c r="F336" s="190">
        <v>358</v>
      </c>
      <c r="G336" s="190">
        <v>0</v>
      </c>
      <c r="H336" s="191">
        <v>385</v>
      </c>
      <c r="I336" s="191">
        <v>125</v>
      </c>
      <c r="J336" s="188" t="s">
        <v>639</v>
      </c>
      <c r="K336" s="188" t="s">
        <v>338</v>
      </c>
      <c r="L336" s="188" t="s">
        <v>858</v>
      </c>
      <c r="M336" s="192">
        <f t="shared" si="15"/>
        <v>27</v>
      </c>
      <c r="N336" s="193">
        <f t="shared" si="16"/>
        <v>0.77</v>
      </c>
      <c r="O336" s="194">
        <f t="shared" si="17"/>
        <v>2.8518518518518519E-2</v>
      </c>
    </row>
    <row r="337" spans="1:15" ht="12.75" customHeight="1">
      <c r="A337" s="188" t="s">
        <v>620</v>
      </c>
      <c r="B337" s="188" t="s">
        <v>621</v>
      </c>
      <c r="C337" s="188" t="s">
        <v>622</v>
      </c>
      <c r="D337" s="188" t="s">
        <v>1197</v>
      </c>
      <c r="E337" s="189">
        <v>39373</v>
      </c>
      <c r="F337" s="190">
        <v>572</v>
      </c>
      <c r="G337" s="190">
        <v>0</v>
      </c>
      <c r="H337" s="191">
        <v>571.04</v>
      </c>
      <c r="I337" s="191">
        <v>200</v>
      </c>
      <c r="J337" s="188" t="s">
        <v>652</v>
      </c>
      <c r="K337" s="188" t="s">
        <v>338</v>
      </c>
      <c r="L337" s="188" t="s">
        <v>752</v>
      </c>
      <c r="M337" s="192">
        <f t="shared" si="15"/>
        <v>25</v>
      </c>
      <c r="N337" s="193">
        <f t="shared" si="16"/>
        <v>0.71379999999999999</v>
      </c>
      <c r="O337" s="194">
        <f t="shared" si="17"/>
        <v>2.8552000000000001E-2</v>
      </c>
    </row>
    <row r="338" spans="1:15" ht="12.75" customHeight="1">
      <c r="A338" s="188" t="s">
        <v>620</v>
      </c>
      <c r="B338" s="188" t="s">
        <v>621</v>
      </c>
      <c r="C338" s="188" t="s">
        <v>622</v>
      </c>
      <c r="D338" s="188" t="s">
        <v>1198</v>
      </c>
      <c r="E338" s="189">
        <v>39611</v>
      </c>
      <c r="F338" s="190">
        <v>285</v>
      </c>
      <c r="G338" s="190">
        <v>0</v>
      </c>
      <c r="H338" s="191">
        <v>240</v>
      </c>
      <c r="I338" s="191">
        <v>100</v>
      </c>
      <c r="J338" s="188" t="s">
        <v>879</v>
      </c>
      <c r="K338" s="188" t="s">
        <v>338</v>
      </c>
      <c r="L338" s="188" t="s">
        <v>910</v>
      </c>
      <c r="M338" s="192">
        <f t="shared" si="15"/>
        <v>21</v>
      </c>
      <c r="N338" s="193">
        <f t="shared" si="16"/>
        <v>0.6</v>
      </c>
      <c r="O338" s="194">
        <f t="shared" si="17"/>
        <v>2.8571428571428571E-2</v>
      </c>
    </row>
    <row r="339" spans="1:15" ht="12.75" customHeight="1">
      <c r="A339" s="188" t="s">
        <v>620</v>
      </c>
      <c r="B339" s="188" t="s">
        <v>621</v>
      </c>
      <c r="C339" s="188" t="s">
        <v>622</v>
      </c>
      <c r="D339" s="188" t="s">
        <v>1199</v>
      </c>
      <c r="E339" s="189">
        <v>39618</v>
      </c>
      <c r="F339" s="190">
        <v>1092</v>
      </c>
      <c r="G339" s="190">
        <v>0</v>
      </c>
      <c r="H339" s="191">
        <v>1534</v>
      </c>
      <c r="I339" s="191">
        <v>383.5</v>
      </c>
      <c r="J339" s="188" t="s">
        <v>829</v>
      </c>
      <c r="K339" s="188" t="s">
        <v>338</v>
      </c>
      <c r="L339" s="188" t="s">
        <v>1200</v>
      </c>
      <c r="M339" s="192">
        <f t="shared" si="15"/>
        <v>35</v>
      </c>
      <c r="N339" s="193">
        <f t="shared" si="16"/>
        <v>1</v>
      </c>
      <c r="O339" s="194">
        <f t="shared" si="17"/>
        <v>2.8571428571428571E-2</v>
      </c>
    </row>
    <row r="340" spans="1:15" ht="12.75" customHeight="1">
      <c r="A340" s="188" t="s">
        <v>620</v>
      </c>
      <c r="B340" s="188" t="s">
        <v>621</v>
      </c>
      <c r="C340" s="188" t="s">
        <v>622</v>
      </c>
      <c r="D340" s="188" t="s">
        <v>1201</v>
      </c>
      <c r="E340" s="189">
        <v>39499</v>
      </c>
      <c r="F340" s="190">
        <v>906</v>
      </c>
      <c r="G340" s="190">
        <v>0</v>
      </c>
      <c r="H340" s="191">
        <v>945</v>
      </c>
      <c r="I340" s="191">
        <v>317</v>
      </c>
      <c r="J340" s="188" t="s">
        <v>560</v>
      </c>
      <c r="K340" s="188" t="s">
        <v>631</v>
      </c>
      <c r="L340" s="188" t="s">
        <v>999</v>
      </c>
      <c r="M340" s="192">
        <f t="shared" si="15"/>
        <v>26</v>
      </c>
      <c r="N340" s="193">
        <f t="shared" si="16"/>
        <v>0.74526813880126186</v>
      </c>
      <c r="O340" s="194">
        <f t="shared" si="17"/>
        <v>2.8664159184663918E-2</v>
      </c>
    </row>
    <row r="341" spans="1:15" ht="12.75" customHeight="1">
      <c r="A341" s="188" t="s">
        <v>620</v>
      </c>
      <c r="B341" s="188" t="s">
        <v>621</v>
      </c>
      <c r="C341" s="188" t="s">
        <v>622</v>
      </c>
      <c r="D341" s="188" t="s">
        <v>1202</v>
      </c>
      <c r="E341" s="189">
        <v>39625</v>
      </c>
      <c r="F341" s="190">
        <v>718</v>
      </c>
      <c r="G341" s="190">
        <v>0</v>
      </c>
      <c r="H341" s="191">
        <v>700</v>
      </c>
      <c r="I341" s="191">
        <v>252</v>
      </c>
      <c r="J341" s="188" t="s">
        <v>1052</v>
      </c>
      <c r="K341" s="188" t="s">
        <v>338</v>
      </c>
      <c r="L341" s="188" t="s">
        <v>736</v>
      </c>
      <c r="M341" s="192">
        <f t="shared" si="15"/>
        <v>24</v>
      </c>
      <c r="N341" s="193">
        <f t="shared" si="16"/>
        <v>0.69444444444444442</v>
      </c>
      <c r="O341" s="194">
        <f t="shared" si="17"/>
        <v>2.8935185185185185E-2</v>
      </c>
    </row>
    <row r="342" spans="1:15" ht="12.75" customHeight="1">
      <c r="A342" s="188" t="s">
        <v>620</v>
      </c>
      <c r="B342" s="188" t="s">
        <v>621</v>
      </c>
      <c r="C342" s="188" t="s">
        <v>622</v>
      </c>
      <c r="D342" s="188" t="s">
        <v>1203</v>
      </c>
      <c r="E342" s="189">
        <v>39331</v>
      </c>
      <c r="F342" s="190">
        <v>930</v>
      </c>
      <c r="G342" s="190">
        <v>0</v>
      </c>
      <c r="H342" s="191">
        <v>1102.01</v>
      </c>
      <c r="I342" s="191">
        <v>325</v>
      </c>
      <c r="J342" s="188" t="s">
        <v>715</v>
      </c>
      <c r="K342" s="188" t="s">
        <v>338</v>
      </c>
      <c r="L342" s="188" t="s">
        <v>699</v>
      </c>
      <c r="M342" s="192">
        <f t="shared" si="15"/>
        <v>29</v>
      </c>
      <c r="N342" s="193">
        <f t="shared" si="16"/>
        <v>0.84770000000000001</v>
      </c>
      <c r="O342" s="194">
        <f t="shared" si="17"/>
        <v>2.9231034482758621E-2</v>
      </c>
    </row>
    <row r="343" spans="1:15" ht="12.75" customHeight="1">
      <c r="A343" s="188" t="s">
        <v>620</v>
      </c>
      <c r="B343" s="188" t="s">
        <v>621</v>
      </c>
      <c r="C343" s="188" t="s">
        <v>622</v>
      </c>
      <c r="D343" s="188" t="s">
        <v>1204</v>
      </c>
      <c r="E343" s="189">
        <v>39429</v>
      </c>
      <c r="F343" s="190">
        <v>1216</v>
      </c>
      <c r="G343" s="190">
        <v>0</v>
      </c>
      <c r="H343" s="191">
        <v>1301.77</v>
      </c>
      <c r="I343" s="191">
        <v>425</v>
      </c>
      <c r="J343" s="188" t="s">
        <v>361</v>
      </c>
      <c r="K343" s="188" t="s">
        <v>338</v>
      </c>
      <c r="L343" s="188" t="s">
        <v>833</v>
      </c>
      <c r="M343" s="192">
        <f t="shared" si="15"/>
        <v>26</v>
      </c>
      <c r="N343" s="193">
        <f t="shared" si="16"/>
        <v>0.76574705882352945</v>
      </c>
      <c r="O343" s="194">
        <f t="shared" si="17"/>
        <v>2.9451809954751131E-2</v>
      </c>
    </row>
    <row r="344" spans="1:15" ht="12.75" customHeight="1">
      <c r="A344" s="188" t="s">
        <v>620</v>
      </c>
      <c r="B344" s="188" t="s">
        <v>621</v>
      </c>
      <c r="C344" s="188" t="s">
        <v>622</v>
      </c>
      <c r="D344" s="188" t="s">
        <v>1205</v>
      </c>
      <c r="E344" s="189">
        <v>39618</v>
      </c>
      <c r="F344" s="190">
        <v>962</v>
      </c>
      <c r="G344" s="190">
        <v>0</v>
      </c>
      <c r="H344" s="191">
        <v>995</v>
      </c>
      <c r="I344" s="191">
        <v>337.5</v>
      </c>
      <c r="J344" s="188" t="s">
        <v>652</v>
      </c>
      <c r="K344" s="188" t="s">
        <v>338</v>
      </c>
      <c r="L344" s="188" t="s">
        <v>707</v>
      </c>
      <c r="M344" s="192">
        <f t="shared" si="15"/>
        <v>25</v>
      </c>
      <c r="N344" s="193">
        <f t="shared" si="16"/>
        <v>0.73703703703703705</v>
      </c>
      <c r="O344" s="194">
        <f t="shared" si="17"/>
        <v>2.9481481481481484E-2</v>
      </c>
    </row>
    <row r="345" spans="1:15" ht="12.75" customHeight="1">
      <c r="A345" s="188" t="s">
        <v>620</v>
      </c>
      <c r="B345" s="188" t="s">
        <v>621</v>
      </c>
      <c r="C345" s="188" t="s">
        <v>622</v>
      </c>
      <c r="D345" s="188" t="s">
        <v>1206</v>
      </c>
      <c r="E345" s="189">
        <v>39632</v>
      </c>
      <c r="F345" s="190">
        <v>1691</v>
      </c>
      <c r="G345" s="190">
        <v>0</v>
      </c>
      <c r="H345" s="191">
        <v>1900</v>
      </c>
      <c r="I345" s="191">
        <v>593.75</v>
      </c>
      <c r="J345" s="188" t="s">
        <v>639</v>
      </c>
      <c r="K345" s="188" t="s">
        <v>338</v>
      </c>
      <c r="L345" s="188" t="s">
        <v>1207</v>
      </c>
      <c r="M345" s="192">
        <f t="shared" si="15"/>
        <v>27</v>
      </c>
      <c r="N345" s="193">
        <f t="shared" si="16"/>
        <v>0.8</v>
      </c>
      <c r="O345" s="194">
        <f t="shared" si="17"/>
        <v>2.9629629629629631E-2</v>
      </c>
    </row>
    <row r="346" spans="1:15" ht="12.75" customHeight="1">
      <c r="A346" s="188" t="s">
        <v>620</v>
      </c>
      <c r="B346" s="188" t="s">
        <v>621</v>
      </c>
      <c r="C346" s="188" t="s">
        <v>622</v>
      </c>
      <c r="D346" s="188" t="s">
        <v>1208</v>
      </c>
      <c r="E346" s="189">
        <v>39303</v>
      </c>
      <c r="F346" s="190">
        <v>715</v>
      </c>
      <c r="G346" s="190">
        <v>0</v>
      </c>
      <c r="H346" s="191">
        <v>630</v>
      </c>
      <c r="I346" s="191">
        <v>250</v>
      </c>
      <c r="J346" s="188" t="s">
        <v>879</v>
      </c>
      <c r="K346" s="188" t="s">
        <v>338</v>
      </c>
      <c r="L346" s="188" t="s">
        <v>636</v>
      </c>
      <c r="M346" s="192">
        <f t="shared" si="15"/>
        <v>21</v>
      </c>
      <c r="N346" s="193">
        <f t="shared" si="16"/>
        <v>0.63</v>
      </c>
      <c r="O346" s="194">
        <f t="shared" si="17"/>
        <v>0.03</v>
      </c>
    </row>
    <row r="347" spans="1:15" ht="12.75" customHeight="1">
      <c r="A347" s="188" t="s">
        <v>620</v>
      </c>
      <c r="B347" s="188" t="s">
        <v>621</v>
      </c>
      <c r="C347" s="188" t="s">
        <v>622</v>
      </c>
      <c r="D347" s="188" t="s">
        <v>1209</v>
      </c>
      <c r="E347" s="189">
        <v>39345</v>
      </c>
      <c r="F347" s="190">
        <v>1190</v>
      </c>
      <c r="G347" s="190">
        <v>0</v>
      </c>
      <c r="H347" s="191">
        <v>1250</v>
      </c>
      <c r="I347" s="191">
        <v>416</v>
      </c>
      <c r="J347" s="188" t="s">
        <v>624</v>
      </c>
      <c r="K347" s="188" t="s">
        <v>427</v>
      </c>
      <c r="L347" s="188" t="s">
        <v>1210</v>
      </c>
      <c r="M347" s="192">
        <f t="shared" si="15"/>
        <v>25</v>
      </c>
      <c r="N347" s="193">
        <f t="shared" si="16"/>
        <v>0.75120192307692313</v>
      </c>
      <c r="O347" s="194">
        <f t="shared" si="17"/>
        <v>3.0048076923076924E-2</v>
      </c>
    </row>
    <row r="348" spans="1:15" ht="12.75" customHeight="1">
      <c r="A348" s="188" t="s">
        <v>620</v>
      </c>
      <c r="B348" s="188" t="s">
        <v>621</v>
      </c>
      <c r="C348" s="188" t="s">
        <v>622</v>
      </c>
      <c r="D348" s="188" t="s">
        <v>1211</v>
      </c>
      <c r="E348" s="189">
        <v>39345</v>
      </c>
      <c r="F348" s="190">
        <v>1190</v>
      </c>
      <c r="G348" s="190">
        <v>0</v>
      </c>
      <c r="H348" s="191">
        <v>1250</v>
      </c>
      <c r="I348" s="191">
        <v>416</v>
      </c>
      <c r="J348" s="188" t="s">
        <v>624</v>
      </c>
      <c r="K348" s="188" t="s">
        <v>427</v>
      </c>
      <c r="L348" s="188" t="s">
        <v>1210</v>
      </c>
      <c r="M348" s="192">
        <f t="shared" si="15"/>
        <v>25</v>
      </c>
      <c r="N348" s="193">
        <f t="shared" si="16"/>
        <v>0.75120192307692313</v>
      </c>
      <c r="O348" s="194">
        <f t="shared" si="17"/>
        <v>3.0048076923076924E-2</v>
      </c>
    </row>
    <row r="349" spans="1:15" ht="12.75" customHeight="1">
      <c r="A349" s="188" t="s">
        <v>620</v>
      </c>
      <c r="B349" s="188" t="s">
        <v>621</v>
      </c>
      <c r="C349" s="188" t="s">
        <v>622</v>
      </c>
      <c r="D349" s="188" t="s">
        <v>1212</v>
      </c>
      <c r="E349" s="189">
        <v>39366</v>
      </c>
      <c r="F349" s="190">
        <v>629</v>
      </c>
      <c r="G349" s="190">
        <v>0</v>
      </c>
      <c r="H349" s="191">
        <v>795</v>
      </c>
      <c r="I349" s="191">
        <v>220</v>
      </c>
      <c r="J349" s="188" t="s">
        <v>635</v>
      </c>
      <c r="K349" s="188" t="s">
        <v>338</v>
      </c>
      <c r="L349" s="188" t="s">
        <v>1213</v>
      </c>
      <c r="M349" s="192">
        <f t="shared" si="15"/>
        <v>30</v>
      </c>
      <c r="N349" s="193">
        <f t="shared" si="16"/>
        <v>0.90340909090909094</v>
      </c>
      <c r="O349" s="194">
        <f t="shared" si="17"/>
        <v>3.0113636363636363E-2</v>
      </c>
    </row>
    <row r="350" spans="1:15" ht="12.75" customHeight="1">
      <c r="A350" s="188" t="s">
        <v>620</v>
      </c>
      <c r="B350" s="188" t="s">
        <v>621</v>
      </c>
      <c r="C350" s="188" t="s">
        <v>622</v>
      </c>
      <c r="D350" s="188" t="s">
        <v>1214</v>
      </c>
      <c r="E350" s="189">
        <v>39447</v>
      </c>
      <c r="F350" s="190">
        <v>715</v>
      </c>
      <c r="G350" s="190">
        <v>0</v>
      </c>
      <c r="H350" s="191">
        <v>757</v>
      </c>
      <c r="I350" s="191">
        <v>250</v>
      </c>
      <c r="J350" s="188" t="s">
        <v>652</v>
      </c>
      <c r="K350" s="188" t="s">
        <v>338</v>
      </c>
      <c r="L350" s="188" t="s">
        <v>636</v>
      </c>
      <c r="M350" s="192">
        <f t="shared" si="15"/>
        <v>25</v>
      </c>
      <c r="N350" s="193">
        <f t="shared" si="16"/>
        <v>0.75700000000000001</v>
      </c>
      <c r="O350" s="194">
        <f t="shared" si="17"/>
        <v>3.0280000000000001E-2</v>
      </c>
    </row>
    <row r="351" spans="1:15" ht="12.75" customHeight="1">
      <c r="A351" s="188" t="s">
        <v>620</v>
      </c>
      <c r="B351" s="188" t="s">
        <v>621</v>
      </c>
      <c r="C351" s="188" t="s">
        <v>622</v>
      </c>
      <c r="D351" s="188" t="s">
        <v>1215</v>
      </c>
      <c r="E351" s="189">
        <v>39282</v>
      </c>
      <c r="F351" s="190">
        <v>1223</v>
      </c>
      <c r="G351" s="190">
        <v>0</v>
      </c>
      <c r="H351" s="191">
        <v>1035.92</v>
      </c>
      <c r="I351" s="191">
        <v>427.5</v>
      </c>
      <c r="J351" s="188" t="s">
        <v>560</v>
      </c>
      <c r="K351" s="188" t="s">
        <v>338</v>
      </c>
      <c r="L351" s="188" t="s">
        <v>462</v>
      </c>
      <c r="M351" s="192">
        <f t="shared" si="15"/>
        <v>20</v>
      </c>
      <c r="N351" s="193">
        <f t="shared" si="16"/>
        <v>0.60580116959064334</v>
      </c>
      <c r="O351" s="194">
        <f t="shared" si="17"/>
        <v>3.0290058479532166E-2</v>
      </c>
    </row>
    <row r="352" spans="1:15" ht="12.75" customHeight="1">
      <c r="A352" s="188" t="s">
        <v>620</v>
      </c>
      <c r="B352" s="188" t="s">
        <v>621</v>
      </c>
      <c r="C352" s="188" t="s">
        <v>622</v>
      </c>
      <c r="D352" s="188" t="s">
        <v>1216</v>
      </c>
      <c r="E352" s="189">
        <v>39247</v>
      </c>
      <c r="F352" s="190">
        <v>607</v>
      </c>
      <c r="G352" s="190">
        <v>0</v>
      </c>
      <c r="H352" s="191">
        <v>644.98</v>
      </c>
      <c r="I352" s="191">
        <v>212.5</v>
      </c>
      <c r="J352" s="188" t="s">
        <v>652</v>
      </c>
      <c r="K352" s="188" t="s">
        <v>338</v>
      </c>
      <c r="L352" s="188" t="s">
        <v>1170</v>
      </c>
      <c r="M352" s="192">
        <f t="shared" si="15"/>
        <v>25</v>
      </c>
      <c r="N352" s="193">
        <f t="shared" si="16"/>
        <v>0.75880000000000003</v>
      </c>
      <c r="O352" s="194">
        <f t="shared" si="17"/>
        <v>3.0352000000000001E-2</v>
      </c>
    </row>
    <row r="353" spans="1:15" ht="12.75" customHeight="1">
      <c r="A353" s="188" t="s">
        <v>620</v>
      </c>
      <c r="B353" s="188" t="s">
        <v>621</v>
      </c>
      <c r="C353" s="188" t="s">
        <v>622</v>
      </c>
      <c r="D353" s="188" t="s">
        <v>1217</v>
      </c>
      <c r="E353" s="189">
        <v>39447</v>
      </c>
      <c r="F353" s="190">
        <v>855</v>
      </c>
      <c r="G353" s="190">
        <v>0</v>
      </c>
      <c r="H353" s="191">
        <v>1089.56</v>
      </c>
      <c r="I353" s="191">
        <v>299</v>
      </c>
      <c r="J353" s="188" t="s">
        <v>635</v>
      </c>
      <c r="K353" s="188" t="s">
        <v>338</v>
      </c>
      <c r="L353" s="188" t="s">
        <v>812</v>
      </c>
      <c r="M353" s="192">
        <f t="shared" si="15"/>
        <v>30</v>
      </c>
      <c r="N353" s="193">
        <f t="shared" si="16"/>
        <v>0.91100334448160536</v>
      </c>
      <c r="O353" s="194">
        <f t="shared" si="17"/>
        <v>3.0366778149386844E-2</v>
      </c>
    </row>
    <row r="354" spans="1:15" ht="12.75" customHeight="1">
      <c r="A354" s="188" t="s">
        <v>620</v>
      </c>
      <c r="B354" s="188" t="s">
        <v>621</v>
      </c>
      <c r="C354" s="188" t="s">
        <v>622</v>
      </c>
      <c r="D354" s="188" t="s">
        <v>1218</v>
      </c>
      <c r="E354" s="189">
        <v>39240</v>
      </c>
      <c r="F354" s="190">
        <v>787</v>
      </c>
      <c r="G354" s="190">
        <v>0</v>
      </c>
      <c r="H354" s="191">
        <v>906.95</v>
      </c>
      <c r="I354" s="191">
        <v>275</v>
      </c>
      <c r="J354" s="188" t="s">
        <v>639</v>
      </c>
      <c r="K354" s="188" t="s">
        <v>338</v>
      </c>
      <c r="L354" s="188" t="s">
        <v>557</v>
      </c>
      <c r="M354" s="192">
        <f t="shared" si="15"/>
        <v>27</v>
      </c>
      <c r="N354" s="193">
        <f t="shared" si="16"/>
        <v>0.82450000000000001</v>
      </c>
      <c r="O354" s="194">
        <f t="shared" si="17"/>
        <v>3.0537037037037036E-2</v>
      </c>
    </row>
    <row r="355" spans="1:15" ht="12.75" customHeight="1">
      <c r="A355" s="188" t="s">
        <v>620</v>
      </c>
      <c r="B355" s="188" t="s">
        <v>621</v>
      </c>
      <c r="C355" s="188" t="s">
        <v>622</v>
      </c>
      <c r="D355" s="188" t="s">
        <v>1219</v>
      </c>
      <c r="E355" s="189">
        <v>39422</v>
      </c>
      <c r="F355" s="190">
        <v>966</v>
      </c>
      <c r="G355" s="190">
        <v>0</v>
      </c>
      <c r="H355" s="191">
        <v>866.32</v>
      </c>
      <c r="I355" s="191">
        <v>337.5</v>
      </c>
      <c r="J355" s="188" t="s">
        <v>879</v>
      </c>
      <c r="K355" s="188" t="s">
        <v>338</v>
      </c>
      <c r="L355" s="188" t="s">
        <v>707</v>
      </c>
      <c r="M355" s="192">
        <f t="shared" si="15"/>
        <v>21</v>
      </c>
      <c r="N355" s="193">
        <f t="shared" si="16"/>
        <v>0.64171851851851858</v>
      </c>
      <c r="O355" s="194">
        <f t="shared" si="17"/>
        <v>3.0558024691358026E-2</v>
      </c>
    </row>
    <row r="356" spans="1:15" ht="12.75" customHeight="1">
      <c r="A356" s="188" t="s">
        <v>620</v>
      </c>
      <c r="B356" s="188" t="s">
        <v>621</v>
      </c>
      <c r="C356" s="188" t="s">
        <v>622</v>
      </c>
      <c r="D356" s="188" t="s">
        <v>1220</v>
      </c>
      <c r="E356" s="189">
        <v>39282</v>
      </c>
      <c r="F356" s="190">
        <v>542</v>
      </c>
      <c r="G356" s="190">
        <v>0</v>
      </c>
      <c r="H356" s="191">
        <v>790.12</v>
      </c>
      <c r="I356" s="191">
        <v>189.75</v>
      </c>
      <c r="J356" s="188" t="s">
        <v>720</v>
      </c>
      <c r="K356" s="188" t="s">
        <v>338</v>
      </c>
      <c r="L356" s="188" t="s">
        <v>1221</v>
      </c>
      <c r="M356" s="192">
        <f t="shared" si="15"/>
        <v>34</v>
      </c>
      <c r="N356" s="193">
        <f t="shared" si="16"/>
        <v>1.0410013175230566</v>
      </c>
      <c r="O356" s="194">
        <f t="shared" si="17"/>
        <v>3.0617685809501666E-2</v>
      </c>
    </row>
    <row r="357" spans="1:15" ht="12.75" customHeight="1">
      <c r="A357" s="188" t="s">
        <v>620</v>
      </c>
      <c r="B357" s="188" t="s">
        <v>621</v>
      </c>
      <c r="C357" s="188" t="s">
        <v>622</v>
      </c>
      <c r="D357" s="188" t="s">
        <v>1222</v>
      </c>
      <c r="E357" s="189">
        <v>39447</v>
      </c>
      <c r="F357" s="190">
        <v>715</v>
      </c>
      <c r="G357" s="190">
        <v>0</v>
      </c>
      <c r="H357" s="191">
        <v>767</v>
      </c>
      <c r="I357" s="191">
        <v>250</v>
      </c>
      <c r="J357" s="188" t="s">
        <v>652</v>
      </c>
      <c r="K357" s="188" t="s">
        <v>338</v>
      </c>
      <c r="L357" s="188" t="s">
        <v>636</v>
      </c>
      <c r="M357" s="192">
        <f t="shared" si="15"/>
        <v>25</v>
      </c>
      <c r="N357" s="193">
        <f t="shared" si="16"/>
        <v>0.76700000000000002</v>
      </c>
      <c r="O357" s="194">
        <f t="shared" si="17"/>
        <v>3.0679999999999999E-2</v>
      </c>
    </row>
    <row r="358" spans="1:15" ht="12.75" customHeight="1">
      <c r="A358" s="188" t="s">
        <v>620</v>
      </c>
      <c r="B358" s="188" t="s">
        <v>621</v>
      </c>
      <c r="C358" s="188" t="s">
        <v>622</v>
      </c>
      <c r="D358" s="188" t="s">
        <v>1223</v>
      </c>
      <c r="E358" s="189">
        <v>39507</v>
      </c>
      <c r="F358" s="190">
        <v>1287</v>
      </c>
      <c r="G358" s="190">
        <v>0</v>
      </c>
      <c r="H358" s="191">
        <v>1112</v>
      </c>
      <c r="I358" s="191">
        <v>450</v>
      </c>
      <c r="J358" s="188" t="s">
        <v>560</v>
      </c>
      <c r="K358" s="188" t="s">
        <v>338</v>
      </c>
      <c r="L358" s="188" t="s">
        <v>718</v>
      </c>
      <c r="M358" s="192">
        <f t="shared" si="15"/>
        <v>20</v>
      </c>
      <c r="N358" s="193">
        <f t="shared" si="16"/>
        <v>0.61777777777777776</v>
      </c>
      <c r="O358" s="194">
        <f t="shared" si="17"/>
        <v>3.0888888888888889E-2</v>
      </c>
    </row>
    <row r="359" spans="1:15" ht="12.75" customHeight="1">
      <c r="A359" s="188" t="s">
        <v>620</v>
      </c>
      <c r="B359" s="188" t="s">
        <v>621</v>
      </c>
      <c r="C359" s="188" t="s">
        <v>622</v>
      </c>
      <c r="D359" s="188" t="s">
        <v>1224</v>
      </c>
      <c r="E359" s="189">
        <v>39269</v>
      </c>
      <c r="F359" s="190">
        <v>787</v>
      </c>
      <c r="G359" s="190">
        <v>0</v>
      </c>
      <c r="H359" s="191">
        <v>989.34</v>
      </c>
      <c r="I359" s="191">
        <v>275</v>
      </c>
      <c r="J359" s="188" t="s">
        <v>715</v>
      </c>
      <c r="K359" s="188" t="s">
        <v>338</v>
      </c>
      <c r="L359" s="188" t="s">
        <v>557</v>
      </c>
      <c r="M359" s="192">
        <f t="shared" si="15"/>
        <v>29</v>
      </c>
      <c r="N359" s="193">
        <f t="shared" si="16"/>
        <v>0.89939999999999998</v>
      </c>
      <c r="O359" s="194">
        <f t="shared" si="17"/>
        <v>3.1013793103448276E-2</v>
      </c>
    </row>
    <row r="360" spans="1:15" ht="12.75" customHeight="1">
      <c r="A360" s="188" t="s">
        <v>620</v>
      </c>
      <c r="B360" s="188" t="s">
        <v>621</v>
      </c>
      <c r="C360" s="188" t="s">
        <v>622</v>
      </c>
      <c r="D360" s="188" t="s">
        <v>1225</v>
      </c>
      <c r="E360" s="189">
        <v>39555</v>
      </c>
      <c r="F360" s="190">
        <v>878</v>
      </c>
      <c r="G360" s="190">
        <v>0</v>
      </c>
      <c r="H360" s="191">
        <v>805.2</v>
      </c>
      <c r="I360" s="191">
        <v>308.25</v>
      </c>
      <c r="J360" s="188" t="s">
        <v>879</v>
      </c>
      <c r="K360" s="188" t="s">
        <v>338</v>
      </c>
      <c r="L360" s="188" t="s">
        <v>1226</v>
      </c>
      <c r="M360" s="192">
        <f t="shared" si="15"/>
        <v>21</v>
      </c>
      <c r="N360" s="193">
        <f t="shared" si="16"/>
        <v>0.65304136253041367</v>
      </c>
      <c r="O360" s="194">
        <f t="shared" si="17"/>
        <v>3.1097207739543508E-2</v>
      </c>
    </row>
    <row r="361" spans="1:15" ht="12.75" customHeight="1">
      <c r="A361" s="188" t="s">
        <v>620</v>
      </c>
      <c r="B361" s="188" t="s">
        <v>621</v>
      </c>
      <c r="C361" s="188" t="s">
        <v>622</v>
      </c>
      <c r="D361" s="188" t="s">
        <v>1227</v>
      </c>
      <c r="E361" s="189">
        <v>39513</v>
      </c>
      <c r="F361" s="190">
        <v>1139</v>
      </c>
      <c r="G361" s="190">
        <v>0</v>
      </c>
      <c r="H361" s="191">
        <v>947</v>
      </c>
      <c r="I361" s="191">
        <v>400</v>
      </c>
      <c r="J361" s="188" t="s">
        <v>667</v>
      </c>
      <c r="K361" s="188" t="s">
        <v>338</v>
      </c>
      <c r="L361" s="188" t="s">
        <v>625</v>
      </c>
      <c r="M361" s="192">
        <f t="shared" si="15"/>
        <v>19</v>
      </c>
      <c r="N361" s="193">
        <f t="shared" si="16"/>
        <v>0.59187500000000004</v>
      </c>
      <c r="O361" s="194">
        <f t="shared" si="17"/>
        <v>3.1151315789473687E-2</v>
      </c>
    </row>
    <row r="362" spans="1:15" ht="12.75" customHeight="1">
      <c r="A362" s="188" t="s">
        <v>620</v>
      </c>
      <c r="B362" s="188" t="s">
        <v>621</v>
      </c>
      <c r="C362" s="188" t="s">
        <v>622</v>
      </c>
      <c r="D362" s="188" t="s">
        <v>1228</v>
      </c>
      <c r="E362" s="189">
        <v>39380</v>
      </c>
      <c r="F362" s="190">
        <v>2134</v>
      </c>
      <c r="G362" s="190">
        <v>0</v>
      </c>
      <c r="H362" s="191">
        <v>2140</v>
      </c>
      <c r="I362" s="191">
        <v>746</v>
      </c>
      <c r="J362" s="188" t="s">
        <v>571</v>
      </c>
      <c r="K362" s="188" t="s">
        <v>338</v>
      </c>
      <c r="L362" s="188" t="s">
        <v>1229</v>
      </c>
      <c r="M362" s="192">
        <f t="shared" si="15"/>
        <v>23</v>
      </c>
      <c r="N362" s="193">
        <f t="shared" si="16"/>
        <v>0.71715817694369977</v>
      </c>
      <c r="O362" s="194">
        <f t="shared" si="17"/>
        <v>3.1180790301899991E-2</v>
      </c>
    </row>
    <row r="363" spans="1:15" ht="12.75" customHeight="1">
      <c r="A363" s="188" t="s">
        <v>620</v>
      </c>
      <c r="B363" s="188" t="s">
        <v>621</v>
      </c>
      <c r="C363" s="188" t="s">
        <v>622</v>
      </c>
      <c r="D363" s="188" t="s">
        <v>1230</v>
      </c>
      <c r="E363" s="189">
        <v>39576</v>
      </c>
      <c r="F363" s="190">
        <v>312</v>
      </c>
      <c r="G363" s="190">
        <v>0</v>
      </c>
      <c r="H363" s="191">
        <v>383</v>
      </c>
      <c r="I363" s="191">
        <v>109.5</v>
      </c>
      <c r="J363" s="188" t="s">
        <v>750</v>
      </c>
      <c r="K363" s="188" t="s">
        <v>338</v>
      </c>
      <c r="L363" s="188" t="s">
        <v>1231</v>
      </c>
      <c r="M363" s="192">
        <f t="shared" si="15"/>
        <v>28</v>
      </c>
      <c r="N363" s="193">
        <f t="shared" si="16"/>
        <v>0.87442922374429222</v>
      </c>
      <c r="O363" s="194">
        <f t="shared" si="17"/>
        <v>3.1229615133724721E-2</v>
      </c>
    </row>
    <row r="364" spans="1:15" ht="12.75" customHeight="1">
      <c r="A364" s="188" t="s">
        <v>620</v>
      </c>
      <c r="B364" s="188" t="s">
        <v>621</v>
      </c>
      <c r="C364" s="188" t="s">
        <v>622</v>
      </c>
      <c r="D364" s="188" t="s">
        <v>1232</v>
      </c>
      <c r="E364" s="189">
        <v>39513</v>
      </c>
      <c r="F364" s="190">
        <v>669</v>
      </c>
      <c r="G364" s="190">
        <v>0</v>
      </c>
      <c r="H364" s="191">
        <v>598</v>
      </c>
      <c r="I364" s="191">
        <v>235</v>
      </c>
      <c r="J364" s="188" t="s">
        <v>560</v>
      </c>
      <c r="K364" s="188" t="s">
        <v>338</v>
      </c>
      <c r="L364" s="188" t="s">
        <v>810</v>
      </c>
      <c r="M364" s="192">
        <f t="shared" si="15"/>
        <v>20</v>
      </c>
      <c r="N364" s="193">
        <f t="shared" si="16"/>
        <v>0.63617021276595742</v>
      </c>
      <c r="O364" s="194">
        <f t="shared" si="17"/>
        <v>3.1808510638297871E-2</v>
      </c>
    </row>
    <row r="365" spans="1:15" ht="12.75" customHeight="1">
      <c r="A365" s="188" t="s">
        <v>620</v>
      </c>
      <c r="B365" s="188" t="s">
        <v>621</v>
      </c>
      <c r="C365" s="188" t="s">
        <v>622</v>
      </c>
      <c r="D365" s="188" t="s">
        <v>1233</v>
      </c>
      <c r="E365" s="189">
        <v>39590</v>
      </c>
      <c r="F365" s="190">
        <v>997</v>
      </c>
      <c r="G365" s="190">
        <v>0</v>
      </c>
      <c r="H365" s="191">
        <v>1250</v>
      </c>
      <c r="I365" s="191">
        <v>350</v>
      </c>
      <c r="J365" s="188" t="s">
        <v>750</v>
      </c>
      <c r="K365" s="188" t="s">
        <v>338</v>
      </c>
      <c r="L365" s="188" t="s">
        <v>754</v>
      </c>
      <c r="M365" s="192">
        <f t="shared" si="15"/>
        <v>28</v>
      </c>
      <c r="N365" s="193">
        <f t="shared" si="16"/>
        <v>0.8928571428571429</v>
      </c>
      <c r="O365" s="194">
        <f t="shared" si="17"/>
        <v>3.1887755102040817E-2</v>
      </c>
    </row>
    <row r="366" spans="1:15" ht="12.75" customHeight="1">
      <c r="A366" s="188" t="s">
        <v>620</v>
      </c>
      <c r="B366" s="188" t="s">
        <v>621</v>
      </c>
      <c r="C366" s="188" t="s">
        <v>622</v>
      </c>
      <c r="D366" s="188" t="s">
        <v>1234</v>
      </c>
      <c r="E366" s="189">
        <v>39562</v>
      </c>
      <c r="F366" s="190">
        <v>829</v>
      </c>
      <c r="G366" s="190">
        <v>0</v>
      </c>
      <c r="H366" s="191">
        <v>1114</v>
      </c>
      <c r="I366" s="191">
        <v>291</v>
      </c>
      <c r="J366" s="188" t="s">
        <v>635</v>
      </c>
      <c r="K366" s="188" t="s">
        <v>338</v>
      </c>
      <c r="L366" s="188" t="s">
        <v>1235</v>
      </c>
      <c r="M366" s="192">
        <f t="shared" si="15"/>
        <v>30</v>
      </c>
      <c r="N366" s="193">
        <f t="shared" si="16"/>
        <v>0.95704467353951894</v>
      </c>
      <c r="O366" s="194">
        <f t="shared" si="17"/>
        <v>3.1901489117983968E-2</v>
      </c>
    </row>
    <row r="367" spans="1:15" ht="12.75" customHeight="1">
      <c r="A367" s="188" t="s">
        <v>620</v>
      </c>
      <c r="B367" s="188" t="s">
        <v>621</v>
      </c>
      <c r="C367" s="188" t="s">
        <v>622</v>
      </c>
      <c r="D367" s="188" t="s">
        <v>1236</v>
      </c>
      <c r="E367" s="189">
        <v>39499</v>
      </c>
      <c r="F367" s="190">
        <v>752</v>
      </c>
      <c r="G367" s="190">
        <v>0</v>
      </c>
      <c r="H367" s="191">
        <v>504</v>
      </c>
      <c r="I367" s="191">
        <v>263.25</v>
      </c>
      <c r="J367" s="188" t="s">
        <v>522</v>
      </c>
      <c r="K367" s="188" t="s">
        <v>338</v>
      </c>
      <c r="L367" s="188" t="s">
        <v>882</v>
      </c>
      <c r="M367" s="192">
        <f t="shared" si="15"/>
        <v>15</v>
      </c>
      <c r="N367" s="193">
        <f t="shared" si="16"/>
        <v>0.47863247863247865</v>
      </c>
      <c r="O367" s="194">
        <f t="shared" si="17"/>
        <v>3.1908831908831911E-2</v>
      </c>
    </row>
    <row r="368" spans="1:15" ht="12.75" customHeight="1">
      <c r="A368" s="188" t="s">
        <v>620</v>
      </c>
      <c r="B368" s="188" t="s">
        <v>621</v>
      </c>
      <c r="C368" s="188" t="s">
        <v>622</v>
      </c>
      <c r="D368" s="188" t="s">
        <v>1237</v>
      </c>
      <c r="E368" s="189">
        <v>39447</v>
      </c>
      <c r="F368" s="190">
        <v>954</v>
      </c>
      <c r="G368" s="190">
        <v>0</v>
      </c>
      <c r="H368" s="191">
        <v>1624.33</v>
      </c>
      <c r="I368" s="191">
        <v>333.5</v>
      </c>
      <c r="J368" s="188" t="s">
        <v>624</v>
      </c>
      <c r="K368" s="188" t="s">
        <v>338</v>
      </c>
      <c r="L368" s="188" t="s">
        <v>368</v>
      </c>
      <c r="M368" s="192">
        <f t="shared" si="15"/>
        <v>38</v>
      </c>
      <c r="N368" s="193">
        <f t="shared" si="16"/>
        <v>1.2176386806596702</v>
      </c>
      <c r="O368" s="194">
        <f t="shared" si="17"/>
        <v>3.2043123175254477E-2</v>
      </c>
    </row>
    <row r="369" spans="1:15" ht="12.75" customHeight="1">
      <c r="A369" s="188" t="s">
        <v>620</v>
      </c>
      <c r="B369" s="188" t="s">
        <v>621</v>
      </c>
      <c r="C369" s="188" t="s">
        <v>622</v>
      </c>
      <c r="D369" s="188" t="s">
        <v>1238</v>
      </c>
      <c r="E369" s="189">
        <v>39576</v>
      </c>
      <c r="F369" s="190">
        <v>712</v>
      </c>
      <c r="G369" s="190">
        <v>0</v>
      </c>
      <c r="H369" s="191">
        <v>900</v>
      </c>
      <c r="I369" s="191">
        <v>250</v>
      </c>
      <c r="J369" s="188" t="s">
        <v>750</v>
      </c>
      <c r="K369" s="188" t="s">
        <v>338</v>
      </c>
      <c r="L369" s="188" t="s">
        <v>636</v>
      </c>
      <c r="M369" s="192">
        <f t="shared" si="15"/>
        <v>28</v>
      </c>
      <c r="N369" s="193">
        <f t="shared" si="16"/>
        <v>0.9</v>
      </c>
      <c r="O369" s="194">
        <f t="shared" si="17"/>
        <v>3.2142857142857147E-2</v>
      </c>
    </row>
    <row r="370" spans="1:15" ht="12.75" customHeight="1">
      <c r="A370" s="188" t="s">
        <v>620</v>
      </c>
      <c r="B370" s="188" t="s">
        <v>621</v>
      </c>
      <c r="C370" s="188" t="s">
        <v>622</v>
      </c>
      <c r="D370" s="188" t="s">
        <v>1239</v>
      </c>
      <c r="E370" s="189">
        <v>39436</v>
      </c>
      <c r="F370" s="190">
        <v>726</v>
      </c>
      <c r="G370" s="190">
        <v>0</v>
      </c>
      <c r="H370" s="191">
        <v>922.25</v>
      </c>
      <c r="I370" s="191">
        <v>254</v>
      </c>
      <c r="J370" s="188" t="s">
        <v>750</v>
      </c>
      <c r="K370" s="188" t="s">
        <v>338</v>
      </c>
      <c r="L370" s="188" t="s">
        <v>1240</v>
      </c>
      <c r="M370" s="192">
        <f t="shared" si="15"/>
        <v>28</v>
      </c>
      <c r="N370" s="193">
        <f t="shared" si="16"/>
        <v>0.9077263779527559</v>
      </c>
      <c r="O370" s="194">
        <f t="shared" si="17"/>
        <v>3.2418799212598423E-2</v>
      </c>
    </row>
    <row r="371" spans="1:15" ht="12.75" customHeight="1">
      <c r="A371" s="188" t="s">
        <v>620</v>
      </c>
      <c r="B371" s="188" t="s">
        <v>621</v>
      </c>
      <c r="C371" s="188" t="s">
        <v>622</v>
      </c>
      <c r="D371" s="188" t="s">
        <v>1241</v>
      </c>
      <c r="E371" s="189">
        <v>39247</v>
      </c>
      <c r="F371" s="190">
        <v>823</v>
      </c>
      <c r="G371" s="190">
        <v>0</v>
      </c>
      <c r="H371" s="191">
        <v>1416.92</v>
      </c>
      <c r="I371" s="191">
        <v>287.5</v>
      </c>
      <c r="J371" s="188" t="s">
        <v>624</v>
      </c>
      <c r="K371" s="188" t="s">
        <v>338</v>
      </c>
      <c r="L371" s="188" t="s">
        <v>697</v>
      </c>
      <c r="M371" s="192">
        <f t="shared" si="15"/>
        <v>38</v>
      </c>
      <c r="N371" s="193">
        <f t="shared" si="16"/>
        <v>1.2321043478260869</v>
      </c>
      <c r="O371" s="194">
        <f t="shared" si="17"/>
        <v>3.2423798627002287E-2</v>
      </c>
    </row>
    <row r="372" spans="1:15" ht="12.75" customHeight="1">
      <c r="A372" s="188" t="s">
        <v>620</v>
      </c>
      <c r="B372" s="188" t="s">
        <v>621</v>
      </c>
      <c r="C372" s="188" t="s">
        <v>622</v>
      </c>
      <c r="D372" s="188" t="s">
        <v>1242</v>
      </c>
      <c r="E372" s="189">
        <v>39562</v>
      </c>
      <c r="F372" s="190">
        <v>897</v>
      </c>
      <c r="G372" s="190">
        <v>0</v>
      </c>
      <c r="H372" s="191">
        <v>1114.02</v>
      </c>
      <c r="I372" s="191">
        <v>315</v>
      </c>
      <c r="J372" s="188" t="s">
        <v>639</v>
      </c>
      <c r="K372" s="188" t="s">
        <v>338</v>
      </c>
      <c r="L372" s="188" t="s">
        <v>680</v>
      </c>
      <c r="M372" s="192">
        <f t="shared" si="15"/>
        <v>27</v>
      </c>
      <c r="N372" s="193">
        <f t="shared" si="16"/>
        <v>0.88414285714285712</v>
      </c>
      <c r="O372" s="194">
        <f t="shared" si="17"/>
        <v>3.2746031746031745E-2</v>
      </c>
    </row>
    <row r="373" spans="1:15" ht="12.75" customHeight="1">
      <c r="A373" s="188" t="s">
        <v>620</v>
      </c>
      <c r="B373" s="188" t="s">
        <v>621</v>
      </c>
      <c r="C373" s="188" t="s">
        <v>622</v>
      </c>
      <c r="D373" s="188" t="s">
        <v>1243</v>
      </c>
      <c r="E373" s="189">
        <v>39447</v>
      </c>
      <c r="F373" s="190">
        <v>787</v>
      </c>
      <c r="G373" s="190">
        <v>0</v>
      </c>
      <c r="H373" s="191">
        <v>868.26</v>
      </c>
      <c r="I373" s="191">
        <v>275</v>
      </c>
      <c r="J373" s="188" t="s">
        <v>1052</v>
      </c>
      <c r="K373" s="188" t="s">
        <v>338</v>
      </c>
      <c r="L373" s="188" t="s">
        <v>557</v>
      </c>
      <c r="M373" s="192">
        <f t="shared" si="15"/>
        <v>24</v>
      </c>
      <c r="N373" s="193">
        <f t="shared" si="16"/>
        <v>0.78932727272727277</v>
      </c>
      <c r="O373" s="194">
        <f t="shared" si="17"/>
        <v>3.2888636363636363E-2</v>
      </c>
    </row>
    <row r="374" spans="1:15" ht="12.75" customHeight="1">
      <c r="A374" s="188" t="s">
        <v>620</v>
      </c>
      <c r="B374" s="188" t="s">
        <v>621</v>
      </c>
      <c r="C374" s="188" t="s">
        <v>622</v>
      </c>
      <c r="D374" s="188" t="s">
        <v>1244</v>
      </c>
      <c r="E374" s="189">
        <v>39447</v>
      </c>
      <c r="F374" s="190">
        <v>1487</v>
      </c>
      <c r="G374" s="190">
        <v>0</v>
      </c>
      <c r="H374" s="191">
        <v>1369</v>
      </c>
      <c r="I374" s="191">
        <v>520</v>
      </c>
      <c r="J374" s="188" t="s">
        <v>560</v>
      </c>
      <c r="K374" s="188" t="s">
        <v>338</v>
      </c>
      <c r="L374" s="188" t="s">
        <v>1245</v>
      </c>
      <c r="M374" s="192">
        <f t="shared" si="15"/>
        <v>20</v>
      </c>
      <c r="N374" s="193">
        <f t="shared" si="16"/>
        <v>0.65817307692307692</v>
      </c>
      <c r="O374" s="194">
        <f t="shared" si="17"/>
        <v>3.2908653846153844E-2</v>
      </c>
    </row>
    <row r="375" spans="1:15" ht="12.75" customHeight="1">
      <c r="A375" s="188" t="s">
        <v>620</v>
      </c>
      <c r="B375" s="188" t="s">
        <v>621</v>
      </c>
      <c r="C375" s="188" t="s">
        <v>622</v>
      </c>
      <c r="D375" s="188" t="s">
        <v>1246</v>
      </c>
      <c r="E375" s="189">
        <v>39520</v>
      </c>
      <c r="F375" s="190">
        <v>1211</v>
      </c>
      <c r="G375" s="190">
        <v>0</v>
      </c>
      <c r="H375" s="191">
        <v>1120.19</v>
      </c>
      <c r="I375" s="191">
        <v>425</v>
      </c>
      <c r="J375" s="188" t="s">
        <v>560</v>
      </c>
      <c r="K375" s="188" t="s">
        <v>338</v>
      </c>
      <c r="L375" s="188" t="s">
        <v>833</v>
      </c>
      <c r="M375" s="192">
        <f t="shared" si="15"/>
        <v>20</v>
      </c>
      <c r="N375" s="193">
        <f t="shared" si="16"/>
        <v>0.65893529411764706</v>
      </c>
      <c r="O375" s="194">
        <f t="shared" si="17"/>
        <v>3.2946764705882356E-2</v>
      </c>
    </row>
    <row r="376" spans="1:15" ht="12.75" customHeight="1">
      <c r="A376" s="188" t="s">
        <v>620</v>
      </c>
      <c r="B376" s="188" t="s">
        <v>621</v>
      </c>
      <c r="C376" s="188" t="s">
        <v>622</v>
      </c>
      <c r="D376" s="188" t="s">
        <v>1247</v>
      </c>
      <c r="E376" s="189">
        <v>39212</v>
      </c>
      <c r="F376" s="190">
        <v>601</v>
      </c>
      <c r="G376" s="190">
        <v>0</v>
      </c>
      <c r="H376" s="191">
        <v>747.6</v>
      </c>
      <c r="I376" s="191">
        <v>210</v>
      </c>
      <c r="J376" s="188" t="s">
        <v>639</v>
      </c>
      <c r="K376" s="188" t="s">
        <v>338</v>
      </c>
      <c r="L376" s="188" t="s">
        <v>906</v>
      </c>
      <c r="M376" s="192">
        <f t="shared" si="15"/>
        <v>27</v>
      </c>
      <c r="N376" s="193">
        <f t="shared" si="16"/>
        <v>0.89</v>
      </c>
      <c r="O376" s="194">
        <f t="shared" si="17"/>
        <v>3.2962962962962965E-2</v>
      </c>
    </row>
    <row r="377" spans="1:15" ht="12.75" customHeight="1">
      <c r="A377" s="188" t="s">
        <v>620</v>
      </c>
      <c r="B377" s="188" t="s">
        <v>621</v>
      </c>
      <c r="C377" s="188" t="s">
        <v>622</v>
      </c>
      <c r="D377" s="188" t="s">
        <v>1248</v>
      </c>
      <c r="E377" s="189">
        <v>39639</v>
      </c>
      <c r="F377" s="190">
        <v>518</v>
      </c>
      <c r="G377" s="190">
        <v>0</v>
      </c>
      <c r="H377" s="191">
        <v>649</v>
      </c>
      <c r="I377" s="191">
        <v>182</v>
      </c>
      <c r="J377" s="188" t="s">
        <v>639</v>
      </c>
      <c r="K377" s="188" t="s">
        <v>338</v>
      </c>
      <c r="L377" s="188" t="s">
        <v>1249</v>
      </c>
      <c r="M377" s="192">
        <f t="shared" si="15"/>
        <v>27</v>
      </c>
      <c r="N377" s="193">
        <f t="shared" si="16"/>
        <v>0.89148351648351654</v>
      </c>
      <c r="O377" s="194">
        <f t="shared" si="17"/>
        <v>3.3017908017908021E-2</v>
      </c>
    </row>
    <row r="378" spans="1:15" ht="12.75" customHeight="1">
      <c r="A378" s="188" t="s">
        <v>620</v>
      </c>
      <c r="B378" s="188" t="s">
        <v>621</v>
      </c>
      <c r="C378" s="188" t="s">
        <v>622</v>
      </c>
      <c r="D378" s="188" t="s">
        <v>1250</v>
      </c>
      <c r="E378" s="189">
        <v>39562</v>
      </c>
      <c r="F378" s="190">
        <v>1297</v>
      </c>
      <c r="G378" s="190">
        <v>0</v>
      </c>
      <c r="H378" s="191">
        <v>1808</v>
      </c>
      <c r="I378" s="191">
        <v>455.5</v>
      </c>
      <c r="J378" s="188" t="s">
        <v>667</v>
      </c>
      <c r="K378" s="188" t="s">
        <v>648</v>
      </c>
      <c r="L378" s="188" t="s">
        <v>1251</v>
      </c>
      <c r="M378" s="192">
        <f t="shared" si="15"/>
        <v>30</v>
      </c>
      <c r="N378" s="193">
        <f t="shared" si="16"/>
        <v>0.99231613611416025</v>
      </c>
      <c r="O378" s="194">
        <f t="shared" si="17"/>
        <v>3.3077204537138673E-2</v>
      </c>
    </row>
    <row r="379" spans="1:15" ht="12.75" customHeight="1">
      <c r="A379" s="188" t="s">
        <v>620</v>
      </c>
      <c r="B379" s="188" t="s">
        <v>621</v>
      </c>
      <c r="C379" s="188" t="s">
        <v>622</v>
      </c>
      <c r="D379" s="188" t="s">
        <v>1252</v>
      </c>
      <c r="E379" s="189">
        <v>39562</v>
      </c>
      <c r="F379" s="190">
        <v>1124</v>
      </c>
      <c r="G379" s="190">
        <v>0</v>
      </c>
      <c r="H379" s="191">
        <v>1568</v>
      </c>
      <c r="I379" s="191">
        <v>394.5</v>
      </c>
      <c r="J379" s="188" t="s">
        <v>635</v>
      </c>
      <c r="K379" s="188" t="s">
        <v>338</v>
      </c>
      <c r="L379" s="188" t="s">
        <v>393</v>
      </c>
      <c r="M379" s="192">
        <f t="shared" si="15"/>
        <v>30</v>
      </c>
      <c r="N379" s="193">
        <f t="shared" si="16"/>
        <v>0.99366286438529783</v>
      </c>
      <c r="O379" s="194">
        <f t="shared" si="17"/>
        <v>3.3122095479509929E-2</v>
      </c>
    </row>
    <row r="380" spans="1:15" ht="12.75" customHeight="1">
      <c r="A380" s="188" t="s">
        <v>620</v>
      </c>
      <c r="B380" s="188" t="s">
        <v>621</v>
      </c>
      <c r="C380" s="188" t="s">
        <v>622</v>
      </c>
      <c r="D380" s="188" t="s">
        <v>1253</v>
      </c>
      <c r="E380" s="189">
        <v>39269</v>
      </c>
      <c r="F380" s="190">
        <v>1198</v>
      </c>
      <c r="G380" s="190">
        <v>0</v>
      </c>
      <c r="H380" s="191">
        <v>1499.96</v>
      </c>
      <c r="I380" s="191">
        <v>418.75</v>
      </c>
      <c r="J380" s="188" t="s">
        <v>639</v>
      </c>
      <c r="K380" s="188" t="s">
        <v>338</v>
      </c>
      <c r="L380" s="188" t="s">
        <v>1254</v>
      </c>
      <c r="M380" s="192">
        <f t="shared" si="15"/>
        <v>27</v>
      </c>
      <c r="N380" s="193">
        <f t="shared" si="16"/>
        <v>0.89549850746268655</v>
      </c>
      <c r="O380" s="194">
        <f t="shared" si="17"/>
        <v>3.3166611387506907E-2</v>
      </c>
    </row>
    <row r="381" spans="1:15" ht="12.75" customHeight="1">
      <c r="A381" s="188" t="s">
        <v>620</v>
      </c>
      <c r="B381" s="188" t="s">
        <v>621</v>
      </c>
      <c r="C381" s="188" t="s">
        <v>622</v>
      </c>
      <c r="D381" s="188" t="s">
        <v>1255</v>
      </c>
      <c r="E381" s="189">
        <v>39513</v>
      </c>
      <c r="F381" s="190">
        <v>740</v>
      </c>
      <c r="G381" s="190">
        <v>0</v>
      </c>
      <c r="H381" s="191">
        <v>690</v>
      </c>
      <c r="I381" s="191">
        <v>260</v>
      </c>
      <c r="J381" s="188" t="s">
        <v>560</v>
      </c>
      <c r="K381" s="188" t="s">
        <v>338</v>
      </c>
      <c r="L381" s="188" t="s">
        <v>808</v>
      </c>
      <c r="M381" s="192">
        <f t="shared" si="15"/>
        <v>20</v>
      </c>
      <c r="N381" s="193">
        <f t="shared" si="16"/>
        <v>0.66346153846153844</v>
      </c>
      <c r="O381" s="194">
        <f t="shared" si="17"/>
        <v>3.3173076923076923E-2</v>
      </c>
    </row>
    <row r="382" spans="1:15" ht="12.75" customHeight="1">
      <c r="A382" s="188" t="s">
        <v>620</v>
      </c>
      <c r="B382" s="188" t="s">
        <v>621</v>
      </c>
      <c r="C382" s="188" t="s">
        <v>622</v>
      </c>
      <c r="D382" s="188" t="s">
        <v>1256</v>
      </c>
      <c r="E382" s="189">
        <v>39541</v>
      </c>
      <c r="F382" s="190">
        <v>1982</v>
      </c>
      <c r="G382" s="190">
        <v>0</v>
      </c>
      <c r="H382" s="191">
        <v>1542</v>
      </c>
      <c r="I382" s="191">
        <v>577.5</v>
      </c>
      <c r="J382" s="188" t="s">
        <v>560</v>
      </c>
      <c r="K382" s="188" t="s">
        <v>338</v>
      </c>
      <c r="L382" s="188" t="s">
        <v>1257</v>
      </c>
      <c r="M382" s="192">
        <f t="shared" si="15"/>
        <v>20</v>
      </c>
      <c r="N382" s="193">
        <f t="shared" si="16"/>
        <v>0.66753246753246753</v>
      </c>
      <c r="O382" s="194">
        <f t="shared" si="17"/>
        <v>3.3376623376623379E-2</v>
      </c>
    </row>
    <row r="383" spans="1:15" ht="12.75" customHeight="1">
      <c r="A383" s="188" t="s">
        <v>620</v>
      </c>
      <c r="B383" s="188" t="s">
        <v>621</v>
      </c>
      <c r="C383" s="188" t="s">
        <v>622</v>
      </c>
      <c r="D383" s="188" t="s">
        <v>1258</v>
      </c>
      <c r="E383" s="189">
        <v>39527</v>
      </c>
      <c r="F383" s="190">
        <v>1026</v>
      </c>
      <c r="G383" s="190">
        <v>0</v>
      </c>
      <c r="H383" s="191">
        <v>1304</v>
      </c>
      <c r="I383" s="191">
        <v>360.25</v>
      </c>
      <c r="J383" s="188" t="s">
        <v>639</v>
      </c>
      <c r="K383" s="188" t="s">
        <v>338</v>
      </c>
      <c r="L383" s="188" t="s">
        <v>1259</v>
      </c>
      <c r="M383" s="192">
        <f t="shared" si="15"/>
        <v>27</v>
      </c>
      <c r="N383" s="193">
        <f t="shared" si="16"/>
        <v>0.90492713393476754</v>
      </c>
      <c r="O383" s="194">
        <f t="shared" si="17"/>
        <v>3.3515819775361763E-2</v>
      </c>
    </row>
    <row r="384" spans="1:15" ht="12.75" customHeight="1">
      <c r="A384" s="188" t="s">
        <v>620</v>
      </c>
      <c r="B384" s="188" t="s">
        <v>621</v>
      </c>
      <c r="C384" s="188" t="s">
        <v>622</v>
      </c>
      <c r="D384" s="188" t="s">
        <v>1260</v>
      </c>
      <c r="E384" s="189">
        <v>39447</v>
      </c>
      <c r="F384" s="190">
        <v>836</v>
      </c>
      <c r="G384" s="190">
        <v>0</v>
      </c>
      <c r="H384" s="191">
        <v>981</v>
      </c>
      <c r="I384" s="191">
        <v>292.5</v>
      </c>
      <c r="J384" s="188" t="s">
        <v>652</v>
      </c>
      <c r="K384" s="188" t="s">
        <v>338</v>
      </c>
      <c r="L384" s="188" t="s">
        <v>1261</v>
      </c>
      <c r="M384" s="192">
        <f t="shared" si="15"/>
        <v>25</v>
      </c>
      <c r="N384" s="193">
        <f t="shared" si="16"/>
        <v>0.83846153846153848</v>
      </c>
      <c r="O384" s="194">
        <f t="shared" si="17"/>
        <v>3.3538461538461538E-2</v>
      </c>
    </row>
    <row r="385" spans="1:15" ht="12.75" customHeight="1">
      <c r="A385" s="188" t="s">
        <v>620</v>
      </c>
      <c r="B385" s="188" t="s">
        <v>621</v>
      </c>
      <c r="C385" s="188" t="s">
        <v>622</v>
      </c>
      <c r="D385" s="188" t="s">
        <v>1262</v>
      </c>
      <c r="E385" s="189">
        <v>39583</v>
      </c>
      <c r="F385" s="190">
        <v>911</v>
      </c>
      <c r="G385" s="190">
        <v>0</v>
      </c>
      <c r="H385" s="191">
        <v>995</v>
      </c>
      <c r="I385" s="191">
        <v>320</v>
      </c>
      <c r="J385" s="188" t="s">
        <v>571</v>
      </c>
      <c r="K385" s="188" t="s">
        <v>338</v>
      </c>
      <c r="L385" s="188" t="s">
        <v>994</v>
      </c>
      <c r="M385" s="192">
        <f t="shared" si="15"/>
        <v>23</v>
      </c>
      <c r="N385" s="193">
        <f t="shared" si="16"/>
        <v>0.77734375</v>
      </c>
      <c r="O385" s="194">
        <f t="shared" si="17"/>
        <v>3.3797554347826088E-2</v>
      </c>
    </row>
    <row r="386" spans="1:15" ht="12.75" customHeight="1">
      <c r="A386" s="188" t="s">
        <v>620</v>
      </c>
      <c r="B386" s="188" t="s">
        <v>621</v>
      </c>
      <c r="C386" s="188" t="s">
        <v>622</v>
      </c>
      <c r="D386" s="188" t="s">
        <v>1263</v>
      </c>
      <c r="E386" s="189">
        <v>39269</v>
      </c>
      <c r="F386" s="190">
        <v>1119</v>
      </c>
      <c r="G386" s="190">
        <v>0</v>
      </c>
      <c r="H386" s="191">
        <v>1325.02</v>
      </c>
      <c r="I386" s="191">
        <v>391</v>
      </c>
      <c r="J386" s="188" t="s">
        <v>652</v>
      </c>
      <c r="K386" s="188" t="s">
        <v>338</v>
      </c>
      <c r="L386" s="188" t="s">
        <v>1264</v>
      </c>
      <c r="M386" s="192">
        <f t="shared" ref="M386:M449" si="18">K386-J386</f>
        <v>25</v>
      </c>
      <c r="N386" s="193">
        <f t="shared" ref="N386:N449" si="19">H386/L386</f>
        <v>0.84719948849104854</v>
      </c>
      <c r="O386" s="194">
        <f t="shared" ref="O386:O449" si="20">N386/M386</f>
        <v>3.3887979539641941E-2</v>
      </c>
    </row>
    <row r="387" spans="1:15" ht="12.75" customHeight="1">
      <c r="A387" s="188" t="s">
        <v>620</v>
      </c>
      <c r="B387" s="188" t="s">
        <v>621</v>
      </c>
      <c r="C387" s="188" t="s">
        <v>622</v>
      </c>
      <c r="D387" s="188" t="s">
        <v>1265</v>
      </c>
      <c r="E387" s="189">
        <v>39353</v>
      </c>
      <c r="F387" s="190">
        <v>743</v>
      </c>
      <c r="G387" s="190">
        <v>0</v>
      </c>
      <c r="H387" s="191">
        <v>949.98</v>
      </c>
      <c r="I387" s="191">
        <v>259.5</v>
      </c>
      <c r="J387" s="188" t="s">
        <v>639</v>
      </c>
      <c r="K387" s="188" t="s">
        <v>338</v>
      </c>
      <c r="L387" s="188" t="s">
        <v>1266</v>
      </c>
      <c r="M387" s="192">
        <f t="shared" si="18"/>
        <v>27</v>
      </c>
      <c r="N387" s="193">
        <f t="shared" si="19"/>
        <v>0.91520231213872838</v>
      </c>
      <c r="O387" s="194">
        <f t="shared" si="20"/>
        <v>3.3896381931064014E-2</v>
      </c>
    </row>
    <row r="388" spans="1:15" ht="12.75" customHeight="1">
      <c r="A388" s="188" t="s">
        <v>620</v>
      </c>
      <c r="B388" s="188" t="s">
        <v>621</v>
      </c>
      <c r="C388" s="188" t="s">
        <v>622</v>
      </c>
      <c r="D388" s="188" t="s">
        <v>1267</v>
      </c>
      <c r="E388" s="189">
        <v>39447</v>
      </c>
      <c r="F388" s="190">
        <v>878</v>
      </c>
      <c r="G388" s="190">
        <v>0</v>
      </c>
      <c r="H388" s="191">
        <v>792</v>
      </c>
      <c r="I388" s="191">
        <v>306.75</v>
      </c>
      <c r="J388" s="188" t="s">
        <v>667</v>
      </c>
      <c r="K388" s="188" t="s">
        <v>338</v>
      </c>
      <c r="L388" s="188" t="s">
        <v>1268</v>
      </c>
      <c r="M388" s="192">
        <f t="shared" si="18"/>
        <v>19</v>
      </c>
      <c r="N388" s="193">
        <f t="shared" si="19"/>
        <v>0.6454767726161369</v>
      </c>
      <c r="O388" s="194">
        <f t="shared" si="20"/>
        <v>3.3972461716638785E-2</v>
      </c>
    </row>
    <row r="389" spans="1:15" ht="12.75" customHeight="1">
      <c r="A389" s="188" t="s">
        <v>620</v>
      </c>
      <c r="B389" s="188" t="s">
        <v>621</v>
      </c>
      <c r="C389" s="188" t="s">
        <v>622</v>
      </c>
      <c r="D389" s="188" t="s">
        <v>1269</v>
      </c>
      <c r="E389" s="189">
        <v>39618</v>
      </c>
      <c r="F389" s="190">
        <v>1299</v>
      </c>
      <c r="G389" s="190">
        <v>0</v>
      </c>
      <c r="H389" s="191">
        <v>1311</v>
      </c>
      <c r="I389" s="191">
        <v>456</v>
      </c>
      <c r="J389" s="188" t="s">
        <v>879</v>
      </c>
      <c r="K389" s="188" t="s">
        <v>338</v>
      </c>
      <c r="L389" s="188" t="s">
        <v>459</v>
      </c>
      <c r="M389" s="192">
        <f t="shared" si="18"/>
        <v>21</v>
      </c>
      <c r="N389" s="193">
        <f t="shared" si="19"/>
        <v>0.71875</v>
      </c>
      <c r="O389" s="194">
        <f t="shared" si="20"/>
        <v>3.4226190476190479E-2</v>
      </c>
    </row>
    <row r="390" spans="1:15" ht="12.75" customHeight="1">
      <c r="A390" s="188" t="s">
        <v>620</v>
      </c>
      <c r="B390" s="188" t="s">
        <v>621</v>
      </c>
      <c r="C390" s="188" t="s">
        <v>622</v>
      </c>
      <c r="D390" s="188" t="s">
        <v>1270</v>
      </c>
      <c r="E390" s="189">
        <v>39568</v>
      </c>
      <c r="F390" s="190">
        <v>979</v>
      </c>
      <c r="G390" s="190">
        <v>0</v>
      </c>
      <c r="H390" s="191">
        <v>947</v>
      </c>
      <c r="I390" s="191">
        <v>343.75</v>
      </c>
      <c r="J390" s="188" t="s">
        <v>560</v>
      </c>
      <c r="K390" s="188" t="s">
        <v>338</v>
      </c>
      <c r="L390" s="188" t="s">
        <v>1271</v>
      </c>
      <c r="M390" s="192">
        <f t="shared" si="18"/>
        <v>20</v>
      </c>
      <c r="N390" s="193">
        <f t="shared" si="19"/>
        <v>0.68872727272727274</v>
      </c>
      <c r="O390" s="194">
        <f t="shared" si="20"/>
        <v>3.443636363636364E-2</v>
      </c>
    </row>
    <row r="391" spans="1:15" ht="12.75" customHeight="1">
      <c r="A391" s="188" t="s">
        <v>620</v>
      </c>
      <c r="B391" s="188" t="s">
        <v>621</v>
      </c>
      <c r="C391" s="188" t="s">
        <v>622</v>
      </c>
      <c r="D391" s="188" t="s">
        <v>1272</v>
      </c>
      <c r="E391" s="189">
        <v>39447</v>
      </c>
      <c r="F391" s="190">
        <v>1144</v>
      </c>
      <c r="G391" s="190">
        <v>0</v>
      </c>
      <c r="H391" s="191">
        <v>2095</v>
      </c>
      <c r="I391" s="191">
        <v>400</v>
      </c>
      <c r="J391" s="188" t="s">
        <v>639</v>
      </c>
      <c r="K391" s="188" t="s">
        <v>648</v>
      </c>
      <c r="L391" s="188" t="s">
        <v>625</v>
      </c>
      <c r="M391" s="192">
        <f t="shared" si="18"/>
        <v>38</v>
      </c>
      <c r="N391" s="193">
        <f t="shared" si="19"/>
        <v>1.309375</v>
      </c>
      <c r="O391" s="194">
        <f t="shared" si="20"/>
        <v>3.4457236842105263E-2</v>
      </c>
    </row>
    <row r="392" spans="1:15" ht="12.75" customHeight="1">
      <c r="A392" s="188" t="s">
        <v>620</v>
      </c>
      <c r="B392" s="188" t="s">
        <v>621</v>
      </c>
      <c r="C392" s="188" t="s">
        <v>622</v>
      </c>
      <c r="D392" s="188" t="s">
        <v>1273</v>
      </c>
      <c r="E392" s="189">
        <v>39447</v>
      </c>
      <c r="F392" s="190">
        <v>644</v>
      </c>
      <c r="G392" s="190">
        <v>0</v>
      </c>
      <c r="H392" s="191">
        <v>590</v>
      </c>
      <c r="I392" s="191">
        <v>225</v>
      </c>
      <c r="J392" s="188" t="s">
        <v>667</v>
      </c>
      <c r="K392" s="188" t="s">
        <v>338</v>
      </c>
      <c r="L392" s="188" t="s">
        <v>740</v>
      </c>
      <c r="M392" s="192">
        <f t="shared" si="18"/>
        <v>19</v>
      </c>
      <c r="N392" s="193">
        <f t="shared" si="19"/>
        <v>0.65555555555555556</v>
      </c>
      <c r="O392" s="194">
        <f t="shared" si="20"/>
        <v>3.4502923976608188E-2</v>
      </c>
    </row>
    <row r="393" spans="1:15" ht="12.75" customHeight="1">
      <c r="A393" s="188" t="s">
        <v>620</v>
      </c>
      <c r="B393" s="188" t="s">
        <v>621</v>
      </c>
      <c r="C393" s="188" t="s">
        <v>622</v>
      </c>
      <c r="D393" s="188" t="s">
        <v>1274</v>
      </c>
      <c r="E393" s="189">
        <v>39447</v>
      </c>
      <c r="F393" s="190">
        <v>1158</v>
      </c>
      <c r="G393" s="190">
        <v>0</v>
      </c>
      <c r="H393" s="191">
        <v>1179</v>
      </c>
      <c r="I393" s="191">
        <v>405</v>
      </c>
      <c r="J393" s="188" t="s">
        <v>879</v>
      </c>
      <c r="K393" s="188" t="s">
        <v>338</v>
      </c>
      <c r="L393" s="188" t="s">
        <v>1195</v>
      </c>
      <c r="M393" s="192">
        <f t="shared" si="18"/>
        <v>21</v>
      </c>
      <c r="N393" s="193">
        <f t="shared" si="19"/>
        <v>0.72777777777777775</v>
      </c>
      <c r="O393" s="194">
        <f t="shared" si="20"/>
        <v>3.4656084656084656E-2</v>
      </c>
    </row>
    <row r="394" spans="1:15" ht="12.75" customHeight="1">
      <c r="A394" s="188" t="s">
        <v>620</v>
      </c>
      <c r="B394" s="188" t="s">
        <v>621</v>
      </c>
      <c r="C394" s="188" t="s">
        <v>622</v>
      </c>
      <c r="D394" s="188" t="s">
        <v>1275</v>
      </c>
      <c r="E394" s="189">
        <v>39317</v>
      </c>
      <c r="F394" s="190">
        <v>1397</v>
      </c>
      <c r="G394" s="190">
        <v>0</v>
      </c>
      <c r="H394" s="191">
        <v>1560.07</v>
      </c>
      <c r="I394" s="191">
        <v>488.5</v>
      </c>
      <c r="J394" s="188" t="s">
        <v>571</v>
      </c>
      <c r="K394" s="188" t="s">
        <v>338</v>
      </c>
      <c r="L394" s="188" t="s">
        <v>1276</v>
      </c>
      <c r="M394" s="192">
        <f t="shared" si="18"/>
        <v>23</v>
      </c>
      <c r="N394" s="193">
        <f t="shared" si="19"/>
        <v>0.7983981576253838</v>
      </c>
      <c r="O394" s="194">
        <f t="shared" si="20"/>
        <v>3.4712963375016684E-2</v>
      </c>
    </row>
    <row r="395" spans="1:15" ht="12.75" customHeight="1">
      <c r="A395" s="188" t="s">
        <v>620</v>
      </c>
      <c r="B395" s="188" t="s">
        <v>621</v>
      </c>
      <c r="C395" s="188" t="s">
        <v>622</v>
      </c>
      <c r="D395" s="188" t="s">
        <v>1277</v>
      </c>
      <c r="E395" s="189">
        <v>39534</v>
      </c>
      <c r="F395" s="190">
        <v>1025</v>
      </c>
      <c r="G395" s="190">
        <v>0</v>
      </c>
      <c r="H395" s="191">
        <v>1250</v>
      </c>
      <c r="I395" s="191">
        <v>360</v>
      </c>
      <c r="J395" s="188" t="s">
        <v>652</v>
      </c>
      <c r="K395" s="188" t="s">
        <v>338</v>
      </c>
      <c r="L395" s="188" t="s">
        <v>682</v>
      </c>
      <c r="M395" s="192">
        <f t="shared" si="18"/>
        <v>25</v>
      </c>
      <c r="N395" s="193">
        <f t="shared" si="19"/>
        <v>0.86805555555555558</v>
      </c>
      <c r="O395" s="194">
        <f t="shared" si="20"/>
        <v>3.4722222222222224E-2</v>
      </c>
    </row>
    <row r="396" spans="1:15" ht="12.75" customHeight="1">
      <c r="A396" s="188" t="s">
        <v>620</v>
      </c>
      <c r="B396" s="188" t="s">
        <v>621</v>
      </c>
      <c r="C396" s="188" t="s">
        <v>622</v>
      </c>
      <c r="D396" s="188" t="s">
        <v>1278</v>
      </c>
      <c r="E396" s="189">
        <v>39447</v>
      </c>
      <c r="F396" s="190">
        <v>831</v>
      </c>
      <c r="G396" s="190">
        <v>0</v>
      </c>
      <c r="H396" s="191">
        <v>928</v>
      </c>
      <c r="I396" s="191">
        <v>290.25</v>
      </c>
      <c r="J396" s="188" t="s">
        <v>571</v>
      </c>
      <c r="K396" s="188" t="s">
        <v>338</v>
      </c>
      <c r="L396" s="188" t="s">
        <v>1279</v>
      </c>
      <c r="M396" s="192">
        <f t="shared" si="18"/>
        <v>23</v>
      </c>
      <c r="N396" s="193">
        <f t="shared" si="19"/>
        <v>0.79931093884582261</v>
      </c>
      <c r="O396" s="194">
        <f t="shared" si="20"/>
        <v>3.4752649515035768E-2</v>
      </c>
    </row>
    <row r="397" spans="1:15" ht="12.75" customHeight="1">
      <c r="A397" s="188" t="s">
        <v>620</v>
      </c>
      <c r="B397" s="188" t="s">
        <v>621</v>
      </c>
      <c r="C397" s="188" t="s">
        <v>622</v>
      </c>
      <c r="D397" s="188" t="s">
        <v>1280</v>
      </c>
      <c r="E397" s="189">
        <v>39352</v>
      </c>
      <c r="F397" s="190">
        <v>920</v>
      </c>
      <c r="G397" s="190">
        <v>0</v>
      </c>
      <c r="H397" s="191">
        <v>900</v>
      </c>
      <c r="I397" s="191">
        <v>321.5</v>
      </c>
      <c r="J397" s="188" t="s">
        <v>560</v>
      </c>
      <c r="K397" s="188" t="s">
        <v>338</v>
      </c>
      <c r="L397" s="188" t="s">
        <v>1281</v>
      </c>
      <c r="M397" s="192">
        <f t="shared" si="18"/>
        <v>20</v>
      </c>
      <c r="N397" s="193">
        <f t="shared" si="19"/>
        <v>0.69984447900466562</v>
      </c>
      <c r="O397" s="194">
        <f t="shared" si="20"/>
        <v>3.4992223950233284E-2</v>
      </c>
    </row>
    <row r="398" spans="1:15" ht="12.75" customHeight="1">
      <c r="A398" s="188" t="s">
        <v>620</v>
      </c>
      <c r="B398" s="188" t="s">
        <v>621</v>
      </c>
      <c r="C398" s="188" t="s">
        <v>622</v>
      </c>
      <c r="D398" s="188" t="s">
        <v>1282</v>
      </c>
      <c r="E398" s="189">
        <v>39373</v>
      </c>
      <c r="F398" s="190">
        <v>840</v>
      </c>
      <c r="G398" s="190">
        <v>0</v>
      </c>
      <c r="H398" s="191">
        <v>868</v>
      </c>
      <c r="I398" s="191">
        <v>294</v>
      </c>
      <c r="J398" s="188" t="s">
        <v>879</v>
      </c>
      <c r="K398" s="188" t="s">
        <v>338</v>
      </c>
      <c r="L398" s="188" t="s">
        <v>1190</v>
      </c>
      <c r="M398" s="192">
        <f t="shared" si="18"/>
        <v>21</v>
      </c>
      <c r="N398" s="193">
        <f t="shared" si="19"/>
        <v>0.73809523809523814</v>
      </c>
      <c r="O398" s="194">
        <f t="shared" si="20"/>
        <v>3.5147392290249435E-2</v>
      </c>
    </row>
    <row r="399" spans="1:15" ht="12.75" customHeight="1">
      <c r="A399" s="188" t="s">
        <v>620</v>
      </c>
      <c r="B399" s="188" t="s">
        <v>621</v>
      </c>
      <c r="C399" s="188" t="s">
        <v>622</v>
      </c>
      <c r="D399" s="188" t="s">
        <v>1283</v>
      </c>
      <c r="E399" s="189">
        <v>39447</v>
      </c>
      <c r="F399" s="190">
        <v>1073</v>
      </c>
      <c r="G399" s="190">
        <v>0</v>
      </c>
      <c r="H399" s="191">
        <v>1065</v>
      </c>
      <c r="I399" s="191">
        <v>375</v>
      </c>
      <c r="J399" s="188" t="s">
        <v>560</v>
      </c>
      <c r="K399" s="188" t="s">
        <v>338</v>
      </c>
      <c r="L399" s="188" t="s">
        <v>746</v>
      </c>
      <c r="M399" s="192">
        <f t="shared" si="18"/>
        <v>20</v>
      </c>
      <c r="N399" s="193">
        <f t="shared" si="19"/>
        <v>0.71</v>
      </c>
      <c r="O399" s="194">
        <f t="shared" si="20"/>
        <v>3.5499999999999997E-2</v>
      </c>
    </row>
    <row r="400" spans="1:15" ht="12.75" customHeight="1">
      <c r="A400" s="188" t="s">
        <v>620</v>
      </c>
      <c r="B400" s="188" t="s">
        <v>621</v>
      </c>
      <c r="C400" s="188" t="s">
        <v>622</v>
      </c>
      <c r="D400" s="188" t="s">
        <v>1284</v>
      </c>
      <c r="E400" s="189">
        <v>39541</v>
      </c>
      <c r="F400" s="190">
        <v>2136</v>
      </c>
      <c r="G400" s="190">
        <v>0</v>
      </c>
      <c r="H400" s="191">
        <v>2150</v>
      </c>
      <c r="I400" s="191">
        <v>750</v>
      </c>
      <c r="J400" s="188" t="s">
        <v>560</v>
      </c>
      <c r="K400" s="188" t="s">
        <v>338</v>
      </c>
      <c r="L400" s="188" t="s">
        <v>925</v>
      </c>
      <c r="M400" s="192">
        <f t="shared" si="18"/>
        <v>20</v>
      </c>
      <c r="N400" s="193">
        <f t="shared" si="19"/>
        <v>0.71666666666666667</v>
      </c>
      <c r="O400" s="194">
        <f t="shared" si="20"/>
        <v>3.5833333333333335E-2</v>
      </c>
    </row>
    <row r="401" spans="1:15" ht="12.75" customHeight="1">
      <c r="A401" s="188" t="s">
        <v>620</v>
      </c>
      <c r="B401" s="188" t="s">
        <v>621</v>
      </c>
      <c r="C401" s="188" t="s">
        <v>622</v>
      </c>
      <c r="D401" s="188" t="s">
        <v>1285</v>
      </c>
      <c r="E401" s="189">
        <v>39240</v>
      </c>
      <c r="F401" s="190">
        <v>916</v>
      </c>
      <c r="G401" s="190">
        <v>0</v>
      </c>
      <c r="H401" s="191">
        <v>935.13</v>
      </c>
      <c r="I401" s="191">
        <v>320.25</v>
      </c>
      <c r="J401" s="188" t="s">
        <v>560</v>
      </c>
      <c r="K401" s="188" t="s">
        <v>338</v>
      </c>
      <c r="L401" s="188" t="s">
        <v>1286</v>
      </c>
      <c r="M401" s="192">
        <f t="shared" si="18"/>
        <v>20</v>
      </c>
      <c r="N401" s="193">
        <f t="shared" si="19"/>
        <v>0.73</v>
      </c>
      <c r="O401" s="194">
        <f t="shared" si="20"/>
        <v>3.6499999999999998E-2</v>
      </c>
    </row>
    <row r="402" spans="1:15" ht="12.75" customHeight="1">
      <c r="A402" s="188" t="s">
        <v>620</v>
      </c>
      <c r="B402" s="188" t="s">
        <v>621</v>
      </c>
      <c r="C402" s="188" t="s">
        <v>622</v>
      </c>
      <c r="D402" s="188" t="s">
        <v>1287</v>
      </c>
      <c r="E402" s="189">
        <v>39625</v>
      </c>
      <c r="F402" s="190">
        <v>897</v>
      </c>
      <c r="G402" s="190">
        <v>0</v>
      </c>
      <c r="H402" s="191">
        <v>1386</v>
      </c>
      <c r="I402" s="191">
        <v>315</v>
      </c>
      <c r="J402" s="188" t="s">
        <v>635</v>
      </c>
      <c r="K402" s="188" t="s">
        <v>338</v>
      </c>
      <c r="L402" s="188" t="s">
        <v>680</v>
      </c>
      <c r="M402" s="192">
        <f t="shared" si="18"/>
        <v>30</v>
      </c>
      <c r="N402" s="193">
        <f t="shared" si="19"/>
        <v>1.1000000000000001</v>
      </c>
      <c r="O402" s="194">
        <f t="shared" si="20"/>
        <v>3.6666666666666667E-2</v>
      </c>
    </row>
    <row r="403" spans="1:15" ht="12.75" customHeight="1">
      <c r="A403" s="188" t="s">
        <v>620</v>
      </c>
      <c r="B403" s="188" t="s">
        <v>621</v>
      </c>
      <c r="C403" s="188" t="s">
        <v>622</v>
      </c>
      <c r="D403" s="188" t="s">
        <v>1288</v>
      </c>
      <c r="E403" s="189">
        <v>39429</v>
      </c>
      <c r="F403" s="190">
        <v>955</v>
      </c>
      <c r="G403" s="190">
        <v>0</v>
      </c>
      <c r="H403" s="191">
        <v>1089.68</v>
      </c>
      <c r="I403" s="191">
        <v>334</v>
      </c>
      <c r="J403" s="188" t="s">
        <v>710</v>
      </c>
      <c r="K403" s="188" t="s">
        <v>338</v>
      </c>
      <c r="L403" s="188" t="s">
        <v>1289</v>
      </c>
      <c r="M403" s="192">
        <f t="shared" si="18"/>
        <v>22</v>
      </c>
      <c r="N403" s="193">
        <f t="shared" si="19"/>
        <v>0.81562874251497008</v>
      </c>
      <c r="O403" s="194">
        <f t="shared" si="20"/>
        <v>3.7074033750680462E-2</v>
      </c>
    </row>
    <row r="404" spans="1:15" ht="12.75" customHeight="1">
      <c r="A404" s="188" t="s">
        <v>620</v>
      </c>
      <c r="B404" s="188" t="s">
        <v>621</v>
      </c>
      <c r="C404" s="188" t="s">
        <v>622</v>
      </c>
      <c r="D404" s="188" t="s">
        <v>1290</v>
      </c>
      <c r="E404" s="189">
        <v>39447</v>
      </c>
      <c r="F404" s="190">
        <v>826</v>
      </c>
      <c r="G404" s="190">
        <v>0</v>
      </c>
      <c r="H404" s="191">
        <v>1091</v>
      </c>
      <c r="I404" s="191">
        <v>288.75</v>
      </c>
      <c r="J404" s="188" t="s">
        <v>652</v>
      </c>
      <c r="K404" s="188" t="s">
        <v>338</v>
      </c>
      <c r="L404" s="188" t="s">
        <v>1291</v>
      </c>
      <c r="M404" s="192">
        <f t="shared" si="18"/>
        <v>25</v>
      </c>
      <c r="N404" s="193">
        <f t="shared" si="19"/>
        <v>0.94458874458874453</v>
      </c>
      <c r="O404" s="194">
        <f t="shared" si="20"/>
        <v>3.778354978354978E-2</v>
      </c>
    </row>
    <row r="405" spans="1:15" ht="12.75" customHeight="1">
      <c r="A405" s="188" t="s">
        <v>620</v>
      </c>
      <c r="B405" s="188" t="s">
        <v>621</v>
      </c>
      <c r="C405" s="188" t="s">
        <v>622</v>
      </c>
      <c r="D405" s="188" t="s">
        <v>1292</v>
      </c>
      <c r="E405" s="189">
        <v>39507</v>
      </c>
      <c r="F405" s="190">
        <v>1287</v>
      </c>
      <c r="G405" s="190">
        <v>0</v>
      </c>
      <c r="H405" s="191">
        <v>1440</v>
      </c>
      <c r="I405" s="191">
        <v>450</v>
      </c>
      <c r="J405" s="188" t="s">
        <v>879</v>
      </c>
      <c r="K405" s="188" t="s">
        <v>338</v>
      </c>
      <c r="L405" s="188" t="s">
        <v>718</v>
      </c>
      <c r="M405" s="192">
        <f t="shared" si="18"/>
        <v>21</v>
      </c>
      <c r="N405" s="193">
        <f t="shared" si="19"/>
        <v>0.8</v>
      </c>
      <c r="O405" s="194">
        <f t="shared" si="20"/>
        <v>3.8095238095238099E-2</v>
      </c>
    </row>
    <row r="406" spans="1:15" ht="12.75" customHeight="1">
      <c r="A406" s="188" t="s">
        <v>620</v>
      </c>
      <c r="B406" s="188" t="s">
        <v>621</v>
      </c>
      <c r="C406" s="188" t="s">
        <v>622</v>
      </c>
      <c r="D406" s="188" t="s">
        <v>1293</v>
      </c>
      <c r="E406" s="189">
        <v>39407</v>
      </c>
      <c r="F406" s="190">
        <v>1287</v>
      </c>
      <c r="G406" s="190">
        <v>0</v>
      </c>
      <c r="H406" s="191">
        <v>1388</v>
      </c>
      <c r="I406" s="191">
        <v>450</v>
      </c>
      <c r="J406" s="188" t="s">
        <v>560</v>
      </c>
      <c r="K406" s="188" t="s">
        <v>338</v>
      </c>
      <c r="L406" s="188" t="s">
        <v>718</v>
      </c>
      <c r="M406" s="192">
        <f t="shared" si="18"/>
        <v>20</v>
      </c>
      <c r="N406" s="193">
        <f t="shared" si="19"/>
        <v>0.77111111111111108</v>
      </c>
      <c r="O406" s="194">
        <f t="shared" si="20"/>
        <v>3.8555555555555551E-2</v>
      </c>
    </row>
    <row r="407" spans="1:15" ht="12.75" customHeight="1">
      <c r="A407" s="188" t="s">
        <v>620</v>
      </c>
      <c r="B407" s="188" t="s">
        <v>621</v>
      </c>
      <c r="C407" s="188" t="s">
        <v>622</v>
      </c>
      <c r="D407" s="188" t="s">
        <v>1294</v>
      </c>
      <c r="E407" s="189">
        <v>39541</v>
      </c>
      <c r="F407" s="190">
        <v>1139</v>
      </c>
      <c r="G407" s="190">
        <v>0</v>
      </c>
      <c r="H407" s="191">
        <v>1300</v>
      </c>
      <c r="I407" s="191">
        <v>400</v>
      </c>
      <c r="J407" s="188" t="s">
        <v>879</v>
      </c>
      <c r="K407" s="188" t="s">
        <v>338</v>
      </c>
      <c r="L407" s="188" t="s">
        <v>625</v>
      </c>
      <c r="M407" s="192">
        <f t="shared" si="18"/>
        <v>21</v>
      </c>
      <c r="N407" s="193">
        <f t="shared" si="19"/>
        <v>0.8125</v>
      </c>
      <c r="O407" s="194">
        <f t="shared" si="20"/>
        <v>3.8690476190476192E-2</v>
      </c>
    </row>
    <row r="408" spans="1:15" ht="12.75" customHeight="1">
      <c r="A408" s="188" t="s">
        <v>620</v>
      </c>
      <c r="B408" s="188" t="s">
        <v>621</v>
      </c>
      <c r="C408" s="188" t="s">
        <v>622</v>
      </c>
      <c r="D408" s="188" t="s">
        <v>1295</v>
      </c>
      <c r="E408" s="189">
        <v>39485</v>
      </c>
      <c r="F408" s="190">
        <v>607</v>
      </c>
      <c r="G408" s="190">
        <v>0</v>
      </c>
      <c r="H408" s="191">
        <v>659</v>
      </c>
      <c r="I408" s="191">
        <v>212.5</v>
      </c>
      <c r="J408" s="188" t="s">
        <v>560</v>
      </c>
      <c r="K408" s="188" t="s">
        <v>338</v>
      </c>
      <c r="L408" s="188" t="s">
        <v>1170</v>
      </c>
      <c r="M408" s="192">
        <f t="shared" si="18"/>
        <v>20</v>
      </c>
      <c r="N408" s="193">
        <f t="shared" si="19"/>
        <v>0.7752941176470588</v>
      </c>
      <c r="O408" s="194">
        <f t="shared" si="20"/>
        <v>3.8764705882352937E-2</v>
      </c>
    </row>
    <row r="409" spans="1:15" ht="12.75" customHeight="1">
      <c r="A409" s="188" t="s">
        <v>620</v>
      </c>
      <c r="B409" s="188" t="s">
        <v>621</v>
      </c>
      <c r="C409" s="188" t="s">
        <v>622</v>
      </c>
      <c r="D409" s="188" t="s">
        <v>1296</v>
      </c>
      <c r="E409" s="189">
        <v>39618</v>
      </c>
      <c r="F409" s="190">
        <v>855</v>
      </c>
      <c r="G409" s="190">
        <v>0</v>
      </c>
      <c r="H409" s="191">
        <v>931</v>
      </c>
      <c r="I409" s="191">
        <v>300</v>
      </c>
      <c r="J409" s="188" t="s">
        <v>560</v>
      </c>
      <c r="K409" s="188" t="s">
        <v>338</v>
      </c>
      <c r="L409" s="188" t="s">
        <v>632</v>
      </c>
      <c r="M409" s="192">
        <f t="shared" si="18"/>
        <v>20</v>
      </c>
      <c r="N409" s="193">
        <f t="shared" si="19"/>
        <v>0.77583333333333337</v>
      </c>
      <c r="O409" s="194">
        <f t="shared" si="20"/>
        <v>3.8791666666666669E-2</v>
      </c>
    </row>
    <row r="410" spans="1:15" ht="12.75" customHeight="1">
      <c r="A410" s="188" t="s">
        <v>620</v>
      </c>
      <c r="B410" s="188" t="s">
        <v>621</v>
      </c>
      <c r="C410" s="188" t="s">
        <v>622</v>
      </c>
      <c r="D410" s="188" t="s">
        <v>1297</v>
      </c>
      <c r="E410" s="189">
        <v>39366</v>
      </c>
      <c r="F410" s="190">
        <v>1187</v>
      </c>
      <c r="G410" s="190">
        <v>0</v>
      </c>
      <c r="H410" s="191">
        <v>1740</v>
      </c>
      <c r="I410" s="191">
        <v>415</v>
      </c>
      <c r="J410" s="188" t="s">
        <v>639</v>
      </c>
      <c r="K410" s="188" t="s">
        <v>338</v>
      </c>
      <c r="L410" s="188" t="s">
        <v>1298</v>
      </c>
      <c r="M410" s="192">
        <f t="shared" si="18"/>
        <v>27</v>
      </c>
      <c r="N410" s="193">
        <f t="shared" si="19"/>
        <v>1.0481927710843373</v>
      </c>
      <c r="O410" s="194">
        <f t="shared" si="20"/>
        <v>3.8821954484605084E-2</v>
      </c>
    </row>
    <row r="411" spans="1:15" ht="12.75" customHeight="1">
      <c r="A411" s="188" t="s">
        <v>620</v>
      </c>
      <c r="B411" s="188" t="s">
        <v>621</v>
      </c>
      <c r="C411" s="188" t="s">
        <v>622</v>
      </c>
      <c r="D411" s="188" t="s">
        <v>1299</v>
      </c>
      <c r="E411" s="189">
        <v>39310</v>
      </c>
      <c r="F411" s="190">
        <v>801</v>
      </c>
      <c r="G411" s="190">
        <v>0</v>
      </c>
      <c r="H411" s="191">
        <v>1088.98</v>
      </c>
      <c r="I411" s="191">
        <v>280</v>
      </c>
      <c r="J411" s="188" t="s">
        <v>652</v>
      </c>
      <c r="K411" s="188" t="s">
        <v>338</v>
      </c>
      <c r="L411" s="188" t="s">
        <v>825</v>
      </c>
      <c r="M411" s="192">
        <f t="shared" si="18"/>
        <v>25</v>
      </c>
      <c r="N411" s="193">
        <f t="shared" si="19"/>
        <v>0.97230357142857149</v>
      </c>
      <c r="O411" s="194">
        <f t="shared" si="20"/>
        <v>3.8892142857142861E-2</v>
      </c>
    </row>
    <row r="412" spans="1:15" ht="12.75" customHeight="1">
      <c r="A412" s="188" t="s">
        <v>620</v>
      </c>
      <c r="B412" s="188" t="s">
        <v>621</v>
      </c>
      <c r="C412" s="188" t="s">
        <v>622</v>
      </c>
      <c r="D412" s="188" t="s">
        <v>1300</v>
      </c>
      <c r="E412" s="189">
        <v>39296</v>
      </c>
      <c r="F412" s="190">
        <v>944</v>
      </c>
      <c r="G412" s="190">
        <v>0</v>
      </c>
      <c r="H412" s="191">
        <v>1038.97</v>
      </c>
      <c r="I412" s="191">
        <v>330</v>
      </c>
      <c r="J412" s="188" t="s">
        <v>560</v>
      </c>
      <c r="K412" s="188" t="s">
        <v>338</v>
      </c>
      <c r="L412" s="188" t="s">
        <v>1050</v>
      </c>
      <c r="M412" s="192">
        <f t="shared" si="18"/>
        <v>20</v>
      </c>
      <c r="N412" s="193">
        <f t="shared" si="19"/>
        <v>0.78709848484848488</v>
      </c>
      <c r="O412" s="194">
        <f t="shared" si="20"/>
        <v>3.9354924242424247E-2</v>
      </c>
    </row>
    <row r="413" spans="1:15" ht="12.75" customHeight="1">
      <c r="A413" s="188" t="s">
        <v>620</v>
      </c>
      <c r="B413" s="188" t="s">
        <v>621</v>
      </c>
      <c r="C413" s="188" t="s">
        <v>622</v>
      </c>
      <c r="D413" s="188" t="s">
        <v>1301</v>
      </c>
      <c r="E413" s="189">
        <v>39345</v>
      </c>
      <c r="F413" s="190">
        <v>1203</v>
      </c>
      <c r="G413" s="190">
        <v>0</v>
      </c>
      <c r="H413" s="191">
        <v>1260</v>
      </c>
      <c r="I413" s="191">
        <v>420.75</v>
      </c>
      <c r="J413" s="188" t="s">
        <v>667</v>
      </c>
      <c r="K413" s="188" t="s">
        <v>338</v>
      </c>
      <c r="L413" s="188" t="s">
        <v>1144</v>
      </c>
      <c r="M413" s="192">
        <f t="shared" si="18"/>
        <v>19</v>
      </c>
      <c r="N413" s="193">
        <f t="shared" si="19"/>
        <v>0.74866310160427807</v>
      </c>
      <c r="O413" s="194">
        <f t="shared" si="20"/>
        <v>3.9403321137067265E-2</v>
      </c>
    </row>
    <row r="414" spans="1:15" ht="12.75" customHeight="1">
      <c r="A414" s="188" t="s">
        <v>620</v>
      </c>
      <c r="B414" s="188" t="s">
        <v>621</v>
      </c>
      <c r="C414" s="188" t="s">
        <v>622</v>
      </c>
      <c r="D414" s="188" t="s">
        <v>1302</v>
      </c>
      <c r="E414" s="189">
        <v>39447</v>
      </c>
      <c r="F414" s="190">
        <v>743</v>
      </c>
      <c r="G414" s="190">
        <v>0</v>
      </c>
      <c r="H414" s="191">
        <v>1557</v>
      </c>
      <c r="I414" s="191">
        <v>259.5</v>
      </c>
      <c r="J414" s="188" t="s">
        <v>624</v>
      </c>
      <c r="K414" s="188" t="s">
        <v>338</v>
      </c>
      <c r="L414" s="188" t="s">
        <v>1266</v>
      </c>
      <c r="M414" s="192">
        <f t="shared" si="18"/>
        <v>38</v>
      </c>
      <c r="N414" s="193">
        <f t="shared" si="19"/>
        <v>1.5</v>
      </c>
      <c r="O414" s="194">
        <f t="shared" si="20"/>
        <v>3.9473684210526314E-2</v>
      </c>
    </row>
    <row r="415" spans="1:15" ht="12.75" customHeight="1">
      <c r="A415" s="188" t="s">
        <v>620</v>
      </c>
      <c r="B415" s="188" t="s">
        <v>621</v>
      </c>
      <c r="C415" s="188" t="s">
        <v>622</v>
      </c>
      <c r="D415" s="188" t="s">
        <v>1303</v>
      </c>
      <c r="E415" s="189">
        <v>39269</v>
      </c>
      <c r="F415" s="190">
        <v>1799</v>
      </c>
      <c r="G415" s="190">
        <v>0</v>
      </c>
      <c r="H415" s="191">
        <v>1994.94</v>
      </c>
      <c r="I415" s="191">
        <v>629</v>
      </c>
      <c r="J415" s="188" t="s">
        <v>560</v>
      </c>
      <c r="K415" s="188" t="s">
        <v>338</v>
      </c>
      <c r="L415" s="188" t="s">
        <v>1304</v>
      </c>
      <c r="M415" s="192">
        <f t="shared" si="18"/>
        <v>20</v>
      </c>
      <c r="N415" s="193">
        <f t="shared" si="19"/>
        <v>0.79290143084260734</v>
      </c>
      <c r="O415" s="194">
        <f t="shared" si="20"/>
        <v>3.9645071542130365E-2</v>
      </c>
    </row>
    <row r="416" spans="1:15" ht="12.75" customHeight="1">
      <c r="A416" s="188" t="s">
        <v>620</v>
      </c>
      <c r="B416" s="188" t="s">
        <v>621</v>
      </c>
      <c r="C416" s="188" t="s">
        <v>622</v>
      </c>
      <c r="D416" s="188" t="s">
        <v>1305</v>
      </c>
      <c r="E416" s="189">
        <v>39485</v>
      </c>
      <c r="F416" s="190">
        <v>472</v>
      </c>
      <c r="G416" s="190">
        <v>0</v>
      </c>
      <c r="H416" s="191">
        <v>785.64</v>
      </c>
      <c r="I416" s="191">
        <v>165</v>
      </c>
      <c r="J416" s="188" t="s">
        <v>635</v>
      </c>
      <c r="K416" s="188" t="s">
        <v>338</v>
      </c>
      <c r="L416" s="188" t="s">
        <v>1306</v>
      </c>
      <c r="M416" s="192">
        <f t="shared" si="18"/>
        <v>30</v>
      </c>
      <c r="N416" s="193">
        <f t="shared" si="19"/>
        <v>1.1903636363636363</v>
      </c>
      <c r="O416" s="194">
        <f t="shared" si="20"/>
        <v>3.9678787878787876E-2</v>
      </c>
    </row>
    <row r="417" spans="1:15" ht="12.75" customHeight="1">
      <c r="A417" s="188" t="s">
        <v>620</v>
      </c>
      <c r="B417" s="188" t="s">
        <v>621</v>
      </c>
      <c r="C417" s="188" t="s">
        <v>622</v>
      </c>
      <c r="D417" s="188" t="s">
        <v>1307</v>
      </c>
      <c r="E417" s="189">
        <v>39597</v>
      </c>
      <c r="F417" s="190">
        <v>735</v>
      </c>
      <c r="G417" s="190">
        <v>0</v>
      </c>
      <c r="H417" s="191">
        <v>863</v>
      </c>
      <c r="I417" s="191">
        <v>258</v>
      </c>
      <c r="J417" s="188" t="s">
        <v>879</v>
      </c>
      <c r="K417" s="188" t="s">
        <v>338</v>
      </c>
      <c r="L417" s="188" t="s">
        <v>908</v>
      </c>
      <c r="M417" s="192">
        <f t="shared" si="18"/>
        <v>21</v>
      </c>
      <c r="N417" s="193">
        <f t="shared" si="19"/>
        <v>0.83624031007751942</v>
      </c>
      <c r="O417" s="194">
        <f t="shared" si="20"/>
        <v>3.9820967146548543E-2</v>
      </c>
    </row>
    <row r="418" spans="1:15" ht="12.75" customHeight="1">
      <c r="A418" s="188" t="s">
        <v>620</v>
      </c>
      <c r="B418" s="188" t="s">
        <v>621</v>
      </c>
      <c r="C418" s="188" t="s">
        <v>622</v>
      </c>
      <c r="D418" s="188" t="s">
        <v>1308</v>
      </c>
      <c r="E418" s="189">
        <v>39527</v>
      </c>
      <c r="F418" s="190">
        <v>1247</v>
      </c>
      <c r="G418" s="190">
        <v>0</v>
      </c>
      <c r="H418" s="191">
        <v>1395</v>
      </c>
      <c r="I418" s="191">
        <v>437.5</v>
      </c>
      <c r="J418" s="188" t="s">
        <v>560</v>
      </c>
      <c r="K418" s="188" t="s">
        <v>338</v>
      </c>
      <c r="L418" s="188" t="s">
        <v>727</v>
      </c>
      <c r="M418" s="192">
        <f t="shared" si="18"/>
        <v>20</v>
      </c>
      <c r="N418" s="193">
        <f t="shared" si="19"/>
        <v>0.79714285714285715</v>
      </c>
      <c r="O418" s="194">
        <f t="shared" si="20"/>
        <v>3.9857142857142855E-2</v>
      </c>
    </row>
    <row r="419" spans="1:15" ht="12.75" customHeight="1">
      <c r="A419" s="188" t="s">
        <v>620</v>
      </c>
      <c r="B419" s="188" t="s">
        <v>621</v>
      </c>
      <c r="C419" s="188" t="s">
        <v>622</v>
      </c>
      <c r="D419" s="188" t="s">
        <v>1309</v>
      </c>
      <c r="E419" s="189">
        <v>39429</v>
      </c>
      <c r="F419" s="190">
        <v>1073</v>
      </c>
      <c r="G419" s="190">
        <v>0</v>
      </c>
      <c r="H419" s="191">
        <v>1800</v>
      </c>
      <c r="I419" s="191">
        <v>375</v>
      </c>
      <c r="J419" s="188" t="s">
        <v>635</v>
      </c>
      <c r="K419" s="188" t="s">
        <v>338</v>
      </c>
      <c r="L419" s="188" t="s">
        <v>746</v>
      </c>
      <c r="M419" s="192">
        <f t="shared" si="18"/>
        <v>30</v>
      </c>
      <c r="N419" s="193">
        <f t="shared" si="19"/>
        <v>1.2</v>
      </c>
      <c r="O419" s="194">
        <f t="shared" si="20"/>
        <v>0.04</v>
      </c>
    </row>
    <row r="420" spans="1:15" ht="12.75" customHeight="1">
      <c r="A420" s="188" t="s">
        <v>620</v>
      </c>
      <c r="B420" s="188" t="s">
        <v>621</v>
      </c>
      <c r="C420" s="188" t="s">
        <v>622</v>
      </c>
      <c r="D420" s="188" t="s">
        <v>1310</v>
      </c>
      <c r="E420" s="189">
        <v>39380</v>
      </c>
      <c r="F420" s="190">
        <v>844</v>
      </c>
      <c r="G420" s="190">
        <v>0</v>
      </c>
      <c r="H420" s="191">
        <v>1000</v>
      </c>
      <c r="I420" s="191">
        <v>295</v>
      </c>
      <c r="J420" s="188" t="s">
        <v>879</v>
      </c>
      <c r="K420" s="188" t="s">
        <v>338</v>
      </c>
      <c r="L420" s="188" t="s">
        <v>447</v>
      </c>
      <c r="M420" s="192">
        <f t="shared" si="18"/>
        <v>21</v>
      </c>
      <c r="N420" s="193">
        <f t="shared" si="19"/>
        <v>0.84745762711864403</v>
      </c>
      <c r="O420" s="194">
        <f t="shared" si="20"/>
        <v>4.0355125100887811E-2</v>
      </c>
    </row>
    <row r="421" spans="1:15" ht="12.75" customHeight="1">
      <c r="A421" s="188" t="s">
        <v>620</v>
      </c>
      <c r="B421" s="188" t="s">
        <v>621</v>
      </c>
      <c r="C421" s="188" t="s">
        <v>622</v>
      </c>
      <c r="D421" s="188" t="s">
        <v>1311</v>
      </c>
      <c r="E421" s="189">
        <v>39422</v>
      </c>
      <c r="F421" s="190">
        <v>594</v>
      </c>
      <c r="G421" s="190">
        <v>0</v>
      </c>
      <c r="H421" s="191">
        <v>670</v>
      </c>
      <c r="I421" s="191">
        <v>207.5</v>
      </c>
      <c r="J421" s="188" t="s">
        <v>560</v>
      </c>
      <c r="K421" s="188" t="s">
        <v>338</v>
      </c>
      <c r="L421" s="188" t="s">
        <v>1157</v>
      </c>
      <c r="M421" s="192">
        <f t="shared" si="18"/>
        <v>20</v>
      </c>
      <c r="N421" s="193">
        <f t="shared" si="19"/>
        <v>0.80722891566265065</v>
      </c>
      <c r="O421" s="194">
        <f t="shared" si="20"/>
        <v>4.0361445783132534E-2</v>
      </c>
    </row>
    <row r="422" spans="1:15" ht="12.75" customHeight="1">
      <c r="A422" s="188" t="s">
        <v>620</v>
      </c>
      <c r="B422" s="188" t="s">
        <v>621</v>
      </c>
      <c r="C422" s="188" t="s">
        <v>622</v>
      </c>
      <c r="D422" s="188" t="s">
        <v>1312</v>
      </c>
      <c r="E422" s="189">
        <v>39443</v>
      </c>
      <c r="F422" s="190">
        <v>958</v>
      </c>
      <c r="G422" s="190">
        <v>0</v>
      </c>
      <c r="H422" s="191">
        <v>1082</v>
      </c>
      <c r="I422" s="191">
        <v>335</v>
      </c>
      <c r="J422" s="188" t="s">
        <v>560</v>
      </c>
      <c r="K422" s="188" t="s">
        <v>338</v>
      </c>
      <c r="L422" s="188" t="s">
        <v>815</v>
      </c>
      <c r="M422" s="192">
        <f t="shared" si="18"/>
        <v>20</v>
      </c>
      <c r="N422" s="193">
        <f t="shared" si="19"/>
        <v>0.80746268656716413</v>
      </c>
      <c r="O422" s="194">
        <f t="shared" si="20"/>
        <v>4.0373134328358207E-2</v>
      </c>
    </row>
    <row r="423" spans="1:15" ht="12.75" customHeight="1">
      <c r="A423" s="188" t="s">
        <v>620</v>
      </c>
      <c r="B423" s="188" t="s">
        <v>621</v>
      </c>
      <c r="C423" s="188" t="s">
        <v>622</v>
      </c>
      <c r="D423" s="188" t="s">
        <v>1313</v>
      </c>
      <c r="E423" s="189">
        <v>39618</v>
      </c>
      <c r="F423" s="190">
        <v>641</v>
      </c>
      <c r="G423" s="190">
        <v>0</v>
      </c>
      <c r="H423" s="191">
        <v>728</v>
      </c>
      <c r="I423" s="191">
        <v>225</v>
      </c>
      <c r="J423" s="188" t="s">
        <v>560</v>
      </c>
      <c r="K423" s="188" t="s">
        <v>338</v>
      </c>
      <c r="L423" s="188" t="s">
        <v>740</v>
      </c>
      <c r="M423" s="192">
        <f t="shared" si="18"/>
        <v>20</v>
      </c>
      <c r="N423" s="193">
        <f t="shared" si="19"/>
        <v>0.80888888888888888</v>
      </c>
      <c r="O423" s="194">
        <f t="shared" si="20"/>
        <v>4.0444444444444443E-2</v>
      </c>
    </row>
    <row r="424" spans="1:15" ht="12.75" customHeight="1">
      <c r="A424" s="188" t="s">
        <v>620</v>
      </c>
      <c r="B424" s="188" t="s">
        <v>621</v>
      </c>
      <c r="C424" s="188" t="s">
        <v>622</v>
      </c>
      <c r="D424" s="188" t="s">
        <v>1314</v>
      </c>
      <c r="E424" s="189">
        <v>39443</v>
      </c>
      <c r="F424" s="190">
        <v>215</v>
      </c>
      <c r="G424" s="190">
        <v>0</v>
      </c>
      <c r="H424" s="191">
        <v>462.93</v>
      </c>
      <c r="I424" s="191">
        <v>75</v>
      </c>
      <c r="J424" s="188" t="s">
        <v>624</v>
      </c>
      <c r="K424" s="188" t="s">
        <v>338</v>
      </c>
      <c r="L424" s="188" t="s">
        <v>1315</v>
      </c>
      <c r="M424" s="192">
        <f t="shared" si="18"/>
        <v>38</v>
      </c>
      <c r="N424" s="193">
        <f t="shared" si="19"/>
        <v>1.5430999999999999</v>
      </c>
      <c r="O424" s="194">
        <f t="shared" si="20"/>
        <v>4.06078947368421E-2</v>
      </c>
    </row>
    <row r="425" spans="1:15" ht="12.75" customHeight="1">
      <c r="A425" s="188" t="s">
        <v>620</v>
      </c>
      <c r="B425" s="188" t="s">
        <v>621</v>
      </c>
      <c r="C425" s="188" t="s">
        <v>622</v>
      </c>
      <c r="D425" s="188" t="s">
        <v>1316</v>
      </c>
      <c r="E425" s="189">
        <v>39513</v>
      </c>
      <c r="F425" s="190">
        <v>1007</v>
      </c>
      <c r="G425" s="190">
        <v>0</v>
      </c>
      <c r="H425" s="191">
        <v>1447</v>
      </c>
      <c r="I425" s="191">
        <v>353.5</v>
      </c>
      <c r="J425" s="188" t="s">
        <v>652</v>
      </c>
      <c r="K425" s="188" t="s">
        <v>338</v>
      </c>
      <c r="L425" s="188" t="s">
        <v>1317</v>
      </c>
      <c r="M425" s="192">
        <f t="shared" si="18"/>
        <v>25</v>
      </c>
      <c r="N425" s="193">
        <f t="shared" si="19"/>
        <v>1.0233380480905234</v>
      </c>
      <c r="O425" s="194">
        <f t="shared" si="20"/>
        <v>4.0933521923620937E-2</v>
      </c>
    </row>
    <row r="426" spans="1:15" ht="12.75" customHeight="1">
      <c r="A426" s="188" t="s">
        <v>620</v>
      </c>
      <c r="B426" s="188" t="s">
        <v>621</v>
      </c>
      <c r="C426" s="188" t="s">
        <v>622</v>
      </c>
      <c r="D426" s="188" t="s">
        <v>1318</v>
      </c>
      <c r="E426" s="189">
        <v>39447</v>
      </c>
      <c r="F426" s="190">
        <v>926</v>
      </c>
      <c r="G426" s="190">
        <v>0</v>
      </c>
      <c r="H426" s="191">
        <v>1618</v>
      </c>
      <c r="I426" s="191">
        <v>324</v>
      </c>
      <c r="J426" s="188" t="s">
        <v>635</v>
      </c>
      <c r="K426" s="188" t="s">
        <v>338</v>
      </c>
      <c r="L426" s="188" t="s">
        <v>1319</v>
      </c>
      <c r="M426" s="192">
        <f t="shared" si="18"/>
        <v>30</v>
      </c>
      <c r="N426" s="193">
        <f t="shared" si="19"/>
        <v>1.2484567901234569</v>
      </c>
      <c r="O426" s="194">
        <f t="shared" si="20"/>
        <v>4.161522633744856E-2</v>
      </c>
    </row>
    <row r="427" spans="1:15" ht="12.75" customHeight="1">
      <c r="A427" s="188" t="s">
        <v>620</v>
      </c>
      <c r="B427" s="188" t="s">
        <v>621</v>
      </c>
      <c r="C427" s="188" t="s">
        <v>622</v>
      </c>
      <c r="D427" s="188" t="s">
        <v>1320</v>
      </c>
      <c r="E427" s="189">
        <v>39447</v>
      </c>
      <c r="F427" s="190">
        <v>572</v>
      </c>
      <c r="G427" s="190">
        <v>0</v>
      </c>
      <c r="H427" s="191">
        <v>700</v>
      </c>
      <c r="I427" s="191">
        <v>200</v>
      </c>
      <c r="J427" s="188" t="s">
        <v>879</v>
      </c>
      <c r="K427" s="188" t="s">
        <v>338</v>
      </c>
      <c r="L427" s="188" t="s">
        <v>752</v>
      </c>
      <c r="M427" s="192">
        <f t="shared" si="18"/>
        <v>21</v>
      </c>
      <c r="N427" s="193">
        <f t="shared" si="19"/>
        <v>0.875</v>
      </c>
      <c r="O427" s="194">
        <f t="shared" si="20"/>
        <v>4.1666666666666664E-2</v>
      </c>
    </row>
    <row r="428" spans="1:15" ht="12.75" customHeight="1">
      <c r="A428" s="188" t="s">
        <v>620</v>
      </c>
      <c r="B428" s="188" t="s">
        <v>621</v>
      </c>
      <c r="C428" s="188" t="s">
        <v>622</v>
      </c>
      <c r="D428" s="188" t="s">
        <v>1321</v>
      </c>
      <c r="E428" s="189">
        <v>39568</v>
      </c>
      <c r="F428" s="190">
        <v>142</v>
      </c>
      <c r="G428" s="190">
        <v>0</v>
      </c>
      <c r="H428" s="191">
        <v>200</v>
      </c>
      <c r="I428" s="191">
        <v>50</v>
      </c>
      <c r="J428" s="188" t="s">
        <v>1052</v>
      </c>
      <c r="K428" s="188" t="s">
        <v>338</v>
      </c>
      <c r="L428" s="188" t="s">
        <v>1322</v>
      </c>
      <c r="M428" s="192">
        <f t="shared" si="18"/>
        <v>24</v>
      </c>
      <c r="N428" s="193">
        <f t="shared" si="19"/>
        <v>1</v>
      </c>
      <c r="O428" s="194">
        <f t="shared" si="20"/>
        <v>4.1666666666666664E-2</v>
      </c>
    </row>
    <row r="429" spans="1:15" ht="12.75" customHeight="1">
      <c r="A429" s="188" t="s">
        <v>620</v>
      </c>
      <c r="B429" s="188" t="s">
        <v>621</v>
      </c>
      <c r="C429" s="188" t="s">
        <v>622</v>
      </c>
      <c r="D429" s="188" t="s">
        <v>1323</v>
      </c>
      <c r="E429" s="189">
        <v>39520</v>
      </c>
      <c r="F429" s="190">
        <v>641</v>
      </c>
      <c r="G429" s="190">
        <v>0</v>
      </c>
      <c r="H429" s="191">
        <v>1460</v>
      </c>
      <c r="I429" s="191">
        <v>225</v>
      </c>
      <c r="J429" s="188" t="s">
        <v>624</v>
      </c>
      <c r="K429" s="188" t="s">
        <v>338</v>
      </c>
      <c r="L429" s="188" t="s">
        <v>740</v>
      </c>
      <c r="M429" s="192">
        <f t="shared" si="18"/>
        <v>38</v>
      </c>
      <c r="N429" s="193">
        <f t="shared" si="19"/>
        <v>1.6222222222222222</v>
      </c>
      <c r="O429" s="194">
        <f t="shared" si="20"/>
        <v>4.2690058479532167E-2</v>
      </c>
    </row>
    <row r="430" spans="1:15" ht="12.75" customHeight="1">
      <c r="A430" s="188" t="s">
        <v>620</v>
      </c>
      <c r="B430" s="188" t="s">
        <v>621</v>
      </c>
      <c r="C430" s="188" t="s">
        <v>622</v>
      </c>
      <c r="D430" s="188" t="s">
        <v>1324</v>
      </c>
      <c r="E430" s="189">
        <v>39345</v>
      </c>
      <c r="F430" s="190">
        <v>752</v>
      </c>
      <c r="G430" s="190">
        <v>0</v>
      </c>
      <c r="H430" s="191">
        <v>855.04</v>
      </c>
      <c r="I430" s="191">
        <v>263.25</v>
      </c>
      <c r="J430" s="188" t="s">
        <v>667</v>
      </c>
      <c r="K430" s="188" t="s">
        <v>338</v>
      </c>
      <c r="L430" s="188" t="s">
        <v>882</v>
      </c>
      <c r="M430" s="192">
        <f t="shared" si="18"/>
        <v>19</v>
      </c>
      <c r="N430" s="193">
        <f t="shared" si="19"/>
        <v>0.81200379867046535</v>
      </c>
      <c r="O430" s="194">
        <f t="shared" si="20"/>
        <v>4.2737042035287651E-2</v>
      </c>
    </row>
    <row r="431" spans="1:15" ht="12.75" customHeight="1">
      <c r="A431" s="188" t="s">
        <v>620</v>
      </c>
      <c r="B431" s="188" t="s">
        <v>621</v>
      </c>
      <c r="C431" s="188" t="s">
        <v>622</v>
      </c>
      <c r="D431" s="188" t="s">
        <v>1325</v>
      </c>
      <c r="E431" s="189">
        <v>39436</v>
      </c>
      <c r="F431" s="190">
        <v>264</v>
      </c>
      <c r="G431" s="190">
        <v>0</v>
      </c>
      <c r="H431" s="191">
        <v>420</v>
      </c>
      <c r="I431" s="191">
        <v>92.5</v>
      </c>
      <c r="J431" s="188" t="s">
        <v>361</v>
      </c>
      <c r="K431" s="188" t="s">
        <v>338</v>
      </c>
      <c r="L431" s="188" t="s">
        <v>1326</v>
      </c>
      <c r="M431" s="192">
        <f t="shared" si="18"/>
        <v>26</v>
      </c>
      <c r="N431" s="193">
        <f t="shared" si="19"/>
        <v>1.1351351351351351</v>
      </c>
      <c r="O431" s="194">
        <f t="shared" si="20"/>
        <v>4.3659043659043655E-2</v>
      </c>
    </row>
    <row r="432" spans="1:15" ht="12.75" customHeight="1">
      <c r="A432" s="188" t="s">
        <v>620</v>
      </c>
      <c r="B432" s="188" t="s">
        <v>621</v>
      </c>
      <c r="C432" s="188" t="s">
        <v>622</v>
      </c>
      <c r="D432" s="188" t="s">
        <v>1327</v>
      </c>
      <c r="E432" s="189">
        <v>39436</v>
      </c>
      <c r="F432" s="190">
        <v>1037</v>
      </c>
      <c r="G432" s="190">
        <v>0</v>
      </c>
      <c r="H432" s="191">
        <v>1668.25</v>
      </c>
      <c r="I432" s="191">
        <v>362.75</v>
      </c>
      <c r="J432" s="188" t="s">
        <v>361</v>
      </c>
      <c r="K432" s="188" t="s">
        <v>338</v>
      </c>
      <c r="L432" s="188" t="s">
        <v>1328</v>
      </c>
      <c r="M432" s="192">
        <f t="shared" si="18"/>
        <v>26</v>
      </c>
      <c r="N432" s="193">
        <f t="shared" si="19"/>
        <v>1.149724328049621</v>
      </c>
      <c r="O432" s="194">
        <f t="shared" si="20"/>
        <v>4.422016646344696E-2</v>
      </c>
    </row>
    <row r="433" spans="1:15" ht="12.75" customHeight="1">
      <c r="A433" s="188" t="s">
        <v>620</v>
      </c>
      <c r="B433" s="188" t="s">
        <v>621</v>
      </c>
      <c r="C433" s="188" t="s">
        <v>622</v>
      </c>
      <c r="D433" s="188" t="s">
        <v>1329</v>
      </c>
      <c r="E433" s="189">
        <v>39254</v>
      </c>
      <c r="F433" s="190">
        <v>1224</v>
      </c>
      <c r="G433" s="190">
        <v>0</v>
      </c>
      <c r="H433" s="191">
        <v>1439.95</v>
      </c>
      <c r="I433" s="191">
        <v>428.25</v>
      </c>
      <c r="J433" s="188" t="s">
        <v>667</v>
      </c>
      <c r="K433" s="188" t="s">
        <v>338</v>
      </c>
      <c r="L433" s="188" t="s">
        <v>871</v>
      </c>
      <c r="M433" s="192">
        <f t="shared" si="18"/>
        <v>19</v>
      </c>
      <c r="N433" s="193">
        <f t="shared" si="19"/>
        <v>0.84060128429655578</v>
      </c>
      <c r="O433" s="194">
        <f t="shared" si="20"/>
        <v>4.4242172857713459E-2</v>
      </c>
    </row>
    <row r="434" spans="1:15" ht="12.75" customHeight="1">
      <c r="A434" s="188" t="s">
        <v>620</v>
      </c>
      <c r="B434" s="188" t="s">
        <v>621</v>
      </c>
      <c r="C434" s="188" t="s">
        <v>622</v>
      </c>
      <c r="D434" s="188" t="s">
        <v>1330</v>
      </c>
      <c r="E434" s="189">
        <v>39303</v>
      </c>
      <c r="F434" s="190">
        <v>749</v>
      </c>
      <c r="G434" s="190">
        <v>0</v>
      </c>
      <c r="H434" s="191">
        <v>885.98</v>
      </c>
      <c r="I434" s="191">
        <v>262</v>
      </c>
      <c r="J434" s="188" t="s">
        <v>667</v>
      </c>
      <c r="K434" s="188" t="s">
        <v>338</v>
      </c>
      <c r="L434" s="188" t="s">
        <v>1331</v>
      </c>
      <c r="M434" s="192">
        <f t="shared" si="18"/>
        <v>19</v>
      </c>
      <c r="N434" s="193">
        <f t="shared" si="19"/>
        <v>0.84540076335877867</v>
      </c>
      <c r="O434" s="194">
        <f t="shared" si="20"/>
        <v>4.4494777018883089E-2</v>
      </c>
    </row>
    <row r="435" spans="1:15" ht="12.75" customHeight="1">
      <c r="A435" s="188" t="s">
        <v>620</v>
      </c>
      <c r="B435" s="188" t="s">
        <v>621</v>
      </c>
      <c r="C435" s="188" t="s">
        <v>622</v>
      </c>
      <c r="D435" s="188" t="s">
        <v>1332</v>
      </c>
      <c r="E435" s="189">
        <v>39492</v>
      </c>
      <c r="F435" s="190">
        <v>983</v>
      </c>
      <c r="G435" s="190">
        <v>0</v>
      </c>
      <c r="H435" s="191">
        <v>1261</v>
      </c>
      <c r="I435" s="191">
        <v>343.75</v>
      </c>
      <c r="J435" s="188" t="s">
        <v>560</v>
      </c>
      <c r="K435" s="188" t="s">
        <v>338</v>
      </c>
      <c r="L435" s="188" t="s">
        <v>1271</v>
      </c>
      <c r="M435" s="192">
        <f t="shared" si="18"/>
        <v>20</v>
      </c>
      <c r="N435" s="193">
        <f t="shared" si="19"/>
        <v>0.91709090909090907</v>
      </c>
      <c r="O435" s="194">
        <f t="shared" si="20"/>
        <v>4.5854545454545453E-2</v>
      </c>
    </row>
    <row r="436" spans="1:15" ht="12.75" customHeight="1">
      <c r="A436" s="188" t="s">
        <v>620</v>
      </c>
      <c r="B436" s="188" t="s">
        <v>621</v>
      </c>
      <c r="C436" s="188" t="s">
        <v>622</v>
      </c>
      <c r="D436" s="188" t="s">
        <v>1333</v>
      </c>
      <c r="E436" s="189">
        <v>39447</v>
      </c>
      <c r="F436" s="190">
        <v>598</v>
      </c>
      <c r="G436" s="190">
        <v>0</v>
      </c>
      <c r="H436" s="191">
        <v>1475.6</v>
      </c>
      <c r="I436" s="191">
        <v>209.25</v>
      </c>
      <c r="J436" s="188" t="s">
        <v>624</v>
      </c>
      <c r="K436" s="188" t="s">
        <v>338</v>
      </c>
      <c r="L436" s="188" t="s">
        <v>1334</v>
      </c>
      <c r="M436" s="192">
        <f t="shared" si="18"/>
        <v>38</v>
      </c>
      <c r="N436" s="193">
        <f t="shared" si="19"/>
        <v>1.7629629629629628</v>
      </c>
      <c r="O436" s="194">
        <f t="shared" si="20"/>
        <v>4.6393762183235862E-2</v>
      </c>
    </row>
    <row r="437" spans="1:15" ht="12.75" customHeight="1">
      <c r="A437" s="188" t="s">
        <v>620</v>
      </c>
      <c r="B437" s="188" t="s">
        <v>621</v>
      </c>
      <c r="C437" s="188" t="s">
        <v>622</v>
      </c>
      <c r="D437" s="188" t="s">
        <v>1335</v>
      </c>
      <c r="E437" s="189">
        <v>39513</v>
      </c>
      <c r="F437" s="190">
        <v>1224</v>
      </c>
      <c r="G437" s="190">
        <v>0</v>
      </c>
      <c r="H437" s="191">
        <v>1676</v>
      </c>
      <c r="I437" s="191">
        <v>429.75</v>
      </c>
      <c r="J437" s="188" t="s">
        <v>879</v>
      </c>
      <c r="K437" s="188" t="s">
        <v>338</v>
      </c>
      <c r="L437" s="188" t="s">
        <v>1336</v>
      </c>
      <c r="M437" s="192">
        <f t="shared" si="18"/>
        <v>21</v>
      </c>
      <c r="N437" s="193">
        <f t="shared" si="19"/>
        <v>0.97498545666084935</v>
      </c>
      <c r="O437" s="194">
        <f t="shared" si="20"/>
        <v>4.642787888861187E-2</v>
      </c>
    </row>
    <row r="438" spans="1:15" ht="12.75" customHeight="1">
      <c r="A438" s="188" t="s">
        <v>620</v>
      </c>
      <c r="B438" s="188" t="s">
        <v>621</v>
      </c>
      <c r="C438" s="188" t="s">
        <v>622</v>
      </c>
      <c r="D438" s="188" t="s">
        <v>1337</v>
      </c>
      <c r="E438" s="189">
        <v>39568</v>
      </c>
      <c r="F438" s="190">
        <v>1376</v>
      </c>
      <c r="G438" s="190">
        <v>0</v>
      </c>
      <c r="H438" s="191">
        <v>2706.2</v>
      </c>
      <c r="I438" s="191">
        <v>483.25</v>
      </c>
      <c r="J438" s="188" t="s">
        <v>635</v>
      </c>
      <c r="K438" s="188" t="s">
        <v>338</v>
      </c>
      <c r="L438" s="188" t="s">
        <v>1338</v>
      </c>
      <c r="M438" s="192">
        <f t="shared" si="18"/>
        <v>30</v>
      </c>
      <c r="N438" s="193">
        <f t="shared" si="19"/>
        <v>1.4</v>
      </c>
      <c r="O438" s="194">
        <f t="shared" si="20"/>
        <v>4.6666666666666662E-2</v>
      </c>
    </row>
    <row r="439" spans="1:15" ht="12.75" customHeight="1">
      <c r="A439" s="188" t="s">
        <v>620</v>
      </c>
      <c r="B439" s="188" t="s">
        <v>621</v>
      </c>
      <c r="C439" s="188" t="s">
        <v>622</v>
      </c>
      <c r="D439" s="188" t="s">
        <v>1339</v>
      </c>
      <c r="E439" s="189">
        <v>39520</v>
      </c>
      <c r="F439" s="190">
        <v>718</v>
      </c>
      <c r="G439" s="190">
        <v>0</v>
      </c>
      <c r="H439" s="191">
        <v>1097</v>
      </c>
      <c r="I439" s="191">
        <v>252</v>
      </c>
      <c r="J439" s="188" t="s">
        <v>571</v>
      </c>
      <c r="K439" s="188" t="s">
        <v>338</v>
      </c>
      <c r="L439" s="188" t="s">
        <v>736</v>
      </c>
      <c r="M439" s="192">
        <f t="shared" si="18"/>
        <v>23</v>
      </c>
      <c r="N439" s="193">
        <f t="shared" si="19"/>
        <v>1.0882936507936507</v>
      </c>
      <c r="O439" s="194">
        <f t="shared" si="20"/>
        <v>4.7317115251897857E-2</v>
      </c>
    </row>
    <row r="440" spans="1:15" ht="12.75" customHeight="1">
      <c r="A440" s="188" t="s">
        <v>620</v>
      </c>
      <c r="B440" s="188" t="s">
        <v>621</v>
      </c>
      <c r="C440" s="188" t="s">
        <v>622</v>
      </c>
      <c r="D440" s="188" t="s">
        <v>1340</v>
      </c>
      <c r="E440" s="189">
        <v>39534</v>
      </c>
      <c r="F440" s="190">
        <v>769</v>
      </c>
      <c r="G440" s="190">
        <v>0</v>
      </c>
      <c r="H440" s="191">
        <v>1000</v>
      </c>
      <c r="I440" s="191">
        <v>270</v>
      </c>
      <c r="J440" s="188" t="s">
        <v>667</v>
      </c>
      <c r="K440" s="188" t="s">
        <v>338</v>
      </c>
      <c r="L440" s="188" t="s">
        <v>817</v>
      </c>
      <c r="M440" s="192">
        <f t="shared" si="18"/>
        <v>19</v>
      </c>
      <c r="N440" s="193">
        <f t="shared" si="19"/>
        <v>0.92592592592592593</v>
      </c>
      <c r="O440" s="194">
        <f t="shared" si="20"/>
        <v>4.8732943469785572E-2</v>
      </c>
    </row>
    <row r="441" spans="1:15" ht="12.75" customHeight="1">
      <c r="A441" s="188" t="s">
        <v>620</v>
      </c>
      <c r="B441" s="188" t="s">
        <v>621</v>
      </c>
      <c r="C441" s="188" t="s">
        <v>622</v>
      </c>
      <c r="D441" s="188" t="s">
        <v>1341</v>
      </c>
      <c r="E441" s="189">
        <v>39226</v>
      </c>
      <c r="F441" s="190">
        <v>618</v>
      </c>
      <c r="G441" s="190">
        <v>0</v>
      </c>
      <c r="H441" s="191">
        <v>679.97</v>
      </c>
      <c r="I441" s="191">
        <v>216</v>
      </c>
      <c r="J441" s="188" t="s">
        <v>639</v>
      </c>
      <c r="K441" s="188" t="s">
        <v>375</v>
      </c>
      <c r="L441" s="188" t="s">
        <v>1342</v>
      </c>
      <c r="M441" s="192">
        <f t="shared" si="18"/>
        <v>16</v>
      </c>
      <c r="N441" s="193">
        <f t="shared" si="19"/>
        <v>0.78700231481481486</v>
      </c>
      <c r="O441" s="194">
        <f t="shared" si="20"/>
        <v>4.9187644675925929E-2</v>
      </c>
    </row>
    <row r="442" spans="1:15" ht="12.75" customHeight="1">
      <c r="A442" s="188" t="s">
        <v>620</v>
      </c>
      <c r="B442" s="188" t="s">
        <v>621</v>
      </c>
      <c r="C442" s="188" t="s">
        <v>622</v>
      </c>
      <c r="D442" s="188" t="s">
        <v>1343</v>
      </c>
      <c r="E442" s="189">
        <v>39447</v>
      </c>
      <c r="F442" s="190">
        <v>839</v>
      </c>
      <c r="G442" s="190">
        <v>0</v>
      </c>
      <c r="H442" s="191">
        <v>1233</v>
      </c>
      <c r="I442" s="191">
        <v>293.5</v>
      </c>
      <c r="J442" s="188" t="s">
        <v>624</v>
      </c>
      <c r="K442" s="188" t="s">
        <v>1344</v>
      </c>
      <c r="L442" s="188" t="s">
        <v>1345</v>
      </c>
      <c r="M442" s="192">
        <f t="shared" si="18"/>
        <v>21</v>
      </c>
      <c r="N442" s="193">
        <f t="shared" si="19"/>
        <v>1.0502555366269166</v>
      </c>
      <c r="O442" s="194">
        <f t="shared" si="20"/>
        <v>5.0012168410805552E-2</v>
      </c>
    </row>
    <row r="443" spans="1:15" ht="12.75" customHeight="1">
      <c r="A443" s="188" t="s">
        <v>620</v>
      </c>
      <c r="B443" s="188" t="s">
        <v>621</v>
      </c>
      <c r="C443" s="188" t="s">
        <v>622</v>
      </c>
      <c r="D443" s="188" t="s">
        <v>1346</v>
      </c>
      <c r="E443" s="189">
        <v>39447</v>
      </c>
      <c r="F443" s="190">
        <v>823</v>
      </c>
      <c r="G443" s="190">
        <v>0</v>
      </c>
      <c r="H443" s="191">
        <v>1093</v>
      </c>
      <c r="I443" s="191">
        <v>287.5</v>
      </c>
      <c r="J443" s="188" t="s">
        <v>667</v>
      </c>
      <c r="K443" s="188" t="s">
        <v>338</v>
      </c>
      <c r="L443" s="188" t="s">
        <v>697</v>
      </c>
      <c r="M443" s="192">
        <f t="shared" si="18"/>
        <v>19</v>
      </c>
      <c r="N443" s="193">
        <f t="shared" si="19"/>
        <v>0.95043478260869563</v>
      </c>
      <c r="O443" s="194">
        <f t="shared" si="20"/>
        <v>5.0022883295194505E-2</v>
      </c>
    </row>
    <row r="444" spans="1:15" ht="12.75" customHeight="1">
      <c r="A444" s="188" t="s">
        <v>620</v>
      </c>
      <c r="B444" s="188" t="s">
        <v>621</v>
      </c>
      <c r="C444" s="188" t="s">
        <v>622</v>
      </c>
      <c r="D444" s="188" t="s">
        <v>1347</v>
      </c>
      <c r="E444" s="189">
        <v>39443</v>
      </c>
      <c r="F444" s="190">
        <v>1630</v>
      </c>
      <c r="G444" s="190">
        <v>0</v>
      </c>
      <c r="H444" s="191">
        <v>2335</v>
      </c>
      <c r="I444" s="191">
        <v>570</v>
      </c>
      <c r="J444" s="188" t="s">
        <v>560</v>
      </c>
      <c r="K444" s="188" t="s">
        <v>338</v>
      </c>
      <c r="L444" s="188" t="s">
        <v>1348</v>
      </c>
      <c r="M444" s="192">
        <f t="shared" si="18"/>
        <v>20</v>
      </c>
      <c r="N444" s="193">
        <f t="shared" si="19"/>
        <v>1.0241228070175439</v>
      </c>
      <c r="O444" s="194">
        <f t="shared" si="20"/>
        <v>5.1206140350877193E-2</v>
      </c>
    </row>
    <row r="445" spans="1:15" ht="12.75" customHeight="1">
      <c r="A445" s="188" t="s">
        <v>620</v>
      </c>
      <c r="B445" s="188" t="s">
        <v>621</v>
      </c>
      <c r="C445" s="188" t="s">
        <v>622</v>
      </c>
      <c r="D445" s="188" t="s">
        <v>1349</v>
      </c>
      <c r="E445" s="189">
        <v>39604</v>
      </c>
      <c r="F445" s="190">
        <v>1272</v>
      </c>
      <c r="G445" s="190">
        <v>0</v>
      </c>
      <c r="H445" s="191">
        <v>1830.15</v>
      </c>
      <c r="I445" s="191">
        <v>446.5</v>
      </c>
      <c r="J445" s="188" t="s">
        <v>560</v>
      </c>
      <c r="K445" s="188" t="s">
        <v>338</v>
      </c>
      <c r="L445" s="188" t="s">
        <v>1350</v>
      </c>
      <c r="M445" s="192">
        <f t="shared" si="18"/>
        <v>20</v>
      </c>
      <c r="N445" s="193">
        <f t="shared" si="19"/>
        <v>1.0247200447928333</v>
      </c>
      <c r="O445" s="194">
        <f t="shared" si="20"/>
        <v>5.1236002239641663E-2</v>
      </c>
    </row>
    <row r="446" spans="1:15" ht="12.75" customHeight="1">
      <c r="A446" s="188" t="s">
        <v>620</v>
      </c>
      <c r="B446" s="188" t="s">
        <v>621</v>
      </c>
      <c r="C446" s="188" t="s">
        <v>622</v>
      </c>
      <c r="D446" s="188" t="s">
        <v>1351</v>
      </c>
      <c r="E446" s="189">
        <v>39289</v>
      </c>
      <c r="F446" s="190">
        <v>546</v>
      </c>
      <c r="G446" s="190">
        <v>0</v>
      </c>
      <c r="H446" s="191">
        <v>1175.02</v>
      </c>
      <c r="I446" s="191">
        <v>190.75</v>
      </c>
      <c r="J446" s="188" t="s">
        <v>635</v>
      </c>
      <c r="K446" s="188" t="s">
        <v>338</v>
      </c>
      <c r="L446" s="188" t="s">
        <v>1352</v>
      </c>
      <c r="M446" s="192">
        <f t="shared" si="18"/>
        <v>30</v>
      </c>
      <c r="N446" s="193">
        <f t="shared" si="19"/>
        <v>1.54</v>
      </c>
      <c r="O446" s="194">
        <f t="shared" si="20"/>
        <v>5.1333333333333335E-2</v>
      </c>
    </row>
    <row r="447" spans="1:15" ht="12.75" customHeight="1">
      <c r="A447" s="188" t="s">
        <v>620</v>
      </c>
      <c r="B447" s="188" t="s">
        <v>621</v>
      </c>
      <c r="C447" s="188" t="s">
        <v>622</v>
      </c>
      <c r="D447" s="188" t="s">
        <v>1353</v>
      </c>
      <c r="E447" s="189">
        <v>39380</v>
      </c>
      <c r="F447" s="190">
        <v>755</v>
      </c>
      <c r="G447" s="190">
        <v>0</v>
      </c>
      <c r="H447" s="191">
        <v>1689.6</v>
      </c>
      <c r="I447" s="191">
        <v>264</v>
      </c>
      <c r="J447" s="188" t="s">
        <v>503</v>
      </c>
      <c r="K447" s="188" t="s">
        <v>338</v>
      </c>
      <c r="L447" s="188" t="s">
        <v>1354</v>
      </c>
      <c r="M447" s="192">
        <f t="shared" si="18"/>
        <v>31</v>
      </c>
      <c r="N447" s="193">
        <f t="shared" si="19"/>
        <v>1.5999999999999999</v>
      </c>
      <c r="O447" s="194">
        <f t="shared" si="20"/>
        <v>5.1612903225806445E-2</v>
      </c>
    </row>
    <row r="448" spans="1:15" ht="12.75" customHeight="1">
      <c r="A448" s="188" t="s">
        <v>620</v>
      </c>
      <c r="B448" s="188" t="s">
        <v>621</v>
      </c>
      <c r="C448" s="188" t="s">
        <v>622</v>
      </c>
      <c r="D448" s="188" t="s">
        <v>1355</v>
      </c>
      <c r="E448" s="189">
        <v>39527</v>
      </c>
      <c r="F448" s="190">
        <v>1139</v>
      </c>
      <c r="G448" s="190">
        <v>0</v>
      </c>
      <c r="H448" s="191">
        <v>1905</v>
      </c>
      <c r="I448" s="191">
        <v>400</v>
      </c>
      <c r="J448" s="188" t="s">
        <v>571</v>
      </c>
      <c r="K448" s="188" t="s">
        <v>338</v>
      </c>
      <c r="L448" s="188" t="s">
        <v>625</v>
      </c>
      <c r="M448" s="192">
        <f t="shared" si="18"/>
        <v>23</v>
      </c>
      <c r="N448" s="193">
        <f t="shared" si="19"/>
        <v>1.190625</v>
      </c>
      <c r="O448" s="194">
        <f t="shared" si="20"/>
        <v>5.1766304347826086E-2</v>
      </c>
    </row>
    <row r="449" spans="1:15" ht="12.75" customHeight="1">
      <c r="A449" s="188" t="s">
        <v>620</v>
      </c>
      <c r="B449" s="188" t="s">
        <v>621</v>
      </c>
      <c r="C449" s="188" t="s">
        <v>622</v>
      </c>
      <c r="D449" s="188" t="s">
        <v>1356</v>
      </c>
      <c r="E449" s="189">
        <v>39415</v>
      </c>
      <c r="F449" s="190">
        <v>97</v>
      </c>
      <c r="G449" s="190">
        <v>0</v>
      </c>
      <c r="H449" s="191">
        <v>166.95</v>
      </c>
      <c r="I449" s="191">
        <v>33.75</v>
      </c>
      <c r="J449" s="188" t="s">
        <v>624</v>
      </c>
      <c r="K449" s="188" t="s">
        <v>1357</v>
      </c>
      <c r="L449" s="188" t="s">
        <v>273</v>
      </c>
      <c r="M449" s="192">
        <f t="shared" si="18"/>
        <v>28</v>
      </c>
      <c r="N449" s="193">
        <f t="shared" si="19"/>
        <v>1.4517391304347824</v>
      </c>
      <c r="O449" s="194">
        <f t="shared" si="20"/>
        <v>5.1847826086956518E-2</v>
      </c>
    </row>
    <row r="450" spans="1:15" ht="12.75" customHeight="1">
      <c r="A450" s="188" t="s">
        <v>620</v>
      </c>
      <c r="B450" s="188" t="s">
        <v>621</v>
      </c>
      <c r="C450" s="188" t="s">
        <v>622</v>
      </c>
      <c r="D450" s="188" t="s">
        <v>1358</v>
      </c>
      <c r="E450" s="189">
        <v>39447</v>
      </c>
      <c r="F450" s="190">
        <v>722</v>
      </c>
      <c r="G450" s="190">
        <v>0</v>
      </c>
      <c r="H450" s="191">
        <v>1056</v>
      </c>
      <c r="I450" s="191">
        <v>252.5</v>
      </c>
      <c r="J450" s="188" t="s">
        <v>560</v>
      </c>
      <c r="K450" s="188" t="s">
        <v>338</v>
      </c>
      <c r="L450" s="188" t="s">
        <v>992</v>
      </c>
      <c r="M450" s="192">
        <f t="shared" ref="M450:M513" si="21">K450-J450</f>
        <v>20</v>
      </c>
      <c r="N450" s="193">
        <f t="shared" ref="N450:N513" si="22">H450/L450</f>
        <v>1.0455445544554456</v>
      </c>
      <c r="O450" s="194">
        <f t="shared" ref="O450:O513" si="23">N450/M450</f>
        <v>5.2277227722772282E-2</v>
      </c>
    </row>
    <row r="451" spans="1:15" ht="12.75" customHeight="1">
      <c r="A451" s="188" t="s">
        <v>620</v>
      </c>
      <c r="B451" s="188" t="s">
        <v>621</v>
      </c>
      <c r="C451" s="188" t="s">
        <v>622</v>
      </c>
      <c r="D451" s="188" t="s">
        <v>1359</v>
      </c>
      <c r="E451" s="189">
        <v>39478</v>
      </c>
      <c r="F451" s="190">
        <v>526</v>
      </c>
      <c r="G451" s="190">
        <v>0</v>
      </c>
      <c r="H451" s="191">
        <v>793</v>
      </c>
      <c r="I451" s="191">
        <v>184</v>
      </c>
      <c r="J451" s="188" t="s">
        <v>560</v>
      </c>
      <c r="K451" s="188" t="s">
        <v>338</v>
      </c>
      <c r="L451" s="188" t="s">
        <v>1360</v>
      </c>
      <c r="M451" s="192">
        <f t="shared" si="21"/>
        <v>20</v>
      </c>
      <c r="N451" s="193">
        <f t="shared" si="22"/>
        <v>1.0774456521739131</v>
      </c>
      <c r="O451" s="194">
        <f t="shared" si="23"/>
        <v>5.3872282608695657E-2</v>
      </c>
    </row>
    <row r="452" spans="1:15" ht="12.75" customHeight="1">
      <c r="A452" s="188" t="s">
        <v>620</v>
      </c>
      <c r="B452" s="188" t="s">
        <v>621</v>
      </c>
      <c r="C452" s="188" t="s">
        <v>622</v>
      </c>
      <c r="D452" s="188" t="s">
        <v>1361</v>
      </c>
      <c r="E452" s="189">
        <v>39520</v>
      </c>
      <c r="F452" s="190">
        <v>831</v>
      </c>
      <c r="G452" s="190">
        <v>0</v>
      </c>
      <c r="H452" s="191">
        <v>1890</v>
      </c>
      <c r="I452" s="191">
        <v>291.5</v>
      </c>
      <c r="J452" s="188" t="s">
        <v>635</v>
      </c>
      <c r="K452" s="188" t="s">
        <v>338</v>
      </c>
      <c r="L452" s="188" t="s">
        <v>1362</v>
      </c>
      <c r="M452" s="192">
        <f t="shared" si="21"/>
        <v>30</v>
      </c>
      <c r="N452" s="193">
        <f t="shared" si="22"/>
        <v>1.6209262435677529</v>
      </c>
      <c r="O452" s="194">
        <f t="shared" si="23"/>
        <v>5.4030874785591765E-2</v>
      </c>
    </row>
    <row r="453" spans="1:15" ht="12.75" customHeight="1">
      <c r="A453" s="188" t="s">
        <v>620</v>
      </c>
      <c r="B453" s="188" t="s">
        <v>621</v>
      </c>
      <c r="C453" s="188" t="s">
        <v>622</v>
      </c>
      <c r="D453" s="188" t="s">
        <v>1363</v>
      </c>
      <c r="E453" s="189">
        <v>39562</v>
      </c>
      <c r="F453" s="190">
        <v>982</v>
      </c>
      <c r="G453" s="190">
        <v>0</v>
      </c>
      <c r="H453" s="191">
        <v>1000</v>
      </c>
      <c r="I453" s="191">
        <v>345</v>
      </c>
      <c r="J453" s="188" t="s">
        <v>624</v>
      </c>
      <c r="K453" s="188" t="s">
        <v>652</v>
      </c>
      <c r="L453" s="188" t="s">
        <v>1364</v>
      </c>
      <c r="M453" s="192">
        <f t="shared" si="21"/>
        <v>13</v>
      </c>
      <c r="N453" s="193">
        <f t="shared" si="22"/>
        <v>0.72463768115942029</v>
      </c>
      <c r="O453" s="194">
        <f t="shared" si="23"/>
        <v>5.5741360089186176E-2</v>
      </c>
    </row>
    <row r="454" spans="1:15" ht="12.75" customHeight="1">
      <c r="A454" s="188" t="s">
        <v>620</v>
      </c>
      <c r="B454" s="188" t="s">
        <v>621</v>
      </c>
      <c r="C454" s="188" t="s">
        <v>622</v>
      </c>
      <c r="D454" s="188" t="s">
        <v>1365</v>
      </c>
      <c r="E454" s="189">
        <v>39583</v>
      </c>
      <c r="F454" s="190">
        <v>306</v>
      </c>
      <c r="G454" s="190">
        <v>0</v>
      </c>
      <c r="H454" s="191">
        <v>460</v>
      </c>
      <c r="I454" s="191">
        <v>107.5</v>
      </c>
      <c r="J454" s="188" t="s">
        <v>667</v>
      </c>
      <c r="K454" s="188" t="s">
        <v>338</v>
      </c>
      <c r="L454" s="188" t="s">
        <v>1366</v>
      </c>
      <c r="M454" s="192">
        <f t="shared" si="21"/>
        <v>19</v>
      </c>
      <c r="N454" s="193">
        <f t="shared" si="22"/>
        <v>1.069767441860465</v>
      </c>
      <c r="O454" s="194">
        <f t="shared" si="23"/>
        <v>5.6303549571603419E-2</v>
      </c>
    </row>
    <row r="455" spans="1:15" ht="12.75" customHeight="1">
      <c r="A455" s="188" t="s">
        <v>620</v>
      </c>
      <c r="B455" s="188" t="s">
        <v>621</v>
      </c>
      <c r="C455" s="188" t="s">
        <v>622</v>
      </c>
      <c r="D455" s="188" t="s">
        <v>1367</v>
      </c>
      <c r="E455" s="189">
        <v>39429</v>
      </c>
      <c r="F455" s="190">
        <v>860</v>
      </c>
      <c r="G455" s="190">
        <v>0</v>
      </c>
      <c r="H455" s="191">
        <v>1494.04</v>
      </c>
      <c r="I455" s="191">
        <v>300.75</v>
      </c>
      <c r="J455" s="188" t="s">
        <v>710</v>
      </c>
      <c r="K455" s="188" t="s">
        <v>338</v>
      </c>
      <c r="L455" s="188" t="s">
        <v>1368</v>
      </c>
      <c r="M455" s="192">
        <f t="shared" si="21"/>
        <v>22</v>
      </c>
      <c r="N455" s="193">
        <f t="shared" si="22"/>
        <v>1.2419285120532002</v>
      </c>
      <c r="O455" s="194">
        <f t="shared" si="23"/>
        <v>5.6451296002418189E-2</v>
      </c>
    </row>
    <row r="456" spans="1:15" ht="12.75" customHeight="1">
      <c r="A456" s="188" t="s">
        <v>620</v>
      </c>
      <c r="B456" s="188" t="s">
        <v>621</v>
      </c>
      <c r="C456" s="188" t="s">
        <v>622</v>
      </c>
      <c r="D456" s="188" t="s">
        <v>1369</v>
      </c>
      <c r="E456" s="189">
        <v>39618</v>
      </c>
      <c r="F456" s="190">
        <v>356</v>
      </c>
      <c r="G456" s="190">
        <v>0</v>
      </c>
      <c r="H456" s="191">
        <v>606</v>
      </c>
      <c r="I456" s="191">
        <v>125</v>
      </c>
      <c r="J456" s="188" t="s">
        <v>879</v>
      </c>
      <c r="K456" s="188" t="s">
        <v>338</v>
      </c>
      <c r="L456" s="188" t="s">
        <v>858</v>
      </c>
      <c r="M456" s="192">
        <f t="shared" si="21"/>
        <v>21</v>
      </c>
      <c r="N456" s="193">
        <f t="shared" si="22"/>
        <v>1.212</v>
      </c>
      <c r="O456" s="194">
        <f t="shared" si="23"/>
        <v>5.7714285714285711E-2</v>
      </c>
    </row>
    <row r="457" spans="1:15" ht="12.75" customHeight="1">
      <c r="A457" s="188" t="s">
        <v>620</v>
      </c>
      <c r="B457" s="188" t="s">
        <v>621</v>
      </c>
      <c r="C457" s="188" t="s">
        <v>622</v>
      </c>
      <c r="D457" s="188" t="s">
        <v>1370</v>
      </c>
      <c r="E457" s="189">
        <v>39415</v>
      </c>
      <c r="F457" s="190">
        <v>86</v>
      </c>
      <c r="G457" s="190">
        <v>0</v>
      </c>
      <c r="H457" s="191">
        <v>175</v>
      </c>
      <c r="I457" s="191">
        <v>30</v>
      </c>
      <c r="J457" s="188" t="s">
        <v>560</v>
      </c>
      <c r="K457" s="188" t="s">
        <v>549</v>
      </c>
      <c r="L457" s="188" t="s">
        <v>1371</v>
      </c>
      <c r="M457" s="192">
        <f t="shared" si="21"/>
        <v>25</v>
      </c>
      <c r="N457" s="193">
        <f t="shared" si="22"/>
        <v>1.4583333333333333</v>
      </c>
      <c r="O457" s="194">
        <f t="shared" si="23"/>
        <v>5.8333333333333327E-2</v>
      </c>
    </row>
    <row r="458" spans="1:15" ht="12.75" customHeight="1">
      <c r="A458" s="188" t="s">
        <v>620</v>
      </c>
      <c r="B458" s="188" t="s">
        <v>621</v>
      </c>
      <c r="C458" s="188" t="s">
        <v>622</v>
      </c>
      <c r="D458" s="188" t="s">
        <v>1372</v>
      </c>
      <c r="E458" s="189">
        <v>39555</v>
      </c>
      <c r="F458" s="190">
        <v>1050</v>
      </c>
      <c r="G458" s="190">
        <v>0</v>
      </c>
      <c r="H458" s="191">
        <v>1729</v>
      </c>
      <c r="I458" s="191">
        <v>368.75</v>
      </c>
      <c r="J458" s="188" t="s">
        <v>560</v>
      </c>
      <c r="K458" s="188" t="s">
        <v>338</v>
      </c>
      <c r="L458" s="188" t="s">
        <v>1027</v>
      </c>
      <c r="M458" s="192">
        <f t="shared" si="21"/>
        <v>20</v>
      </c>
      <c r="N458" s="193">
        <f t="shared" si="22"/>
        <v>1.1722033898305084</v>
      </c>
      <c r="O458" s="194">
        <f t="shared" si="23"/>
        <v>5.8610169491525421E-2</v>
      </c>
    </row>
    <row r="459" spans="1:15" ht="12.75" customHeight="1">
      <c r="A459" s="188" t="s">
        <v>620</v>
      </c>
      <c r="B459" s="188" t="s">
        <v>621</v>
      </c>
      <c r="C459" s="188" t="s">
        <v>622</v>
      </c>
      <c r="D459" s="188" t="s">
        <v>1373</v>
      </c>
      <c r="E459" s="189">
        <v>39597</v>
      </c>
      <c r="F459" s="190">
        <v>481</v>
      </c>
      <c r="G459" s="190">
        <v>0</v>
      </c>
      <c r="H459" s="191">
        <v>1525.98</v>
      </c>
      <c r="I459" s="191">
        <v>169</v>
      </c>
      <c r="J459" s="188" t="s">
        <v>624</v>
      </c>
      <c r="K459" s="188" t="s">
        <v>338</v>
      </c>
      <c r="L459" s="188" t="s">
        <v>1374</v>
      </c>
      <c r="M459" s="192">
        <f t="shared" si="21"/>
        <v>38</v>
      </c>
      <c r="N459" s="193">
        <f t="shared" si="22"/>
        <v>2.2573668639053253</v>
      </c>
      <c r="O459" s="194">
        <f t="shared" si="23"/>
        <v>5.9404391155403295E-2</v>
      </c>
    </row>
    <row r="460" spans="1:15" ht="12.75" customHeight="1">
      <c r="A460" s="188" t="s">
        <v>620</v>
      </c>
      <c r="B460" s="188" t="s">
        <v>621</v>
      </c>
      <c r="C460" s="188" t="s">
        <v>622</v>
      </c>
      <c r="D460" s="188" t="s">
        <v>1375</v>
      </c>
      <c r="E460" s="189">
        <v>39339</v>
      </c>
      <c r="F460" s="190">
        <v>622</v>
      </c>
      <c r="G460" s="190">
        <v>0</v>
      </c>
      <c r="H460" s="191">
        <v>1998.7</v>
      </c>
      <c r="I460" s="191">
        <v>217.25</v>
      </c>
      <c r="J460" s="188" t="s">
        <v>624</v>
      </c>
      <c r="K460" s="188" t="s">
        <v>338</v>
      </c>
      <c r="L460" s="188" t="s">
        <v>1376</v>
      </c>
      <c r="M460" s="192">
        <f t="shared" si="21"/>
        <v>38</v>
      </c>
      <c r="N460" s="193">
        <f t="shared" si="22"/>
        <v>2.3000000000000003</v>
      </c>
      <c r="O460" s="194">
        <f t="shared" si="23"/>
        <v>6.0526315789473692E-2</v>
      </c>
    </row>
    <row r="461" spans="1:15" ht="12.75" customHeight="1">
      <c r="A461" s="188" t="s">
        <v>620</v>
      </c>
      <c r="B461" s="188" t="s">
        <v>621</v>
      </c>
      <c r="C461" s="188" t="s">
        <v>622</v>
      </c>
      <c r="D461" s="188" t="s">
        <v>1377</v>
      </c>
      <c r="E461" s="189">
        <v>39380</v>
      </c>
      <c r="F461" s="190">
        <v>691</v>
      </c>
      <c r="G461" s="190">
        <v>0</v>
      </c>
      <c r="H461" s="191">
        <v>1240</v>
      </c>
      <c r="I461" s="191">
        <v>241.5</v>
      </c>
      <c r="J461" s="188" t="s">
        <v>560</v>
      </c>
      <c r="K461" s="188" t="s">
        <v>338</v>
      </c>
      <c r="L461" s="188" t="s">
        <v>1378</v>
      </c>
      <c r="M461" s="192">
        <f t="shared" si="21"/>
        <v>20</v>
      </c>
      <c r="N461" s="193">
        <f t="shared" si="22"/>
        <v>1.2836438923395446</v>
      </c>
      <c r="O461" s="194">
        <f t="shared" si="23"/>
        <v>6.4182194616977231E-2</v>
      </c>
    </row>
    <row r="462" spans="1:15" ht="12.75" customHeight="1">
      <c r="A462" s="188" t="s">
        <v>620</v>
      </c>
      <c r="B462" s="188" t="s">
        <v>621</v>
      </c>
      <c r="C462" s="188" t="s">
        <v>622</v>
      </c>
      <c r="D462" s="188" t="s">
        <v>1379</v>
      </c>
      <c r="E462" s="189">
        <v>39555</v>
      </c>
      <c r="F462" s="190">
        <v>427</v>
      </c>
      <c r="G462" s="190">
        <v>0</v>
      </c>
      <c r="H462" s="191">
        <v>1084</v>
      </c>
      <c r="I462" s="191">
        <v>150</v>
      </c>
      <c r="J462" s="188" t="s">
        <v>750</v>
      </c>
      <c r="K462" s="188" t="s">
        <v>338</v>
      </c>
      <c r="L462" s="188" t="s">
        <v>677</v>
      </c>
      <c r="M462" s="192">
        <f t="shared" si="21"/>
        <v>28</v>
      </c>
      <c r="N462" s="193">
        <f t="shared" si="22"/>
        <v>1.8066666666666666</v>
      </c>
      <c r="O462" s="194">
        <f t="shared" si="23"/>
        <v>6.4523809523809525E-2</v>
      </c>
    </row>
    <row r="463" spans="1:15" ht="12.75" customHeight="1">
      <c r="A463" s="188" t="s">
        <v>620</v>
      </c>
      <c r="B463" s="188" t="s">
        <v>621</v>
      </c>
      <c r="C463" s="188" t="s">
        <v>622</v>
      </c>
      <c r="D463" s="188" t="s">
        <v>1380</v>
      </c>
      <c r="E463" s="189">
        <v>39548</v>
      </c>
      <c r="F463" s="190">
        <v>844</v>
      </c>
      <c r="G463" s="190">
        <v>0</v>
      </c>
      <c r="H463" s="191">
        <v>2310</v>
      </c>
      <c r="I463" s="191">
        <v>296.5</v>
      </c>
      <c r="J463" s="188" t="s">
        <v>635</v>
      </c>
      <c r="K463" s="188" t="s">
        <v>338</v>
      </c>
      <c r="L463" s="188" t="s">
        <v>1381</v>
      </c>
      <c r="M463" s="192">
        <f t="shared" si="21"/>
        <v>30</v>
      </c>
      <c r="N463" s="193">
        <f t="shared" si="22"/>
        <v>1.9477234401349073</v>
      </c>
      <c r="O463" s="194">
        <f t="shared" si="23"/>
        <v>6.4924114671163574E-2</v>
      </c>
    </row>
    <row r="464" spans="1:15" ht="12.75" customHeight="1">
      <c r="A464" s="188" t="s">
        <v>620</v>
      </c>
      <c r="B464" s="188" t="s">
        <v>621</v>
      </c>
      <c r="C464" s="188" t="s">
        <v>622</v>
      </c>
      <c r="D464" s="188" t="s">
        <v>1382</v>
      </c>
      <c r="E464" s="189">
        <v>39366</v>
      </c>
      <c r="F464" s="190">
        <v>1041</v>
      </c>
      <c r="G464" s="190">
        <v>0</v>
      </c>
      <c r="H464" s="191">
        <v>2420</v>
      </c>
      <c r="I464" s="191">
        <v>364</v>
      </c>
      <c r="J464" s="188" t="s">
        <v>652</v>
      </c>
      <c r="K464" s="188" t="s">
        <v>338</v>
      </c>
      <c r="L464" s="188" t="s">
        <v>1383</v>
      </c>
      <c r="M464" s="192">
        <f t="shared" si="21"/>
        <v>25</v>
      </c>
      <c r="N464" s="193">
        <f t="shared" si="22"/>
        <v>1.6620879120879122</v>
      </c>
      <c r="O464" s="194">
        <f t="shared" si="23"/>
        <v>6.6483516483516483E-2</v>
      </c>
    </row>
    <row r="465" spans="1:15" ht="12.75" customHeight="1">
      <c r="A465" s="188" t="s">
        <v>620</v>
      </c>
      <c r="B465" s="188" t="s">
        <v>621</v>
      </c>
      <c r="C465" s="188" t="s">
        <v>622</v>
      </c>
      <c r="D465" s="188" t="s">
        <v>1384</v>
      </c>
      <c r="E465" s="189">
        <v>39447</v>
      </c>
      <c r="F465" s="190">
        <v>1073</v>
      </c>
      <c r="G465" s="190">
        <v>0</v>
      </c>
      <c r="H465" s="191">
        <v>2500</v>
      </c>
      <c r="I465" s="191">
        <v>375</v>
      </c>
      <c r="J465" s="188" t="s">
        <v>560</v>
      </c>
      <c r="K465" s="188" t="s">
        <v>549</v>
      </c>
      <c r="L465" s="188" t="s">
        <v>746</v>
      </c>
      <c r="M465" s="192">
        <f t="shared" si="21"/>
        <v>25</v>
      </c>
      <c r="N465" s="193">
        <f t="shared" si="22"/>
        <v>1.6666666666666667</v>
      </c>
      <c r="O465" s="194">
        <f t="shared" si="23"/>
        <v>6.6666666666666666E-2</v>
      </c>
    </row>
    <row r="466" spans="1:15" ht="12.75" customHeight="1">
      <c r="A466" s="188" t="s">
        <v>620</v>
      </c>
      <c r="B466" s="188" t="s">
        <v>621</v>
      </c>
      <c r="C466" s="188" t="s">
        <v>622</v>
      </c>
      <c r="D466" s="188" t="s">
        <v>1385</v>
      </c>
      <c r="E466" s="189">
        <v>39447</v>
      </c>
      <c r="F466" s="190">
        <v>1044</v>
      </c>
      <c r="G466" s="190">
        <v>0</v>
      </c>
      <c r="H466" s="191">
        <v>4013</v>
      </c>
      <c r="I466" s="191">
        <v>365</v>
      </c>
      <c r="J466" s="188" t="s">
        <v>624</v>
      </c>
      <c r="K466" s="188" t="s">
        <v>733</v>
      </c>
      <c r="L466" s="188" t="s">
        <v>1386</v>
      </c>
      <c r="M466" s="192">
        <f t="shared" si="21"/>
        <v>41</v>
      </c>
      <c r="N466" s="193">
        <f t="shared" si="22"/>
        <v>2.7486301369863013</v>
      </c>
      <c r="O466" s="194">
        <f t="shared" si="23"/>
        <v>6.7039759438690283E-2</v>
      </c>
    </row>
    <row r="467" spans="1:15" ht="12.75" customHeight="1">
      <c r="A467" s="188" t="s">
        <v>620</v>
      </c>
      <c r="B467" s="188" t="s">
        <v>621</v>
      </c>
      <c r="C467" s="188" t="s">
        <v>622</v>
      </c>
      <c r="D467" s="188" t="s">
        <v>1387</v>
      </c>
      <c r="E467" s="189">
        <v>39387</v>
      </c>
      <c r="F467" s="190">
        <v>358</v>
      </c>
      <c r="G467" s="190">
        <v>0</v>
      </c>
      <c r="H467" s="191">
        <v>1375</v>
      </c>
      <c r="I467" s="191">
        <v>125</v>
      </c>
      <c r="J467" s="188" t="s">
        <v>624</v>
      </c>
      <c r="K467" s="188" t="s">
        <v>338</v>
      </c>
      <c r="L467" s="188" t="s">
        <v>858</v>
      </c>
      <c r="M467" s="192">
        <f t="shared" si="21"/>
        <v>38</v>
      </c>
      <c r="N467" s="193">
        <f t="shared" si="22"/>
        <v>2.75</v>
      </c>
      <c r="O467" s="194">
        <f t="shared" si="23"/>
        <v>7.2368421052631582E-2</v>
      </c>
    </row>
    <row r="468" spans="1:15" ht="12.75" customHeight="1">
      <c r="A468" s="188" t="s">
        <v>620</v>
      </c>
      <c r="B468" s="188" t="s">
        <v>621</v>
      </c>
      <c r="C468" s="188" t="s">
        <v>622</v>
      </c>
      <c r="D468" s="188" t="s">
        <v>1388</v>
      </c>
      <c r="E468" s="189">
        <v>39492</v>
      </c>
      <c r="F468" s="190">
        <v>849</v>
      </c>
      <c r="G468" s="190">
        <v>0</v>
      </c>
      <c r="H468" s="191">
        <v>1788</v>
      </c>
      <c r="I468" s="191">
        <v>297</v>
      </c>
      <c r="J468" s="188" t="s">
        <v>560</v>
      </c>
      <c r="K468" s="188" t="s">
        <v>338</v>
      </c>
      <c r="L468" s="188" t="s">
        <v>790</v>
      </c>
      <c r="M468" s="192">
        <f t="shared" si="21"/>
        <v>20</v>
      </c>
      <c r="N468" s="193">
        <f t="shared" si="22"/>
        <v>1.505050505050505</v>
      </c>
      <c r="O468" s="194">
        <f t="shared" si="23"/>
        <v>7.5252525252525251E-2</v>
      </c>
    </row>
    <row r="469" spans="1:15" ht="12.75" customHeight="1">
      <c r="A469" s="188" t="s">
        <v>620</v>
      </c>
      <c r="B469" s="188" t="s">
        <v>621</v>
      </c>
      <c r="C469" s="188" t="s">
        <v>622</v>
      </c>
      <c r="D469" s="188" t="s">
        <v>1389</v>
      </c>
      <c r="E469" s="189">
        <v>39562</v>
      </c>
      <c r="F469" s="190">
        <v>803</v>
      </c>
      <c r="G469" s="190">
        <v>0</v>
      </c>
      <c r="H469" s="191">
        <v>2445</v>
      </c>
      <c r="I469" s="191">
        <v>282</v>
      </c>
      <c r="J469" s="188" t="s">
        <v>879</v>
      </c>
      <c r="K469" s="188" t="s">
        <v>338</v>
      </c>
      <c r="L469" s="188" t="s">
        <v>1390</v>
      </c>
      <c r="M469" s="192">
        <f t="shared" si="21"/>
        <v>21</v>
      </c>
      <c r="N469" s="193">
        <f t="shared" si="22"/>
        <v>2.1675531914893615</v>
      </c>
      <c r="O469" s="194">
        <f t="shared" si="23"/>
        <v>0.10321681864235055</v>
      </c>
    </row>
    <row r="470" spans="1:15" ht="12.75" customHeight="1">
      <c r="A470" s="188" t="s">
        <v>620</v>
      </c>
      <c r="B470" s="188" t="s">
        <v>621</v>
      </c>
      <c r="C470" s="188" t="s">
        <v>622</v>
      </c>
      <c r="D470" s="188" t="s">
        <v>1391</v>
      </c>
      <c r="E470" s="189">
        <v>39282</v>
      </c>
      <c r="F470" s="190">
        <v>526</v>
      </c>
      <c r="G470" s="190">
        <v>0</v>
      </c>
      <c r="H470" s="191">
        <v>249.97</v>
      </c>
      <c r="I470" s="191">
        <v>183.75</v>
      </c>
      <c r="J470" s="188" t="s">
        <v>560</v>
      </c>
      <c r="K470" s="188" t="s">
        <v>1344</v>
      </c>
      <c r="L470" s="188" t="s">
        <v>1392</v>
      </c>
      <c r="M470" s="192">
        <f t="shared" si="21"/>
        <v>3</v>
      </c>
      <c r="N470" s="193">
        <f t="shared" si="22"/>
        <v>0.34009523809523812</v>
      </c>
      <c r="O470" s="194">
        <f t="shared" si="23"/>
        <v>0.11336507936507938</v>
      </c>
    </row>
    <row r="471" spans="1:15" ht="12.75" customHeight="1">
      <c r="A471" s="188" t="s">
        <v>620</v>
      </c>
      <c r="B471" s="188" t="s">
        <v>621</v>
      </c>
      <c r="C471" s="188" t="s">
        <v>622</v>
      </c>
      <c r="D471" s="188" t="s">
        <v>1393</v>
      </c>
      <c r="E471" s="189">
        <v>39548</v>
      </c>
      <c r="F471" s="190">
        <v>214</v>
      </c>
      <c r="G471" s="190">
        <v>0</v>
      </c>
      <c r="H471" s="191">
        <v>1572</v>
      </c>
      <c r="I471" s="191">
        <v>75</v>
      </c>
      <c r="J471" s="188" t="s">
        <v>624</v>
      </c>
      <c r="K471" s="188" t="s">
        <v>338</v>
      </c>
      <c r="L471" s="188" t="s">
        <v>1315</v>
      </c>
      <c r="M471" s="192">
        <f t="shared" si="21"/>
        <v>38</v>
      </c>
      <c r="N471" s="193">
        <f t="shared" si="22"/>
        <v>5.24</v>
      </c>
      <c r="O471" s="194">
        <f t="shared" si="23"/>
        <v>0.13789473684210526</v>
      </c>
    </row>
    <row r="472" spans="1:15" ht="12.75" customHeight="1">
      <c r="A472" s="188" t="s">
        <v>620</v>
      </c>
      <c r="B472" s="188" t="s">
        <v>1394</v>
      </c>
      <c r="C472" s="188" t="s">
        <v>641</v>
      </c>
      <c r="D472" s="188" t="s">
        <v>1395</v>
      </c>
      <c r="E472" s="189">
        <v>39471</v>
      </c>
      <c r="F472" s="190">
        <v>0</v>
      </c>
      <c r="G472" s="190">
        <v>0.06</v>
      </c>
      <c r="H472" s="191">
        <v>230.39</v>
      </c>
      <c r="I472" s="191">
        <v>230.39</v>
      </c>
      <c r="J472" s="188" t="s">
        <v>1052</v>
      </c>
      <c r="K472" s="188" t="s">
        <v>631</v>
      </c>
      <c r="L472" s="188" t="s">
        <v>746</v>
      </c>
      <c r="M472" s="192">
        <f t="shared" si="21"/>
        <v>30</v>
      </c>
      <c r="N472" s="193">
        <f t="shared" si="22"/>
        <v>0.15359333333333333</v>
      </c>
      <c r="O472" s="194">
        <f t="shared" si="23"/>
        <v>5.1197777777777778E-3</v>
      </c>
    </row>
    <row r="473" spans="1:15" ht="12.75" customHeight="1">
      <c r="A473" s="188" t="s">
        <v>620</v>
      </c>
      <c r="B473" s="188" t="s">
        <v>1394</v>
      </c>
      <c r="C473" s="188" t="s">
        <v>641</v>
      </c>
      <c r="D473" s="188" t="s">
        <v>1396</v>
      </c>
      <c r="E473" s="189">
        <v>39527</v>
      </c>
      <c r="F473" s="190">
        <v>0</v>
      </c>
      <c r="G473" s="190">
        <v>0.06</v>
      </c>
      <c r="H473" s="191">
        <v>131.76</v>
      </c>
      <c r="I473" s="191">
        <v>131.76</v>
      </c>
      <c r="J473" s="188" t="s">
        <v>571</v>
      </c>
      <c r="K473" s="188" t="s">
        <v>415</v>
      </c>
      <c r="L473" s="188" t="s">
        <v>1397</v>
      </c>
      <c r="M473" s="192">
        <f t="shared" si="21"/>
        <v>45</v>
      </c>
      <c r="N473" s="193">
        <f t="shared" si="22"/>
        <v>0.23238095238095235</v>
      </c>
      <c r="O473" s="194">
        <f t="shared" si="23"/>
        <v>5.1640211640211634E-3</v>
      </c>
    </row>
    <row r="474" spans="1:15" ht="12.75" customHeight="1">
      <c r="A474" s="188" t="s">
        <v>620</v>
      </c>
      <c r="B474" s="188" t="s">
        <v>1394</v>
      </c>
      <c r="C474" s="188" t="s">
        <v>641</v>
      </c>
      <c r="D474" s="188" t="s">
        <v>1398</v>
      </c>
      <c r="E474" s="189">
        <v>39422</v>
      </c>
      <c r="F474" s="190">
        <v>0</v>
      </c>
      <c r="G474" s="190">
        <v>0.06</v>
      </c>
      <c r="H474" s="191">
        <v>295</v>
      </c>
      <c r="I474" s="191">
        <v>295</v>
      </c>
      <c r="J474" s="188" t="s">
        <v>560</v>
      </c>
      <c r="K474" s="188" t="s">
        <v>338</v>
      </c>
      <c r="L474" s="188" t="s">
        <v>1399</v>
      </c>
      <c r="M474" s="192">
        <f t="shared" si="21"/>
        <v>20</v>
      </c>
      <c r="N474" s="193">
        <f t="shared" si="22"/>
        <v>0.1372093023255814</v>
      </c>
      <c r="O474" s="194">
        <f t="shared" si="23"/>
        <v>6.8604651162790702E-3</v>
      </c>
    </row>
    <row r="475" spans="1:15" ht="12.75" customHeight="1">
      <c r="A475" s="188" t="s">
        <v>620</v>
      </c>
      <c r="B475" s="188" t="s">
        <v>1394</v>
      </c>
      <c r="C475" s="188" t="s">
        <v>641</v>
      </c>
      <c r="D475" s="188" t="s">
        <v>1400</v>
      </c>
      <c r="E475" s="189">
        <v>39310</v>
      </c>
      <c r="F475" s="190">
        <v>0</v>
      </c>
      <c r="G475" s="190">
        <v>121.73</v>
      </c>
      <c r="H475" s="191">
        <v>299.95</v>
      </c>
      <c r="I475" s="191">
        <v>475.5</v>
      </c>
      <c r="J475" s="188" t="s">
        <v>667</v>
      </c>
      <c r="K475" s="188" t="s">
        <v>338</v>
      </c>
      <c r="L475" s="188" t="s">
        <v>1401</v>
      </c>
      <c r="M475" s="192">
        <f t="shared" si="21"/>
        <v>19</v>
      </c>
      <c r="N475" s="193">
        <f t="shared" si="22"/>
        <v>0.15770241850683492</v>
      </c>
      <c r="O475" s="194">
        <f t="shared" si="23"/>
        <v>8.3001272898334168E-3</v>
      </c>
    </row>
    <row r="476" spans="1:15" ht="12.75" customHeight="1">
      <c r="A476" s="188" t="s">
        <v>620</v>
      </c>
      <c r="B476" s="188" t="s">
        <v>1394</v>
      </c>
      <c r="C476" s="188" t="s">
        <v>641</v>
      </c>
      <c r="D476" s="188" t="s">
        <v>1402</v>
      </c>
      <c r="E476" s="189">
        <v>39513</v>
      </c>
      <c r="F476" s="190">
        <v>0</v>
      </c>
      <c r="G476" s="190">
        <v>113.6</v>
      </c>
      <c r="H476" s="191">
        <v>456.57</v>
      </c>
      <c r="I476" s="191">
        <v>443.75</v>
      </c>
      <c r="J476" s="188" t="s">
        <v>635</v>
      </c>
      <c r="K476" s="188" t="s">
        <v>338</v>
      </c>
      <c r="L476" s="188" t="s">
        <v>1403</v>
      </c>
      <c r="M476" s="192">
        <f t="shared" si="21"/>
        <v>30</v>
      </c>
      <c r="N476" s="193">
        <f t="shared" si="22"/>
        <v>0.25722253521126759</v>
      </c>
      <c r="O476" s="194">
        <f t="shared" si="23"/>
        <v>8.5740845070422528E-3</v>
      </c>
    </row>
    <row r="477" spans="1:15" ht="12.75" customHeight="1">
      <c r="A477" s="188" t="s">
        <v>620</v>
      </c>
      <c r="B477" s="188" t="s">
        <v>1394</v>
      </c>
      <c r="C477" s="188" t="s">
        <v>641</v>
      </c>
      <c r="D477" s="188" t="s">
        <v>1404</v>
      </c>
      <c r="E477" s="189">
        <v>39436</v>
      </c>
      <c r="F477" s="190">
        <v>0</v>
      </c>
      <c r="G477" s="190">
        <v>106.88</v>
      </c>
      <c r="H477" s="191">
        <v>556</v>
      </c>
      <c r="I477" s="191">
        <v>417.5</v>
      </c>
      <c r="J477" s="188" t="s">
        <v>624</v>
      </c>
      <c r="K477" s="188" t="s">
        <v>338</v>
      </c>
      <c r="L477" s="188" t="s">
        <v>1015</v>
      </c>
      <c r="M477" s="192">
        <f t="shared" si="21"/>
        <v>38</v>
      </c>
      <c r="N477" s="193">
        <f t="shared" si="22"/>
        <v>0.33293413173652697</v>
      </c>
      <c r="O477" s="194">
        <f t="shared" si="23"/>
        <v>8.7614245193822892E-3</v>
      </c>
    </row>
    <row r="478" spans="1:15" ht="12.75" customHeight="1">
      <c r="A478" s="188" t="s">
        <v>620</v>
      </c>
      <c r="B478" s="188" t="s">
        <v>1394</v>
      </c>
      <c r="C478" s="188" t="s">
        <v>641</v>
      </c>
      <c r="D478" s="188" t="s">
        <v>1405</v>
      </c>
      <c r="E478" s="189">
        <v>39324</v>
      </c>
      <c r="F478" s="190">
        <v>0</v>
      </c>
      <c r="G478" s="190">
        <v>69.31</v>
      </c>
      <c r="H478" s="191">
        <v>475</v>
      </c>
      <c r="I478" s="191">
        <v>270.75</v>
      </c>
      <c r="J478" s="188" t="s">
        <v>624</v>
      </c>
      <c r="K478" s="188" t="s">
        <v>648</v>
      </c>
      <c r="L478" s="188" t="s">
        <v>1406</v>
      </c>
      <c r="M478" s="192">
        <f t="shared" si="21"/>
        <v>49</v>
      </c>
      <c r="N478" s="193">
        <f t="shared" si="22"/>
        <v>0.43859649122807015</v>
      </c>
      <c r="O478" s="194">
        <f t="shared" si="23"/>
        <v>8.95094880057286E-3</v>
      </c>
    </row>
    <row r="479" spans="1:15" ht="12.75" customHeight="1">
      <c r="A479" s="188" t="s">
        <v>620</v>
      </c>
      <c r="B479" s="188" t="s">
        <v>1394</v>
      </c>
      <c r="C479" s="188" t="s">
        <v>641</v>
      </c>
      <c r="D479" s="188" t="s">
        <v>1407</v>
      </c>
      <c r="E479" s="189">
        <v>39296</v>
      </c>
      <c r="F479" s="190">
        <v>0</v>
      </c>
      <c r="G479" s="190">
        <v>63.36</v>
      </c>
      <c r="H479" s="191">
        <v>219.38</v>
      </c>
      <c r="I479" s="191">
        <v>247.5</v>
      </c>
      <c r="J479" s="188" t="s">
        <v>1052</v>
      </c>
      <c r="K479" s="188" t="s">
        <v>338</v>
      </c>
      <c r="L479" s="188" t="s">
        <v>738</v>
      </c>
      <c r="M479" s="192">
        <f t="shared" si="21"/>
        <v>24</v>
      </c>
      <c r="N479" s="193">
        <f t="shared" si="22"/>
        <v>0.2215959595959596</v>
      </c>
      <c r="O479" s="194">
        <f t="shared" si="23"/>
        <v>9.2331649831649838E-3</v>
      </c>
    </row>
    <row r="480" spans="1:15" ht="12.75" customHeight="1">
      <c r="A480" s="188" t="s">
        <v>620</v>
      </c>
      <c r="B480" s="188" t="s">
        <v>1394</v>
      </c>
      <c r="C480" s="188" t="s">
        <v>641</v>
      </c>
      <c r="D480" s="188" t="s">
        <v>1408</v>
      </c>
      <c r="E480" s="189">
        <v>39583</v>
      </c>
      <c r="F480" s="190">
        <v>0</v>
      </c>
      <c r="G480" s="190">
        <v>174.08</v>
      </c>
      <c r="H480" s="191">
        <v>680</v>
      </c>
      <c r="I480" s="191">
        <v>680</v>
      </c>
      <c r="J480" s="188" t="s">
        <v>639</v>
      </c>
      <c r="K480" s="188" t="s">
        <v>338</v>
      </c>
      <c r="L480" s="188" t="s">
        <v>1409</v>
      </c>
      <c r="M480" s="192">
        <f t="shared" si="21"/>
        <v>27</v>
      </c>
      <c r="N480" s="193">
        <f t="shared" si="22"/>
        <v>0.25</v>
      </c>
      <c r="O480" s="194">
        <f t="shared" si="23"/>
        <v>9.2592592592592587E-3</v>
      </c>
    </row>
    <row r="481" spans="1:15" ht="12.75" customHeight="1">
      <c r="A481" s="188" t="s">
        <v>620</v>
      </c>
      <c r="B481" s="188" t="s">
        <v>1394</v>
      </c>
      <c r="C481" s="188" t="s">
        <v>641</v>
      </c>
      <c r="D481" s="188" t="s">
        <v>1410</v>
      </c>
      <c r="E481" s="189">
        <v>39548</v>
      </c>
      <c r="F481" s="190">
        <v>0</v>
      </c>
      <c r="G481" s="190">
        <v>93.44</v>
      </c>
      <c r="H481" s="191">
        <v>525</v>
      </c>
      <c r="I481" s="191">
        <v>365</v>
      </c>
      <c r="J481" s="188" t="s">
        <v>624</v>
      </c>
      <c r="K481" s="188" t="s">
        <v>338</v>
      </c>
      <c r="L481" s="188" t="s">
        <v>1386</v>
      </c>
      <c r="M481" s="192">
        <f t="shared" si="21"/>
        <v>38</v>
      </c>
      <c r="N481" s="193">
        <f t="shared" si="22"/>
        <v>0.3595890410958904</v>
      </c>
      <c r="O481" s="194">
        <f t="shared" si="23"/>
        <v>9.4628695025234313E-3</v>
      </c>
    </row>
    <row r="482" spans="1:15" ht="12.75" customHeight="1">
      <c r="A482" s="188" t="s">
        <v>620</v>
      </c>
      <c r="B482" s="188" t="s">
        <v>1394</v>
      </c>
      <c r="C482" s="188" t="s">
        <v>641</v>
      </c>
      <c r="D482" s="188" t="s">
        <v>1411</v>
      </c>
      <c r="E482" s="189">
        <v>39478</v>
      </c>
      <c r="F482" s="190">
        <v>0</v>
      </c>
      <c r="G482" s="190">
        <v>81.92</v>
      </c>
      <c r="H482" s="191">
        <v>476.16</v>
      </c>
      <c r="I482" s="191">
        <v>320</v>
      </c>
      <c r="J482" s="188" t="s">
        <v>742</v>
      </c>
      <c r="K482" s="188" t="s">
        <v>549</v>
      </c>
      <c r="L482" s="188" t="s">
        <v>994</v>
      </c>
      <c r="M482" s="192">
        <f t="shared" si="21"/>
        <v>38</v>
      </c>
      <c r="N482" s="193">
        <f t="shared" si="22"/>
        <v>0.372</v>
      </c>
      <c r="O482" s="194">
        <f t="shared" si="23"/>
        <v>9.7894736842105267E-3</v>
      </c>
    </row>
    <row r="483" spans="1:15" ht="12.75" customHeight="1">
      <c r="A483" s="188" t="s">
        <v>620</v>
      </c>
      <c r="B483" s="188" t="s">
        <v>1394</v>
      </c>
      <c r="C483" s="188" t="s">
        <v>641</v>
      </c>
      <c r="D483" s="188" t="s">
        <v>1412</v>
      </c>
      <c r="E483" s="189">
        <v>39447</v>
      </c>
      <c r="F483" s="190">
        <v>0</v>
      </c>
      <c r="G483" s="190">
        <v>76.67</v>
      </c>
      <c r="H483" s="191">
        <v>453</v>
      </c>
      <c r="I483" s="191">
        <v>299.5</v>
      </c>
      <c r="J483" s="188" t="s">
        <v>624</v>
      </c>
      <c r="K483" s="188" t="s">
        <v>338</v>
      </c>
      <c r="L483" s="188" t="s">
        <v>1413</v>
      </c>
      <c r="M483" s="192">
        <f t="shared" si="21"/>
        <v>38</v>
      </c>
      <c r="N483" s="193">
        <f t="shared" si="22"/>
        <v>0.37813021702838062</v>
      </c>
      <c r="O483" s="194">
        <f t="shared" si="23"/>
        <v>9.9507951849573846E-3</v>
      </c>
    </row>
    <row r="484" spans="1:15" ht="12.75" customHeight="1">
      <c r="A484" s="188" t="s">
        <v>620</v>
      </c>
      <c r="B484" s="188" t="s">
        <v>1394</v>
      </c>
      <c r="C484" s="188" t="s">
        <v>641</v>
      </c>
      <c r="D484" s="188" t="s">
        <v>1414</v>
      </c>
      <c r="E484" s="189">
        <v>39541</v>
      </c>
      <c r="F484" s="190">
        <v>0</v>
      </c>
      <c r="G484" s="190">
        <v>38.4</v>
      </c>
      <c r="H484" s="191">
        <v>227.1</v>
      </c>
      <c r="I484" s="191">
        <v>150</v>
      </c>
      <c r="J484" s="188" t="s">
        <v>624</v>
      </c>
      <c r="K484" s="188" t="s">
        <v>338</v>
      </c>
      <c r="L484" s="188" t="s">
        <v>677</v>
      </c>
      <c r="M484" s="192">
        <f t="shared" si="21"/>
        <v>38</v>
      </c>
      <c r="N484" s="193">
        <f t="shared" si="22"/>
        <v>0.3785</v>
      </c>
      <c r="O484" s="194">
        <f t="shared" si="23"/>
        <v>9.9605263157894735E-3</v>
      </c>
    </row>
    <row r="485" spans="1:15" ht="12.75" customHeight="1">
      <c r="A485" s="188" t="s">
        <v>620</v>
      </c>
      <c r="B485" s="188" t="s">
        <v>1394</v>
      </c>
      <c r="C485" s="188" t="s">
        <v>641</v>
      </c>
      <c r="D485" s="188" t="s">
        <v>1415</v>
      </c>
      <c r="E485" s="189">
        <v>39296</v>
      </c>
      <c r="F485" s="190">
        <v>0</v>
      </c>
      <c r="G485" s="190">
        <v>132.47999999999999</v>
      </c>
      <c r="H485" s="191">
        <v>796.95</v>
      </c>
      <c r="I485" s="191">
        <v>517.5</v>
      </c>
      <c r="J485" s="188" t="s">
        <v>624</v>
      </c>
      <c r="K485" s="188" t="s">
        <v>338</v>
      </c>
      <c r="L485" s="188" t="s">
        <v>675</v>
      </c>
      <c r="M485" s="192">
        <f t="shared" si="21"/>
        <v>38</v>
      </c>
      <c r="N485" s="193">
        <f t="shared" si="22"/>
        <v>0.38500000000000001</v>
      </c>
      <c r="O485" s="194">
        <f t="shared" si="23"/>
        <v>1.0131578947368422E-2</v>
      </c>
    </row>
    <row r="486" spans="1:15" ht="12.75" customHeight="1">
      <c r="A486" s="188" t="s">
        <v>620</v>
      </c>
      <c r="B486" s="188" t="s">
        <v>1394</v>
      </c>
      <c r="C486" s="188" t="s">
        <v>641</v>
      </c>
      <c r="D486" s="188" t="s">
        <v>1416</v>
      </c>
      <c r="E486" s="189">
        <v>39471</v>
      </c>
      <c r="F486" s="190">
        <v>0</v>
      </c>
      <c r="G486" s="190">
        <v>64</v>
      </c>
      <c r="H486" s="191">
        <v>397</v>
      </c>
      <c r="I486" s="191">
        <v>250</v>
      </c>
      <c r="J486" s="188" t="s">
        <v>624</v>
      </c>
      <c r="K486" s="188" t="s">
        <v>338</v>
      </c>
      <c r="L486" s="188" t="s">
        <v>636</v>
      </c>
      <c r="M486" s="192">
        <f t="shared" si="21"/>
        <v>38</v>
      </c>
      <c r="N486" s="193">
        <f t="shared" si="22"/>
        <v>0.39700000000000002</v>
      </c>
      <c r="O486" s="194">
        <f t="shared" si="23"/>
        <v>1.0447368421052632E-2</v>
      </c>
    </row>
    <row r="487" spans="1:15" ht="12.75" customHeight="1">
      <c r="A487" s="188" t="s">
        <v>620</v>
      </c>
      <c r="B487" s="188" t="s">
        <v>1394</v>
      </c>
      <c r="C487" s="188" t="s">
        <v>641</v>
      </c>
      <c r="D487" s="188" t="s">
        <v>1417</v>
      </c>
      <c r="E487" s="189">
        <v>39416</v>
      </c>
      <c r="F487" s="190">
        <v>0</v>
      </c>
      <c r="G487" s="190">
        <v>0.06</v>
      </c>
      <c r="H487" s="191">
        <v>230</v>
      </c>
      <c r="I487" s="191">
        <v>230</v>
      </c>
      <c r="J487" s="188" t="s">
        <v>571</v>
      </c>
      <c r="K487" s="188" t="s">
        <v>338</v>
      </c>
      <c r="L487" s="188" t="s">
        <v>1418</v>
      </c>
      <c r="M487" s="192">
        <f t="shared" si="21"/>
        <v>23</v>
      </c>
      <c r="N487" s="193">
        <f t="shared" si="22"/>
        <v>0.24134312696747115</v>
      </c>
      <c r="O487" s="194">
        <f t="shared" si="23"/>
        <v>1.049317943336831E-2</v>
      </c>
    </row>
    <row r="488" spans="1:15" ht="12.75" customHeight="1">
      <c r="A488" s="188" t="s">
        <v>620</v>
      </c>
      <c r="B488" s="188" t="s">
        <v>1394</v>
      </c>
      <c r="C488" s="188" t="s">
        <v>641</v>
      </c>
      <c r="D488" s="188" t="s">
        <v>1419</v>
      </c>
      <c r="E488" s="189">
        <v>39555</v>
      </c>
      <c r="F488" s="190">
        <v>0</v>
      </c>
      <c r="G488" s="190">
        <v>83.01</v>
      </c>
      <c r="H488" s="191">
        <v>482.68</v>
      </c>
      <c r="I488" s="191">
        <v>324.25</v>
      </c>
      <c r="J488" s="188" t="s">
        <v>720</v>
      </c>
      <c r="K488" s="188" t="s">
        <v>333</v>
      </c>
      <c r="L488" s="188" t="s">
        <v>1420</v>
      </c>
      <c r="M488" s="192">
        <f t="shared" si="21"/>
        <v>35</v>
      </c>
      <c r="N488" s="193">
        <f t="shared" si="22"/>
        <v>0.37215111796453354</v>
      </c>
      <c r="O488" s="194">
        <f t="shared" si="23"/>
        <v>1.0632889084700958E-2</v>
      </c>
    </row>
    <row r="489" spans="1:15" ht="12.75" customHeight="1">
      <c r="A489" s="188" t="s">
        <v>620</v>
      </c>
      <c r="B489" s="188" t="s">
        <v>1394</v>
      </c>
      <c r="C489" s="188" t="s">
        <v>641</v>
      </c>
      <c r="D489" s="188" t="s">
        <v>1421</v>
      </c>
      <c r="E489" s="189">
        <v>39534</v>
      </c>
      <c r="F489" s="190">
        <v>0</v>
      </c>
      <c r="G489" s="190">
        <v>96.96</v>
      </c>
      <c r="H489" s="191">
        <v>624</v>
      </c>
      <c r="I489" s="191">
        <v>378.75</v>
      </c>
      <c r="J489" s="188" t="s">
        <v>639</v>
      </c>
      <c r="K489" s="188" t="s">
        <v>648</v>
      </c>
      <c r="L489" s="188" t="s">
        <v>1422</v>
      </c>
      <c r="M489" s="192">
        <f t="shared" si="21"/>
        <v>38</v>
      </c>
      <c r="N489" s="193">
        <f t="shared" si="22"/>
        <v>0.41188118811881186</v>
      </c>
      <c r="O489" s="194">
        <f t="shared" si="23"/>
        <v>1.0838978634705575E-2</v>
      </c>
    </row>
    <row r="490" spans="1:15" ht="12.75" customHeight="1">
      <c r="A490" s="188" t="s">
        <v>620</v>
      </c>
      <c r="B490" s="188" t="s">
        <v>1394</v>
      </c>
      <c r="C490" s="188" t="s">
        <v>641</v>
      </c>
      <c r="D490" s="188" t="s">
        <v>1423</v>
      </c>
      <c r="E490" s="189">
        <v>39269</v>
      </c>
      <c r="F490" s="190">
        <v>0</v>
      </c>
      <c r="G490" s="190">
        <v>100.86</v>
      </c>
      <c r="H490" s="191">
        <v>475.01</v>
      </c>
      <c r="I490" s="191">
        <v>394</v>
      </c>
      <c r="J490" s="188" t="s">
        <v>639</v>
      </c>
      <c r="K490" s="188" t="s">
        <v>338</v>
      </c>
      <c r="L490" s="188" t="s">
        <v>982</v>
      </c>
      <c r="M490" s="192">
        <f t="shared" si="21"/>
        <v>27</v>
      </c>
      <c r="N490" s="193">
        <f t="shared" si="22"/>
        <v>0.30140228426395937</v>
      </c>
      <c r="O490" s="194">
        <f t="shared" si="23"/>
        <v>1.1163047565331829E-2</v>
      </c>
    </row>
    <row r="491" spans="1:15" ht="12.75" customHeight="1">
      <c r="A491" s="188" t="s">
        <v>620</v>
      </c>
      <c r="B491" s="188" t="s">
        <v>1394</v>
      </c>
      <c r="C491" s="188" t="s">
        <v>641</v>
      </c>
      <c r="D491" s="188" t="s">
        <v>1424</v>
      </c>
      <c r="E491" s="189">
        <v>39395</v>
      </c>
      <c r="F491" s="190">
        <v>0</v>
      </c>
      <c r="G491" s="190">
        <v>49.34</v>
      </c>
      <c r="H491" s="191">
        <v>333</v>
      </c>
      <c r="I491" s="191">
        <v>192.75</v>
      </c>
      <c r="J491" s="188" t="s">
        <v>624</v>
      </c>
      <c r="K491" s="188" t="s">
        <v>338</v>
      </c>
      <c r="L491" s="188" t="s">
        <v>1425</v>
      </c>
      <c r="M491" s="192">
        <f t="shared" si="21"/>
        <v>38</v>
      </c>
      <c r="N491" s="193">
        <f t="shared" si="22"/>
        <v>0.43190661478599224</v>
      </c>
      <c r="O491" s="194">
        <f t="shared" si="23"/>
        <v>1.1365963546999796E-2</v>
      </c>
    </row>
    <row r="492" spans="1:15" ht="12.75" customHeight="1">
      <c r="A492" s="188" t="s">
        <v>620</v>
      </c>
      <c r="B492" s="188" t="s">
        <v>1394</v>
      </c>
      <c r="C492" s="188" t="s">
        <v>641</v>
      </c>
      <c r="D492" s="188" t="s">
        <v>1426</v>
      </c>
      <c r="E492" s="189">
        <v>39520</v>
      </c>
      <c r="F492" s="190">
        <v>0</v>
      </c>
      <c r="G492" s="190">
        <v>102.4</v>
      </c>
      <c r="H492" s="191">
        <v>550</v>
      </c>
      <c r="I492" s="191">
        <v>400</v>
      </c>
      <c r="J492" s="188" t="s">
        <v>635</v>
      </c>
      <c r="K492" s="188" t="s">
        <v>338</v>
      </c>
      <c r="L492" s="188" t="s">
        <v>625</v>
      </c>
      <c r="M492" s="192">
        <f t="shared" si="21"/>
        <v>30</v>
      </c>
      <c r="N492" s="193">
        <f t="shared" si="22"/>
        <v>0.34375</v>
      </c>
      <c r="O492" s="194">
        <f t="shared" si="23"/>
        <v>1.1458333333333333E-2</v>
      </c>
    </row>
    <row r="493" spans="1:15" ht="12.75" customHeight="1">
      <c r="A493" s="188" t="s">
        <v>620</v>
      </c>
      <c r="B493" s="188" t="s">
        <v>1394</v>
      </c>
      <c r="C493" s="188" t="s">
        <v>641</v>
      </c>
      <c r="D493" s="188" t="s">
        <v>1427</v>
      </c>
      <c r="E493" s="189">
        <v>39401</v>
      </c>
      <c r="F493" s="190">
        <v>0</v>
      </c>
      <c r="G493" s="190">
        <v>78.08</v>
      </c>
      <c r="H493" s="191">
        <v>425</v>
      </c>
      <c r="I493" s="191">
        <v>305</v>
      </c>
      <c r="J493" s="188" t="s">
        <v>715</v>
      </c>
      <c r="K493" s="188" t="s">
        <v>333</v>
      </c>
      <c r="L493" s="188" t="s">
        <v>689</v>
      </c>
      <c r="M493" s="192">
        <f t="shared" si="21"/>
        <v>30</v>
      </c>
      <c r="N493" s="193">
        <f t="shared" si="22"/>
        <v>0.34836065573770492</v>
      </c>
      <c r="O493" s="194">
        <f t="shared" si="23"/>
        <v>1.1612021857923498E-2</v>
      </c>
    </row>
    <row r="494" spans="1:15" ht="12.75" customHeight="1">
      <c r="A494" s="188" t="s">
        <v>620</v>
      </c>
      <c r="B494" s="188" t="s">
        <v>1394</v>
      </c>
      <c r="C494" s="188" t="s">
        <v>641</v>
      </c>
      <c r="D494" s="188" t="s">
        <v>1428</v>
      </c>
      <c r="E494" s="189">
        <v>39407</v>
      </c>
      <c r="F494" s="190">
        <v>0</v>
      </c>
      <c r="G494" s="190">
        <v>0.06</v>
      </c>
      <c r="H494" s="191">
        <v>394.92</v>
      </c>
      <c r="I494" s="191">
        <v>394.92</v>
      </c>
      <c r="J494" s="188" t="s">
        <v>560</v>
      </c>
      <c r="K494" s="188" t="s">
        <v>338</v>
      </c>
      <c r="L494" s="188" t="s">
        <v>833</v>
      </c>
      <c r="M494" s="192">
        <f t="shared" si="21"/>
        <v>20</v>
      </c>
      <c r="N494" s="193">
        <f t="shared" si="22"/>
        <v>0.2323058823529412</v>
      </c>
      <c r="O494" s="194">
        <f t="shared" si="23"/>
        <v>1.161529411764706E-2</v>
      </c>
    </row>
    <row r="495" spans="1:15" ht="12.75" customHeight="1">
      <c r="A495" s="188" t="s">
        <v>620</v>
      </c>
      <c r="B495" s="188" t="s">
        <v>1394</v>
      </c>
      <c r="C495" s="188" t="s">
        <v>641</v>
      </c>
      <c r="D495" s="188" t="s">
        <v>1429</v>
      </c>
      <c r="E495" s="189">
        <v>39447</v>
      </c>
      <c r="F495" s="190">
        <v>0</v>
      </c>
      <c r="G495" s="190">
        <v>86.4</v>
      </c>
      <c r="H495" s="191">
        <v>475</v>
      </c>
      <c r="I495" s="191">
        <v>337.5</v>
      </c>
      <c r="J495" s="188" t="s">
        <v>635</v>
      </c>
      <c r="K495" s="188" t="s">
        <v>338</v>
      </c>
      <c r="L495" s="188" t="s">
        <v>707</v>
      </c>
      <c r="M495" s="192">
        <f t="shared" si="21"/>
        <v>30</v>
      </c>
      <c r="N495" s="193">
        <f t="shared" si="22"/>
        <v>0.35185185185185186</v>
      </c>
      <c r="O495" s="194">
        <f t="shared" si="23"/>
        <v>1.1728395061728396E-2</v>
      </c>
    </row>
    <row r="496" spans="1:15" ht="12.75" customHeight="1">
      <c r="A496" s="188" t="s">
        <v>620</v>
      </c>
      <c r="B496" s="188" t="s">
        <v>1394</v>
      </c>
      <c r="C496" s="188" t="s">
        <v>641</v>
      </c>
      <c r="D496" s="188" t="s">
        <v>1430</v>
      </c>
      <c r="E496" s="189">
        <v>39422</v>
      </c>
      <c r="F496" s="190">
        <v>0</v>
      </c>
      <c r="G496" s="190">
        <v>64</v>
      </c>
      <c r="H496" s="191">
        <v>258.12</v>
      </c>
      <c r="I496" s="191">
        <v>250</v>
      </c>
      <c r="J496" s="188" t="s">
        <v>560</v>
      </c>
      <c r="K496" s="188" t="s">
        <v>327</v>
      </c>
      <c r="L496" s="188" t="s">
        <v>636</v>
      </c>
      <c r="M496" s="192">
        <f t="shared" si="21"/>
        <v>22</v>
      </c>
      <c r="N496" s="193">
        <f t="shared" si="22"/>
        <v>0.25812000000000002</v>
      </c>
      <c r="O496" s="194">
        <f t="shared" si="23"/>
        <v>1.1732727272727273E-2</v>
      </c>
    </row>
    <row r="497" spans="1:15" ht="12.75" customHeight="1">
      <c r="A497" s="188" t="s">
        <v>620</v>
      </c>
      <c r="B497" s="188" t="s">
        <v>1394</v>
      </c>
      <c r="C497" s="188" t="s">
        <v>641</v>
      </c>
      <c r="D497" s="188" t="s">
        <v>1431</v>
      </c>
      <c r="E497" s="189">
        <v>39485</v>
      </c>
      <c r="F497" s="190">
        <v>0</v>
      </c>
      <c r="G497" s="190">
        <v>41.22</v>
      </c>
      <c r="H497" s="191">
        <v>166.8</v>
      </c>
      <c r="I497" s="191">
        <v>161</v>
      </c>
      <c r="J497" s="188" t="s">
        <v>560</v>
      </c>
      <c r="K497" s="188" t="s">
        <v>327</v>
      </c>
      <c r="L497" s="188" t="s">
        <v>1432</v>
      </c>
      <c r="M497" s="192">
        <f t="shared" si="21"/>
        <v>22</v>
      </c>
      <c r="N497" s="193">
        <f t="shared" si="22"/>
        <v>0.25900621118012424</v>
      </c>
      <c r="O497" s="194">
        <f t="shared" si="23"/>
        <v>1.1773009599096556E-2</v>
      </c>
    </row>
    <row r="498" spans="1:15" ht="12.75" customHeight="1">
      <c r="A498" s="188" t="s">
        <v>620</v>
      </c>
      <c r="B498" s="188" t="s">
        <v>1394</v>
      </c>
      <c r="C498" s="188" t="s">
        <v>641</v>
      </c>
      <c r="D498" s="188" t="s">
        <v>1433</v>
      </c>
      <c r="E498" s="189">
        <v>39401</v>
      </c>
      <c r="F498" s="190">
        <v>0</v>
      </c>
      <c r="G498" s="190">
        <v>144.51</v>
      </c>
      <c r="H498" s="191">
        <v>1013</v>
      </c>
      <c r="I498" s="191">
        <v>564.5</v>
      </c>
      <c r="J498" s="188" t="s">
        <v>624</v>
      </c>
      <c r="K498" s="188" t="s">
        <v>338</v>
      </c>
      <c r="L498" s="188" t="s">
        <v>1434</v>
      </c>
      <c r="M498" s="192">
        <f t="shared" si="21"/>
        <v>38</v>
      </c>
      <c r="N498" s="193">
        <f t="shared" si="22"/>
        <v>0.44862710363153235</v>
      </c>
      <c r="O498" s="194">
        <f t="shared" si="23"/>
        <v>1.1805976411356115E-2</v>
      </c>
    </row>
    <row r="499" spans="1:15" ht="12.75" customHeight="1">
      <c r="A499" s="188" t="s">
        <v>620</v>
      </c>
      <c r="B499" s="188" t="s">
        <v>1394</v>
      </c>
      <c r="C499" s="188" t="s">
        <v>641</v>
      </c>
      <c r="D499" s="188" t="s">
        <v>1435</v>
      </c>
      <c r="E499" s="189">
        <v>39583</v>
      </c>
      <c r="F499" s="190">
        <v>0</v>
      </c>
      <c r="G499" s="190">
        <v>128</v>
      </c>
      <c r="H499" s="191">
        <v>710</v>
      </c>
      <c r="I499" s="191">
        <v>500</v>
      </c>
      <c r="J499" s="188" t="s">
        <v>571</v>
      </c>
      <c r="K499" s="188" t="s">
        <v>439</v>
      </c>
      <c r="L499" s="188" t="s">
        <v>756</v>
      </c>
      <c r="M499" s="192">
        <f t="shared" si="21"/>
        <v>30</v>
      </c>
      <c r="N499" s="193">
        <f t="shared" si="22"/>
        <v>0.35499999999999998</v>
      </c>
      <c r="O499" s="194">
        <f t="shared" si="23"/>
        <v>1.1833333333333333E-2</v>
      </c>
    </row>
    <row r="500" spans="1:15" ht="12.75" customHeight="1">
      <c r="A500" s="188" t="s">
        <v>620</v>
      </c>
      <c r="B500" s="188" t="s">
        <v>1394</v>
      </c>
      <c r="C500" s="188" t="s">
        <v>641</v>
      </c>
      <c r="D500" s="188" t="s">
        <v>1436</v>
      </c>
      <c r="E500" s="189">
        <v>39583</v>
      </c>
      <c r="F500" s="190">
        <v>0</v>
      </c>
      <c r="G500" s="190">
        <v>57.6</v>
      </c>
      <c r="H500" s="191">
        <v>270.25</v>
      </c>
      <c r="I500" s="191">
        <v>225</v>
      </c>
      <c r="J500" s="188" t="s">
        <v>652</v>
      </c>
      <c r="K500" s="188" t="s">
        <v>338</v>
      </c>
      <c r="L500" s="188" t="s">
        <v>740</v>
      </c>
      <c r="M500" s="192">
        <f t="shared" si="21"/>
        <v>25</v>
      </c>
      <c r="N500" s="193">
        <f t="shared" si="22"/>
        <v>0.30027777777777775</v>
      </c>
      <c r="O500" s="194">
        <f t="shared" si="23"/>
        <v>1.201111111111111E-2</v>
      </c>
    </row>
    <row r="501" spans="1:15" ht="12.75" customHeight="1">
      <c r="A501" s="188" t="s">
        <v>620</v>
      </c>
      <c r="B501" s="188" t="s">
        <v>1394</v>
      </c>
      <c r="C501" s="188" t="s">
        <v>641</v>
      </c>
      <c r="D501" s="188" t="s">
        <v>1437</v>
      </c>
      <c r="E501" s="189">
        <v>39611</v>
      </c>
      <c r="F501" s="190">
        <v>0</v>
      </c>
      <c r="G501" s="190">
        <v>46.08</v>
      </c>
      <c r="H501" s="191">
        <v>331.2</v>
      </c>
      <c r="I501" s="191">
        <v>180</v>
      </c>
      <c r="J501" s="188" t="s">
        <v>750</v>
      </c>
      <c r="K501" s="188" t="s">
        <v>442</v>
      </c>
      <c r="L501" s="188" t="s">
        <v>313</v>
      </c>
      <c r="M501" s="192">
        <f t="shared" si="21"/>
        <v>38</v>
      </c>
      <c r="N501" s="193">
        <f t="shared" si="22"/>
        <v>0.45999999999999996</v>
      </c>
      <c r="O501" s="194">
        <f t="shared" si="23"/>
        <v>1.2105263157894735E-2</v>
      </c>
    </row>
    <row r="502" spans="1:15" ht="12.75" customHeight="1">
      <c r="A502" s="188" t="s">
        <v>620</v>
      </c>
      <c r="B502" s="188" t="s">
        <v>1394</v>
      </c>
      <c r="C502" s="188" t="s">
        <v>641</v>
      </c>
      <c r="D502" s="188" t="s">
        <v>1438</v>
      </c>
      <c r="E502" s="189">
        <v>39429</v>
      </c>
      <c r="F502" s="190">
        <v>0</v>
      </c>
      <c r="G502" s="190">
        <v>96</v>
      </c>
      <c r="H502" s="191">
        <v>550</v>
      </c>
      <c r="I502" s="191">
        <v>375</v>
      </c>
      <c r="J502" s="188" t="s">
        <v>635</v>
      </c>
      <c r="K502" s="188" t="s">
        <v>338</v>
      </c>
      <c r="L502" s="188" t="s">
        <v>746</v>
      </c>
      <c r="M502" s="192">
        <f t="shared" si="21"/>
        <v>30</v>
      </c>
      <c r="N502" s="193">
        <f t="shared" si="22"/>
        <v>0.36666666666666664</v>
      </c>
      <c r="O502" s="194">
        <f t="shared" si="23"/>
        <v>1.2222222222222221E-2</v>
      </c>
    </row>
    <row r="503" spans="1:15" ht="12.75" customHeight="1">
      <c r="A503" s="188" t="s">
        <v>620</v>
      </c>
      <c r="B503" s="188" t="s">
        <v>1394</v>
      </c>
      <c r="C503" s="188" t="s">
        <v>641</v>
      </c>
      <c r="D503" s="188" t="s">
        <v>1439</v>
      </c>
      <c r="E503" s="189">
        <v>39541</v>
      </c>
      <c r="F503" s="190">
        <v>0</v>
      </c>
      <c r="G503" s="190">
        <v>68.739999999999995</v>
      </c>
      <c r="H503" s="191">
        <v>500</v>
      </c>
      <c r="I503" s="191">
        <v>268.5</v>
      </c>
      <c r="J503" s="188" t="s">
        <v>624</v>
      </c>
      <c r="K503" s="188" t="s">
        <v>338</v>
      </c>
      <c r="L503" s="188" t="s">
        <v>1440</v>
      </c>
      <c r="M503" s="192">
        <f t="shared" si="21"/>
        <v>38</v>
      </c>
      <c r="N503" s="193">
        <f t="shared" si="22"/>
        <v>0.46554934823091249</v>
      </c>
      <c r="O503" s="194">
        <f t="shared" si="23"/>
        <v>1.2251298637655592E-2</v>
      </c>
    </row>
    <row r="504" spans="1:15" ht="12.75" customHeight="1">
      <c r="A504" s="188" t="s">
        <v>620</v>
      </c>
      <c r="B504" s="188" t="s">
        <v>1394</v>
      </c>
      <c r="C504" s="188" t="s">
        <v>641</v>
      </c>
      <c r="D504" s="188" t="s">
        <v>1441</v>
      </c>
      <c r="E504" s="189">
        <v>39407</v>
      </c>
      <c r="F504" s="190">
        <v>0</v>
      </c>
      <c r="G504" s="190">
        <v>89.6</v>
      </c>
      <c r="H504" s="191">
        <v>660</v>
      </c>
      <c r="I504" s="191">
        <v>350</v>
      </c>
      <c r="J504" s="188" t="s">
        <v>624</v>
      </c>
      <c r="K504" s="188" t="s">
        <v>338</v>
      </c>
      <c r="L504" s="188" t="s">
        <v>754</v>
      </c>
      <c r="M504" s="192">
        <f t="shared" si="21"/>
        <v>38</v>
      </c>
      <c r="N504" s="193">
        <f t="shared" si="22"/>
        <v>0.47142857142857142</v>
      </c>
      <c r="O504" s="194">
        <f t="shared" si="23"/>
        <v>1.2406015037593985E-2</v>
      </c>
    </row>
    <row r="505" spans="1:15" ht="12.75" customHeight="1">
      <c r="A505" s="188" t="s">
        <v>620</v>
      </c>
      <c r="B505" s="188" t="s">
        <v>1394</v>
      </c>
      <c r="C505" s="188" t="s">
        <v>641</v>
      </c>
      <c r="D505" s="188" t="s">
        <v>1442</v>
      </c>
      <c r="E505" s="189">
        <v>39555</v>
      </c>
      <c r="F505" s="190">
        <v>0</v>
      </c>
      <c r="G505" s="190">
        <v>111.68</v>
      </c>
      <c r="H505" s="191">
        <v>825</v>
      </c>
      <c r="I505" s="191">
        <v>436.25</v>
      </c>
      <c r="J505" s="188" t="s">
        <v>624</v>
      </c>
      <c r="K505" s="188" t="s">
        <v>338</v>
      </c>
      <c r="L505" s="188" t="s">
        <v>1443</v>
      </c>
      <c r="M505" s="192">
        <f t="shared" si="21"/>
        <v>38</v>
      </c>
      <c r="N505" s="193">
        <f t="shared" si="22"/>
        <v>0.47277936962750716</v>
      </c>
      <c r="O505" s="194">
        <f t="shared" si="23"/>
        <v>1.244156235861861E-2</v>
      </c>
    </row>
    <row r="506" spans="1:15" ht="12.75" customHeight="1">
      <c r="A506" s="188" t="s">
        <v>620</v>
      </c>
      <c r="B506" s="188" t="s">
        <v>1394</v>
      </c>
      <c r="C506" s="188" t="s">
        <v>641</v>
      </c>
      <c r="D506" s="188" t="s">
        <v>1444</v>
      </c>
      <c r="E506" s="189">
        <v>39478</v>
      </c>
      <c r="F506" s="190">
        <v>0</v>
      </c>
      <c r="G506" s="190">
        <v>47.36</v>
      </c>
      <c r="H506" s="191">
        <v>296.2</v>
      </c>
      <c r="I506" s="191">
        <v>185</v>
      </c>
      <c r="J506" s="188" t="s">
        <v>353</v>
      </c>
      <c r="K506" s="188" t="s">
        <v>338</v>
      </c>
      <c r="L506" s="188" t="s">
        <v>1445</v>
      </c>
      <c r="M506" s="192">
        <f t="shared" si="21"/>
        <v>32</v>
      </c>
      <c r="N506" s="193">
        <f t="shared" si="22"/>
        <v>0.40027027027027023</v>
      </c>
      <c r="O506" s="194">
        <f t="shared" si="23"/>
        <v>1.2508445945945945E-2</v>
      </c>
    </row>
    <row r="507" spans="1:15" ht="12.75" customHeight="1">
      <c r="A507" s="188" t="s">
        <v>620</v>
      </c>
      <c r="B507" s="188" t="s">
        <v>1394</v>
      </c>
      <c r="C507" s="188" t="s">
        <v>641</v>
      </c>
      <c r="D507" s="188" t="s">
        <v>1446</v>
      </c>
      <c r="E507" s="189">
        <v>39275</v>
      </c>
      <c r="F507" s="190">
        <v>0</v>
      </c>
      <c r="G507" s="190">
        <v>120.32</v>
      </c>
      <c r="H507" s="191">
        <v>902.02</v>
      </c>
      <c r="I507" s="191">
        <v>470</v>
      </c>
      <c r="J507" s="188" t="s">
        <v>624</v>
      </c>
      <c r="K507" s="188" t="s">
        <v>338</v>
      </c>
      <c r="L507" s="188" t="s">
        <v>1447</v>
      </c>
      <c r="M507" s="192">
        <f t="shared" si="21"/>
        <v>38</v>
      </c>
      <c r="N507" s="193">
        <f t="shared" si="22"/>
        <v>0.47979787234042554</v>
      </c>
      <c r="O507" s="194">
        <f t="shared" si="23"/>
        <v>1.2626259798432252E-2</v>
      </c>
    </row>
    <row r="508" spans="1:15" ht="12.75" customHeight="1">
      <c r="A508" s="188" t="s">
        <v>620</v>
      </c>
      <c r="B508" s="188" t="s">
        <v>1394</v>
      </c>
      <c r="C508" s="188" t="s">
        <v>641</v>
      </c>
      <c r="D508" s="188" t="s">
        <v>1448</v>
      </c>
      <c r="E508" s="189">
        <v>39611</v>
      </c>
      <c r="F508" s="190">
        <v>0</v>
      </c>
      <c r="G508" s="190">
        <v>79.36</v>
      </c>
      <c r="H508" s="191">
        <v>599</v>
      </c>
      <c r="I508" s="191">
        <v>310</v>
      </c>
      <c r="J508" s="188" t="s">
        <v>624</v>
      </c>
      <c r="K508" s="188" t="s">
        <v>338</v>
      </c>
      <c r="L508" s="188" t="s">
        <v>1449</v>
      </c>
      <c r="M508" s="192">
        <f t="shared" si="21"/>
        <v>38</v>
      </c>
      <c r="N508" s="193">
        <f t="shared" si="22"/>
        <v>0.48306451612903228</v>
      </c>
      <c r="O508" s="194">
        <f t="shared" si="23"/>
        <v>1.2712224108658745E-2</v>
      </c>
    </row>
    <row r="509" spans="1:15" ht="12.75" customHeight="1">
      <c r="A509" s="188" t="s">
        <v>620</v>
      </c>
      <c r="B509" s="188" t="s">
        <v>1394</v>
      </c>
      <c r="C509" s="188" t="s">
        <v>641</v>
      </c>
      <c r="D509" s="188" t="s">
        <v>1450</v>
      </c>
      <c r="E509" s="189">
        <v>39366</v>
      </c>
      <c r="F509" s="190">
        <v>0</v>
      </c>
      <c r="G509" s="190">
        <v>57.6</v>
      </c>
      <c r="H509" s="191">
        <v>230.14</v>
      </c>
      <c r="I509" s="191">
        <v>225</v>
      </c>
      <c r="J509" s="188" t="s">
        <v>560</v>
      </c>
      <c r="K509" s="188" t="s">
        <v>338</v>
      </c>
      <c r="L509" s="188" t="s">
        <v>740</v>
      </c>
      <c r="M509" s="192">
        <f t="shared" si="21"/>
        <v>20</v>
      </c>
      <c r="N509" s="193">
        <f t="shared" si="22"/>
        <v>0.25571111111111111</v>
      </c>
      <c r="O509" s="194">
        <f t="shared" si="23"/>
        <v>1.2785555555555555E-2</v>
      </c>
    </row>
    <row r="510" spans="1:15" ht="12.75" customHeight="1">
      <c r="A510" s="188" t="s">
        <v>620</v>
      </c>
      <c r="B510" s="188" t="s">
        <v>1394</v>
      </c>
      <c r="C510" s="188" t="s">
        <v>641</v>
      </c>
      <c r="D510" s="188" t="s">
        <v>1451</v>
      </c>
      <c r="E510" s="189">
        <v>39541</v>
      </c>
      <c r="F510" s="190">
        <v>0</v>
      </c>
      <c r="G510" s="190">
        <v>97.28</v>
      </c>
      <c r="H510" s="191">
        <v>585</v>
      </c>
      <c r="I510" s="191">
        <v>380</v>
      </c>
      <c r="J510" s="188" t="s">
        <v>635</v>
      </c>
      <c r="K510" s="188" t="s">
        <v>338</v>
      </c>
      <c r="L510" s="188" t="s">
        <v>1452</v>
      </c>
      <c r="M510" s="192">
        <f t="shared" si="21"/>
        <v>30</v>
      </c>
      <c r="N510" s="193">
        <f t="shared" si="22"/>
        <v>0.38486842105263158</v>
      </c>
      <c r="O510" s="194">
        <f t="shared" si="23"/>
        <v>1.2828947368421053E-2</v>
      </c>
    </row>
    <row r="511" spans="1:15" ht="12.75" customHeight="1">
      <c r="A511" s="188" t="s">
        <v>620</v>
      </c>
      <c r="B511" s="188" t="s">
        <v>1394</v>
      </c>
      <c r="C511" s="188" t="s">
        <v>641</v>
      </c>
      <c r="D511" s="188" t="s">
        <v>1453</v>
      </c>
      <c r="E511" s="189">
        <v>39447</v>
      </c>
      <c r="F511" s="190">
        <v>0</v>
      </c>
      <c r="G511" s="190">
        <v>115.2</v>
      </c>
      <c r="H511" s="191">
        <v>890</v>
      </c>
      <c r="I511" s="191">
        <v>450</v>
      </c>
      <c r="J511" s="188" t="s">
        <v>624</v>
      </c>
      <c r="K511" s="188" t="s">
        <v>338</v>
      </c>
      <c r="L511" s="188" t="s">
        <v>718</v>
      </c>
      <c r="M511" s="192">
        <f t="shared" si="21"/>
        <v>38</v>
      </c>
      <c r="N511" s="193">
        <f t="shared" si="22"/>
        <v>0.49444444444444446</v>
      </c>
      <c r="O511" s="194">
        <f t="shared" si="23"/>
        <v>1.3011695906432749E-2</v>
      </c>
    </row>
    <row r="512" spans="1:15" ht="12.75" customHeight="1">
      <c r="A512" s="188" t="s">
        <v>620</v>
      </c>
      <c r="B512" s="188" t="s">
        <v>1394</v>
      </c>
      <c r="C512" s="188" t="s">
        <v>641</v>
      </c>
      <c r="D512" s="188" t="s">
        <v>1454</v>
      </c>
      <c r="E512" s="189">
        <v>39339</v>
      </c>
      <c r="F512" s="190">
        <v>0</v>
      </c>
      <c r="G512" s="190">
        <v>51.2</v>
      </c>
      <c r="H512" s="191">
        <v>400</v>
      </c>
      <c r="I512" s="191">
        <v>200</v>
      </c>
      <c r="J512" s="188" t="s">
        <v>624</v>
      </c>
      <c r="K512" s="188" t="s">
        <v>338</v>
      </c>
      <c r="L512" s="188" t="s">
        <v>752</v>
      </c>
      <c r="M512" s="192">
        <f t="shared" si="21"/>
        <v>38</v>
      </c>
      <c r="N512" s="193">
        <f t="shared" si="22"/>
        <v>0.5</v>
      </c>
      <c r="O512" s="194">
        <f t="shared" si="23"/>
        <v>1.3157894736842105E-2</v>
      </c>
    </row>
    <row r="513" spans="1:15" ht="12.75" customHeight="1">
      <c r="A513" s="188" t="s">
        <v>620</v>
      </c>
      <c r="B513" s="188" t="s">
        <v>1394</v>
      </c>
      <c r="C513" s="188" t="s">
        <v>641</v>
      </c>
      <c r="D513" s="188" t="s">
        <v>1455</v>
      </c>
      <c r="E513" s="189">
        <v>39401</v>
      </c>
      <c r="F513" s="190">
        <v>0</v>
      </c>
      <c r="G513" s="190">
        <v>76.8</v>
      </c>
      <c r="H513" s="191">
        <v>600</v>
      </c>
      <c r="I513" s="191">
        <v>300</v>
      </c>
      <c r="J513" s="188" t="s">
        <v>624</v>
      </c>
      <c r="K513" s="188" t="s">
        <v>338</v>
      </c>
      <c r="L513" s="188" t="s">
        <v>632</v>
      </c>
      <c r="M513" s="192">
        <f t="shared" si="21"/>
        <v>38</v>
      </c>
      <c r="N513" s="193">
        <f t="shared" si="22"/>
        <v>0.5</v>
      </c>
      <c r="O513" s="194">
        <f t="shared" si="23"/>
        <v>1.3157894736842105E-2</v>
      </c>
    </row>
    <row r="514" spans="1:15" ht="12.75" customHeight="1">
      <c r="A514" s="188" t="s">
        <v>620</v>
      </c>
      <c r="B514" s="188" t="s">
        <v>1394</v>
      </c>
      <c r="C514" s="188" t="s">
        <v>641</v>
      </c>
      <c r="D514" s="188" t="s">
        <v>1456</v>
      </c>
      <c r="E514" s="189">
        <v>39618</v>
      </c>
      <c r="F514" s="190">
        <v>0</v>
      </c>
      <c r="G514" s="190">
        <v>64</v>
      </c>
      <c r="H514" s="191">
        <v>500</v>
      </c>
      <c r="I514" s="191">
        <v>250</v>
      </c>
      <c r="J514" s="188" t="s">
        <v>635</v>
      </c>
      <c r="K514" s="188" t="s">
        <v>421</v>
      </c>
      <c r="L514" s="188" t="s">
        <v>636</v>
      </c>
      <c r="M514" s="192">
        <f t="shared" ref="M514:M577" si="24">K514-J514</f>
        <v>38</v>
      </c>
      <c r="N514" s="193">
        <f t="shared" ref="N514:N577" si="25">H514/L514</f>
        <v>0.5</v>
      </c>
      <c r="O514" s="194">
        <f t="shared" ref="O514:O577" si="26">N514/M514</f>
        <v>1.3157894736842105E-2</v>
      </c>
    </row>
    <row r="515" spans="1:15" ht="12.75" customHeight="1">
      <c r="A515" s="188" t="s">
        <v>620</v>
      </c>
      <c r="B515" s="188" t="s">
        <v>1394</v>
      </c>
      <c r="C515" s="188" t="s">
        <v>641</v>
      </c>
      <c r="D515" s="188" t="s">
        <v>1457</v>
      </c>
      <c r="E515" s="189">
        <v>39471</v>
      </c>
      <c r="F515" s="190">
        <v>0</v>
      </c>
      <c r="G515" s="190">
        <v>76.8</v>
      </c>
      <c r="H515" s="191">
        <v>475</v>
      </c>
      <c r="I515" s="191">
        <v>300</v>
      </c>
      <c r="J515" s="188" t="s">
        <v>639</v>
      </c>
      <c r="K515" s="188" t="s">
        <v>733</v>
      </c>
      <c r="L515" s="188" t="s">
        <v>632</v>
      </c>
      <c r="M515" s="192">
        <f t="shared" si="24"/>
        <v>30</v>
      </c>
      <c r="N515" s="193">
        <f t="shared" si="25"/>
        <v>0.39583333333333331</v>
      </c>
      <c r="O515" s="194">
        <f t="shared" si="26"/>
        <v>1.3194444444444444E-2</v>
      </c>
    </row>
    <row r="516" spans="1:15" ht="12.75" customHeight="1">
      <c r="A516" s="188" t="s">
        <v>620</v>
      </c>
      <c r="B516" s="188" t="s">
        <v>1394</v>
      </c>
      <c r="C516" s="188" t="s">
        <v>641</v>
      </c>
      <c r="D516" s="188" t="s">
        <v>1458</v>
      </c>
      <c r="E516" s="189">
        <v>39317</v>
      </c>
      <c r="F516" s="190">
        <v>0</v>
      </c>
      <c r="G516" s="190">
        <v>25.92</v>
      </c>
      <c r="H516" s="191">
        <v>205.01</v>
      </c>
      <c r="I516" s="191">
        <v>101.25</v>
      </c>
      <c r="J516" s="188" t="s">
        <v>624</v>
      </c>
      <c r="K516" s="188" t="s">
        <v>338</v>
      </c>
      <c r="L516" s="188" t="s">
        <v>1459</v>
      </c>
      <c r="M516" s="192">
        <f t="shared" si="24"/>
        <v>38</v>
      </c>
      <c r="N516" s="193">
        <f t="shared" si="25"/>
        <v>0.5061975308641975</v>
      </c>
      <c r="O516" s="194">
        <f t="shared" si="26"/>
        <v>1.3320987654320987E-2</v>
      </c>
    </row>
    <row r="517" spans="1:15" ht="12.75" customHeight="1">
      <c r="A517" s="188" t="s">
        <v>620</v>
      </c>
      <c r="B517" s="188" t="s">
        <v>1394</v>
      </c>
      <c r="C517" s="188" t="s">
        <v>641</v>
      </c>
      <c r="D517" s="188" t="s">
        <v>1460</v>
      </c>
      <c r="E517" s="189">
        <v>39219</v>
      </c>
      <c r="F517" s="190">
        <v>0</v>
      </c>
      <c r="G517" s="190">
        <v>51.2</v>
      </c>
      <c r="H517" s="191">
        <v>320</v>
      </c>
      <c r="I517" s="191">
        <v>200</v>
      </c>
      <c r="J517" s="188" t="s">
        <v>635</v>
      </c>
      <c r="K517" s="188" t="s">
        <v>338</v>
      </c>
      <c r="L517" s="188" t="s">
        <v>752</v>
      </c>
      <c r="M517" s="192">
        <f t="shared" si="24"/>
        <v>30</v>
      </c>
      <c r="N517" s="193">
        <f t="shared" si="25"/>
        <v>0.4</v>
      </c>
      <c r="O517" s="194">
        <f t="shared" si="26"/>
        <v>1.3333333333333334E-2</v>
      </c>
    </row>
    <row r="518" spans="1:15" ht="12.75" customHeight="1">
      <c r="A518" s="188" t="s">
        <v>620</v>
      </c>
      <c r="B518" s="188" t="s">
        <v>1394</v>
      </c>
      <c r="C518" s="188" t="s">
        <v>641</v>
      </c>
      <c r="D518" s="188" t="s">
        <v>1461</v>
      </c>
      <c r="E518" s="189">
        <v>39380</v>
      </c>
      <c r="F518" s="190">
        <v>0</v>
      </c>
      <c r="G518" s="190">
        <v>64</v>
      </c>
      <c r="H518" s="191">
        <v>400</v>
      </c>
      <c r="I518" s="191">
        <v>250</v>
      </c>
      <c r="J518" s="188" t="s">
        <v>635</v>
      </c>
      <c r="K518" s="188" t="s">
        <v>338</v>
      </c>
      <c r="L518" s="188" t="s">
        <v>636</v>
      </c>
      <c r="M518" s="192">
        <f t="shared" si="24"/>
        <v>30</v>
      </c>
      <c r="N518" s="193">
        <f t="shared" si="25"/>
        <v>0.4</v>
      </c>
      <c r="O518" s="194">
        <f t="shared" si="26"/>
        <v>1.3333333333333334E-2</v>
      </c>
    </row>
    <row r="519" spans="1:15" ht="12.75" customHeight="1">
      <c r="A519" s="188" t="s">
        <v>620</v>
      </c>
      <c r="B519" s="188" t="s">
        <v>1394</v>
      </c>
      <c r="C519" s="188" t="s">
        <v>641</v>
      </c>
      <c r="D519" s="188" t="s">
        <v>1462</v>
      </c>
      <c r="E519" s="189">
        <v>39618</v>
      </c>
      <c r="F519" s="190">
        <v>0</v>
      </c>
      <c r="G519" s="190">
        <v>112.13</v>
      </c>
      <c r="H519" s="191">
        <v>1151</v>
      </c>
      <c r="I519" s="191">
        <v>438</v>
      </c>
      <c r="J519" s="188" t="s">
        <v>624</v>
      </c>
      <c r="K519" s="188" t="s">
        <v>648</v>
      </c>
      <c r="L519" s="188" t="s">
        <v>1463</v>
      </c>
      <c r="M519" s="192">
        <f t="shared" si="24"/>
        <v>49</v>
      </c>
      <c r="N519" s="193">
        <f t="shared" si="25"/>
        <v>0.65696347031963476</v>
      </c>
      <c r="O519" s="194">
        <f t="shared" si="26"/>
        <v>1.3407417761625198E-2</v>
      </c>
    </row>
    <row r="520" spans="1:15" ht="12.75" customHeight="1">
      <c r="A520" s="188" t="s">
        <v>620</v>
      </c>
      <c r="B520" s="188" t="s">
        <v>1394</v>
      </c>
      <c r="C520" s="188" t="s">
        <v>641</v>
      </c>
      <c r="D520" s="188" t="s">
        <v>1464</v>
      </c>
      <c r="E520" s="189">
        <v>39233</v>
      </c>
      <c r="F520" s="190">
        <v>0</v>
      </c>
      <c r="G520" s="190">
        <v>87.04</v>
      </c>
      <c r="H520" s="191">
        <v>475.05</v>
      </c>
      <c r="I520" s="191">
        <v>340</v>
      </c>
      <c r="J520" s="188" t="s">
        <v>361</v>
      </c>
      <c r="K520" s="188" t="s">
        <v>338</v>
      </c>
      <c r="L520" s="188" t="s">
        <v>774</v>
      </c>
      <c r="M520" s="192">
        <f t="shared" si="24"/>
        <v>26</v>
      </c>
      <c r="N520" s="193">
        <f t="shared" si="25"/>
        <v>0.3493014705882353</v>
      </c>
      <c r="O520" s="194">
        <f t="shared" si="26"/>
        <v>1.3434671945701358E-2</v>
      </c>
    </row>
    <row r="521" spans="1:15" ht="12.75" customHeight="1">
      <c r="A521" s="188" t="s">
        <v>620</v>
      </c>
      <c r="B521" s="188" t="s">
        <v>1394</v>
      </c>
      <c r="C521" s="188" t="s">
        <v>641</v>
      </c>
      <c r="D521" s="188" t="s">
        <v>1465</v>
      </c>
      <c r="E521" s="189">
        <v>39282</v>
      </c>
      <c r="F521" s="190">
        <v>0</v>
      </c>
      <c r="G521" s="190">
        <v>86.4</v>
      </c>
      <c r="H521" s="191">
        <v>549.99</v>
      </c>
      <c r="I521" s="191">
        <v>337.5</v>
      </c>
      <c r="J521" s="188" t="s">
        <v>635</v>
      </c>
      <c r="K521" s="188" t="s">
        <v>338</v>
      </c>
      <c r="L521" s="188" t="s">
        <v>707</v>
      </c>
      <c r="M521" s="192">
        <f t="shared" si="24"/>
        <v>30</v>
      </c>
      <c r="N521" s="193">
        <f t="shared" si="25"/>
        <v>0.40739999999999998</v>
      </c>
      <c r="O521" s="194">
        <f t="shared" si="26"/>
        <v>1.358E-2</v>
      </c>
    </row>
    <row r="522" spans="1:15" ht="12.75" customHeight="1">
      <c r="A522" s="188" t="s">
        <v>620</v>
      </c>
      <c r="B522" s="188" t="s">
        <v>1394</v>
      </c>
      <c r="C522" s="188" t="s">
        <v>641</v>
      </c>
      <c r="D522" s="188" t="s">
        <v>1466</v>
      </c>
      <c r="E522" s="189">
        <v>39527</v>
      </c>
      <c r="F522" s="190">
        <v>0</v>
      </c>
      <c r="G522" s="190">
        <v>108.8</v>
      </c>
      <c r="H522" s="191">
        <v>603.35</v>
      </c>
      <c r="I522" s="191">
        <v>425</v>
      </c>
      <c r="J522" s="188" t="s">
        <v>361</v>
      </c>
      <c r="K522" s="188" t="s">
        <v>338</v>
      </c>
      <c r="L522" s="188" t="s">
        <v>833</v>
      </c>
      <c r="M522" s="192">
        <f t="shared" si="24"/>
        <v>26</v>
      </c>
      <c r="N522" s="193">
        <f t="shared" si="25"/>
        <v>0.35491176470588237</v>
      </c>
      <c r="O522" s="194">
        <f t="shared" si="26"/>
        <v>1.3650452488687783E-2</v>
      </c>
    </row>
    <row r="523" spans="1:15" ht="12.75" customHeight="1">
      <c r="A523" s="188" t="s">
        <v>620</v>
      </c>
      <c r="B523" s="188" t="s">
        <v>1394</v>
      </c>
      <c r="C523" s="188" t="s">
        <v>641</v>
      </c>
      <c r="D523" s="188" t="s">
        <v>1467</v>
      </c>
      <c r="E523" s="189">
        <v>39520</v>
      </c>
      <c r="F523" s="190">
        <v>0</v>
      </c>
      <c r="G523" s="190">
        <v>93.44</v>
      </c>
      <c r="H523" s="191">
        <v>600</v>
      </c>
      <c r="I523" s="191">
        <v>365</v>
      </c>
      <c r="J523" s="188" t="s">
        <v>571</v>
      </c>
      <c r="K523" s="188" t="s">
        <v>439</v>
      </c>
      <c r="L523" s="188" t="s">
        <v>1386</v>
      </c>
      <c r="M523" s="192">
        <f t="shared" si="24"/>
        <v>30</v>
      </c>
      <c r="N523" s="193">
        <f t="shared" si="25"/>
        <v>0.41095890410958902</v>
      </c>
      <c r="O523" s="194">
        <f t="shared" si="26"/>
        <v>1.3698630136986301E-2</v>
      </c>
    </row>
    <row r="524" spans="1:15" ht="12.75" customHeight="1">
      <c r="A524" s="188" t="s">
        <v>620</v>
      </c>
      <c r="B524" s="188" t="s">
        <v>1394</v>
      </c>
      <c r="C524" s="188" t="s">
        <v>641</v>
      </c>
      <c r="D524" s="188" t="s">
        <v>1468</v>
      </c>
      <c r="E524" s="189">
        <v>39590</v>
      </c>
      <c r="F524" s="190">
        <v>0</v>
      </c>
      <c r="G524" s="190">
        <v>25.6</v>
      </c>
      <c r="H524" s="191">
        <v>109.7</v>
      </c>
      <c r="I524" s="191">
        <v>100</v>
      </c>
      <c r="J524" s="188" t="s">
        <v>750</v>
      </c>
      <c r="K524" s="188" t="s">
        <v>257</v>
      </c>
      <c r="L524" s="188" t="s">
        <v>910</v>
      </c>
      <c r="M524" s="192">
        <f t="shared" si="24"/>
        <v>20</v>
      </c>
      <c r="N524" s="193">
        <f t="shared" si="25"/>
        <v>0.27424999999999999</v>
      </c>
      <c r="O524" s="194">
        <f t="shared" si="26"/>
        <v>1.3712499999999999E-2</v>
      </c>
    </row>
    <row r="525" spans="1:15" ht="12.75" customHeight="1">
      <c r="A525" s="188" t="s">
        <v>620</v>
      </c>
      <c r="B525" s="188" t="s">
        <v>1394</v>
      </c>
      <c r="C525" s="188" t="s">
        <v>641</v>
      </c>
      <c r="D525" s="188" t="s">
        <v>1469</v>
      </c>
      <c r="E525" s="189">
        <v>39247</v>
      </c>
      <c r="F525" s="190">
        <v>0</v>
      </c>
      <c r="G525" s="190">
        <v>47.74</v>
      </c>
      <c r="H525" s="191">
        <v>390.01</v>
      </c>
      <c r="I525" s="191">
        <v>186.5</v>
      </c>
      <c r="J525" s="188" t="s">
        <v>624</v>
      </c>
      <c r="K525" s="188" t="s">
        <v>338</v>
      </c>
      <c r="L525" s="188" t="s">
        <v>1470</v>
      </c>
      <c r="M525" s="192">
        <f t="shared" si="24"/>
        <v>38</v>
      </c>
      <c r="N525" s="193">
        <f t="shared" si="25"/>
        <v>0.52280160857908842</v>
      </c>
      <c r="O525" s="194">
        <f t="shared" si="26"/>
        <v>1.3757937067870749E-2</v>
      </c>
    </row>
    <row r="526" spans="1:15" ht="12.75" customHeight="1">
      <c r="A526" s="188" t="s">
        <v>620</v>
      </c>
      <c r="B526" s="188" t="s">
        <v>1394</v>
      </c>
      <c r="C526" s="188" t="s">
        <v>641</v>
      </c>
      <c r="D526" s="188" t="s">
        <v>1471</v>
      </c>
      <c r="E526" s="189">
        <v>39275</v>
      </c>
      <c r="F526" s="190">
        <v>0</v>
      </c>
      <c r="G526" s="190">
        <v>147.19999999999999</v>
      </c>
      <c r="H526" s="191">
        <v>949.9</v>
      </c>
      <c r="I526" s="191">
        <v>575</v>
      </c>
      <c r="J526" s="188" t="s">
        <v>635</v>
      </c>
      <c r="K526" s="188" t="s">
        <v>338</v>
      </c>
      <c r="L526" s="188" t="s">
        <v>1472</v>
      </c>
      <c r="M526" s="192">
        <f t="shared" si="24"/>
        <v>30</v>
      </c>
      <c r="N526" s="193">
        <f t="shared" si="25"/>
        <v>0.41299999999999998</v>
      </c>
      <c r="O526" s="194">
        <f t="shared" si="26"/>
        <v>1.3766666666666667E-2</v>
      </c>
    </row>
    <row r="527" spans="1:15" ht="12.75" customHeight="1">
      <c r="A527" s="188" t="s">
        <v>620</v>
      </c>
      <c r="B527" s="188" t="s">
        <v>1394</v>
      </c>
      <c r="C527" s="188" t="s">
        <v>641</v>
      </c>
      <c r="D527" s="188" t="s">
        <v>1473</v>
      </c>
      <c r="E527" s="189">
        <v>39527</v>
      </c>
      <c r="F527" s="190">
        <v>0</v>
      </c>
      <c r="G527" s="190">
        <v>99.2</v>
      </c>
      <c r="H527" s="191">
        <v>641</v>
      </c>
      <c r="I527" s="191">
        <v>387.5</v>
      </c>
      <c r="J527" s="188" t="s">
        <v>639</v>
      </c>
      <c r="K527" s="188" t="s">
        <v>733</v>
      </c>
      <c r="L527" s="188" t="s">
        <v>1474</v>
      </c>
      <c r="M527" s="192">
        <f t="shared" si="24"/>
        <v>30</v>
      </c>
      <c r="N527" s="193">
        <f t="shared" si="25"/>
        <v>0.41354838709677422</v>
      </c>
      <c r="O527" s="194">
        <f t="shared" si="26"/>
        <v>1.3784946236559141E-2</v>
      </c>
    </row>
    <row r="528" spans="1:15" ht="12.75" customHeight="1">
      <c r="A528" s="188" t="s">
        <v>620</v>
      </c>
      <c r="B528" s="188" t="s">
        <v>1394</v>
      </c>
      <c r="C528" s="188" t="s">
        <v>641</v>
      </c>
      <c r="D528" s="188" t="s">
        <v>1475</v>
      </c>
      <c r="E528" s="189">
        <v>39471</v>
      </c>
      <c r="F528" s="190">
        <v>0</v>
      </c>
      <c r="G528" s="190">
        <v>108.29</v>
      </c>
      <c r="H528" s="191">
        <v>888</v>
      </c>
      <c r="I528" s="191">
        <v>423</v>
      </c>
      <c r="J528" s="188" t="s">
        <v>624</v>
      </c>
      <c r="K528" s="188" t="s">
        <v>338</v>
      </c>
      <c r="L528" s="188" t="s">
        <v>1476</v>
      </c>
      <c r="M528" s="192">
        <f t="shared" si="24"/>
        <v>38</v>
      </c>
      <c r="N528" s="193">
        <f t="shared" si="25"/>
        <v>0.52482269503546097</v>
      </c>
      <c r="O528" s="194">
        <f t="shared" si="26"/>
        <v>1.3811123553564763E-2</v>
      </c>
    </row>
    <row r="529" spans="1:15" ht="12.75" customHeight="1">
      <c r="A529" s="188" t="s">
        <v>620</v>
      </c>
      <c r="B529" s="188" t="s">
        <v>1394</v>
      </c>
      <c r="C529" s="188" t="s">
        <v>641</v>
      </c>
      <c r="D529" s="188" t="s">
        <v>1477</v>
      </c>
      <c r="E529" s="189">
        <v>39436</v>
      </c>
      <c r="F529" s="190">
        <v>0</v>
      </c>
      <c r="G529" s="190">
        <v>64</v>
      </c>
      <c r="H529" s="191">
        <v>525</v>
      </c>
      <c r="I529" s="191">
        <v>250</v>
      </c>
      <c r="J529" s="188" t="s">
        <v>624</v>
      </c>
      <c r="K529" s="188" t="s">
        <v>338</v>
      </c>
      <c r="L529" s="188" t="s">
        <v>636</v>
      </c>
      <c r="M529" s="192">
        <f t="shared" si="24"/>
        <v>38</v>
      </c>
      <c r="N529" s="193">
        <f t="shared" si="25"/>
        <v>0.52500000000000002</v>
      </c>
      <c r="O529" s="194">
        <f t="shared" si="26"/>
        <v>1.3815789473684212E-2</v>
      </c>
    </row>
    <row r="530" spans="1:15" ht="12.75" customHeight="1">
      <c r="A530" s="188" t="s">
        <v>620</v>
      </c>
      <c r="B530" s="188" t="s">
        <v>1394</v>
      </c>
      <c r="C530" s="188" t="s">
        <v>641</v>
      </c>
      <c r="D530" s="188" t="s">
        <v>1478</v>
      </c>
      <c r="E530" s="189">
        <v>39401</v>
      </c>
      <c r="F530" s="190">
        <v>0</v>
      </c>
      <c r="G530" s="190">
        <v>94.72</v>
      </c>
      <c r="H530" s="191">
        <v>780</v>
      </c>
      <c r="I530" s="191">
        <v>370</v>
      </c>
      <c r="J530" s="188" t="s">
        <v>624</v>
      </c>
      <c r="K530" s="188" t="s">
        <v>338</v>
      </c>
      <c r="L530" s="188" t="s">
        <v>1479</v>
      </c>
      <c r="M530" s="192">
        <f t="shared" si="24"/>
        <v>38</v>
      </c>
      <c r="N530" s="193">
        <f t="shared" si="25"/>
        <v>0.52702702702702697</v>
      </c>
      <c r="O530" s="194">
        <f t="shared" si="26"/>
        <v>1.3869132290184921E-2</v>
      </c>
    </row>
    <row r="531" spans="1:15" ht="12.75" customHeight="1">
      <c r="A531" s="188" t="s">
        <v>620</v>
      </c>
      <c r="B531" s="188" t="s">
        <v>1394</v>
      </c>
      <c r="C531" s="188" t="s">
        <v>641</v>
      </c>
      <c r="D531" s="188" t="s">
        <v>1480</v>
      </c>
      <c r="E531" s="189">
        <v>39541</v>
      </c>
      <c r="F531" s="190">
        <v>0</v>
      </c>
      <c r="G531" s="190">
        <v>85.89</v>
      </c>
      <c r="H531" s="191">
        <v>709</v>
      </c>
      <c r="I531" s="191">
        <v>335.5</v>
      </c>
      <c r="J531" s="188" t="s">
        <v>624</v>
      </c>
      <c r="K531" s="188" t="s">
        <v>338</v>
      </c>
      <c r="L531" s="188" t="s">
        <v>914</v>
      </c>
      <c r="M531" s="192">
        <f t="shared" si="24"/>
        <v>38</v>
      </c>
      <c r="N531" s="193">
        <f t="shared" si="25"/>
        <v>0.52831594634873325</v>
      </c>
      <c r="O531" s="194">
        <f t="shared" si="26"/>
        <v>1.3903051219703507E-2</v>
      </c>
    </row>
    <row r="532" spans="1:15" ht="12.75" customHeight="1">
      <c r="A532" s="188" t="s">
        <v>620</v>
      </c>
      <c r="B532" s="188" t="s">
        <v>1394</v>
      </c>
      <c r="C532" s="188" t="s">
        <v>641</v>
      </c>
      <c r="D532" s="188" t="s">
        <v>1481</v>
      </c>
      <c r="E532" s="189">
        <v>39303</v>
      </c>
      <c r="F532" s="190">
        <v>0</v>
      </c>
      <c r="G532" s="190">
        <v>67.58</v>
      </c>
      <c r="H532" s="191">
        <v>440.99</v>
      </c>
      <c r="I532" s="191">
        <v>264</v>
      </c>
      <c r="J532" s="188" t="s">
        <v>635</v>
      </c>
      <c r="K532" s="188" t="s">
        <v>338</v>
      </c>
      <c r="L532" s="188" t="s">
        <v>1354</v>
      </c>
      <c r="M532" s="192">
        <f t="shared" si="24"/>
        <v>30</v>
      </c>
      <c r="N532" s="193">
        <f t="shared" si="25"/>
        <v>0.41760416666666667</v>
      </c>
      <c r="O532" s="194">
        <f t="shared" si="26"/>
        <v>1.3920138888888888E-2</v>
      </c>
    </row>
    <row r="533" spans="1:15" ht="12.75" customHeight="1">
      <c r="A533" s="188" t="s">
        <v>620</v>
      </c>
      <c r="B533" s="188" t="s">
        <v>1394</v>
      </c>
      <c r="C533" s="188" t="s">
        <v>641</v>
      </c>
      <c r="D533" s="188" t="s">
        <v>1482</v>
      </c>
      <c r="E533" s="189">
        <v>39555</v>
      </c>
      <c r="F533" s="190">
        <v>0</v>
      </c>
      <c r="G533" s="190">
        <v>60.48</v>
      </c>
      <c r="H533" s="191">
        <v>500</v>
      </c>
      <c r="I533" s="191">
        <v>236.25</v>
      </c>
      <c r="J533" s="188" t="s">
        <v>624</v>
      </c>
      <c r="K533" s="188" t="s">
        <v>338</v>
      </c>
      <c r="L533" s="188" t="s">
        <v>1483</v>
      </c>
      <c r="M533" s="192">
        <f t="shared" si="24"/>
        <v>38</v>
      </c>
      <c r="N533" s="193">
        <f t="shared" si="25"/>
        <v>0.52910052910052907</v>
      </c>
      <c r="O533" s="194">
        <f t="shared" si="26"/>
        <v>1.3923698134224449E-2</v>
      </c>
    </row>
    <row r="534" spans="1:15" ht="12.75" customHeight="1">
      <c r="A534" s="188" t="s">
        <v>620</v>
      </c>
      <c r="B534" s="188" t="s">
        <v>1394</v>
      </c>
      <c r="C534" s="188" t="s">
        <v>641</v>
      </c>
      <c r="D534" s="188" t="s">
        <v>1484</v>
      </c>
      <c r="E534" s="189">
        <v>39447</v>
      </c>
      <c r="F534" s="190">
        <v>0</v>
      </c>
      <c r="G534" s="190">
        <v>198.72</v>
      </c>
      <c r="H534" s="191">
        <v>1298</v>
      </c>
      <c r="I534" s="191">
        <v>776.25</v>
      </c>
      <c r="J534" s="188" t="s">
        <v>635</v>
      </c>
      <c r="K534" s="188" t="s">
        <v>338</v>
      </c>
      <c r="L534" s="188" t="s">
        <v>1485</v>
      </c>
      <c r="M534" s="192">
        <f t="shared" si="24"/>
        <v>30</v>
      </c>
      <c r="N534" s="193">
        <f t="shared" si="25"/>
        <v>0.41803542673107891</v>
      </c>
      <c r="O534" s="194">
        <f t="shared" si="26"/>
        <v>1.3934514224369298E-2</v>
      </c>
    </row>
    <row r="535" spans="1:15" ht="12.75" customHeight="1">
      <c r="A535" s="188" t="s">
        <v>620</v>
      </c>
      <c r="B535" s="188" t="s">
        <v>1394</v>
      </c>
      <c r="C535" s="188" t="s">
        <v>641</v>
      </c>
      <c r="D535" s="188" t="s">
        <v>1486</v>
      </c>
      <c r="E535" s="189">
        <v>39366</v>
      </c>
      <c r="F535" s="190">
        <v>0</v>
      </c>
      <c r="G535" s="190">
        <v>62.72</v>
      </c>
      <c r="H535" s="191">
        <v>519</v>
      </c>
      <c r="I535" s="191">
        <v>245</v>
      </c>
      <c r="J535" s="188" t="s">
        <v>624</v>
      </c>
      <c r="K535" s="188" t="s">
        <v>338</v>
      </c>
      <c r="L535" s="188" t="s">
        <v>1487</v>
      </c>
      <c r="M535" s="192">
        <f t="shared" si="24"/>
        <v>38</v>
      </c>
      <c r="N535" s="193">
        <f t="shared" si="25"/>
        <v>0.5295918367346939</v>
      </c>
      <c r="O535" s="194">
        <f t="shared" si="26"/>
        <v>1.3936627282491945E-2</v>
      </c>
    </row>
    <row r="536" spans="1:15" ht="12.75" customHeight="1">
      <c r="A536" s="188" t="s">
        <v>620</v>
      </c>
      <c r="B536" s="188" t="s">
        <v>1394</v>
      </c>
      <c r="C536" s="188" t="s">
        <v>641</v>
      </c>
      <c r="D536" s="188" t="s">
        <v>1488</v>
      </c>
      <c r="E536" s="189">
        <v>39422</v>
      </c>
      <c r="F536" s="190">
        <v>0</v>
      </c>
      <c r="G536" s="190">
        <v>70.400000000000006</v>
      </c>
      <c r="H536" s="191">
        <v>385</v>
      </c>
      <c r="I536" s="191">
        <v>275</v>
      </c>
      <c r="J536" s="188" t="s">
        <v>652</v>
      </c>
      <c r="K536" s="188" t="s">
        <v>338</v>
      </c>
      <c r="L536" s="188" t="s">
        <v>557</v>
      </c>
      <c r="M536" s="192">
        <f t="shared" si="24"/>
        <v>25</v>
      </c>
      <c r="N536" s="193">
        <f t="shared" si="25"/>
        <v>0.35</v>
      </c>
      <c r="O536" s="194">
        <f t="shared" si="26"/>
        <v>1.3999999999999999E-2</v>
      </c>
    </row>
    <row r="537" spans="1:15" ht="12.75" customHeight="1">
      <c r="A537" s="188" t="s">
        <v>620</v>
      </c>
      <c r="B537" s="188" t="s">
        <v>1394</v>
      </c>
      <c r="C537" s="188" t="s">
        <v>641</v>
      </c>
      <c r="D537" s="188" t="s">
        <v>1489</v>
      </c>
      <c r="E537" s="189">
        <v>39407</v>
      </c>
      <c r="F537" s="190">
        <v>0</v>
      </c>
      <c r="G537" s="190">
        <v>52.22</v>
      </c>
      <c r="H537" s="191">
        <v>320</v>
      </c>
      <c r="I537" s="191">
        <v>204</v>
      </c>
      <c r="J537" s="188" t="s">
        <v>750</v>
      </c>
      <c r="K537" s="188" t="s">
        <v>338</v>
      </c>
      <c r="L537" s="188" t="s">
        <v>1490</v>
      </c>
      <c r="M537" s="192">
        <f t="shared" si="24"/>
        <v>28</v>
      </c>
      <c r="N537" s="193">
        <f t="shared" si="25"/>
        <v>0.39215686274509803</v>
      </c>
      <c r="O537" s="194">
        <f t="shared" si="26"/>
        <v>1.4005602240896359E-2</v>
      </c>
    </row>
    <row r="538" spans="1:15" ht="12.75" customHeight="1">
      <c r="A538" s="188" t="s">
        <v>620</v>
      </c>
      <c r="B538" s="188" t="s">
        <v>1394</v>
      </c>
      <c r="C538" s="188" t="s">
        <v>641</v>
      </c>
      <c r="D538" s="188" t="s">
        <v>1491</v>
      </c>
      <c r="E538" s="189">
        <v>39562</v>
      </c>
      <c r="F538" s="190">
        <v>0</v>
      </c>
      <c r="G538" s="190">
        <v>151.16999999999999</v>
      </c>
      <c r="H538" s="191">
        <v>1260</v>
      </c>
      <c r="I538" s="191">
        <v>590.5</v>
      </c>
      <c r="J538" s="188" t="s">
        <v>624</v>
      </c>
      <c r="K538" s="188" t="s">
        <v>338</v>
      </c>
      <c r="L538" s="188" t="s">
        <v>1492</v>
      </c>
      <c r="M538" s="192">
        <f t="shared" si="24"/>
        <v>38</v>
      </c>
      <c r="N538" s="193">
        <f t="shared" si="25"/>
        <v>0.53344623200677388</v>
      </c>
      <c r="O538" s="194">
        <f t="shared" si="26"/>
        <v>1.4038058737020366E-2</v>
      </c>
    </row>
    <row r="539" spans="1:15" ht="12.75" customHeight="1">
      <c r="A539" s="188" t="s">
        <v>620</v>
      </c>
      <c r="B539" s="188" t="s">
        <v>1394</v>
      </c>
      <c r="C539" s="188" t="s">
        <v>641</v>
      </c>
      <c r="D539" s="188" t="s">
        <v>1493</v>
      </c>
      <c r="E539" s="189">
        <v>39639</v>
      </c>
      <c r="F539" s="190">
        <v>0</v>
      </c>
      <c r="G539" s="190">
        <v>122.24</v>
      </c>
      <c r="H539" s="191">
        <v>1020</v>
      </c>
      <c r="I539" s="191">
        <v>477.5</v>
      </c>
      <c r="J539" s="188" t="s">
        <v>624</v>
      </c>
      <c r="K539" s="188" t="s">
        <v>338</v>
      </c>
      <c r="L539" s="188" t="s">
        <v>1494</v>
      </c>
      <c r="M539" s="192">
        <f t="shared" si="24"/>
        <v>38</v>
      </c>
      <c r="N539" s="193">
        <f t="shared" si="25"/>
        <v>0.53403141361256545</v>
      </c>
      <c r="O539" s="194">
        <f t="shared" si="26"/>
        <v>1.4053458252962248E-2</v>
      </c>
    </row>
    <row r="540" spans="1:15" ht="12.75" customHeight="1">
      <c r="A540" s="188" t="s">
        <v>620</v>
      </c>
      <c r="B540" s="188" t="s">
        <v>1394</v>
      </c>
      <c r="C540" s="188" t="s">
        <v>641</v>
      </c>
      <c r="D540" s="188" t="s">
        <v>1495</v>
      </c>
      <c r="E540" s="189">
        <v>39366</v>
      </c>
      <c r="F540" s="190">
        <v>0</v>
      </c>
      <c r="G540" s="190">
        <v>112.64</v>
      </c>
      <c r="H540" s="191">
        <v>945</v>
      </c>
      <c r="I540" s="191">
        <v>440</v>
      </c>
      <c r="J540" s="188" t="s">
        <v>624</v>
      </c>
      <c r="K540" s="188" t="s">
        <v>338</v>
      </c>
      <c r="L540" s="188" t="s">
        <v>1496</v>
      </c>
      <c r="M540" s="192">
        <f t="shared" si="24"/>
        <v>38</v>
      </c>
      <c r="N540" s="193">
        <f t="shared" si="25"/>
        <v>0.53693181818181823</v>
      </c>
      <c r="O540" s="194">
        <f t="shared" si="26"/>
        <v>1.4129784688995216E-2</v>
      </c>
    </row>
    <row r="541" spans="1:15" ht="12.75" customHeight="1">
      <c r="A541" s="188" t="s">
        <v>620</v>
      </c>
      <c r="B541" s="188" t="s">
        <v>1394</v>
      </c>
      <c r="C541" s="188" t="s">
        <v>641</v>
      </c>
      <c r="D541" s="188" t="s">
        <v>1497</v>
      </c>
      <c r="E541" s="189">
        <v>39576</v>
      </c>
      <c r="F541" s="190">
        <v>0</v>
      </c>
      <c r="G541" s="190">
        <v>113.15</v>
      </c>
      <c r="H541" s="191">
        <v>950</v>
      </c>
      <c r="I541" s="191">
        <v>442</v>
      </c>
      <c r="J541" s="188" t="s">
        <v>624</v>
      </c>
      <c r="K541" s="188" t="s">
        <v>338</v>
      </c>
      <c r="L541" s="188" t="s">
        <v>1498</v>
      </c>
      <c r="M541" s="192">
        <f t="shared" si="24"/>
        <v>38</v>
      </c>
      <c r="N541" s="193">
        <f t="shared" si="25"/>
        <v>0.53733031674208143</v>
      </c>
      <c r="O541" s="194">
        <f t="shared" si="26"/>
        <v>1.414027149321267E-2</v>
      </c>
    </row>
    <row r="542" spans="1:15" ht="12.75" customHeight="1">
      <c r="A542" s="188" t="s">
        <v>620</v>
      </c>
      <c r="B542" s="188" t="s">
        <v>1394</v>
      </c>
      <c r="C542" s="188" t="s">
        <v>641</v>
      </c>
      <c r="D542" s="188" t="s">
        <v>1499</v>
      </c>
      <c r="E542" s="189">
        <v>39447</v>
      </c>
      <c r="F542" s="190">
        <v>0</v>
      </c>
      <c r="G542" s="190">
        <v>146.30000000000001</v>
      </c>
      <c r="H542" s="191">
        <v>842</v>
      </c>
      <c r="I542" s="191">
        <v>571.5</v>
      </c>
      <c r="J542" s="188" t="s">
        <v>361</v>
      </c>
      <c r="K542" s="188" t="s">
        <v>338</v>
      </c>
      <c r="L542" s="188" t="s">
        <v>1500</v>
      </c>
      <c r="M542" s="192">
        <f t="shared" si="24"/>
        <v>26</v>
      </c>
      <c r="N542" s="193">
        <f t="shared" si="25"/>
        <v>0.36832895888014</v>
      </c>
      <c r="O542" s="194">
        <f t="shared" si="26"/>
        <v>1.4166498418466924E-2</v>
      </c>
    </row>
    <row r="543" spans="1:15" ht="12.75" customHeight="1">
      <c r="A543" s="188" t="s">
        <v>620</v>
      </c>
      <c r="B543" s="188" t="s">
        <v>1394</v>
      </c>
      <c r="C543" s="188" t="s">
        <v>641</v>
      </c>
      <c r="D543" s="188" t="s">
        <v>1501</v>
      </c>
      <c r="E543" s="189">
        <v>39373</v>
      </c>
      <c r="F543" s="190">
        <v>0</v>
      </c>
      <c r="G543" s="190">
        <v>83.2</v>
      </c>
      <c r="H543" s="191">
        <v>700</v>
      </c>
      <c r="I543" s="191">
        <v>325</v>
      </c>
      <c r="J543" s="188" t="s">
        <v>624</v>
      </c>
      <c r="K543" s="188" t="s">
        <v>338</v>
      </c>
      <c r="L543" s="188" t="s">
        <v>699</v>
      </c>
      <c r="M543" s="192">
        <f t="shared" si="24"/>
        <v>38</v>
      </c>
      <c r="N543" s="193">
        <f t="shared" si="25"/>
        <v>0.53846153846153844</v>
      </c>
      <c r="O543" s="194">
        <f t="shared" si="26"/>
        <v>1.417004048582996E-2</v>
      </c>
    </row>
    <row r="544" spans="1:15" ht="12.75" customHeight="1">
      <c r="A544" s="188" t="s">
        <v>620</v>
      </c>
      <c r="B544" s="188" t="s">
        <v>1394</v>
      </c>
      <c r="C544" s="188" t="s">
        <v>641</v>
      </c>
      <c r="D544" s="188" t="s">
        <v>1502</v>
      </c>
      <c r="E544" s="189">
        <v>39401</v>
      </c>
      <c r="F544" s="190">
        <v>0</v>
      </c>
      <c r="G544" s="190">
        <v>72.900000000000006</v>
      </c>
      <c r="H544" s="191">
        <v>307.16000000000003</v>
      </c>
      <c r="I544" s="191">
        <v>284.75</v>
      </c>
      <c r="J544" s="188" t="s">
        <v>667</v>
      </c>
      <c r="K544" s="188" t="s">
        <v>338</v>
      </c>
      <c r="L544" s="188" t="s">
        <v>1503</v>
      </c>
      <c r="M544" s="192">
        <f t="shared" si="24"/>
        <v>19</v>
      </c>
      <c r="N544" s="193">
        <f t="shared" si="25"/>
        <v>0.26967515364354699</v>
      </c>
      <c r="O544" s="194">
        <f t="shared" si="26"/>
        <v>1.4193429139134052E-2</v>
      </c>
    </row>
    <row r="545" spans="1:15" ht="12.75" customHeight="1">
      <c r="A545" s="188" t="s">
        <v>620</v>
      </c>
      <c r="B545" s="188" t="s">
        <v>1394</v>
      </c>
      <c r="C545" s="188" t="s">
        <v>641</v>
      </c>
      <c r="D545" s="188" t="s">
        <v>1504</v>
      </c>
      <c r="E545" s="189">
        <v>39373</v>
      </c>
      <c r="F545" s="190">
        <v>0</v>
      </c>
      <c r="G545" s="190">
        <v>48</v>
      </c>
      <c r="H545" s="191">
        <v>405</v>
      </c>
      <c r="I545" s="191">
        <v>187.5</v>
      </c>
      <c r="J545" s="188" t="s">
        <v>829</v>
      </c>
      <c r="K545" s="188" t="s">
        <v>733</v>
      </c>
      <c r="L545" s="188" t="s">
        <v>1058</v>
      </c>
      <c r="M545" s="192">
        <f t="shared" si="24"/>
        <v>38</v>
      </c>
      <c r="N545" s="193">
        <f t="shared" si="25"/>
        <v>0.54</v>
      </c>
      <c r="O545" s="194">
        <f t="shared" si="26"/>
        <v>1.4210526315789474E-2</v>
      </c>
    </row>
    <row r="546" spans="1:15" ht="12.75" customHeight="1">
      <c r="A546" s="188" t="s">
        <v>620</v>
      </c>
      <c r="B546" s="188" t="s">
        <v>1394</v>
      </c>
      <c r="C546" s="188" t="s">
        <v>641</v>
      </c>
      <c r="D546" s="188" t="s">
        <v>1505</v>
      </c>
      <c r="E546" s="189">
        <v>39401</v>
      </c>
      <c r="F546" s="190">
        <v>0</v>
      </c>
      <c r="G546" s="190">
        <v>48</v>
      </c>
      <c r="H546" s="191">
        <v>405.9</v>
      </c>
      <c r="I546" s="191">
        <v>187.5</v>
      </c>
      <c r="J546" s="188" t="s">
        <v>624</v>
      </c>
      <c r="K546" s="188" t="s">
        <v>338</v>
      </c>
      <c r="L546" s="188" t="s">
        <v>1058</v>
      </c>
      <c r="M546" s="192">
        <f t="shared" si="24"/>
        <v>38</v>
      </c>
      <c r="N546" s="193">
        <f t="shared" si="25"/>
        <v>0.54120000000000001</v>
      </c>
      <c r="O546" s="194">
        <f t="shared" si="26"/>
        <v>1.4242105263157894E-2</v>
      </c>
    </row>
    <row r="547" spans="1:15" ht="12.75" customHeight="1">
      <c r="A547" s="188" t="s">
        <v>620</v>
      </c>
      <c r="B547" s="188" t="s">
        <v>1394</v>
      </c>
      <c r="C547" s="188" t="s">
        <v>641</v>
      </c>
      <c r="D547" s="188" t="s">
        <v>1506</v>
      </c>
      <c r="E547" s="189">
        <v>39568</v>
      </c>
      <c r="F547" s="190">
        <v>0</v>
      </c>
      <c r="G547" s="190">
        <v>115.65</v>
      </c>
      <c r="H547" s="191">
        <v>515</v>
      </c>
      <c r="I547" s="191">
        <v>451.75</v>
      </c>
      <c r="J547" s="188" t="s">
        <v>560</v>
      </c>
      <c r="K547" s="188" t="s">
        <v>338</v>
      </c>
      <c r="L547" s="188" t="s">
        <v>1507</v>
      </c>
      <c r="M547" s="192">
        <f t="shared" si="24"/>
        <v>20</v>
      </c>
      <c r="N547" s="193">
        <f t="shared" si="25"/>
        <v>0.28500276701715549</v>
      </c>
      <c r="O547" s="194">
        <f t="shared" si="26"/>
        <v>1.4250138350857774E-2</v>
      </c>
    </row>
    <row r="548" spans="1:15" ht="12.75" customHeight="1">
      <c r="A548" s="188" t="s">
        <v>620</v>
      </c>
      <c r="B548" s="188" t="s">
        <v>1394</v>
      </c>
      <c r="C548" s="188" t="s">
        <v>641</v>
      </c>
      <c r="D548" s="188" t="s">
        <v>1508</v>
      </c>
      <c r="E548" s="189">
        <v>39395</v>
      </c>
      <c r="F548" s="190">
        <v>0</v>
      </c>
      <c r="G548" s="190">
        <v>47.23</v>
      </c>
      <c r="H548" s="191">
        <v>316</v>
      </c>
      <c r="I548" s="191">
        <v>184.5</v>
      </c>
      <c r="J548" s="188" t="s">
        <v>635</v>
      </c>
      <c r="K548" s="188" t="s">
        <v>338</v>
      </c>
      <c r="L548" s="188" t="s">
        <v>1509</v>
      </c>
      <c r="M548" s="192">
        <f t="shared" si="24"/>
        <v>30</v>
      </c>
      <c r="N548" s="193">
        <f t="shared" si="25"/>
        <v>0.42818428184281843</v>
      </c>
      <c r="O548" s="194">
        <f t="shared" si="26"/>
        <v>1.4272809394760614E-2</v>
      </c>
    </row>
    <row r="549" spans="1:15" ht="12.75" customHeight="1">
      <c r="A549" s="188" t="s">
        <v>620</v>
      </c>
      <c r="B549" s="188" t="s">
        <v>1394</v>
      </c>
      <c r="C549" s="188" t="s">
        <v>641</v>
      </c>
      <c r="D549" s="188" t="s">
        <v>1510</v>
      </c>
      <c r="E549" s="189">
        <v>39583</v>
      </c>
      <c r="F549" s="190">
        <v>0</v>
      </c>
      <c r="G549" s="190">
        <v>56</v>
      </c>
      <c r="H549" s="191">
        <v>375</v>
      </c>
      <c r="I549" s="191">
        <v>218.75</v>
      </c>
      <c r="J549" s="188" t="s">
        <v>635</v>
      </c>
      <c r="K549" s="188" t="s">
        <v>338</v>
      </c>
      <c r="L549" s="188" t="s">
        <v>1511</v>
      </c>
      <c r="M549" s="192">
        <f t="shared" si="24"/>
        <v>30</v>
      </c>
      <c r="N549" s="193">
        <f t="shared" si="25"/>
        <v>0.42857142857142855</v>
      </c>
      <c r="O549" s="194">
        <f t="shared" si="26"/>
        <v>1.4285714285714285E-2</v>
      </c>
    </row>
    <row r="550" spans="1:15" ht="12.75" customHeight="1">
      <c r="A550" s="188" t="s">
        <v>620</v>
      </c>
      <c r="B550" s="188" t="s">
        <v>1394</v>
      </c>
      <c r="C550" s="188" t="s">
        <v>641</v>
      </c>
      <c r="D550" s="188" t="s">
        <v>1512</v>
      </c>
      <c r="E550" s="189">
        <v>39568</v>
      </c>
      <c r="F550" s="190">
        <v>0</v>
      </c>
      <c r="G550" s="190">
        <v>70.400000000000006</v>
      </c>
      <c r="H550" s="191">
        <v>600</v>
      </c>
      <c r="I550" s="191">
        <v>275</v>
      </c>
      <c r="J550" s="188" t="s">
        <v>624</v>
      </c>
      <c r="K550" s="188" t="s">
        <v>338</v>
      </c>
      <c r="L550" s="188" t="s">
        <v>557</v>
      </c>
      <c r="M550" s="192">
        <f t="shared" si="24"/>
        <v>38</v>
      </c>
      <c r="N550" s="193">
        <f t="shared" si="25"/>
        <v>0.54545454545454541</v>
      </c>
      <c r="O550" s="194">
        <f t="shared" si="26"/>
        <v>1.4354066985645932E-2</v>
      </c>
    </row>
    <row r="551" spans="1:15" ht="12.75" customHeight="1">
      <c r="A551" s="188" t="s">
        <v>620</v>
      </c>
      <c r="B551" s="188" t="s">
        <v>1394</v>
      </c>
      <c r="C551" s="188" t="s">
        <v>641</v>
      </c>
      <c r="D551" s="188" t="s">
        <v>1513</v>
      </c>
      <c r="E551" s="189">
        <v>39226</v>
      </c>
      <c r="F551" s="190">
        <v>0</v>
      </c>
      <c r="G551" s="190">
        <v>70.400000000000006</v>
      </c>
      <c r="H551" s="191">
        <v>474.98</v>
      </c>
      <c r="I551" s="191">
        <v>275</v>
      </c>
      <c r="J551" s="188" t="s">
        <v>635</v>
      </c>
      <c r="K551" s="188" t="s">
        <v>338</v>
      </c>
      <c r="L551" s="188" t="s">
        <v>557</v>
      </c>
      <c r="M551" s="192">
        <f t="shared" si="24"/>
        <v>30</v>
      </c>
      <c r="N551" s="193">
        <f t="shared" si="25"/>
        <v>0.43180000000000002</v>
      </c>
      <c r="O551" s="194">
        <f t="shared" si="26"/>
        <v>1.4393333333333334E-2</v>
      </c>
    </row>
    <row r="552" spans="1:15" ht="12.75" customHeight="1">
      <c r="A552" s="188" t="s">
        <v>620</v>
      </c>
      <c r="B552" s="188" t="s">
        <v>1394</v>
      </c>
      <c r="C552" s="188" t="s">
        <v>641</v>
      </c>
      <c r="D552" s="188" t="s">
        <v>1514</v>
      </c>
      <c r="E552" s="189">
        <v>39583</v>
      </c>
      <c r="F552" s="190">
        <v>0</v>
      </c>
      <c r="G552" s="190">
        <v>116.74</v>
      </c>
      <c r="H552" s="191">
        <v>1000</v>
      </c>
      <c r="I552" s="191">
        <v>456</v>
      </c>
      <c r="J552" s="188" t="s">
        <v>624</v>
      </c>
      <c r="K552" s="188" t="s">
        <v>338</v>
      </c>
      <c r="L552" s="188" t="s">
        <v>459</v>
      </c>
      <c r="M552" s="192">
        <f t="shared" si="24"/>
        <v>38</v>
      </c>
      <c r="N552" s="193">
        <f t="shared" si="25"/>
        <v>0.54824561403508776</v>
      </c>
      <c r="O552" s="194">
        <f t="shared" si="26"/>
        <v>1.4427516158818099E-2</v>
      </c>
    </row>
    <row r="553" spans="1:15" ht="12.75" customHeight="1">
      <c r="A553" s="188" t="s">
        <v>620</v>
      </c>
      <c r="B553" s="188" t="s">
        <v>1394</v>
      </c>
      <c r="C553" s="188" t="s">
        <v>641</v>
      </c>
      <c r="D553" s="188" t="s">
        <v>1515</v>
      </c>
      <c r="E553" s="189">
        <v>39303</v>
      </c>
      <c r="F553" s="190">
        <v>0</v>
      </c>
      <c r="G553" s="190">
        <v>102.14</v>
      </c>
      <c r="H553" s="191">
        <v>760.33</v>
      </c>
      <c r="I553" s="191">
        <v>399</v>
      </c>
      <c r="J553" s="188" t="s">
        <v>742</v>
      </c>
      <c r="K553" s="188" t="s">
        <v>338</v>
      </c>
      <c r="L553" s="188" t="s">
        <v>1516</v>
      </c>
      <c r="M553" s="192">
        <f t="shared" si="24"/>
        <v>33</v>
      </c>
      <c r="N553" s="193">
        <f t="shared" si="25"/>
        <v>0.47639724310776943</v>
      </c>
      <c r="O553" s="194">
        <f t="shared" si="26"/>
        <v>1.443628009417483E-2</v>
      </c>
    </row>
    <row r="554" spans="1:15" ht="12.75" customHeight="1">
      <c r="A554" s="188" t="s">
        <v>620</v>
      </c>
      <c r="B554" s="188" t="s">
        <v>1394</v>
      </c>
      <c r="C554" s="188" t="s">
        <v>641</v>
      </c>
      <c r="D554" s="188" t="s">
        <v>1517</v>
      </c>
      <c r="E554" s="189">
        <v>39339</v>
      </c>
      <c r="F554" s="190">
        <v>0</v>
      </c>
      <c r="G554" s="190">
        <v>58.24</v>
      </c>
      <c r="H554" s="191">
        <v>500.05</v>
      </c>
      <c r="I554" s="191">
        <v>227.5</v>
      </c>
      <c r="J554" s="188" t="s">
        <v>624</v>
      </c>
      <c r="K554" s="188" t="s">
        <v>338</v>
      </c>
      <c r="L554" s="188" t="s">
        <v>1518</v>
      </c>
      <c r="M554" s="192">
        <f t="shared" si="24"/>
        <v>38</v>
      </c>
      <c r="N554" s="193">
        <f t="shared" si="25"/>
        <v>0.54950549450549446</v>
      </c>
      <c r="O554" s="194">
        <f t="shared" si="26"/>
        <v>1.4460670908039328E-2</v>
      </c>
    </row>
    <row r="555" spans="1:15" ht="12.75" customHeight="1">
      <c r="A555" s="188" t="s">
        <v>620</v>
      </c>
      <c r="B555" s="188" t="s">
        <v>1394</v>
      </c>
      <c r="C555" s="188" t="s">
        <v>641</v>
      </c>
      <c r="D555" s="188" t="s">
        <v>1519</v>
      </c>
      <c r="E555" s="189">
        <v>39219</v>
      </c>
      <c r="F555" s="190">
        <v>0</v>
      </c>
      <c r="G555" s="190">
        <v>72</v>
      </c>
      <c r="H555" s="191">
        <v>618.75</v>
      </c>
      <c r="I555" s="191">
        <v>281.25</v>
      </c>
      <c r="J555" s="188" t="s">
        <v>624</v>
      </c>
      <c r="K555" s="188" t="s">
        <v>338</v>
      </c>
      <c r="L555" s="188" t="s">
        <v>1520</v>
      </c>
      <c r="M555" s="192">
        <f t="shared" si="24"/>
        <v>38</v>
      </c>
      <c r="N555" s="193">
        <f t="shared" si="25"/>
        <v>0.55000000000000004</v>
      </c>
      <c r="O555" s="194">
        <f t="shared" si="26"/>
        <v>1.4473684210526317E-2</v>
      </c>
    </row>
    <row r="556" spans="1:15" ht="12.75" customHeight="1">
      <c r="A556" s="188" t="s">
        <v>620</v>
      </c>
      <c r="B556" s="188" t="s">
        <v>1394</v>
      </c>
      <c r="C556" s="188" t="s">
        <v>641</v>
      </c>
      <c r="D556" s="188" t="s">
        <v>1521</v>
      </c>
      <c r="E556" s="189">
        <v>39317</v>
      </c>
      <c r="F556" s="190">
        <v>0</v>
      </c>
      <c r="G556" s="190">
        <v>64</v>
      </c>
      <c r="H556" s="191">
        <v>550</v>
      </c>
      <c r="I556" s="191">
        <v>250</v>
      </c>
      <c r="J556" s="188" t="s">
        <v>624</v>
      </c>
      <c r="K556" s="188" t="s">
        <v>338</v>
      </c>
      <c r="L556" s="188" t="s">
        <v>636</v>
      </c>
      <c r="M556" s="192">
        <f t="shared" si="24"/>
        <v>38</v>
      </c>
      <c r="N556" s="193">
        <f t="shared" si="25"/>
        <v>0.55000000000000004</v>
      </c>
      <c r="O556" s="194">
        <f t="shared" si="26"/>
        <v>1.4473684210526317E-2</v>
      </c>
    </row>
    <row r="557" spans="1:15" ht="12.75" customHeight="1">
      <c r="A557" s="188" t="s">
        <v>620</v>
      </c>
      <c r="B557" s="188" t="s">
        <v>1394</v>
      </c>
      <c r="C557" s="188" t="s">
        <v>641</v>
      </c>
      <c r="D557" s="188" t="s">
        <v>1522</v>
      </c>
      <c r="E557" s="189">
        <v>39611</v>
      </c>
      <c r="F557" s="190">
        <v>0</v>
      </c>
      <c r="G557" s="190">
        <v>217.6</v>
      </c>
      <c r="H557" s="191">
        <v>1870</v>
      </c>
      <c r="I557" s="191">
        <v>850</v>
      </c>
      <c r="J557" s="188" t="s">
        <v>624</v>
      </c>
      <c r="K557" s="188" t="s">
        <v>338</v>
      </c>
      <c r="L557" s="188" t="s">
        <v>1523</v>
      </c>
      <c r="M557" s="192">
        <f t="shared" si="24"/>
        <v>38</v>
      </c>
      <c r="N557" s="193">
        <f t="shared" si="25"/>
        <v>0.55000000000000004</v>
      </c>
      <c r="O557" s="194">
        <f t="shared" si="26"/>
        <v>1.4473684210526317E-2</v>
      </c>
    </row>
    <row r="558" spans="1:15" ht="12.75" customHeight="1">
      <c r="A558" s="188" t="s">
        <v>620</v>
      </c>
      <c r="B558" s="188" t="s">
        <v>1394</v>
      </c>
      <c r="C558" s="188" t="s">
        <v>641</v>
      </c>
      <c r="D558" s="188" t="s">
        <v>1524</v>
      </c>
      <c r="E558" s="189">
        <v>39282</v>
      </c>
      <c r="F558" s="190">
        <v>0</v>
      </c>
      <c r="G558" s="190">
        <v>81.41</v>
      </c>
      <c r="H558" s="191">
        <v>701</v>
      </c>
      <c r="I558" s="191">
        <v>318</v>
      </c>
      <c r="J558" s="188" t="s">
        <v>624</v>
      </c>
      <c r="K558" s="188" t="s">
        <v>338</v>
      </c>
      <c r="L558" s="188" t="s">
        <v>1525</v>
      </c>
      <c r="M558" s="192">
        <f t="shared" si="24"/>
        <v>38</v>
      </c>
      <c r="N558" s="193">
        <f t="shared" si="25"/>
        <v>0.55110062893081757</v>
      </c>
      <c r="O558" s="194">
        <f t="shared" si="26"/>
        <v>1.4502648129758357E-2</v>
      </c>
    </row>
    <row r="559" spans="1:15" ht="12.75" customHeight="1">
      <c r="A559" s="188" t="s">
        <v>620</v>
      </c>
      <c r="B559" s="188" t="s">
        <v>1394</v>
      </c>
      <c r="C559" s="188" t="s">
        <v>641</v>
      </c>
      <c r="D559" s="188" t="s">
        <v>1526</v>
      </c>
      <c r="E559" s="189">
        <v>39576</v>
      </c>
      <c r="F559" s="190">
        <v>0</v>
      </c>
      <c r="G559" s="190">
        <v>57.6</v>
      </c>
      <c r="H559" s="191">
        <v>261.33</v>
      </c>
      <c r="I559" s="191">
        <v>225</v>
      </c>
      <c r="J559" s="188" t="s">
        <v>560</v>
      </c>
      <c r="K559" s="188" t="s">
        <v>338</v>
      </c>
      <c r="L559" s="188" t="s">
        <v>740</v>
      </c>
      <c r="M559" s="192">
        <f t="shared" si="24"/>
        <v>20</v>
      </c>
      <c r="N559" s="193">
        <f t="shared" si="25"/>
        <v>0.29036666666666666</v>
      </c>
      <c r="O559" s="194">
        <f t="shared" si="26"/>
        <v>1.4518333333333333E-2</v>
      </c>
    </row>
    <row r="560" spans="1:15" ht="12.75" customHeight="1">
      <c r="A560" s="188" t="s">
        <v>620</v>
      </c>
      <c r="B560" s="188" t="s">
        <v>1394</v>
      </c>
      <c r="C560" s="188" t="s">
        <v>641</v>
      </c>
      <c r="D560" s="188" t="s">
        <v>1527</v>
      </c>
      <c r="E560" s="189">
        <v>39520</v>
      </c>
      <c r="F560" s="190">
        <v>0</v>
      </c>
      <c r="G560" s="190">
        <v>76.03</v>
      </c>
      <c r="H560" s="191">
        <v>660</v>
      </c>
      <c r="I560" s="191">
        <v>297</v>
      </c>
      <c r="J560" s="188" t="s">
        <v>624</v>
      </c>
      <c r="K560" s="188" t="s">
        <v>338</v>
      </c>
      <c r="L560" s="188" t="s">
        <v>790</v>
      </c>
      <c r="M560" s="192">
        <f t="shared" si="24"/>
        <v>38</v>
      </c>
      <c r="N560" s="193">
        <f t="shared" si="25"/>
        <v>0.55555555555555558</v>
      </c>
      <c r="O560" s="194">
        <f t="shared" si="26"/>
        <v>1.4619883040935673E-2</v>
      </c>
    </row>
    <row r="561" spans="1:15" ht="12.75" customHeight="1">
      <c r="A561" s="188" t="s">
        <v>620</v>
      </c>
      <c r="B561" s="188" t="s">
        <v>1394</v>
      </c>
      <c r="C561" s="188" t="s">
        <v>641</v>
      </c>
      <c r="D561" s="188" t="s">
        <v>1528</v>
      </c>
      <c r="E561" s="189">
        <v>39562</v>
      </c>
      <c r="F561" s="190">
        <v>0</v>
      </c>
      <c r="G561" s="190">
        <v>80.64</v>
      </c>
      <c r="H561" s="191">
        <v>700</v>
      </c>
      <c r="I561" s="191">
        <v>315</v>
      </c>
      <c r="J561" s="188" t="s">
        <v>624</v>
      </c>
      <c r="K561" s="188" t="s">
        <v>338</v>
      </c>
      <c r="L561" s="188" t="s">
        <v>680</v>
      </c>
      <c r="M561" s="192">
        <f t="shared" si="24"/>
        <v>38</v>
      </c>
      <c r="N561" s="193">
        <f t="shared" si="25"/>
        <v>0.55555555555555558</v>
      </c>
      <c r="O561" s="194">
        <f t="shared" si="26"/>
        <v>1.4619883040935673E-2</v>
      </c>
    </row>
    <row r="562" spans="1:15" ht="12.75" customHeight="1">
      <c r="A562" s="188" t="s">
        <v>620</v>
      </c>
      <c r="B562" s="188" t="s">
        <v>1394</v>
      </c>
      <c r="C562" s="188" t="s">
        <v>641</v>
      </c>
      <c r="D562" s="188" t="s">
        <v>1529</v>
      </c>
      <c r="E562" s="189">
        <v>39583</v>
      </c>
      <c r="F562" s="190">
        <v>0</v>
      </c>
      <c r="G562" s="190">
        <v>94.85</v>
      </c>
      <c r="H562" s="191">
        <v>830</v>
      </c>
      <c r="I562" s="191">
        <v>370.5</v>
      </c>
      <c r="J562" s="188" t="s">
        <v>624</v>
      </c>
      <c r="K562" s="188" t="s">
        <v>338</v>
      </c>
      <c r="L562" s="188" t="s">
        <v>1530</v>
      </c>
      <c r="M562" s="192">
        <f t="shared" si="24"/>
        <v>38</v>
      </c>
      <c r="N562" s="193">
        <f t="shared" si="25"/>
        <v>0.56005398110661264</v>
      </c>
      <c r="O562" s="194">
        <f t="shared" si="26"/>
        <v>1.4738262660700333E-2</v>
      </c>
    </row>
    <row r="563" spans="1:15" ht="12.75" customHeight="1">
      <c r="A563" s="188" t="s">
        <v>620</v>
      </c>
      <c r="B563" s="188" t="s">
        <v>1394</v>
      </c>
      <c r="C563" s="188" t="s">
        <v>641</v>
      </c>
      <c r="D563" s="188" t="s">
        <v>1531</v>
      </c>
      <c r="E563" s="189">
        <v>39324</v>
      </c>
      <c r="F563" s="190">
        <v>0</v>
      </c>
      <c r="G563" s="190">
        <v>83.2</v>
      </c>
      <c r="H563" s="191">
        <v>574.99</v>
      </c>
      <c r="I563" s="191">
        <v>325</v>
      </c>
      <c r="J563" s="188" t="s">
        <v>635</v>
      </c>
      <c r="K563" s="188" t="s">
        <v>338</v>
      </c>
      <c r="L563" s="188" t="s">
        <v>699</v>
      </c>
      <c r="M563" s="192">
        <f t="shared" si="24"/>
        <v>30</v>
      </c>
      <c r="N563" s="193">
        <f t="shared" si="25"/>
        <v>0.44230000000000003</v>
      </c>
      <c r="O563" s="194">
        <f t="shared" si="26"/>
        <v>1.4743333333333334E-2</v>
      </c>
    </row>
    <row r="564" spans="1:15" ht="12.75" customHeight="1">
      <c r="A564" s="188" t="s">
        <v>620</v>
      </c>
      <c r="B564" s="188" t="s">
        <v>1394</v>
      </c>
      <c r="C564" s="188" t="s">
        <v>641</v>
      </c>
      <c r="D564" s="188" t="s">
        <v>1532</v>
      </c>
      <c r="E564" s="189">
        <v>39436</v>
      </c>
      <c r="F564" s="190">
        <v>0</v>
      </c>
      <c r="G564" s="190">
        <v>97.6</v>
      </c>
      <c r="H564" s="191">
        <v>675</v>
      </c>
      <c r="I564" s="191">
        <v>381.25</v>
      </c>
      <c r="J564" s="188" t="s">
        <v>635</v>
      </c>
      <c r="K564" s="188" t="s">
        <v>338</v>
      </c>
      <c r="L564" s="188" t="s">
        <v>1533</v>
      </c>
      <c r="M564" s="192">
        <f t="shared" si="24"/>
        <v>30</v>
      </c>
      <c r="N564" s="193">
        <f t="shared" si="25"/>
        <v>0.44262295081967212</v>
      </c>
      <c r="O564" s="194">
        <f t="shared" si="26"/>
        <v>1.4754098360655738E-2</v>
      </c>
    </row>
    <row r="565" spans="1:15" ht="12.75" customHeight="1">
      <c r="A565" s="188" t="s">
        <v>620</v>
      </c>
      <c r="B565" s="188" t="s">
        <v>1394</v>
      </c>
      <c r="C565" s="188" t="s">
        <v>641</v>
      </c>
      <c r="D565" s="188" t="s">
        <v>1534</v>
      </c>
      <c r="E565" s="189">
        <v>39289</v>
      </c>
      <c r="F565" s="190">
        <v>0</v>
      </c>
      <c r="G565" s="190">
        <v>96</v>
      </c>
      <c r="H565" s="191">
        <v>600</v>
      </c>
      <c r="I565" s="191">
        <v>375</v>
      </c>
      <c r="J565" s="188" t="s">
        <v>639</v>
      </c>
      <c r="K565" s="188" t="s">
        <v>338</v>
      </c>
      <c r="L565" s="188" t="s">
        <v>746</v>
      </c>
      <c r="M565" s="192">
        <f t="shared" si="24"/>
        <v>27</v>
      </c>
      <c r="N565" s="193">
        <f t="shared" si="25"/>
        <v>0.4</v>
      </c>
      <c r="O565" s="194">
        <f t="shared" si="26"/>
        <v>1.4814814814814815E-2</v>
      </c>
    </row>
    <row r="566" spans="1:15" ht="12.75" customHeight="1">
      <c r="A566" s="188" t="s">
        <v>620</v>
      </c>
      <c r="B566" s="188" t="s">
        <v>1394</v>
      </c>
      <c r="C566" s="188" t="s">
        <v>641</v>
      </c>
      <c r="D566" s="188" t="s">
        <v>1535</v>
      </c>
      <c r="E566" s="189">
        <v>39240</v>
      </c>
      <c r="F566" s="190">
        <v>0</v>
      </c>
      <c r="G566" s="190">
        <v>115.2</v>
      </c>
      <c r="H566" s="191">
        <v>720</v>
      </c>
      <c r="I566" s="191">
        <v>450</v>
      </c>
      <c r="J566" s="188" t="s">
        <v>639</v>
      </c>
      <c r="K566" s="188" t="s">
        <v>338</v>
      </c>
      <c r="L566" s="188" t="s">
        <v>718</v>
      </c>
      <c r="M566" s="192">
        <f t="shared" si="24"/>
        <v>27</v>
      </c>
      <c r="N566" s="193">
        <f t="shared" si="25"/>
        <v>0.4</v>
      </c>
      <c r="O566" s="194">
        <f t="shared" si="26"/>
        <v>1.4814814814814815E-2</v>
      </c>
    </row>
    <row r="567" spans="1:15" ht="12.75" customHeight="1">
      <c r="A567" s="188" t="s">
        <v>620</v>
      </c>
      <c r="B567" s="188" t="s">
        <v>1394</v>
      </c>
      <c r="C567" s="188" t="s">
        <v>641</v>
      </c>
      <c r="D567" s="188" t="s">
        <v>1536</v>
      </c>
      <c r="E567" s="189">
        <v>39447</v>
      </c>
      <c r="F567" s="190">
        <v>0</v>
      </c>
      <c r="G567" s="190">
        <v>75.2</v>
      </c>
      <c r="H567" s="191">
        <v>525</v>
      </c>
      <c r="I567" s="191">
        <v>293.75</v>
      </c>
      <c r="J567" s="188" t="s">
        <v>635</v>
      </c>
      <c r="K567" s="188" t="s">
        <v>338</v>
      </c>
      <c r="L567" s="188" t="s">
        <v>1537</v>
      </c>
      <c r="M567" s="192">
        <f t="shared" si="24"/>
        <v>30</v>
      </c>
      <c r="N567" s="193">
        <f t="shared" si="25"/>
        <v>0.44680851063829785</v>
      </c>
      <c r="O567" s="194">
        <f t="shared" si="26"/>
        <v>1.4893617021276595E-2</v>
      </c>
    </row>
    <row r="568" spans="1:15" ht="12.75" customHeight="1">
      <c r="A568" s="188" t="s">
        <v>620</v>
      </c>
      <c r="B568" s="188" t="s">
        <v>1394</v>
      </c>
      <c r="C568" s="188" t="s">
        <v>641</v>
      </c>
      <c r="D568" s="188" t="s">
        <v>1538</v>
      </c>
      <c r="E568" s="189">
        <v>39429</v>
      </c>
      <c r="F568" s="190">
        <v>0</v>
      </c>
      <c r="G568" s="190">
        <v>139.19999999999999</v>
      </c>
      <c r="H568" s="191">
        <v>975</v>
      </c>
      <c r="I568" s="191">
        <v>543.75</v>
      </c>
      <c r="J568" s="188" t="s">
        <v>635</v>
      </c>
      <c r="K568" s="188" t="s">
        <v>338</v>
      </c>
      <c r="L568" s="188" t="s">
        <v>1539</v>
      </c>
      <c r="M568" s="192">
        <f t="shared" si="24"/>
        <v>30</v>
      </c>
      <c r="N568" s="193">
        <f t="shared" si="25"/>
        <v>0.44827586206896552</v>
      </c>
      <c r="O568" s="194">
        <f t="shared" si="26"/>
        <v>1.4942528735632184E-2</v>
      </c>
    </row>
    <row r="569" spans="1:15" ht="12.75" customHeight="1">
      <c r="A569" s="188" t="s">
        <v>620</v>
      </c>
      <c r="B569" s="188" t="s">
        <v>1394</v>
      </c>
      <c r="C569" s="188" t="s">
        <v>641</v>
      </c>
      <c r="D569" s="188" t="s">
        <v>1540</v>
      </c>
      <c r="E569" s="189">
        <v>39352</v>
      </c>
      <c r="F569" s="190">
        <v>0</v>
      </c>
      <c r="G569" s="190">
        <v>63.81</v>
      </c>
      <c r="H569" s="191">
        <v>567</v>
      </c>
      <c r="I569" s="191">
        <v>249.25</v>
      </c>
      <c r="J569" s="188" t="s">
        <v>624</v>
      </c>
      <c r="K569" s="188" t="s">
        <v>338</v>
      </c>
      <c r="L569" s="188" t="s">
        <v>1541</v>
      </c>
      <c r="M569" s="192">
        <f t="shared" si="24"/>
        <v>38</v>
      </c>
      <c r="N569" s="193">
        <f t="shared" si="25"/>
        <v>0.56870611835506524</v>
      </c>
      <c r="O569" s="194">
        <f t="shared" si="26"/>
        <v>1.4965950483028033E-2</v>
      </c>
    </row>
    <row r="570" spans="1:15" ht="12.75" customHeight="1">
      <c r="A570" s="188" t="s">
        <v>620</v>
      </c>
      <c r="B570" s="188" t="s">
        <v>1394</v>
      </c>
      <c r="C570" s="188" t="s">
        <v>641</v>
      </c>
      <c r="D570" s="188" t="s">
        <v>1542</v>
      </c>
      <c r="E570" s="189">
        <v>39310</v>
      </c>
      <c r="F570" s="190">
        <v>0</v>
      </c>
      <c r="G570" s="190">
        <v>64</v>
      </c>
      <c r="H570" s="191">
        <v>450</v>
      </c>
      <c r="I570" s="191">
        <v>250</v>
      </c>
      <c r="J570" s="188" t="s">
        <v>635</v>
      </c>
      <c r="K570" s="188" t="s">
        <v>338</v>
      </c>
      <c r="L570" s="188" t="s">
        <v>636</v>
      </c>
      <c r="M570" s="192">
        <f t="shared" si="24"/>
        <v>30</v>
      </c>
      <c r="N570" s="193">
        <f t="shared" si="25"/>
        <v>0.45</v>
      </c>
      <c r="O570" s="194">
        <f t="shared" si="26"/>
        <v>1.5000000000000001E-2</v>
      </c>
    </row>
    <row r="571" spans="1:15" ht="12.75" customHeight="1">
      <c r="A571" s="188" t="s">
        <v>620</v>
      </c>
      <c r="B571" s="188" t="s">
        <v>1394</v>
      </c>
      <c r="C571" s="188" t="s">
        <v>641</v>
      </c>
      <c r="D571" s="188" t="s">
        <v>1543</v>
      </c>
      <c r="E571" s="189">
        <v>39366</v>
      </c>
      <c r="F571" s="190">
        <v>0</v>
      </c>
      <c r="G571" s="190">
        <v>96</v>
      </c>
      <c r="H571" s="191">
        <v>675</v>
      </c>
      <c r="I571" s="191">
        <v>375</v>
      </c>
      <c r="J571" s="188" t="s">
        <v>635</v>
      </c>
      <c r="K571" s="188" t="s">
        <v>338</v>
      </c>
      <c r="L571" s="188" t="s">
        <v>746</v>
      </c>
      <c r="M571" s="192">
        <f t="shared" si="24"/>
        <v>30</v>
      </c>
      <c r="N571" s="193">
        <f t="shared" si="25"/>
        <v>0.45</v>
      </c>
      <c r="O571" s="194">
        <f t="shared" si="26"/>
        <v>1.5000000000000001E-2</v>
      </c>
    </row>
    <row r="572" spans="1:15" ht="12.75" customHeight="1">
      <c r="A572" s="188" t="s">
        <v>620</v>
      </c>
      <c r="B572" s="188" t="s">
        <v>1394</v>
      </c>
      <c r="C572" s="188" t="s">
        <v>641</v>
      </c>
      <c r="D572" s="188" t="s">
        <v>1544</v>
      </c>
      <c r="E572" s="189">
        <v>39520</v>
      </c>
      <c r="F572" s="190">
        <v>0</v>
      </c>
      <c r="G572" s="190">
        <v>89.6</v>
      </c>
      <c r="H572" s="191">
        <v>800</v>
      </c>
      <c r="I572" s="191">
        <v>350</v>
      </c>
      <c r="J572" s="188" t="s">
        <v>639</v>
      </c>
      <c r="K572" s="188" t="s">
        <v>648</v>
      </c>
      <c r="L572" s="188" t="s">
        <v>754</v>
      </c>
      <c r="M572" s="192">
        <f t="shared" si="24"/>
        <v>38</v>
      </c>
      <c r="N572" s="193">
        <f t="shared" si="25"/>
        <v>0.5714285714285714</v>
      </c>
      <c r="O572" s="194">
        <f t="shared" si="26"/>
        <v>1.5037593984962405E-2</v>
      </c>
    </row>
    <row r="573" spans="1:15" ht="12.75" customHeight="1">
      <c r="A573" s="188" t="s">
        <v>620</v>
      </c>
      <c r="B573" s="188" t="s">
        <v>1394</v>
      </c>
      <c r="C573" s="188" t="s">
        <v>641</v>
      </c>
      <c r="D573" s="188" t="s">
        <v>1545</v>
      </c>
      <c r="E573" s="189">
        <v>39597</v>
      </c>
      <c r="F573" s="190">
        <v>0</v>
      </c>
      <c r="G573" s="190">
        <v>134.4</v>
      </c>
      <c r="H573" s="191">
        <v>950</v>
      </c>
      <c r="I573" s="191">
        <v>525</v>
      </c>
      <c r="J573" s="188" t="s">
        <v>635</v>
      </c>
      <c r="K573" s="188" t="s">
        <v>338</v>
      </c>
      <c r="L573" s="188" t="s">
        <v>701</v>
      </c>
      <c r="M573" s="192">
        <f t="shared" si="24"/>
        <v>30</v>
      </c>
      <c r="N573" s="193">
        <f t="shared" si="25"/>
        <v>0.45238095238095238</v>
      </c>
      <c r="O573" s="194">
        <f t="shared" si="26"/>
        <v>1.507936507936508E-2</v>
      </c>
    </row>
    <row r="574" spans="1:15" ht="12.75" customHeight="1">
      <c r="A574" s="188" t="s">
        <v>620</v>
      </c>
      <c r="B574" s="188" t="s">
        <v>1394</v>
      </c>
      <c r="C574" s="188" t="s">
        <v>641</v>
      </c>
      <c r="D574" s="188" t="s">
        <v>1546</v>
      </c>
      <c r="E574" s="189">
        <v>39485</v>
      </c>
      <c r="F574" s="190">
        <v>0</v>
      </c>
      <c r="G574" s="190">
        <v>15.87</v>
      </c>
      <c r="H574" s="191">
        <v>143</v>
      </c>
      <c r="I574" s="191">
        <v>62</v>
      </c>
      <c r="J574" s="188" t="s">
        <v>624</v>
      </c>
      <c r="K574" s="188" t="s">
        <v>338</v>
      </c>
      <c r="L574" s="188" t="s">
        <v>1547</v>
      </c>
      <c r="M574" s="192">
        <f t="shared" si="24"/>
        <v>38</v>
      </c>
      <c r="N574" s="193">
        <f t="shared" si="25"/>
        <v>0.57661290322580649</v>
      </c>
      <c r="O574" s="194">
        <f t="shared" si="26"/>
        <v>1.5174023769100171E-2</v>
      </c>
    </row>
    <row r="575" spans="1:15" ht="12.75" customHeight="1">
      <c r="A575" s="188" t="s">
        <v>620</v>
      </c>
      <c r="B575" s="188" t="s">
        <v>1394</v>
      </c>
      <c r="C575" s="188" t="s">
        <v>641</v>
      </c>
      <c r="D575" s="188" t="s">
        <v>1548</v>
      </c>
      <c r="E575" s="189">
        <v>39303</v>
      </c>
      <c r="F575" s="190">
        <v>0</v>
      </c>
      <c r="G575" s="190">
        <v>76.03</v>
      </c>
      <c r="H575" s="191">
        <v>542.44000000000005</v>
      </c>
      <c r="I575" s="191">
        <v>297</v>
      </c>
      <c r="J575" s="188" t="s">
        <v>624</v>
      </c>
      <c r="K575" s="188" t="s">
        <v>257</v>
      </c>
      <c r="L575" s="188" t="s">
        <v>790</v>
      </c>
      <c r="M575" s="192">
        <f t="shared" si="24"/>
        <v>30</v>
      </c>
      <c r="N575" s="193">
        <f t="shared" si="25"/>
        <v>0.45659932659932667</v>
      </c>
      <c r="O575" s="194">
        <f t="shared" si="26"/>
        <v>1.5219977553310889E-2</v>
      </c>
    </row>
    <row r="576" spans="1:15" ht="12.75" customHeight="1">
      <c r="A576" s="188" t="s">
        <v>620</v>
      </c>
      <c r="B576" s="188" t="s">
        <v>1394</v>
      </c>
      <c r="C576" s="188" t="s">
        <v>641</v>
      </c>
      <c r="D576" s="188" t="s">
        <v>1549</v>
      </c>
      <c r="E576" s="189">
        <v>39339</v>
      </c>
      <c r="F576" s="190">
        <v>0</v>
      </c>
      <c r="G576" s="190">
        <v>79.23</v>
      </c>
      <c r="H576" s="191">
        <v>490</v>
      </c>
      <c r="I576" s="191">
        <v>309.5</v>
      </c>
      <c r="J576" s="188" t="s">
        <v>361</v>
      </c>
      <c r="K576" s="188" t="s">
        <v>338</v>
      </c>
      <c r="L576" s="188" t="s">
        <v>1550</v>
      </c>
      <c r="M576" s="192">
        <f t="shared" si="24"/>
        <v>26</v>
      </c>
      <c r="N576" s="193">
        <f t="shared" si="25"/>
        <v>0.39579967689822293</v>
      </c>
      <c r="O576" s="194">
        <f t="shared" si="26"/>
        <v>1.5223064496085497E-2</v>
      </c>
    </row>
    <row r="577" spans="1:15" ht="12.75" customHeight="1">
      <c r="A577" s="188" t="s">
        <v>620</v>
      </c>
      <c r="B577" s="188" t="s">
        <v>1394</v>
      </c>
      <c r="C577" s="188" t="s">
        <v>641</v>
      </c>
      <c r="D577" s="188" t="s">
        <v>1551</v>
      </c>
      <c r="E577" s="189">
        <v>39548</v>
      </c>
      <c r="F577" s="190">
        <v>0</v>
      </c>
      <c r="G577" s="190">
        <v>66.11</v>
      </c>
      <c r="H577" s="191">
        <v>425</v>
      </c>
      <c r="I577" s="191">
        <v>258.25</v>
      </c>
      <c r="J577" s="188" t="s">
        <v>639</v>
      </c>
      <c r="K577" s="188" t="s">
        <v>338</v>
      </c>
      <c r="L577" s="188" t="s">
        <v>1552</v>
      </c>
      <c r="M577" s="192">
        <f t="shared" si="24"/>
        <v>27</v>
      </c>
      <c r="N577" s="193">
        <f t="shared" si="25"/>
        <v>0.41142303969022265</v>
      </c>
      <c r="O577" s="194">
        <f t="shared" si="26"/>
        <v>1.5237890358897135E-2</v>
      </c>
    </row>
    <row r="578" spans="1:15" ht="12.75" customHeight="1">
      <c r="A578" s="188" t="s">
        <v>620</v>
      </c>
      <c r="B578" s="188" t="s">
        <v>1394</v>
      </c>
      <c r="C578" s="188" t="s">
        <v>641</v>
      </c>
      <c r="D578" s="188" t="s">
        <v>1553</v>
      </c>
      <c r="E578" s="189">
        <v>39212</v>
      </c>
      <c r="F578" s="190">
        <v>0</v>
      </c>
      <c r="G578" s="190">
        <v>88</v>
      </c>
      <c r="H578" s="191">
        <v>398.75</v>
      </c>
      <c r="I578" s="191">
        <v>343.75</v>
      </c>
      <c r="J578" s="188" t="s">
        <v>667</v>
      </c>
      <c r="K578" s="188" t="s">
        <v>338</v>
      </c>
      <c r="L578" s="188" t="s">
        <v>1271</v>
      </c>
      <c r="M578" s="192">
        <f t="shared" ref="M578:M641" si="27">K578-J578</f>
        <v>19</v>
      </c>
      <c r="N578" s="193">
        <f t="shared" ref="N578:N641" si="28">H578/L578</f>
        <v>0.28999999999999998</v>
      </c>
      <c r="O578" s="194">
        <f t="shared" ref="O578:O641" si="29">N578/M578</f>
        <v>1.5263157894736841E-2</v>
      </c>
    </row>
    <row r="579" spans="1:15" ht="12.75" customHeight="1">
      <c r="A579" s="188" t="s">
        <v>620</v>
      </c>
      <c r="B579" s="188" t="s">
        <v>1394</v>
      </c>
      <c r="C579" s="188" t="s">
        <v>641</v>
      </c>
      <c r="D579" s="188" t="s">
        <v>1554</v>
      </c>
      <c r="E579" s="189">
        <v>39527</v>
      </c>
      <c r="F579" s="190">
        <v>0</v>
      </c>
      <c r="G579" s="190">
        <v>76.8</v>
      </c>
      <c r="H579" s="191">
        <v>550</v>
      </c>
      <c r="I579" s="191">
        <v>300</v>
      </c>
      <c r="J579" s="188" t="s">
        <v>635</v>
      </c>
      <c r="K579" s="188" t="s">
        <v>338</v>
      </c>
      <c r="L579" s="188" t="s">
        <v>632</v>
      </c>
      <c r="M579" s="192">
        <f t="shared" si="27"/>
        <v>30</v>
      </c>
      <c r="N579" s="193">
        <f t="shared" si="28"/>
        <v>0.45833333333333331</v>
      </c>
      <c r="O579" s="194">
        <f t="shared" si="29"/>
        <v>1.5277777777777777E-2</v>
      </c>
    </row>
    <row r="580" spans="1:15" ht="12.75" customHeight="1">
      <c r="A580" s="188" t="s">
        <v>620</v>
      </c>
      <c r="B580" s="188" t="s">
        <v>1394</v>
      </c>
      <c r="C580" s="188" t="s">
        <v>641</v>
      </c>
      <c r="D580" s="188" t="s">
        <v>1555</v>
      </c>
      <c r="E580" s="189">
        <v>39353</v>
      </c>
      <c r="F580" s="190">
        <v>0</v>
      </c>
      <c r="G580" s="190">
        <v>66.239999999999995</v>
      </c>
      <c r="H580" s="191">
        <v>475</v>
      </c>
      <c r="I580" s="191">
        <v>258.75</v>
      </c>
      <c r="J580" s="188" t="s">
        <v>635</v>
      </c>
      <c r="K580" s="188" t="s">
        <v>338</v>
      </c>
      <c r="L580" s="188" t="s">
        <v>1159</v>
      </c>
      <c r="M580" s="192">
        <f t="shared" si="27"/>
        <v>30</v>
      </c>
      <c r="N580" s="193">
        <f t="shared" si="28"/>
        <v>0.45893719806763283</v>
      </c>
      <c r="O580" s="194">
        <f t="shared" si="29"/>
        <v>1.5297906602254429E-2</v>
      </c>
    </row>
    <row r="581" spans="1:15" ht="12.75" customHeight="1">
      <c r="A581" s="188" t="s">
        <v>620</v>
      </c>
      <c r="B581" s="188" t="s">
        <v>1394</v>
      </c>
      <c r="C581" s="188" t="s">
        <v>641</v>
      </c>
      <c r="D581" s="188" t="s">
        <v>1556</v>
      </c>
      <c r="E581" s="189">
        <v>39269</v>
      </c>
      <c r="F581" s="190">
        <v>0</v>
      </c>
      <c r="G581" s="190">
        <v>71.42</v>
      </c>
      <c r="H581" s="191">
        <v>670.05</v>
      </c>
      <c r="I581" s="191">
        <v>279</v>
      </c>
      <c r="J581" s="188" t="s">
        <v>829</v>
      </c>
      <c r="K581" s="188" t="s">
        <v>1092</v>
      </c>
      <c r="L581" s="188" t="s">
        <v>1008</v>
      </c>
      <c r="M581" s="192">
        <f t="shared" si="27"/>
        <v>39</v>
      </c>
      <c r="N581" s="193">
        <f t="shared" si="28"/>
        <v>0.60040322580645156</v>
      </c>
      <c r="O581" s="194">
        <f t="shared" si="29"/>
        <v>1.5394954507857732E-2</v>
      </c>
    </row>
    <row r="582" spans="1:15" ht="12.75" customHeight="1">
      <c r="A582" s="188" t="s">
        <v>620</v>
      </c>
      <c r="B582" s="188" t="s">
        <v>1394</v>
      </c>
      <c r="C582" s="188" t="s">
        <v>641</v>
      </c>
      <c r="D582" s="188" t="s">
        <v>1557</v>
      </c>
      <c r="E582" s="189">
        <v>39380</v>
      </c>
      <c r="F582" s="190">
        <v>0</v>
      </c>
      <c r="G582" s="190">
        <v>85.76</v>
      </c>
      <c r="H582" s="191">
        <v>724</v>
      </c>
      <c r="I582" s="191">
        <v>335</v>
      </c>
      <c r="J582" s="188" t="s">
        <v>829</v>
      </c>
      <c r="K582" s="188" t="s">
        <v>338</v>
      </c>
      <c r="L582" s="188" t="s">
        <v>815</v>
      </c>
      <c r="M582" s="192">
        <f t="shared" si="27"/>
        <v>35</v>
      </c>
      <c r="N582" s="193">
        <f t="shared" si="28"/>
        <v>0.54029850746268659</v>
      </c>
      <c r="O582" s="194">
        <f t="shared" si="29"/>
        <v>1.5437100213219618E-2</v>
      </c>
    </row>
    <row r="583" spans="1:15" ht="12.75" customHeight="1">
      <c r="A583" s="188" t="s">
        <v>620</v>
      </c>
      <c r="B583" s="188" t="s">
        <v>1394</v>
      </c>
      <c r="C583" s="188" t="s">
        <v>641</v>
      </c>
      <c r="D583" s="188" t="s">
        <v>1558</v>
      </c>
      <c r="E583" s="189">
        <v>39436</v>
      </c>
      <c r="F583" s="190">
        <v>0</v>
      </c>
      <c r="G583" s="190">
        <v>61.82</v>
      </c>
      <c r="H583" s="191">
        <v>450</v>
      </c>
      <c r="I583" s="191">
        <v>241.5</v>
      </c>
      <c r="J583" s="188" t="s">
        <v>635</v>
      </c>
      <c r="K583" s="188" t="s">
        <v>338</v>
      </c>
      <c r="L583" s="188" t="s">
        <v>1378</v>
      </c>
      <c r="M583" s="192">
        <f t="shared" si="27"/>
        <v>30</v>
      </c>
      <c r="N583" s="193">
        <f t="shared" si="28"/>
        <v>0.46583850931677018</v>
      </c>
      <c r="O583" s="194">
        <f t="shared" si="29"/>
        <v>1.5527950310559006E-2</v>
      </c>
    </row>
    <row r="584" spans="1:15" ht="12.75" customHeight="1">
      <c r="A584" s="188" t="s">
        <v>620</v>
      </c>
      <c r="B584" s="188" t="s">
        <v>1394</v>
      </c>
      <c r="C584" s="188" t="s">
        <v>641</v>
      </c>
      <c r="D584" s="188" t="s">
        <v>1559</v>
      </c>
      <c r="E584" s="189">
        <v>39310</v>
      </c>
      <c r="F584" s="190">
        <v>0</v>
      </c>
      <c r="G584" s="190">
        <v>102.4</v>
      </c>
      <c r="H584" s="191">
        <v>1292</v>
      </c>
      <c r="I584" s="191">
        <v>400</v>
      </c>
      <c r="J584" s="188" t="s">
        <v>635</v>
      </c>
      <c r="K584" s="188" t="s">
        <v>415</v>
      </c>
      <c r="L584" s="188" t="s">
        <v>625</v>
      </c>
      <c r="M584" s="192">
        <f t="shared" si="27"/>
        <v>52</v>
      </c>
      <c r="N584" s="193">
        <f t="shared" si="28"/>
        <v>0.8075</v>
      </c>
      <c r="O584" s="194">
        <f t="shared" si="29"/>
        <v>1.5528846153846153E-2</v>
      </c>
    </row>
    <row r="585" spans="1:15" ht="12.75" customHeight="1">
      <c r="A585" s="188" t="s">
        <v>620</v>
      </c>
      <c r="B585" s="188" t="s">
        <v>1394</v>
      </c>
      <c r="C585" s="188" t="s">
        <v>641</v>
      </c>
      <c r="D585" s="188" t="s">
        <v>1560</v>
      </c>
      <c r="E585" s="189">
        <v>39436</v>
      </c>
      <c r="F585" s="190">
        <v>0</v>
      </c>
      <c r="G585" s="190">
        <v>96</v>
      </c>
      <c r="H585" s="191">
        <v>700</v>
      </c>
      <c r="I585" s="191">
        <v>375</v>
      </c>
      <c r="J585" s="188" t="s">
        <v>667</v>
      </c>
      <c r="K585" s="188" t="s">
        <v>648</v>
      </c>
      <c r="L585" s="188" t="s">
        <v>746</v>
      </c>
      <c r="M585" s="192">
        <f t="shared" si="27"/>
        <v>30</v>
      </c>
      <c r="N585" s="193">
        <f t="shared" si="28"/>
        <v>0.46666666666666667</v>
      </c>
      <c r="O585" s="194">
        <f t="shared" si="29"/>
        <v>1.5555555555555555E-2</v>
      </c>
    </row>
    <row r="586" spans="1:15" ht="12.75" customHeight="1">
      <c r="A586" s="188" t="s">
        <v>620</v>
      </c>
      <c r="B586" s="188" t="s">
        <v>1394</v>
      </c>
      <c r="C586" s="188" t="s">
        <v>641</v>
      </c>
      <c r="D586" s="188" t="s">
        <v>1561</v>
      </c>
      <c r="E586" s="189">
        <v>39499</v>
      </c>
      <c r="F586" s="190">
        <v>0</v>
      </c>
      <c r="G586" s="190">
        <v>74.239999999999995</v>
      </c>
      <c r="H586" s="191">
        <v>560</v>
      </c>
      <c r="I586" s="191">
        <v>290</v>
      </c>
      <c r="J586" s="188" t="s">
        <v>503</v>
      </c>
      <c r="K586" s="188" t="s">
        <v>338</v>
      </c>
      <c r="L586" s="188" t="s">
        <v>1001</v>
      </c>
      <c r="M586" s="192">
        <f t="shared" si="27"/>
        <v>31</v>
      </c>
      <c r="N586" s="193">
        <f t="shared" si="28"/>
        <v>0.48275862068965519</v>
      </c>
      <c r="O586" s="194">
        <f t="shared" si="29"/>
        <v>1.5572858731924362E-2</v>
      </c>
    </row>
    <row r="587" spans="1:15" ht="12.75" customHeight="1">
      <c r="A587" s="188" t="s">
        <v>620</v>
      </c>
      <c r="B587" s="188" t="s">
        <v>1394</v>
      </c>
      <c r="C587" s="188" t="s">
        <v>641</v>
      </c>
      <c r="D587" s="188" t="s">
        <v>1562</v>
      </c>
      <c r="E587" s="189">
        <v>39395</v>
      </c>
      <c r="F587" s="190">
        <v>0</v>
      </c>
      <c r="G587" s="190">
        <v>83.2</v>
      </c>
      <c r="H587" s="191">
        <v>770</v>
      </c>
      <c r="I587" s="191">
        <v>325</v>
      </c>
      <c r="J587" s="188" t="s">
        <v>624</v>
      </c>
      <c r="K587" s="188" t="s">
        <v>338</v>
      </c>
      <c r="L587" s="188" t="s">
        <v>699</v>
      </c>
      <c r="M587" s="192">
        <f t="shared" si="27"/>
        <v>38</v>
      </c>
      <c r="N587" s="193">
        <f t="shared" si="28"/>
        <v>0.59230769230769231</v>
      </c>
      <c r="O587" s="194">
        <f t="shared" si="29"/>
        <v>1.5587044534412956E-2</v>
      </c>
    </row>
    <row r="588" spans="1:15" ht="12.75" customHeight="1">
      <c r="A588" s="188" t="s">
        <v>620</v>
      </c>
      <c r="B588" s="188" t="s">
        <v>1394</v>
      </c>
      <c r="C588" s="188" t="s">
        <v>641</v>
      </c>
      <c r="D588" s="188" t="s">
        <v>1563</v>
      </c>
      <c r="E588" s="189">
        <v>39240</v>
      </c>
      <c r="F588" s="190">
        <v>0</v>
      </c>
      <c r="G588" s="190">
        <v>102.4</v>
      </c>
      <c r="H588" s="191">
        <v>475.04</v>
      </c>
      <c r="I588" s="191">
        <v>400</v>
      </c>
      <c r="J588" s="188" t="s">
        <v>667</v>
      </c>
      <c r="K588" s="188" t="s">
        <v>338</v>
      </c>
      <c r="L588" s="188" t="s">
        <v>625</v>
      </c>
      <c r="M588" s="192">
        <f t="shared" si="27"/>
        <v>19</v>
      </c>
      <c r="N588" s="193">
        <f t="shared" si="28"/>
        <v>0.2969</v>
      </c>
      <c r="O588" s="194">
        <f t="shared" si="29"/>
        <v>1.5626315789473683E-2</v>
      </c>
    </row>
    <row r="589" spans="1:15" ht="12.75" customHeight="1">
      <c r="A589" s="188" t="s">
        <v>620</v>
      </c>
      <c r="B589" s="188" t="s">
        <v>1394</v>
      </c>
      <c r="C589" s="188" t="s">
        <v>641</v>
      </c>
      <c r="D589" s="188" t="s">
        <v>1564</v>
      </c>
      <c r="E589" s="189">
        <v>39471</v>
      </c>
      <c r="F589" s="190">
        <v>0</v>
      </c>
      <c r="G589" s="190">
        <v>96</v>
      </c>
      <c r="H589" s="191">
        <v>710</v>
      </c>
      <c r="I589" s="191">
        <v>375</v>
      </c>
      <c r="J589" s="188" t="s">
        <v>635</v>
      </c>
      <c r="K589" s="188" t="s">
        <v>338</v>
      </c>
      <c r="L589" s="188" t="s">
        <v>746</v>
      </c>
      <c r="M589" s="192">
        <f t="shared" si="27"/>
        <v>30</v>
      </c>
      <c r="N589" s="193">
        <f t="shared" si="28"/>
        <v>0.47333333333333333</v>
      </c>
      <c r="O589" s="194">
        <f t="shared" si="29"/>
        <v>1.5777777777777776E-2</v>
      </c>
    </row>
    <row r="590" spans="1:15" ht="12.75" customHeight="1">
      <c r="A590" s="188" t="s">
        <v>620</v>
      </c>
      <c r="B590" s="188" t="s">
        <v>1394</v>
      </c>
      <c r="C590" s="188" t="s">
        <v>641</v>
      </c>
      <c r="D590" s="188" t="s">
        <v>1565</v>
      </c>
      <c r="E590" s="189">
        <v>39401</v>
      </c>
      <c r="F590" s="190">
        <v>0</v>
      </c>
      <c r="G590" s="190">
        <v>82.3</v>
      </c>
      <c r="H590" s="191">
        <v>771.21</v>
      </c>
      <c r="I590" s="191">
        <v>321.5</v>
      </c>
      <c r="J590" s="188" t="s">
        <v>624</v>
      </c>
      <c r="K590" s="188" t="s">
        <v>338</v>
      </c>
      <c r="L590" s="188" t="s">
        <v>1281</v>
      </c>
      <c r="M590" s="192">
        <f t="shared" si="27"/>
        <v>38</v>
      </c>
      <c r="N590" s="193">
        <f t="shared" si="28"/>
        <v>0.59969673405909796</v>
      </c>
      <c r="O590" s="194">
        <f t="shared" si="29"/>
        <v>1.5781493001555208E-2</v>
      </c>
    </row>
    <row r="591" spans="1:15" ht="12.75" customHeight="1">
      <c r="A591" s="188" t="s">
        <v>620</v>
      </c>
      <c r="B591" s="188" t="s">
        <v>1394</v>
      </c>
      <c r="C591" s="188" t="s">
        <v>641</v>
      </c>
      <c r="D591" s="188" t="s">
        <v>1566</v>
      </c>
      <c r="E591" s="189">
        <v>39317</v>
      </c>
      <c r="F591" s="190">
        <v>0</v>
      </c>
      <c r="G591" s="190">
        <v>32</v>
      </c>
      <c r="H591" s="191">
        <v>300</v>
      </c>
      <c r="I591" s="191">
        <v>125</v>
      </c>
      <c r="J591" s="188" t="s">
        <v>624</v>
      </c>
      <c r="K591" s="188" t="s">
        <v>338</v>
      </c>
      <c r="L591" s="188" t="s">
        <v>858</v>
      </c>
      <c r="M591" s="192">
        <f t="shared" si="27"/>
        <v>38</v>
      </c>
      <c r="N591" s="193">
        <f t="shared" si="28"/>
        <v>0.6</v>
      </c>
      <c r="O591" s="194">
        <f t="shared" si="29"/>
        <v>1.5789473684210527E-2</v>
      </c>
    </row>
    <row r="592" spans="1:15" ht="12.75" customHeight="1">
      <c r="A592" s="188" t="s">
        <v>620</v>
      </c>
      <c r="B592" s="188" t="s">
        <v>1394</v>
      </c>
      <c r="C592" s="188" t="s">
        <v>641</v>
      </c>
      <c r="D592" s="188" t="s">
        <v>1567</v>
      </c>
      <c r="E592" s="189">
        <v>39352</v>
      </c>
      <c r="F592" s="190">
        <v>0</v>
      </c>
      <c r="G592" s="190">
        <v>96</v>
      </c>
      <c r="H592" s="191">
        <v>900</v>
      </c>
      <c r="I592" s="191">
        <v>375</v>
      </c>
      <c r="J592" s="188" t="s">
        <v>624</v>
      </c>
      <c r="K592" s="188" t="s">
        <v>338</v>
      </c>
      <c r="L592" s="188" t="s">
        <v>746</v>
      </c>
      <c r="M592" s="192">
        <f t="shared" si="27"/>
        <v>38</v>
      </c>
      <c r="N592" s="193">
        <f t="shared" si="28"/>
        <v>0.6</v>
      </c>
      <c r="O592" s="194">
        <f t="shared" si="29"/>
        <v>1.5789473684210527E-2</v>
      </c>
    </row>
    <row r="593" spans="1:15" ht="12.75" customHeight="1">
      <c r="A593" s="188" t="s">
        <v>620</v>
      </c>
      <c r="B593" s="188" t="s">
        <v>1394</v>
      </c>
      <c r="C593" s="188" t="s">
        <v>641</v>
      </c>
      <c r="D593" s="188" t="s">
        <v>1568</v>
      </c>
      <c r="E593" s="189">
        <v>39395</v>
      </c>
      <c r="F593" s="190">
        <v>0</v>
      </c>
      <c r="G593" s="190">
        <v>128</v>
      </c>
      <c r="H593" s="191">
        <v>1200</v>
      </c>
      <c r="I593" s="191">
        <v>500</v>
      </c>
      <c r="J593" s="188" t="s">
        <v>624</v>
      </c>
      <c r="K593" s="188" t="s">
        <v>338</v>
      </c>
      <c r="L593" s="188" t="s">
        <v>756</v>
      </c>
      <c r="M593" s="192">
        <f t="shared" si="27"/>
        <v>38</v>
      </c>
      <c r="N593" s="193">
        <f t="shared" si="28"/>
        <v>0.6</v>
      </c>
      <c r="O593" s="194">
        <f t="shared" si="29"/>
        <v>1.5789473684210527E-2</v>
      </c>
    </row>
    <row r="594" spans="1:15" ht="12.75" customHeight="1">
      <c r="A594" s="188" t="s">
        <v>620</v>
      </c>
      <c r="B594" s="188" t="s">
        <v>1394</v>
      </c>
      <c r="C594" s="188" t="s">
        <v>641</v>
      </c>
      <c r="D594" s="188" t="s">
        <v>1569</v>
      </c>
      <c r="E594" s="189">
        <v>39597</v>
      </c>
      <c r="F594" s="190">
        <v>0</v>
      </c>
      <c r="G594" s="190">
        <v>160</v>
      </c>
      <c r="H594" s="191">
        <v>1500</v>
      </c>
      <c r="I594" s="191">
        <v>625</v>
      </c>
      <c r="J594" s="188" t="s">
        <v>624</v>
      </c>
      <c r="K594" s="188" t="s">
        <v>338</v>
      </c>
      <c r="L594" s="188" t="s">
        <v>1570</v>
      </c>
      <c r="M594" s="192">
        <f t="shared" si="27"/>
        <v>38</v>
      </c>
      <c r="N594" s="193">
        <f t="shared" si="28"/>
        <v>0.6</v>
      </c>
      <c r="O594" s="194">
        <f t="shared" si="29"/>
        <v>1.5789473684210527E-2</v>
      </c>
    </row>
    <row r="595" spans="1:15" ht="12.75" customHeight="1">
      <c r="A595" s="188" t="s">
        <v>620</v>
      </c>
      <c r="B595" s="188" t="s">
        <v>1394</v>
      </c>
      <c r="C595" s="188" t="s">
        <v>641</v>
      </c>
      <c r="D595" s="188" t="s">
        <v>1571</v>
      </c>
      <c r="E595" s="189">
        <v>39339</v>
      </c>
      <c r="F595" s="190">
        <v>0</v>
      </c>
      <c r="G595" s="190">
        <v>76.8</v>
      </c>
      <c r="H595" s="191">
        <v>570</v>
      </c>
      <c r="I595" s="191">
        <v>300</v>
      </c>
      <c r="J595" s="188" t="s">
        <v>635</v>
      </c>
      <c r="K595" s="188" t="s">
        <v>338</v>
      </c>
      <c r="L595" s="188" t="s">
        <v>632</v>
      </c>
      <c r="M595" s="192">
        <f t="shared" si="27"/>
        <v>30</v>
      </c>
      <c r="N595" s="193">
        <f t="shared" si="28"/>
        <v>0.47499999999999998</v>
      </c>
      <c r="O595" s="194">
        <f t="shared" si="29"/>
        <v>1.5833333333333331E-2</v>
      </c>
    </row>
    <row r="596" spans="1:15" ht="12.75" customHeight="1">
      <c r="A596" s="188" t="s">
        <v>620</v>
      </c>
      <c r="B596" s="188" t="s">
        <v>1394</v>
      </c>
      <c r="C596" s="188" t="s">
        <v>641</v>
      </c>
      <c r="D596" s="188" t="s">
        <v>1572</v>
      </c>
      <c r="E596" s="189">
        <v>39233</v>
      </c>
      <c r="F596" s="190">
        <v>0</v>
      </c>
      <c r="G596" s="190">
        <v>85.57</v>
      </c>
      <c r="H596" s="191">
        <v>682</v>
      </c>
      <c r="I596" s="191">
        <v>334.25</v>
      </c>
      <c r="J596" s="188" t="s">
        <v>353</v>
      </c>
      <c r="K596" s="188" t="s">
        <v>338</v>
      </c>
      <c r="L596" s="188" t="s">
        <v>1573</v>
      </c>
      <c r="M596" s="192">
        <f t="shared" si="27"/>
        <v>32</v>
      </c>
      <c r="N596" s="193">
        <f t="shared" si="28"/>
        <v>0.51009723261032158</v>
      </c>
      <c r="O596" s="194">
        <f t="shared" si="29"/>
        <v>1.5940538519072549E-2</v>
      </c>
    </row>
    <row r="597" spans="1:15" ht="12.75" customHeight="1">
      <c r="A597" s="188" t="s">
        <v>620</v>
      </c>
      <c r="B597" s="188" t="s">
        <v>1394</v>
      </c>
      <c r="C597" s="188" t="s">
        <v>641</v>
      </c>
      <c r="D597" s="188" t="s">
        <v>1574</v>
      </c>
      <c r="E597" s="189">
        <v>39520</v>
      </c>
      <c r="F597" s="190">
        <v>0</v>
      </c>
      <c r="G597" s="190">
        <v>120.96</v>
      </c>
      <c r="H597" s="191">
        <v>663</v>
      </c>
      <c r="I597" s="191">
        <v>472.5</v>
      </c>
      <c r="J597" s="188" t="s">
        <v>710</v>
      </c>
      <c r="K597" s="188" t="s">
        <v>338</v>
      </c>
      <c r="L597" s="188" t="s">
        <v>692</v>
      </c>
      <c r="M597" s="192">
        <f t="shared" si="27"/>
        <v>22</v>
      </c>
      <c r="N597" s="193">
        <f t="shared" si="28"/>
        <v>0.35079365079365077</v>
      </c>
      <c r="O597" s="194">
        <f t="shared" si="29"/>
        <v>1.5945165945165943E-2</v>
      </c>
    </row>
    <row r="598" spans="1:15" ht="12.75" customHeight="1">
      <c r="A598" s="188" t="s">
        <v>620</v>
      </c>
      <c r="B598" s="188" t="s">
        <v>1394</v>
      </c>
      <c r="C598" s="188" t="s">
        <v>641</v>
      </c>
      <c r="D598" s="188" t="s">
        <v>1575</v>
      </c>
      <c r="E598" s="189">
        <v>39310</v>
      </c>
      <c r="F598" s="190">
        <v>0</v>
      </c>
      <c r="G598" s="190">
        <v>103.68</v>
      </c>
      <c r="H598" s="191">
        <v>775.01</v>
      </c>
      <c r="I598" s="191">
        <v>405</v>
      </c>
      <c r="J598" s="188" t="s">
        <v>635</v>
      </c>
      <c r="K598" s="188" t="s">
        <v>338</v>
      </c>
      <c r="L598" s="188" t="s">
        <v>1195</v>
      </c>
      <c r="M598" s="192">
        <f t="shared" si="27"/>
        <v>30</v>
      </c>
      <c r="N598" s="193">
        <f t="shared" si="28"/>
        <v>0.47840123456790123</v>
      </c>
      <c r="O598" s="194">
        <f t="shared" si="29"/>
        <v>1.5946707818930043E-2</v>
      </c>
    </row>
    <row r="599" spans="1:15" ht="12.75" customHeight="1">
      <c r="A599" s="188" t="s">
        <v>620</v>
      </c>
      <c r="B599" s="188" t="s">
        <v>1394</v>
      </c>
      <c r="C599" s="188" t="s">
        <v>641</v>
      </c>
      <c r="D599" s="188" t="s">
        <v>1576</v>
      </c>
      <c r="E599" s="189">
        <v>39436</v>
      </c>
      <c r="F599" s="190">
        <v>0</v>
      </c>
      <c r="G599" s="190">
        <v>52.8</v>
      </c>
      <c r="H599" s="191">
        <v>500</v>
      </c>
      <c r="I599" s="191">
        <v>206.25</v>
      </c>
      <c r="J599" s="188" t="s">
        <v>624</v>
      </c>
      <c r="K599" s="188" t="s">
        <v>338</v>
      </c>
      <c r="L599" s="188" t="s">
        <v>1577</v>
      </c>
      <c r="M599" s="192">
        <f t="shared" si="27"/>
        <v>38</v>
      </c>
      <c r="N599" s="193">
        <f t="shared" si="28"/>
        <v>0.60606060606060608</v>
      </c>
      <c r="O599" s="194">
        <f t="shared" si="29"/>
        <v>1.5948963317384369E-2</v>
      </c>
    </row>
    <row r="600" spans="1:15" ht="12.75" customHeight="1">
      <c r="A600" s="188" t="s">
        <v>620</v>
      </c>
      <c r="B600" s="188" t="s">
        <v>1394</v>
      </c>
      <c r="C600" s="188" t="s">
        <v>641</v>
      </c>
      <c r="D600" s="188" t="s">
        <v>1578</v>
      </c>
      <c r="E600" s="189">
        <v>39583</v>
      </c>
      <c r="F600" s="190">
        <v>0</v>
      </c>
      <c r="G600" s="190">
        <v>117.89</v>
      </c>
      <c r="H600" s="191">
        <v>1146</v>
      </c>
      <c r="I600" s="191">
        <v>460.5</v>
      </c>
      <c r="J600" s="188" t="s">
        <v>750</v>
      </c>
      <c r="K600" s="188" t="s">
        <v>648</v>
      </c>
      <c r="L600" s="188" t="s">
        <v>1579</v>
      </c>
      <c r="M600" s="192">
        <f t="shared" si="27"/>
        <v>39</v>
      </c>
      <c r="N600" s="193">
        <f t="shared" si="28"/>
        <v>0.62214983713355054</v>
      </c>
      <c r="O600" s="194">
        <f t="shared" si="29"/>
        <v>1.5952559926501297E-2</v>
      </c>
    </row>
    <row r="601" spans="1:15" ht="12.75" customHeight="1">
      <c r="A601" s="188" t="s">
        <v>620</v>
      </c>
      <c r="B601" s="188" t="s">
        <v>1394</v>
      </c>
      <c r="C601" s="188" t="s">
        <v>641</v>
      </c>
      <c r="D601" s="188" t="s">
        <v>1580</v>
      </c>
      <c r="E601" s="189">
        <v>39507</v>
      </c>
      <c r="F601" s="190">
        <v>0</v>
      </c>
      <c r="G601" s="190">
        <v>79.17</v>
      </c>
      <c r="H601" s="191">
        <v>750</v>
      </c>
      <c r="I601" s="191">
        <v>309.25</v>
      </c>
      <c r="J601" s="188" t="s">
        <v>624</v>
      </c>
      <c r="K601" s="188" t="s">
        <v>338</v>
      </c>
      <c r="L601" s="188" t="s">
        <v>1581</v>
      </c>
      <c r="M601" s="192">
        <f t="shared" si="27"/>
        <v>38</v>
      </c>
      <c r="N601" s="193">
        <f t="shared" si="28"/>
        <v>0.60630557801131768</v>
      </c>
      <c r="O601" s="194">
        <f t="shared" si="29"/>
        <v>1.5955409947666255E-2</v>
      </c>
    </row>
    <row r="602" spans="1:15" ht="12.75" customHeight="1">
      <c r="A602" s="188" t="s">
        <v>620</v>
      </c>
      <c r="B602" s="188" t="s">
        <v>1394</v>
      </c>
      <c r="C602" s="188" t="s">
        <v>641</v>
      </c>
      <c r="D602" s="188" t="s">
        <v>1582</v>
      </c>
      <c r="E602" s="189">
        <v>39632</v>
      </c>
      <c r="F602" s="190">
        <v>0</v>
      </c>
      <c r="G602" s="190">
        <v>50.69</v>
      </c>
      <c r="H602" s="191">
        <v>380</v>
      </c>
      <c r="I602" s="191">
        <v>198</v>
      </c>
      <c r="J602" s="188" t="s">
        <v>635</v>
      </c>
      <c r="K602" s="188" t="s">
        <v>338</v>
      </c>
      <c r="L602" s="188" t="s">
        <v>1583</v>
      </c>
      <c r="M602" s="192">
        <f t="shared" si="27"/>
        <v>30</v>
      </c>
      <c r="N602" s="193">
        <f t="shared" si="28"/>
        <v>0.47979797979797978</v>
      </c>
      <c r="O602" s="194">
        <f t="shared" si="29"/>
        <v>1.5993265993265993E-2</v>
      </c>
    </row>
    <row r="603" spans="1:15" ht="12.75" customHeight="1">
      <c r="A603" s="188" t="s">
        <v>620</v>
      </c>
      <c r="B603" s="188" t="s">
        <v>1394</v>
      </c>
      <c r="C603" s="188" t="s">
        <v>641</v>
      </c>
      <c r="D603" s="188" t="s">
        <v>1584</v>
      </c>
      <c r="E603" s="189">
        <v>39407</v>
      </c>
      <c r="F603" s="190">
        <v>0</v>
      </c>
      <c r="G603" s="190">
        <v>70.400000000000006</v>
      </c>
      <c r="H603" s="191">
        <v>530</v>
      </c>
      <c r="I603" s="191">
        <v>275</v>
      </c>
      <c r="J603" s="188" t="s">
        <v>635</v>
      </c>
      <c r="K603" s="188" t="s">
        <v>338</v>
      </c>
      <c r="L603" s="188" t="s">
        <v>557</v>
      </c>
      <c r="M603" s="192">
        <f t="shared" si="27"/>
        <v>30</v>
      </c>
      <c r="N603" s="193">
        <f t="shared" si="28"/>
        <v>0.48181818181818181</v>
      </c>
      <c r="O603" s="194">
        <f t="shared" si="29"/>
        <v>1.606060606060606E-2</v>
      </c>
    </row>
    <row r="604" spans="1:15" ht="12.75" customHeight="1">
      <c r="A604" s="188" t="s">
        <v>620</v>
      </c>
      <c r="B604" s="188" t="s">
        <v>1394</v>
      </c>
      <c r="C604" s="188" t="s">
        <v>641</v>
      </c>
      <c r="D604" s="188" t="s">
        <v>1585</v>
      </c>
      <c r="E604" s="189">
        <v>39568</v>
      </c>
      <c r="F604" s="190">
        <v>0</v>
      </c>
      <c r="G604" s="190">
        <v>86.72</v>
      </c>
      <c r="H604" s="191">
        <v>656</v>
      </c>
      <c r="I604" s="191">
        <v>338.75</v>
      </c>
      <c r="J604" s="188" t="s">
        <v>639</v>
      </c>
      <c r="K604" s="188" t="s">
        <v>733</v>
      </c>
      <c r="L604" s="188" t="s">
        <v>1586</v>
      </c>
      <c r="M604" s="192">
        <f t="shared" si="27"/>
        <v>30</v>
      </c>
      <c r="N604" s="193">
        <f t="shared" si="28"/>
        <v>0.48413284132841328</v>
      </c>
      <c r="O604" s="194">
        <f t="shared" si="29"/>
        <v>1.6137761377613778E-2</v>
      </c>
    </row>
    <row r="605" spans="1:15" ht="12.75" customHeight="1">
      <c r="A605" s="188" t="s">
        <v>620</v>
      </c>
      <c r="B605" s="188" t="s">
        <v>1394</v>
      </c>
      <c r="C605" s="188" t="s">
        <v>641</v>
      </c>
      <c r="D605" s="188" t="s">
        <v>1587</v>
      </c>
      <c r="E605" s="189">
        <v>39447</v>
      </c>
      <c r="F605" s="190">
        <v>0</v>
      </c>
      <c r="G605" s="190">
        <v>64</v>
      </c>
      <c r="H605" s="191">
        <v>484.17</v>
      </c>
      <c r="I605" s="191">
        <v>250</v>
      </c>
      <c r="J605" s="188" t="s">
        <v>635</v>
      </c>
      <c r="K605" s="188" t="s">
        <v>338</v>
      </c>
      <c r="L605" s="188" t="s">
        <v>636</v>
      </c>
      <c r="M605" s="192">
        <f t="shared" si="27"/>
        <v>30</v>
      </c>
      <c r="N605" s="193">
        <f t="shared" si="28"/>
        <v>0.48416999999999999</v>
      </c>
      <c r="O605" s="194">
        <f t="shared" si="29"/>
        <v>1.6139000000000001E-2</v>
      </c>
    </row>
    <row r="606" spans="1:15" ht="12.75" customHeight="1">
      <c r="A606" s="188" t="s">
        <v>620</v>
      </c>
      <c r="B606" s="188" t="s">
        <v>1394</v>
      </c>
      <c r="C606" s="188" t="s">
        <v>641</v>
      </c>
      <c r="D606" s="188" t="s">
        <v>1588</v>
      </c>
      <c r="E606" s="189">
        <v>39618</v>
      </c>
      <c r="F606" s="190">
        <v>0</v>
      </c>
      <c r="G606" s="190">
        <v>115.2</v>
      </c>
      <c r="H606" s="191">
        <v>789.84</v>
      </c>
      <c r="I606" s="191">
        <v>450</v>
      </c>
      <c r="J606" s="188" t="s">
        <v>639</v>
      </c>
      <c r="K606" s="188" t="s">
        <v>338</v>
      </c>
      <c r="L606" s="188" t="s">
        <v>718</v>
      </c>
      <c r="M606" s="192">
        <f t="shared" si="27"/>
        <v>27</v>
      </c>
      <c r="N606" s="193">
        <f t="shared" si="28"/>
        <v>0.43880000000000002</v>
      </c>
      <c r="O606" s="194">
        <f t="shared" si="29"/>
        <v>1.6251851851851854E-2</v>
      </c>
    </row>
    <row r="607" spans="1:15" ht="12.75" customHeight="1">
      <c r="A607" s="188" t="s">
        <v>620</v>
      </c>
      <c r="B607" s="188" t="s">
        <v>1394</v>
      </c>
      <c r="C607" s="188" t="s">
        <v>641</v>
      </c>
      <c r="D607" s="188" t="s">
        <v>1589</v>
      </c>
      <c r="E607" s="189">
        <v>39604</v>
      </c>
      <c r="F607" s="190">
        <v>0</v>
      </c>
      <c r="G607" s="190">
        <v>102.4</v>
      </c>
      <c r="H607" s="191">
        <v>990</v>
      </c>
      <c r="I607" s="191">
        <v>400</v>
      </c>
      <c r="J607" s="188" t="s">
        <v>624</v>
      </c>
      <c r="K607" s="188" t="s">
        <v>338</v>
      </c>
      <c r="L607" s="188" t="s">
        <v>625</v>
      </c>
      <c r="M607" s="192">
        <f t="shared" si="27"/>
        <v>38</v>
      </c>
      <c r="N607" s="193">
        <f t="shared" si="28"/>
        <v>0.61875000000000002</v>
      </c>
      <c r="O607" s="194">
        <f t="shared" si="29"/>
        <v>1.6282894736842107E-2</v>
      </c>
    </row>
    <row r="608" spans="1:15" ht="12.75" customHeight="1">
      <c r="A608" s="188" t="s">
        <v>620</v>
      </c>
      <c r="B608" s="188" t="s">
        <v>1394</v>
      </c>
      <c r="C608" s="188" t="s">
        <v>641</v>
      </c>
      <c r="D608" s="188" t="s">
        <v>1590</v>
      </c>
      <c r="E608" s="189">
        <v>39447</v>
      </c>
      <c r="F608" s="190">
        <v>0</v>
      </c>
      <c r="G608" s="190">
        <v>63.49</v>
      </c>
      <c r="H608" s="191">
        <v>485</v>
      </c>
      <c r="I608" s="191">
        <v>248</v>
      </c>
      <c r="J608" s="188" t="s">
        <v>635</v>
      </c>
      <c r="K608" s="188" t="s">
        <v>338</v>
      </c>
      <c r="L608" s="188" t="s">
        <v>1591</v>
      </c>
      <c r="M608" s="192">
        <f t="shared" si="27"/>
        <v>30</v>
      </c>
      <c r="N608" s="193">
        <f t="shared" si="28"/>
        <v>0.48891129032258063</v>
      </c>
      <c r="O608" s="194">
        <f t="shared" si="29"/>
        <v>1.6297043010752688E-2</v>
      </c>
    </row>
    <row r="609" spans="1:15" ht="12.75" customHeight="1">
      <c r="A609" s="188" t="s">
        <v>620</v>
      </c>
      <c r="B609" s="188" t="s">
        <v>1394</v>
      </c>
      <c r="C609" s="188" t="s">
        <v>641</v>
      </c>
      <c r="D609" s="188" t="s">
        <v>1592</v>
      </c>
      <c r="E609" s="189">
        <v>39407</v>
      </c>
      <c r="F609" s="190">
        <v>0</v>
      </c>
      <c r="G609" s="190">
        <v>107.07</v>
      </c>
      <c r="H609" s="191">
        <v>600</v>
      </c>
      <c r="I609" s="191">
        <v>418.25</v>
      </c>
      <c r="J609" s="188" t="s">
        <v>710</v>
      </c>
      <c r="K609" s="188" t="s">
        <v>338</v>
      </c>
      <c r="L609" s="188" t="s">
        <v>1593</v>
      </c>
      <c r="M609" s="192">
        <f t="shared" si="27"/>
        <v>22</v>
      </c>
      <c r="N609" s="193">
        <f t="shared" si="28"/>
        <v>0.35863717872086071</v>
      </c>
      <c r="O609" s="194">
        <f t="shared" si="29"/>
        <v>1.6301689941857305E-2</v>
      </c>
    </row>
    <row r="610" spans="1:15" ht="12.75" customHeight="1">
      <c r="A610" s="188" t="s">
        <v>620</v>
      </c>
      <c r="B610" s="188" t="s">
        <v>1394</v>
      </c>
      <c r="C610" s="188" t="s">
        <v>641</v>
      </c>
      <c r="D610" s="188" t="s">
        <v>1594</v>
      </c>
      <c r="E610" s="189">
        <v>39568</v>
      </c>
      <c r="F610" s="190">
        <v>0</v>
      </c>
      <c r="G610" s="190">
        <v>55.62</v>
      </c>
      <c r="H610" s="191">
        <v>425</v>
      </c>
      <c r="I610" s="191">
        <v>217.25</v>
      </c>
      <c r="J610" s="188" t="s">
        <v>635</v>
      </c>
      <c r="K610" s="188" t="s">
        <v>338</v>
      </c>
      <c r="L610" s="188" t="s">
        <v>1376</v>
      </c>
      <c r="M610" s="192">
        <f t="shared" si="27"/>
        <v>30</v>
      </c>
      <c r="N610" s="193">
        <f t="shared" si="28"/>
        <v>0.48906789413118529</v>
      </c>
      <c r="O610" s="194">
        <f t="shared" si="29"/>
        <v>1.6302263137706177E-2</v>
      </c>
    </row>
    <row r="611" spans="1:15" ht="12.75" customHeight="1">
      <c r="A611" s="188" t="s">
        <v>620</v>
      </c>
      <c r="B611" s="188" t="s">
        <v>1394</v>
      </c>
      <c r="C611" s="188" t="s">
        <v>641</v>
      </c>
      <c r="D611" s="188" t="s">
        <v>1595</v>
      </c>
      <c r="E611" s="189">
        <v>39269</v>
      </c>
      <c r="F611" s="190">
        <v>0</v>
      </c>
      <c r="G611" s="190">
        <v>30.27</v>
      </c>
      <c r="H611" s="191">
        <v>293.02</v>
      </c>
      <c r="I611" s="191">
        <v>118.25</v>
      </c>
      <c r="J611" s="188" t="s">
        <v>624</v>
      </c>
      <c r="K611" s="188" t="s">
        <v>338</v>
      </c>
      <c r="L611" s="188" t="s">
        <v>1596</v>
      </c>
      <c r="M611" s="192">
        <f t="shared" si="27"/>
        <v>38</v>
      </c>
      <c r="N611" s="193">
        <f t="shared" si="28"/>
        <v>0.61949260042283294</v>
      </c>
      <c r="O611" s="194">
        <f t="shared" si="29"/>
        <v>1.6302436853232447E-2</v>
      </c>
    </row>
    <row r="612" spans="1:15" ht="12.75" customHeight="1">
      <c r="A612" s="188" t="s">
        <v>620</v>
      </c>
      <c r="B612" s="188" t="s">
        <v>1394</v>
      </c>
      <c r="C612" s="188" t="s">
        <v>641</v>
      </c>
      <c r="D612" s="188" t="s">
        <v>1597</v>
      </c>
      <c r="E612" s="189">
        <v>39310</v>
      </c>
      <c r="F612" s="190">
        <v>0</v>
      </c>
      <c r="G612" s="190">
        <v>25.6</v>
      </c>
      <c r="H612" s="191">
        <v>248</v>
      </c>
      <c r="I612" s="191">
        <v>100</v>
      </c>
      <c r="J612" s="188" t="s">
        <v>624</v>
      </c>
      <c r="K612" s="188" t="s">
        <v>338</v>
      </c>
      <c r="L612" s="188" t="s">
        <v>910</v>
      </c>
      <c r="M612" s="192">
        <f t="shared" si="27"/>
        <v>38</v>
      </c>
      <c r="N612" s="193">
        <f t="shared" si="28"/>
        <v>0.62</v>
      </c>
      <c r="O612" s="194">
        <f t="shared" si="29"/>
        <v>1.6315789473684211E-2</v>
      </c>
    </row>
    <row r="613" spans="1:15" ht="12.75" customHeight="1">
      <c r="A613" s="188" t="s">
        <v>620</v>
      </c>
      <c r="B613" s="188" t="s">
        <v>1394</v>
      </c>
      <c r="C613" s="188" t="s">
        <v>641</v>
      </c>
      <c r="D613" s="188" t="s">
        <v>1598</v>
      </c>
      <c r="E613" s="189">
        <v>39429</v>
      </c>
      <c r="F613" s="190">
        <v>0</v>
      </c>
      <c r="G613" s="190">
        <v>76.8</v>
      </c>
      <c r="H613" s="191">
        <v>744</v>
      </c>
      <c r="I613" s="191">
        <v>300</v>
      </c>
      <c r="J613" s="188" t="s">
        <v>624</v>
      </c>
      <c r="K613" s="188" t="s">
        <v>338</v>
      </c>
      <c r="L613" s="188" t="s">
        <v>632</v>
      </c>
      <c r="M613" s="192">
        <f t="shared" si="27"/>
        <v>38</v>
      </c>
      <c r="N613" s="193">
        <f t="shared" si="28"/>
        <v>0.62</v>
      </c>
      <c r="O613" s="194">
        <f t="shared" si="29"/>
        <v>1.6315789473684211E-2</v>
      </c>
    </row>
    <row r="614" spans="1:15" ht="12.75" customHeight="1">
      <c r="A614" s="188" t="s">
        <v>620</v>
      </c>
      <c r="B614" s="188" t="s">
        <v>1394</v>
      </c>
      <c r="C614" s="188" t="s">
        <v>641</v>
      </c>
      <c r="D614" s="188" t="s">
        <v>1599</v>
      </c>
      <c r="E614" s="189">
        <v>39611</v>
      </c>
      <c r="F614" s="190">
        <v>0</v>
      </c>
      <c r="G614" s="190">
        <v>85.38</v>
      </c>
      <c r="H614" s="191">
        <v>653</v>
      </c>
      <c r="I614" s="191">
        <v>333.5</v>
      </c>
      <c r="J614" s="188" t="s">
        <v>635</v>
      </c>
      <c r="K614" s="188" t="s">
        <v>338</v>
      </c>
      <c r="L614" s="188" t="s">
        <v>368</v>
      </c>
      <c r="M614" s="192">
        <f t="shared" si="27"/>
        <v>30</v>
      </c>
      <c r="N614" s="193">
        <f t="shared" si="28"/>
        <v>0.48950524737631185</v>
      </c>
      <c r="O614" s="194">
        <f t="shared" si="29"/>
        <v>1.6316841579210394E-2</v>
      </c>
    </row>
    <row r="615" spans="1:15" ht="12.75" customHeight="1">
      <c r="A615" s="188" t="s">
        <v>620</v>
      </c>
      <c r="B615" s="188" t="s">
        <v>1394</v>
      </c>
      <c r="C615" s="188" t="s">
        <v>641</v>
      </c>
      <c r="D615" s="188" t="s">
        <v>1600</v>
      </c>
      <c r="E615" s="189">
        <v>39282</v>
      </c>
      <c r="F615" s="190">
        <v>0</v>
      </c>
      <c r="G615" s="190">
        <v>73.150000000000006</v>
      </c>
      <c r="H615" s="191">
        <v>560.07000000000005</v>
      </c>
      <c r="I615" s="191">
        <v>285.75</v>
      </c>
      <c r="J615" s="188" t="s">
        <v>635</v>
      </c>
      <c r="K615" s="188" t="s">
        <v>338</v>
      </c>
      <c r="L615" s="188" t="s">
        <v>1601</v>
      </c>
      <c r="M615" s="192">
        <f t="shared" si="27"/>
        <v>30</v>
      </c>
      <c r="N615" s="193">
        <f t="shared" si="28"/>
        <v>0.49000000000000005</v>
      </c>
      <c r="O615" s="194">
        <f t="shared" si="29"/>
        <v>1.6333333333333335E-2</v>
      </c>
    </row>
    <row r="616" spans="1:15" ht="12.75" customHeight="1">
      <c r="A616" s="188" t="s">
        <v>620</v>
      </c>
      <c r="B616" s="188" t="s">
        <v>1394</v>
      </c>
      <c r="C616" s="188" t="s">
        <v>641</v>
      </c>
      <c r="D616" s="188" t="s">
        <v>1602</v>
      </c>
      <c r="E616" s="189">
        <v>39471</v>
      </c>
      <c r="F616" s="190">
        <v>0</v>
      </c>
      <c r="G616" s="190">
        <v>144.32</v>
      </c>
      <c r="H616" s="191">
        <v>1400</v>
      </c>
      <c r="I616" s="191">
        <v>563.75</v>
      </c>
      <c r="J616" s="188" t="s">
        <v>624</v>
      </c>
      <c r="K616" s="188" t="s">
        <v>338</v>
      </c>
      <c r="L616" s="188" t="s">
        <v>1603</v>
      </c>
      <c r="M616" s="192">
        <f t="shared" si="27"/>
        <v>38</v>
      </c>
      <c r="N616" s="193">
        <f t="shared" si="28"/>
        <v>0.62084257206208426</v>
      </c>
      <c r="O616" s="194">
        <f t="shared" si="29"/>
        <v>1.6337962422686429E-2</v>
      </c>
    </row>
    <row r="617" spans="1:15" ht="12.75" customHeight="1">
      <c r="A617" s="188" t="s">
        <v>620</v>
      </c>
      <c r="B617" s="188" t="s">
        <v>1394</v>
      </c>
      <c r="C617" s="188" t="s">
        <v>641</v>
      </c>
      <c r="D617" s="188" t="s">
        <v>1604</v>
      </c>
      <c r="E617" s="189">
        <v>39429</v>
      </c>
      <c r="F617" s="190">
        <v>0</v>
      </c>
      <c r="G617" s="190">
        <v>9.2799999999999994</v>
      </c>
      <c r="H617" s="191">
        <v>45.04</v>
      </c>
      <c r="I617" s="191">
        <v>36.25</v>
      </c>
      <c r="J617" s="188" t="s">
        <v>667</v>
      </c>
      <c r="K617" s="188" t="s">
        <v>338</v>
      </c>
      <c r="L617" s="188" t="s">
        <v>1605</v>
      </c>
      <c r="M617" s="192">
        <f t="shared" si="27"/>
        <v>19</v>
      </c>
      <c r="N617" s="193">
        <f t="shared" si="28"/>
        <v>0.31062068965517242</v>
      </c>
      <c r="O617" s="194">
        <f t="shared" si="29"/>
        <v>1.6348457350272232E-2</v>
      </c>
    </row>
    <row r="618" spans="1:15" ht="12.75" customHeight="1">
      <c r="A618" s="188" t="s">
        <v>620</v>
      </c>
      <c r="B618" s="188" t="s">
        <v>1394</v>
      </c>
      <c r="C618" s="188" t="s">
        <v>641</v>
      </c>
      <c r="D618" s="188" t="s">
        <v>1606</v>
      </c>
      <c r="E618" s="189">
        <v>39269</v>
      </c>
      <c r="F618" s="190">
        <v>0</v>
      </c>
      <c r="G618" s="190">
        <v>132.80000000000001</v>
      </c>
      <c r="H618" s="191">
        <v>747</v>
      </c>
      <c r="I618" s="191">
        <v>518.75</v>
      </c>
      <c r="J618" s="188" t="s">
        <v>710</v>
      </c>
      <c r="K618" s="188" t="s">
        <v>338</v>
      </c>
      <c r="L618" s="188" t="s">
        <v>1607</v>
      </c>
      <c r="M618" s="192">
        <f t="shared" si="27"/>
        <v>22</v>
      </c>
      <c r="N618" s="193">
        <f t="shared" si="28"/>
        <v>0.36</v>
      </c>
      <c r="O618" s="194">
        <f t="shared" si="29"/>
        <v>1.6363636363636361E-2</v>
      </c>
    </row>
    <row r="619" spans="1:15" ht="12.75" customHeight="1">
      <c r="A619" s="188" t="s">
        <v>620</v>
      </c>
      <c r="B619" s="188" t="s">
        <v>1394</v>
      </c>
      <c r="C619" s="188" t="s">
        <v>641</v>
      </c>
      <c r="D619" s="188" t="s">
        <v>1608</v>
      </c>
      <c r="E619" s="189">
        <v>39269</v>
      </c>
      <c r="F619" s="190">
        <v>0</v>
      </c>
      <c r="G619" s="190">
        <v>107.39</v>
      </c>
      <c r="H619" s="191">
        <v>825.07</v>
      </c>
      <c r="I619" s="191">
        <v>419.5</v>
      </c>
      <c r="J619" s="188" t="s">
        <v>635</v>
      </c>
      <c r="K619" s="188" t="s">
        <v>338</v>
      </c>
      <c r="L619" s="188" t="s">
        <v>1609</v>
      </c>
      <c r="M619" s="192">
        <f t="shared" si="27"/>
        <v>30</v>
      </c>
      <c r="N619" s="193">
        <f t="shared" si="28"/>
        <v>0.4916984505363528</v>
      </c>
      <c r="O619" s="194">
        <f t="shared" si="29"/>
        <v>1.6389948351211759E-2</v>
      </c>
    </row>
    <row r="620" spans="1:15" ht="12.75" customHeight="1">
      <c r="A620" s="188" t="s">
        <v>620</v>
      </c>
      <c r="B620" s="188" t="s">
        <v>1394</v>
      </c>
      <c r="C620" s="188" t="s">
        <v>641</v>
      </c>
      <c r="D620" s="188" t="s">
        <v>1610</v>
      </c>
      <c r="E620" s="189">
        <v>39331</v>
      </c>
      <c r="F620" s="190">
        <v>0</v>
      </c>
      <c r="G620" s="190">
        <v>43.52</v>
      </c>
      <c r="H620" s="191">
        <v>423.98</v>
      </c>
      <c r="I620" s="191">
        <v>170</v>
      </c>
      <c r="J620" s="188" t="s">
        <v>624</v>
      </c>
      <c r="K620" s="188" t="s">
        <v>338</v>
      </c>
      <c r="L620" s="188" t="s">
        <v>1611</v>
      </c>
      <c r="M620" s="192">
        <f t="shared" si="27"/>
        <v>38</v>
      </c>
      <c r="N620" s="193">
        <f t="shared" si="28"/>
        <v>0.62350000000000005</v>
      </c>
      <c r="O620" s="194">
        <f t="shared" si="29"/>
        <v>1.6407894736842107E-2</v>
      </c>
    </row>
    <row r="621" spans="1:15" ht="12.75" customHeight="1">
      <c r="A621" s="188" t="s">
        <v>620</v>
      </c>
      <c r="B621" s="188" t="s">
        <v>1394</v>
      </c>
      <c r="C621" s="188" t="s">
        <v>641</v>
      </c>
      <c r="D621" s="188" t="s">
        <v>1612</v>
      </c>
      <c r="E621" s="189">
        <v>39289</v>
      </c>
      <c r="F621" s="190">
        <v>0</v>
      </c>
      <c r="G621" s="190">
        <v>51.2</v>
      </c>
      <c r="H621" s="191">
        <v>500</v>
      </c>
      <c r="I621" s="191">
        <v>200</v>
      </c>
      <c r="J621" s="188" t="s">
        <v>624</v>
      </c>
      <c r="K621" s="188" t="s">
        <v>338</v>
      </c>
      <c r="L621" s="188" t="s">
        <v>752</v>
      </c>
      <c r="M621" s="192">
        <f t="shared" si="27"/>
        <v>38</v>
      </c>
      <c r="N621" s="193">
        <f t="shared" si="28"/>
        <v>0.625</v>
      </c>
      <c r="O621" s="194">
        <f t="shared" si="29"/>
        <v>1.6447368421052631E-2</v>
      </c>
    </row>
    <row r="622" spans="1:15" ht="12.75" customHeight="1">
      <c r="A622" s="188" t="s">
        <v>620</v>
      </c>
      <c r="B622" s="188" t="s">
        <v>1394</v>
      </c>
      <c r="C622" s="188" t="s">
        <v>641</v>
      </c>
      <c r="D622" s="188" t="s">
        <v>1613</v>
      </c>
      <c r="E622" s="189">
        <v>39387</v>
      </c>
      <c r="F622" s="190">
        <v>0</v>
      </c>
      <c r="G622" s="190">
        <v>25.92</v>
      </c>
      <c r="H622" s="191">
        <v>200</v>
      </c>
      <c r="I622" s="191">
        <v>101.25</v>
      </c>
      <c r="J622" s="188" t="s">
        <v>652</v>
      </c>
      <c r="K622" s="188" t="s">
        <v>549</v>
      </c>
      <c r="L622" s="188" t="s">
        <v>1459</v>
      </c>
      <c r="M622" s="192">
        <f t="shared" si="27"/>
        <v>30</v>
      </c>
      <c r="N622" s="193">
        <f t="shared" si="28"/>
        <v>0.49382716049382713</v>
      </c>
      <c r="O622" s="194">
        <f t="shared" si="29"/>
        <v>1.6460905349794237E-2</v>
      </c>
    </row>
    <row r="623" spans="1:15" ht="12.75" customHeight="1">
      <c r="A623" s="188" t="s">
        <v>620</v>
      </c>
      <c r="B623" s="188" t="s">
        <v>1394</v>
      </c>
      <c r="C623" s="188" t="s">
        <v>641</v>
      </c>
      <c r="D623" s="188" t="s">
        <v>1614</v>
      </c>
      <c r="E623" s="189">
        <v>39499</v>
      </c>
      <c r="F623" s="190">
        <v>0</v>
      </c>
      <c r="G623" s="190">
        <v>64.260000000000005</v>
      </c>
      <c r="H623" s="191">
        <v>315</v>
      </c>
      <c r="I623" s="191">
        <v>251</v>
      </c>
      <c r="J623" s="188" t="s">
        <v>667</v>
      </c>
      <c r="K623" s="188" t="s">
        <v>338</v>
      </c>
      <c r="L623" s="188" t="s">
        <v>1615</v>
      </c>
      <c r="M623" s="192">
        <f t="shared" si="27"/>
        <v>19</v>
      </c>
      <c r="N623" s="193">
        <f t="shared" si="28"/>
        <v>0.31374501992031872</v>
      </c>
      <c r="O623" s="194">
        <f t="shared" si="29"/>
        <v>1.6512895785279934E-2</v>
      </c>
    </row>
    <row r="624" spans="1:15" ht="12.75" customHeight="1">
      <c r="A624" s="188" t="s">
        <v>620</v>
      </c>
      <c r="B624" s="188" t="s">
        <v>1394</v>
      </c>
      <c r="C624" s="188" t="s">
        <v>641</v>
      </c>
      <c r="D624" s="188" t="s">
        <v>1616</v>
      </c>
      <c r="E624" s="189">
        <v>39261</v>
      </c>
      <c r="F624" s="190">
        <v>0</v>
      </c>
      <c r="G624" s="190">
        <v>96</v>
      </c>
      <c r="H624" s="191">
        <v>619.95000000000005</v>
      </c>
      <c r="I624" s="191">
        <v>375</v>
      </c>
      <c r="J624" s="188" t="s">
        <v>652</v>
      </c>
      <c r="K624" s="188" t="s">
        <v>338</v>
      </c>
      <c r="L624" s="188" t="s">
        <v>746</v>
      </c>
      <c r="M624" s="192">
        <f t="shared" si="27"/>
        <v>25</v>
      </c>
      <c r="N624" s="193">
        <f t="shared" si="28"/>
        <v>0.41330000000000006</v>
      </c>
      <c r="O624" s="194">
        <f t="shared" si="29"/>
        <v>1.6532000000000002E-2</v>
      </c>
    </row>
    <row r="625" spans="1:15" ht="12.75" customHeight="1">
      <c r="A625" s="188" t="s">
        <v>620</v>
      </c>
      <c r="B625" s="188" t="s">
        <v>1394</v>
      </c>
      <c r="C625" s="188" t="s">
        <v>641</v>
      </c>
      <c r="D625" s="188" t="s">
        <v>1617</v>
      </c>
      <c r="E625" s="189">
        <v>39562</v>
      </c>
      <c r="F625" s="190">
        <v>0</v>
      </c>
      <c r="G625" s="190">
        <v>59.9</v>
      </c>
      <c r="H625" s="191">
        <v>310</v>
      </c>
      <c r="I625" s="191">
        <v>234</v>
      </c>
      <c r="J625" s="188" t="s">
        <v>560</v>
      </c>
      <c r="K625" s="188" t="s">
        <v>338</v>
      </c>
      <c r="L625" s="188" t="s">
        <v>1618</v>
      </c>
      <c r="M625" s="192">
        <f t="shared" si="27"/>
        <v>20</v>
      </c>
      <c r="N625" s="193">
        <f t="shared" si="28"/>
        <v>0.33119658119658119</v>
      </c>
      <c r="O625" s="194">
        <f t="shared" si="29"/>
        <v>1.655982905982906E-2</v>
      </c>
    </row>
    <row r="626" spans="1:15" ht="12.75" customHeight="1">
      <c r="A626" s="188" t="s">
        <v>620</v>
      </c>
      <c r="B626" s="188" t="s">
        <v>1394</v>
      </c>
      <c r="C626" s="188" t="s">
        <v>641</v>
      </c>
      <c r="D626" s="188" t="s">
        <v>1619</v>
      </c>
      <c r="E626" s="189">
        <v>39576</v>
      </c>
      <c r="F626" s="190">
        <v>0</v>
      </c>
      <c r="G626" s="190">
        <v>78.72</v>
      </c>
      <c r="H626" s="191">
        <v>550</v>
      </c>
      <c r="I626" s="191">
        <v>307.5</v>
      </c>
      <c r="J626" s="188" t="s">
        <v>639</v>
      </c>
      <c r="K626" s="188" t="s">
        <v>338</v>
      </c>
      <c r="L626" s="188" t="s">
        <v>475</v>
      </c>
      <c r="M626" s="192">
        <f t="shared" si="27"/>
        <v>27</v>
      </c>
      <c r="N626" s="193">
        <f t="shared" si="28"/>
        <v>0.44715447154471544</v>
      </c>
      <c r="O626" s="194">
        <f t="shared" si="29"/>
        <v>1.6561276723878349E-2</v>
      </c>
    </row>
    <row r="627" spans="1:15" ht="12.75" customHeight="1">
      <c r="A627" s="188" t="s">
        <v>620</v>
      </c>
      <c r="B627" s="188" t="s">
        <v>1394</v>
      </c>
      <c r="C627" s="188" t="s">
        <v>641</v>
      </c>
      <c r="D627" s="188" t="s">
        <v>1620</v>
      </c>
      <c r="E627" s="189">
        <v>39422</v>
      </c>
      <c r="F627" s="190">
        <v>0</v>
      </c>
      <c r="G627" s="190">
        <v>55.23</v>
      </c>
      <c r="H627" s="191">
        <v>700.72</v>
      </c>
      <c r="I627" s="191">
        <v>215.75</v>
      </c>
      <c r="J627" s="188" t="s">
        <v>624</v>
      </c>
      <c r="K627" s="188" t="s">
        <v>648</v>
      </c>
      <c r="L627" s="188" t="s">
        <v>1621</v>
      </c>
      <c r="M627" s="192">
        <f t="shared" si="27"/>
        <v>49</v>
      </c>
      <c r="N627" s="193">
        <f t="shared" si="28"/>
        <v>0.81195828505214374</v>
      </c>
      <c r="O627" s="194">
        <f t="shared" si="29"/>
        <v>1.6570577245962118E-2</v>
      </c>
    </row>
    <row r="628" spans="1:15" ht="12.75" customHeight="1">
      <c r="A628" s="188" t="s">
        <v>620</v>
      </c>
      <c r="B628" s="188" t="s">
        <v>1394</v>
      </c>
      <c r="C628" s="188" t="s">
        <v>641</v>
      </c>
      <c r="D628" s="188" t="s">
        <v>1622</v>
      </c>
      <c r="E628" s="189">
        <v>39471</v>
      </c>
      <c r="F628" s="190">
        <v>0</v>
      </c>
      <c r="G628" s="190">
        <v>77.95</v>
      </c>
      <c r="H628" s="191">
        <v>545</v>
      </c>
      <c r="I628" s="191">
        <v>304.5</v>
      </c>
      <c r="J628" s="188" t="s">
        <v>639</v>
      </c>
      <c r="K628" s="188" t="s">
        <v>338</v>
      </c>
      <c r="L628" s="188" t="s">
        <v>628</v>
      </c>
      <c r="M628" s="192">
        <f t="shared" si="27"/>
        <v>27</v>
      </c>
      <c r="N628" s="193">
        <f t="shared" si="28"/>
        <v>0.44745484400656815</v>
      </c>
      <c r="O628" s="194">
        <f t="shared" si="29"/>
        <v>1.6572401629872894E-2</v>
      </c>
    </row>
    <row r="629" spans="1:15" ht="12.75" customHeight="1">
      <c r="A629" s="188" t="s">
        <v>620</v>
      </c>
      <c r="B629" s="188" t="s">
        <v>1394</v>
      </c>
      <c r="C629" s="188" t="s">
        <v>641</v>
      </c>
      <c r="D629" s="188" t="s">
        <v>1623</v>
      </c>
      <c r="E629" s="189">
        <v>39576</v>
      </c>
      <c r="F629" s="190">
        <v>0</v>
      </c>
      <c r="G629" s="190">
        <v>60.8</v>
      </c>
      <c r="H629" s="191">
        <v>600</v>
      </c>
      <c r="I629" s="191">
        <v>237.5</v>
      </c>
      <c r="J629" s="188" t="s">
        <v>624</v>
      </c>
      <c r="K629" s="188" t="s">
        <v>338</v>
      </c>
      <c r="L629" s="188" t="s">
        <v>1164</v>
      </c>
      <c r="M629" s="192">
        <f t="shared" si="27"/>
        <v>38</v>
      </c>
      <c r="N629" s="193">
        <f t="shared" si="28"/>
        <v>0.63157894736842102</v>
      </c>
      <c r="O629" s="194">
        <f t="shared" si="29"/>
        <v>1.6620498614958446E-2</v>
      </c>
    </row>
    <row r="630" spans="1:15" ht="12.75" customHeight="1">
      <c r="A630" s="188" t="s">
        <v>620</v>
      </c>
      <c r="B630" s="188" t="s">
        <v>1394</v>
      </c>
      <c r="C630" s="188" t="s">
        <v>641</v>
      </c>
      <c r="D630" s="188" t="s">
        <v>1624</v>
      </c>
      <c r="E630" s="189">
        <v>39520</v>
      </c>
      <c r="F630" s="190">
        <v>0</v>
      </c>
      <c r="G630" s="190">
        <v>52.8</v>
      </c>
      <c r="H630" s="191">
        <v>548.5</v>
      </c>
      <c r="I630" s="191">
        <v>206.25</v>
      </c>
      <c r="J630" s="188" t="s">
        <v>750</v>
      </c>
      <c r="K630" s="188" t="s">
        <v>299</v>
      </c>
      <c r="L630" s="188" t="s">
        <v>1577</v>
      </c>
      <c r="M630" s="192">
        <f t="shared" si="27"/>
        <v>40</v>
      </c>
      <c r="N630" s="193">
        <f t="shared" si="28"/>
        <v>0.6648484848484848</v>
      </c>
      <c r="O630" s="194">
        <f t="shared" si="29"/>
        <v>1.662121212121212E-2</v>
      </c>
    </row>
    <row r="631" spans="1:15" ht="12.75" customHeight="1">
      <c r="A631" s="188" t="s">
        <v>620</v>
      </c>
      <c r="B631" s="188" t="s">
        <v>1394</v>
      </c>
      <c r="C631" s="188" t="s">
        <v>641</v>
      </c>
      <c r="D631" s="188" t="s">
        <v>1625</v>
      </c>
      <c r="E631" s="189">
        <v>39401</v>
      </c>
      <c r="F631" s="190">
        <v>0</v>
      </c>
      <c r="G631" s="190">
        <v>51.2</v>
      </c>
      <c r="H631" s="191">
        <v>400</v>
      </c>
      <c r="I631" s="191">
        <v>200</v>
      </c>
      <c r="J631" s="188" t="s">
        <v>635</v>
      </c>
      <c r="K631" s="188" t="s">
        <v>338</v>
      </c>
      <c r="L631" s="188" t="s">
        <v>752</v>
      </c>
      <c r="M631" s="192">
        <f t="shared" si="27"/>
        <v>30</v>
      </c>
      <c r="N631" s="193">
        <f t="shared" si="28"/>
        <v>0.5</v>
      </c>
      <c r="O631" s="194">
        <f t="shared" si="29"/>
        <v>1.6666666666666666E-2</v>
      </c>
    </row>
    <row r="632" spans="1:15" ht="12.75" customHeight="1">
      <c r="A632" s="188" t="s">
        <v>620</v>
      </c>
      <c r="B632" s="188" t="s">
        <v>1394</v>
      </c>
      <c r="C632" s="188" t="s">
        <v>641</v>
      </c>
      <c r="D632" s="188" t="s">
        <v>1626</v>
      </c>
      <c r="E632" s="189">
        <v>39447</v>
      </c>
      <c r="F632" s="190">
        <v>0</v>
      </c>
      <c r="G632" s="190">
        <v>96</v>
      </c>
      <c r="H632" s="191">
        <v>625</v>
      </c>
      <c r="I632" s="191">
        <v>375</v>
      </c>
      <c r="J632" s="188" t="s">
        <v>571</v>
      </c>
      <c r="K632" s="188" t="s">
        <v>327</v>
      </c>
      <c r="L632" s="188" t="s">
        <v>746</v>
      </c>
      <c r="M632" s="192">
        <f t="shared" si="27"/>
        <v>25</v>
      </c>
      <c r="N632" s="193">
        <f t="shared" si="28"/>
        <v>0.41666666666666669</v>
      </c>
      <c r="O632" s="194">
        <f t="shared" si="29"/>
        <v>1.6666666666666666E-2</v>
      </c>
    </row>
    <row r="633" spans="1:15" ht="12.75" customHeight="1">
      <c r="A633" s="188" t="s">
        <v>620</v>
      </c>
      <c r="B633" s="188" t="s">
        <v>1394</v>
      </c>
      <c r="C633" s="188" t="s">
        <v>641</v>
      </c>
      <c r="D633" s="188" t="s">
        <v>1627</v>
      </c>
      <c r="E633" s="189">
        <v>39513</v>
      </c>
      <c r="F633" s="190">
        <v>0</v>
      </c>
      <c r="G633" s="190">
        <v>99.84</v>
      </c>
      <c r="H633" s="191">
        <v>650</v>
      </c>
      <c r="I633" s="191">
        <v>390</v>
      </c>
      <c r="J633" s="188" t="s">
        <v>652</v>
      </c>
      <c r="K633" s="188" t="s">
        <v>338</v>
      </c>
      <c r="L633" s="188" t="s">
        <v>797</v>
      </c>
      <c r="M633" s="192">
        <f t="shared" si="27"/>
        <v>25</v>
      </c>
      <c r="N633" s="193">
        <f t="shared" si="28"/>
        <v>0.41666666666666669</v>
      </c>
      <c r="O633" s="194">
        <f t="shared" si="29"/>
        <v>1.6666666666666666E-2</v>
      </c>
    </row>
    <row r="634" spans="1:15" ht="12.75" customHeight="1">
      <c r="A634" s="188" t="s">
        <v>620</v>
      </c>
      <c r="B634" s="188" t="s">
        <v>1394</v>
      </c>
      <c r="C634" s="188" t="s">
        <v>641</v>
      </c>
      <c r="D634" s="188" t="s">
        <v>1628</v>
      </c>
      <c r="E634" s="189">
        <v>39527</v>
      </c>
      <c r="F634" s="190">
        <v>0</v>
      </c>
      <c r="G634" s="190">
        <v>108.8</v>
      </c>
      <c r="H634" s="191">
        <v>850</v>
      </c>
      <c r="I634" s="191">
        <v>425</v>
      </c>
      <c r="J634" s="188" t="s">
        <v>635</v>
      </c>
      <c r="K634" s="188" t="s">
        <v>338</v>
      </c>
      <c r="L634" s="188" t="s">
        <v>833</v>
      </c>
      <c r="M634" s="192">
        <f t="shared" si="27"/>
        <v>30</v>
      </c>
      <c r="N634" s="193">
        <f t="shared" si="28"/>
        <v>0.5</v>
      </c>
      <c r="O634" s="194">
        <f t="shared" si="29"/>
        <v>1.6666666666666666E-2</v>
      </c>
    </row>
    <row r="635" spans="1:15" ht="12.75" customHeight="1">
      <c r="A635" s="188" t="s">
        <v>620</v>
      </c>
      <c r="B635" s="188" t="s">
        <v>1394</v>
      </c>
      <c r="C635" s="188" t="s">
        <v>641</v>
      </c>
      <c r="D635" s="188" t="s">
        <v>1629</v>
      </c>
      <c r="E635" s="189">
        <v>39527</v>
      </c>
      <c r="F635" s="190">
        <v>0</v>
      </c>
      <c r="G635" s="190">
        <v>53.12</v>
      </c>
      <c r="H635" s="191">
        <v>415</v>
      </c>
      <c r="I635" s="191">
        <v>207.5</v>
      </c>
      <c r="J635" s="188" t="s">
        <v>635</v>
      </c>
      <c r="K635" s="188" t="s">
        <v>338</v>
      </c>
      <c r="L635" s="188" t="s">
        <v>1157</v>
      </c>
      <c r="M635" s="192">
        <f t="shared" si="27"/>
        <v>30</v>
      </c>
      <c r="N635" s="193">
        <f t="shared" si="28"/>
        <v>0.5</v>
      </c>
      <c r="O635" s="194">
        <f t="shared" si="29"/>
        <v>1.6666666666666666E-2</v>
      </c>
    </row>
    <row r="636" spans="1:15" ht="12.75" customHeight="1">
      <c r="A636" s="188" t="s">
        <v>620</v>
      </c>
      <c r="B636" s="188" t="s">
        <v>1394</v>
      </c>
      <c r="C636" s="188" t="s">
        <v>641</v>
      </c>
      <c r="D636" s="188" t="s">
        <v>1630</v>
      </c>
      <c r="E636" s="189">
        <v>39527</v>
      </c>
      <c r="F636" s="190">
        <v>0</v>
      </c>
      <c r="G636" s="190">
        <v>112</v>
      </c>
      <c r="H636" s="191">
        <v>875</v>
      </c>
      <c r="I636" s="191">
        <v>437.5</v>
      </c>
      <c r="J636" s="188" t="s">
        <v>635</v>
      </c>
      <c r="K636" s="188" t="s">
        <v>338</v>
      </c>
      <c r="L636" s="188" t="s">
        <v>727</v>
      </c>
      <c r="M636" s="192">
        <f t="shared" si="27"/>
        <v>30</v>
      </c>
      <c r="N636" s="193">
        <f t="shared" si="28"/>
        <v>0.5</v>
      </c>
      <c r="O636" s="194">
        <f t="shared" si="29"/>
        <v>1.6666666666666666E-2</v>
      </c>
    </row>
    <row r="637" spans="1:15" ht="12.75" customHeight="1">
      <c r="A637" s="188" t="s">
        <v>620</v>
      </c>
      <c r="B637" s="188" t="s">
        <v>1394</v>
      </c>
      <c r="C637" s="188" t="s">
        <v>641</v>
      </c>
      <c r="D637" s="188" t="s">
        <v>1631</v>
      </c>
      <c r="E637" s="189">
        <v>39534</v>
      </c>
      <c r="F637" s="190">
        <v>0</v>
      </c>
      <c r="G637" s="190">
        <v>38.4</v>
      </c>
      <c r="H637" s="191">
        <v>300</v>
      </c>
      <c r="I637" s="191">
        <v>150</v>
      </c>
      <c r="J637" s="188" t="s">
        <v>635</v>
      </c>
      <c r="K637" s="188" t="s">
        <v>338</v>
      </c>
      <c r="L637" s="188" t="s">
        <v>677</v>
      </c>
      <c r="M637" s="192">
        <f t="shared" si="27"/>
        <v>30</v>
      </c>
      <c r="N637" s="193">
        <f t="shared" si="28"/>
        <v>0.5</v>
      </c>
      <c r="O637" s="194">
        <f t="shared" si="29"/>
        <v>1.6666666666666666E-2</v>
      </c>
    </row>
    <row r="638" spans="1:15" ht="12.75" customHeight="1">
      <c r="A638" s="188" t="s">
        <v>620</v>
      </c>
      <c r="B638" s="188" t="s">
        <v>1394</v>
      </c>
      <c r="C638" s="188" t="s">
        <v>641</v>
      </c>
      <c r="D638" s="188" t="s">
        <v>1632</v>
      </c>
      <c r="E638" s="189">
        <v>39548</v>
      </c>
      <c r="F638" s="190">
        <v>0</v>
      </c>
      <c r="G638" s="190">
        <v>105.6</v>
      </c>
      <c r="H638" s="191">
        <v>825</v>
      </c>
      <c r="I638" s="191">
        <v>412.5</v>
      </c>
      <c r="J638" s="188" t="s">
        <v>635</v>
      </c>
      <c r="K638" s="188" t="s">
        <v>338</v>
      </c>
      <c r="L638" s="188" t="s">
        <v>885</v>
      </c>
      <c r="M638" s="192">
        <f t="shared" si="27"/>
        <v>30</v>
      </c>
      <c r="N638" s="193">
        <f t="shared" si="28"/>
        <v>0.5</v>
      </c>
      <c r="O638" s="194">
        <f t="shared" si="29"/>
        <v>1.6666666666666666E-2</v>
      </c>
    </row>
    <row r="639" spans="1:15" ht="12.75" customHeight="1">
      <c r="A639" s="188" t="s">
        <v>620</v>
      </c>
      <c r="B639" s="188" t="s">
        <v>1394</v>
      </c>
      <c r="C639" s="188" t="s">
        <v>641</v>
      </c>
      <c r="D639" s="188" t="s">
        <v>1633</v>
      </c>
      <c r="E639" s="189">
        <v>39562</v>
      </c>
      <c r="F639" s="190">
        <v>0</v>
      </c>
      <c r="G639" s="190">
        <v>49.54</v>
      </c>
      <c r="H639" s="191">
        <v>387</v>
      </c>
      <c r="I639" s="191">
        <v>193.5</v>
      </c>
      <c r="J639" s="188" t="s">
        <v>635</v>
      </c>
      <c r="K639" s="188" t="s">
        <v>338</v>
      </c>
      <c r="L639" s="188" t="s">
        <v>1634</v>
      </c>
      <c r="M639" s="192">
        <f t="shared" si="27"/>
        <v>30</v>
      </c>
      <c r="N639" s="193">
        <f t="shared" si="28"/>
        <v>0.5</v>
      </c>
      <c r="O639" s="194">
        <f t="shared" si="29"/>
        <v>1.6666666666666666E-2</v>
      </c>
    </row>
    <row r="640" spans="1:15" ht="12.75" customHeight="1">
      <c r="A640" s="188" t="s">
        <v>620</v>
      </c>
      <c r="B640" s="188" t="s">
        <v>1394</v>
      </c>
      <c r="C640" s="188" t="s">
        <v>641</v>
      </c>
      <c r="D640" s="188" t="s">
        <v>1635</v>
      </c>
      <c r="E640" s="189">
        <v>39429</v>
      </c>
      <c r="F640" s="190">
        <v>0</v>
      </c>
      <c r="G640" s="190">
        <v>98.82</v>
      </c>
      <c r="H640" s="191">
        <v>773</v>
      </c>
      <c r="I640" s="191">
        <v>386</v>
      </c>
      <c r="J640" s="188" t="s">
        <v>635</v>
      </c>
      <c r="K640" s="188" t="s">
        <v>338</v>
      </c>
      <c r="L640" s="188" t="s">
        <v>1636</v>
      </c>
      <c r="M640" s="192">
        <f t="shared" si="27"/>
        <v>30</v>
      </c>
      <c r="N640" s="193">
        <f t="shared" si="28"/>
        <v>0.50064766839378239</v>
      </c>
      <c r="O640" s="194">
        <f t="shared" si="29"/>
        <v>1.668825561312608E-2</v>
      </c>
    </row>
    <row r="641" spans="1:15" ht="12.75" customHeight="1">
      <c r="A641" s="188" t="s">
        <v>620</v>
      </c>
      <c r="B641" s="188" t="s">
        <v>1394</v>
      </c>
      <c r="C641" s="188" t="s">
        <v>641</v>
      </c>
      <c r="D641" s="188" t="s">
        <v>1637</v>
      </c>
      <c r="E641" s="189">
        <v>39597</v>
      </c>
      <c r="F641" s="190">
        <v>0</v>
      </c>
      <c r="G641" s="190">
        <v>89.6</v>
      </c>
      <c r="H641" s="191">
        <v>701</v>
      </c>
      <c r="I641" s="191">
        <v>350</v>
      </c>
      <c r="J641" s="188" t="s">
        <v>635</v>
      </c>
      <c r="K641" s="188" t="s">
        <v>338</v>
      </c>
      <c r="L641" s="188" t="s">
        <v>754</v>
      </c>
      <c r="M641" s="192">
        <f t="shared" si="27"/>
        <v>30</v>
      </c>
      <c r="N641" s="193">
        <f t="shared" si="28"/>
        <v>0.50071428571428567</v>
      </c>
      <c r="O641" s="194">
        <f t="shared" si="29"/>
        <v>1.669047619047619E-2</v>
      </c>
    </row>
    <row r="642" spans="1:15" ht="12.75" customHeight="1">
      <c r="A642" s="188" t="s">
        <v>620</v>
      </c>
      <c r="B642" s="188" t="s">
        <v>1394</v>
      </c>
      <c r="C642" s="188" t="s">
        <v>641</v>
      </c>
      <c r="D642" s="188" t="s">
        <v>1638</v>
      </c>
      <c r="E642" s="189">
        <v>39534</v>
      </c>
      <c r="F642" s="190">
        <v>0</v>
      </c>
      <c r="G642" s="190">
        <v>25.73</v>
      </c>
      <c r="H642" s="191">
        <v>255</v>
      </c>
      <c r="I642" s="191">
        <v>100.5</v>
      </c>
      <c r="J642" s="188" t="s">
        <v>624</v>
      </c>
      <c r="K642" s="188" t="s">
        <v>338</v>
      </c>
      <c r="L642" s="188" t="s">
        <v>1639</v>
      </c>
      <c r="M642" s="192">
        <f t="shared" ref="M642:M705" si="30">K642-J642</f>
        <v>38</v>
      </c>
      <c r="N642" s="193">
        <f t="shared" ref="N642:N705" si="31">H642/L642</f>
        <v>0.63432835820895528</v>
      </c>
      <c r="O642" s="194">
        <f t="shared" ref="O642:O705" si="32">N642/M642</f>
        <v>1.6692851531814611E-2</v>
      </c>
    </row>
    <row r="643" spans="1:15" ht="12.75" customHeight="1">
      <c r="A643" s="188" t="s">
        <v>620</v>
      </c>
      <c r="B643" s="188" t="s">
        <v>1394</v>
      </c>
      <c r="C643" s="188" t="s">
        <v>641</v>
      </c>
      <c r="D643" s="188" t="s">
        <v>1640</v>
      </c>
      <c r="E643" s="189">
        <v>39289</v>
      </c>
      <c r="F643" s="190">
        <v>0</v>
      </c>
      <c r="G643" s="190">
        <v>113.66</v>
      </c>
      <c r="H643" s="191">
        <v>919.08</v>
      </c>
      <c r="I643" s="191">
        <v>444</v>
      </c>
      <c r="J643" s="188" t="s">
        <v>560</v>
      </c>
      <c r="K643" s="188" t="s">
        <v>648</v>
      </c>
      <c r="L643" s="188" t="s">
        <v>1042</v>
      </c>
      <c r="M643" s="192">
        <f t="shared" si="30"/>
        <v>31</v>
      </c>
      <c r="N643" s="193">
        <f t="shared" si="31"/>
        <v>0.51750000000000007</v>
      </c>
      <c r="O643" s="194">
        <f t="shared" si="32"/>
        <v>1.6693548387096777E-2</v>
      </c>
    </row>
    <row r="644" spans="1:15" ht="12.75" customHeight="1">
      <c r="A644" s="188" t="s">
        <v>620</v>
      </c>
      <c r="B644" s="188" t="s">
        <v>1394</v>
      </c>
      <c r="C644" s="188" t="s">
        <v>641</v>
      </c>
      <c r="D644" s="188" t="s">
        <v>1641</v>
      </c>
      <c r="E644" s="189">
        <v>39373</v>
      </c>
      <c r="F644" s="190">
        <v>0</v>
      </c>
      <c r="G644" s="190">
        <v>135.04</v>
      </c>
      <c r="H644" s="191">
        <v>1060</v>
      </c>
      <c r="I644" s="191">
        <v>527.5</v>
      </c>
      <c r="J644" s="188" t="s">
        <v>635</v>
      </c>
      <c r="K644" s="188" t="s">
        <v>338</v>
      </c>
      <c r="L644" s="188" t="s">
        <v>1642</v>
      </c>
      <c r="M644" s="192">
        <f t="shared" si="30"/>
        <v>30</v>
      </c>
      <c r="N644" s="193">
        <f t="shared" si="31"/>
        <v>0.50236966824644547</v>
      </c>
      <c r="O644" s="194">
        <f t="shared" si="32"/>
        <v>1.6745655608214848E-2</v>
      </c>
    </row>
    <row r="645" spans="1:15" ht="12.75" customHeight="1">
      <c r="A645" s="188" t="s">
        <v>620</v>
      </c>
      <c r="B645" s="188" t="s">
        <v>1394</v>
      </c>
      <c r="C645" s="188" t="s">
        <v>641</v>
      </c>
      <c r="D645" s="188" t="s">
        <v>1643</v>
      </c>
      <c r="E645" s="189">
        <v>39555</v>
      </c>
      <c r="F645" s="190">
        <v>0</v>
      </c>
      <c r="G645" s="190">
        <v>70.400000000000006</v>
      </c>
      <c r="H645" s="191">
        <v>700</v>
      </c>
      <c r="I645" s="191">
        <v>275</v>
      </c>
      <c r="J645" s="188" t="s">
        <v>624</v>
      </c>
      <c r="K645" s="188" t="s">
        <v>338</v>
      </c>
      <c r="L645" s="188" t="s">
        <v>557</v>
      </c>
      <c r="M645" s="192">
        <f t="shared" si="30"/>
        <v>38</v>
      </c>
      <c r="N645" s="193">
        <f t="shared" si="31"/>
        <v>0.63636363636363635</v>
      </c>
      <c r="O645" s="194">
        <f t="shared" si="32"/>
        <v>1.6746411483253589E-2</v>
      </c>
    </row>
    <row r="646" spans="1:15" ht="12.75" customHeight="1">
      <c r="A646" s="188" t="s">
        <v>620</v>
      </c>
      <c r="B646" s="188" t="s">
        <v>1394</v>
      </c>
      <c r="C646" s="188" t="s">
        <v>641</v>
      </c>
      <c r="D646" s="188" t="s">
        <v>1644</v>
      </c>
      <c r="E646" s="189">
        <v>39373</v>
      </c>
      <c r="F646" s="190">
        <v>0</v>
      </c>
      <c r="G646" s="190">
        <v>105.47</v>
      </c>
      <c r="H646" s="191">
        <v>1050</v>
      </c>
      <c r="I646" s="191">
        <v>412</v>
      </c>
      <c r="J646" s="188" t="s">
        <v>639</v>
      </c>
      <c r="K646" s="188" t="s">
        <v>648</v>
      </c>
      <c r="L646" s="188" t="s">
        <v>1645</v>
      </c>
      <c r="M646" s="192">
        <f t="shared" si="30"/>
        <v>38</v>
      </c>
      <c r="N646" s="193">
        <f t="shared" si="31"/>
        <v>0.63713592233009708</v>
      </c>
      <c r="O646" s="194">
        <f t="shared" si="32"/>
        <v>1.6766734798160449E-2</v>
      </c>
    </row>
    <row r="647" spans="1:15" ht="12.75" customHeight="1">
      <c r="A647" s="188" t="s">
        <v>620</v>
      </c>
      <c r="B647" s="188" t="s">
        <v>1394</v>
      </c>
      <c r="C647" s="188" t="s">
        <v>641</v>
      </c>
      <c r="D647" s="188" t="s">
        <v>1646</v>
      </c>
      <c r="E647" s="189">
        <v>39447</v>
      </c>
      <c r="F647" s="190">
        <v>0</v>
      </c>
      <c r="G647" s="190">
        <v>85.31</v>
      </c>
      <c r="H647" s="191">
        <v>850</v>
      </c>
      <c r="I647" s="191">
        <v>333.25</v>
      </c>
      <c r="J647" s="188" t="s">
        <v>624</v>
      </c>
      <c r="K647" s="188" t="s">
        <v>338</v>
      </c>
      <c r="L647" s="188" t="s">
        <v>1647</v>
      </c>
      <c r="M647" s="192">
        <f t="shared" si="30"/>
        <v>38</v>
      </c>
      <c r="N647" s="193">
        <f t="shared" si="31"/>
        <v>0.63765941485371347</v>
      </c>
      <c r="O647" s="194">
        <f t="shared" si="32"/>
        <v>1.6780510917202986E-2</v>
      </c>
    </row>
    <row r="648" spans="1:15" ht="12.75" customHeight="1">
      <c r="A648" s="188" t="s">
        <v>620</v>
      </c>
      <c r="B648" s="188" t="s">
        <v>1394</v>
      </c>
      <c r="C648" s="188" t="s">
        <v>641</v>
      </c>
      <c r="D648" s="188" t="s">
        <v>1648</v>
      </c>
      <c r="E648" s="189">
        <v>39562</v>
      </c>
      <c r="F648" s="190">
        <v>0</v>
      </c>
      <c r="G648" s="190">
        <v>84.48</v>
      </c>
      <c r="H648" s="191">
        <v>555</v>
      </c>
      <c r="I648" s="191">
        <v>330</v>
      </c>
      <c r="J648" s="188" t="s">
        <v>652</v>
      </c>
      <c r="K648" s="188" t="s">
        <v>338</v>
      </c>
      <c r="L648" s="188" t="s">
        <v>1050</v>
      </c>
      <c r="M648" s="192">
        <f t="shared" si="30"/>
        <v>25</v>
      </c>
      <c r="N648" s="193">
        <f t="shared" si="31"/>
        <v>0.42045454545454547</v>
      </c>
      <c r="O648" s="194">
        <f t="shared" si="32"/>
        <v>1.6818181818181819E-2</v>
      </c>
    </row>
    <row r="649" spans="1:15" ht="12.75" customHeight="1">
      <c r="A649" s="188" t="s">
        <v>620</v>
      </c>
      <c r="B649" s="188" t="s">
        <v>1394</v>
      </c>
      <c r="C649" s="188" t="s">
        <v>641</v>
      </c>
      <c r="D649" s="188" t="s">
        <v>1649</v>
      </c>
      <c r="E649" s="189">
        <v>39436</v>
      </c>
      <c r="F649" s="190">
        <v>0</v>
      </c>
      <c r="G649" s="190">
        <v>60.22</v>
      </c>
      <c r="H649" s="191">
        <v>475</v>
      </c>
      <c r="I649" s="191">
        <v>235.25</v>
      </c>
      <c r="J649" s="188" t="s">
        <v>635</v>
      </c>
      <c r="K649" s="188" t="s">
        <v>338</v>
      </c>
      <c r="L649" s="188" t="s">
        <v>1650</v>
      </c>
      <c r="M649" s="192">
        <f t="shared" si="30"/>
        <v>30</v>
      </c>
      <c r="N649" s="193">
        <f t="shared" si="31"/>
        <v>0.50478214665249732</v>
      </c>
      <c r="O649" s="194">
        <f t="shared" si="32"/>
        <v>1.6826071555083245E-2</v>
      </c>
    </row>
    <row r="650" spans="1:15" ht="12.75" customHeight="1">
      <c r="A650" s="188" t="s">
        <v>620</v>
      </c>
      <c r="B650" s="188" t="s">
        <v>1394</v>
      </c>
      <c r="C650" s="188" t="s">
        <v>641</v>
      </c>
      <c r="D650" s="188" t="s">
        <v>1651</v>
      </c>
      <c r="E650" s="189">
        <v>39507</v>
      </c>
      <c r="F650" s="190">
        <v>0</v>
      </c>
      <c r="G650" s="190">
        <v>86.4</v>
      </c>
      <c r="H650" s="191">
        <v>614</v>
      </c>
      <c r="I650" s="191">
        <v>337.5</v>
      </c>
      <c r="J650" s="188" t="s">
        <v>639</v>
      </c>
      <c r="K650" s="188" t="s">
        <v>338</v>
      </c>
      <c r="L650" s="188" t="s">
        <v>707</v>
      </c>
      <c r="M650" s="192">
        <f t="shared" si="30"/>
        <v>27</v>
      </c>
      <c r="N650" s="193">
        <f t="shared" si="31"/>
        <v>0.45481481481481484</v>
      </c>
      <c r="O650" s="194">
        <f t="shared" si="32"/>
        <v>1.6844993141289438E-2</v>
      </c>
    </row>
    <row r="651" spans="1:15" ht="12.75" customHeight="1">
      <c r="A651" s="188" t="s">
        <v>620</v>
      </c>
      <c r="B651" s="188" t="s">
        <v>1394</v>
      </c>
      <c r="C651" s="188" t="s">
        <v>641</v>
      </c>
      <c r="D651" s="188" t="s">
        <v>1652</v>
      </c>
      <c r="E651" s="189">
        <v>39324</v>
      </c>
      <c r="F651" s="190">
        <v>0</v>
      </c>
      <c r="G651" s="190">
        <v>78.400000000000006</v>
      </c>
      <c r="H651" s="191">
        <v>619.97</v>
      </c>
      <c r="I651" s="191">
        <v>306.25</v>
      </c>
      <c r="J651" s="188" t="s">
        <v>635</v>
      </c>
      <c r="K651" s="188" t="s">
        <v>338</v>
      </c>
      <c r="L651" s="188" t="s">
        <v>1653</v>
      </c>
      <c r="M651" s="192">
        <f t="shared" si="30"/>
        <v>30</v>
      </c>
      <c r="N651" s="193">
        <f t="shared" si="31"/>
        <v>0.50609795918367351</v>
      </c>
      <c r="O651" s="194">
        <f t="shared" si="32"/>
        <v>1.6869931972789118E-2</v>
      </c>
    </row>
    <row r="652" spans="1:15" ht="12.75" customHeight="1">
      <c r="A652" s="188" t="s">
        <v>620</v>
      </c>
      <c r="B652" s="188" t="s">
        <v>1394</v>
      </c>
      <c r="C652" s="188" t="s">
        <v>641</v>
      </c>
      <c r="D652" s="188" t="s">
        <v>1654</v>
      </c>
      <c r="E652" s="189">
        <v>39387</v>
      </c>
      <c r="F652" s="190">
        <v>0</v>
      </c>
      <c r="G652" s="190">
        <v>89.6</v>
      </c>
      <c r="H652" s="191">
        <v>900</v>
      </c>
      <c r="I652" s="191">
        <v>350</v>
      </c>
      <c r="J652" s="188" t="s">
        <v>624</v>
      </c>
      <c r="K652" s="188" t="s">
        <v>338</v>
      </c>
      <c r="L652" s="188" t="s">
        <v>754</v>
      </c>
      <c r="M652" s="192">
        <f t="shared" si="30"/>
        <v>38</v>
      </c>
      <c r="N652" s="193">
        <f t="shared" si="31"/>
        <v>0.6428571428571429</v>
      </c>
      <c r="O652" s="194">
        <f t="shared" si="32"/>
        <v>1.6917293233082709E-2</v>
      </c>
    </row>
    <row r="653" spans="1:15" ht="12.75" customHeight="1">
      <c r="A653" s="188" t="s">
        <v>620</v>
      </c>
      <c r="B653" s="188" t="s">
        <v>1394</v>
      </c>
      <c r="C653" s="188" t="s">
        <v>641</v>
      </c>
      <c r="D653" s="188" t="s">
        <v>1655</v>
      </c>
      <c r="E653" s="189">
        <v>39415</v>
      </c>
      <c r="F653" s="190">
        <v>0</v>
      </c>
      <c r="G653" s="190">
        <v>89.6</v>
      </c>
      <c r="H653" s="191">
        <v>900</v>
      </c>
      <c r="I653" s="191">
        <v>350</v>
      </c>
      <c r="J653" s="188" t="s">
        <v>624</v>
      </c>
      <c r="K653" s="188" t="s">
        <v>338</v>
      </c>
      <c r="L653" s="188" t="s">
        <v>754</v>
      </c>
      <c r="M653" s="192">
        <f t="shared" si="30"/>
        <v>38</v>
      </c>
      <c r="N653" s="193">
        <f t="shared" si="31"/>
        <v>0.6428571428571429</v>
      </c>
      <c r="O653" s="194">
        <f t="shared" si="32"/>
        <v>1.6917293233082709E-2</v>
      </c>
    </row>
    <row r="654" spans="1:15" ht="12.75" customHeight="1">
      <c r="A654" s="188" t="s">
        <v>620</v>
      </c>
      <c r="B654" s="188" t="s">
        <v>1394</v>
      </c>
      <c r="C654" s="188" t="s">
        <v>641</v>
      </c>
      <c r="D654" s="188" t="s">
        <v>1656</v>
      </c>
      <c r="E654" s="189">
        <v>39541</v>
      </c>
      <c r="F654" s="190">
        <v>0</v>
      </c>
      <c r="G654" s="190">
        <v>132.66999999999999</v>
      </c>
      <c r="H654" s="191">
        <v>1333</v>
      </c>
      <c r="I654" s="191">
        <v>518.25</v>
      </c>
      <c r="J654" s="188" t="s">
        <v>624</v>
      </c>
      <c r="K654" s="188" t="s">
        <v>338</v>
      </c>
      <c r="L654" s="188" t="s">
        <v>1657</v>
      </c>
      <c r="M654" s="192">
        <f t="shared" si="30"/>
        <v>38</v>
      </c>
      <c r="N654" s="193">
        <f t="shared" si="31"/>
        <v>0.6430294259527255</v>
      </c>
      <c r="O654" s="194">
        <f t="shared" si="32"/>
        <v>1.6921826998755933E-2</v>
      </c>
    </row>
    <row r="655" spans="1:15" ht="12.75" customHeight="1">
      <c r="A655" s="188" t="s">
        <v>620</v>
      </c>
      <c r="B655" s="188" t="s">
        <v>1394</v>
      </c>
      <c r="C655" s="188" t="s">
        <v>641</v>
      </c>
      <c r="D655" s="188" t="s">
        <v>1658</v>
      </c>
      <c r="E655" s="189">
        <v>39513</v>
      </c>
      <c r="F655" s="190">
        <v>0</v>
      </c>
      <c r="G655" s="190">
        <v>98.3</v>
      </c>
      <c r="H655" s="191">
        <v>702</v>
      </c>
      <c r="I655" s="191">
        <v>384</v>
      </c>
      <c r="J655" s="188" t="s">
        <v>639</v>
      </c>
      <c r="K655" s="188" t="s">
        <v>338</v>
      </c>
      <c r="L655" s="188" t="s">
        <v>1659</v>
      </c>
      <c r="M655" s="192">
        <f t="shared" si="30"/>
        <v>27</v>
      </c>
      <c r="N655" s="193">
        <f t="shared" si="31"/>
        <v>0.45703125</v>
      </c>
      <c r="O655" s="194">
        <f t="shared" si="32"/>
        <v>1.6927083333333332E-2</v>
      </c>
    </row>
    <row r="656" spans="1:15" ht="12.75" customHeight="1">
      <c r="A656" s="188" t="s">
        <v>620</v>
      </c>
      <c r="B656" s="188" t="s">
        <v>1394</v>
      </c>
      <c r="C656" s="188" t="s">
        <v>641</v>
      </c>
      <c r="D656" s="188" t="s">
        <v>1660</v>
      </c>
      <c r="E656" s="189">
        <v>39499</v>
      </c>
      <c r="F656" s="190">
        <v>0</v>
      </c>
      <c r="G656" s="190">
        <v>57.6</v>
      </c>
      <c r="H656" s="191">
        <v>580</v>
      </c>
      <c r="I656" s="191">
        <v>225</v>
      </c>
      <c r="J656" s="188" t="s">
        <v>624</v>
      </c>
      <c r="K656" s="188" t="s">
        <v>338</v>
      </c>
      <c r="L656" s="188" t="s">
        <v>740</v>
      </c>
      <c r="M656" s="192">
        <f t="shared" si="30"/>
        <v>38</v>
      </c>
      <c r="N656" s="193">
        <f t="shared" si="31"/>
        <v>0.64444444444444449</v>
      </c>
      <c r="O656" s="194">
        <f t="shared" si="32"/>
        <v>1.6959064327485382E-2</v>
      </c>
    </row>
    <row r="657" spans="1:15" ht="12.75" customHeight="1">
      <c r="A657" s="188" t="s">
        <v>620</v>
      </c>
      <c r="B657" s="188" t="s">
        <v>1394</v>
      </c>
      <c r="C657" s="188" t="s">
        <v>641</v>
      </c>
      <c r="D657" s="188" t="s">
        <v>1661</v>
      </c>
      <c r="E657" s="189">
        <v>39212</v>
      </c>
      <c r="F657" s="190">
        <v>0</v>
      </c>
      <c r="G657" s="190">
        <v>95.68</v>
      </c>
      <c r="H657" s="191">
        <v>762.45</v>
      </c>
      <c r="I657" s="191">
        <v>373.75</v>
      </c>
      <c r="J657" s="188" t="s">
        <v>635</v>
      </c>
      <c r="K657" s="188" t="s">
        <v>338</v>
      </c>
      <c r="L657" s="188" t="s">
        <v>1662</v>
      </c>
      <c r="M657" s="192">
        <f t="shared" si="30"/>
        <v>30</v>
      </c>
      <c r="N657" s="193">
        <f t="shared" si="31"/>
        <v>0.51</v>
      </c>
      <c r="O657" s="194">
        <f t="shared" si="32"/>
        <v>1.7000000000000001E-2</v>
      </c>
    </row>
    <row r="658" spans="1:15" ht="12.75" customHeight="1">
      <c r="A658" s="188" t="s">
        <v>620</v>
      </c>
      <c r="B658" s="188" t="s">
        <v>1394</v>
      </c>
      <c r="C658" s="188" t="s">
        <v>641</v>
      </c>
      <c r="D658" s="188" t="s">
        <v>1663</v>
      </c>
      <c r="E658" s="189">
        <v>39310</v>
      </c>
      <c r="F658" s="190">
        <v>0</v>
      </c>
      <c r="G658" s="190">
        <v>85.5</v>
      </c>
      <c r="H658" s="191">
        <v>863.06</v>
      </c>
      <c r="I658" s="191">
        <v>334</v>
      </c>
      <c r="J658" s="188" t="s">
        <v>624</v>
      </c>
      <c r="K658" s="188" t="s">
        <v>338</v>
      </c>
      <c r="L658" s="188" t="s">
        <v>1289</v>
      </c>
      <c r="M658" s="192">
        <f t="shared" si="30"/>
        <v>38</v>
      </c>
      <c r="N658" s="193">
        <f t="shared" si="31"/>
        <v>0.64600299401197603</v>
      </c>
      <c r="O658" s="194">
        <f t="shared" si="32"/>
        <v>1.7000078789788844E-2</v>
      </c>
    </row>
    <row r="659" spans="1:15" ht="12.75" customHeight="1">
      <c r="A659" s="188" t="s">
        <v>620</v>
      </c>
      <c r="B659" s="188" t="s">
        <v>1394</v>
      </c>
      <c r="C659" s="188" t="s">
        <v>641</v>
      </c>
      <c r="D659" s="188" t="s">
        <v>1664</v>
      </c>
      <c r="E659" s="189">
        <v>39345</v>
      </c>
      <c r="F659" s="190">
        <v>0</v>
      </c>
      <c r="G659" s="190">
        <v>103.68</v>
      </c>
      <c r="H659" s="191">
        <v>992</v>
      </c>
      <c r="I659" s="191">
        <v>405</v>
      </c>
      <c r="J659" s="188" t="s">
        <v>387</v>
      </c>
      <c r="K659" s="188" t="s">
        <v>338</v>
      </c>
      <c r="L659" s="188" t="s">
        <v>1195</v>
      </c>
      <c r="M659" s="192">
        <f t="shared" si="30"/>
        <v>36</v>
      </c>
      <c r="N659" s="193">
        <f t="shared" si="31"/>
        <v>0.61234567901234571</v>
      </c>
      <c r="O659" s="194">
        <f t="shared" si="32"/>
        <v>1.7009602194787379E-2</v>
      </c>
    </row>
    <row r="660" spans="1:15" ht="12.75" customHeight="1">
      <c r="A660" s="188" t="s">
        <v>620</v>
      </c>
      <c r="B660" s="188" t="s">
        <v>1394</v>
      </c>
      <c r="C660" s="188" t="s">
        <v>641</v>
      </c>
      <c r="D660" s="188" t="s">
        <v>1665</v>
      </c>
      <c r="E660" s="189">
        <v>39345</v>
      </c>
      <c r="F660" s="190">
        <v>0</v>
      </c>
      <c r="G660" s="190">
        <v>115.2</v>
      </c>
      <c r="H660" s="191">
        <v>950</v>
      </c>
      <c r="I660" s="191">
        <v>450</v>
      </c>
      <c r="J660" s="188" t="s">
        <v>503</v>
      </c>
      <c r="K660" s="188" t="s">
        <v>338</v>
      </c>
      <c r="L660" s="188" t="s">
        <v>718</v>
      </c>
      <c r="M660" s="192">
        <f t="shared" si="30"/>
        <v>31</v>
      </c>
      <c r="N660" s="193">
        <f t="shared" si="31"/>
        <v>0.52777777777777779</v>
      </c>
      <c r="O660" s="194">
        <f t="shared" si="32"/>
        <v>1.7025089605734768E-2</v>
      </c>
    </row>
    <row r="661" spans="1:15" ht="12.75" customHeight="1">
      <c r="A661" s="188" t="s">
        <v>620</v>
      </c>
      <c r="B661" s="188" t="s">
        <v>1394</v>
      </c>
      <c r="C661" s="188" t="s">
        <v>641</v>
      </c>
      <c r="D661" s="188" t="s">
        <v>1666</v>
      </c>
      <c r="E661" s="189">
        <v>39447</v>
      </c>
      <c r="F661" s="190">
        <v>0</v>
      </c>
      <c r="G661" s="190">
        <v>217.6</v>
      </c>
      <c r="H661" s="191">
        <v>2200</v>
      </c>
      <c r="I661" s="191">
        <v>850</v>
      </c>
      <c r="J661" s="188" t="s">
        <v>624</v>
      </c>
      <c r="K661" s="188" t="s">
        <v>338</v>
      </c>
      <c r="L661" s="188" t="s">
        <v>1523</v>
      </c>
      <c r="M661" s="192">
        <f t="shared" si="30"/>
        <v>38</v>
      </c>
      <c r="N661" s="193">
        <f t="shared" si="31"/>
        <v>0.6470588235294118</v>
      </c>
      <c r="O661" s="194">
        <f t="shared" si="32"/>
        <v>1.7027863777089786E-2</v>
      </c>
    </row>
    <row r="662" spans="1:15" ht="12.75" customHeight="1">
      <c r="A662" s="188" t="s">
        <v>620</v>
      </c>
      <c r="B662" s="188" t="s">
        <v>1394</v>
      </c>
      <c r="C662" s="188" t="s">
        <v>641</v>
      </c>
      <c r="D662" s="188" t="s">
        <v>1667</v>
      </c>
      <c r="E662" s="189">
        <v>39568</v>
      </c>
      <c r="F662" s="190">
        <v>0</v>
      </c>
      <c r="G662" s="190">
        <v>87.81</v>
      </c>
      <c r="H662" s="191">
        <v>888</v>
      </c>
      <c r="I662" s="191">
        <v>343</v>
      </c>
      <c r="J662" s="188" t="s">
        <v>639</v>
      </c>
      <c r="K662" s="188" t="s">
        <v>648</v>
      </c>
      <c r="L662" s="188" t="s">
        <v>1668</v>
      </c>
      <c r="M662" s="192">
        <f t="shared" si="30"/>
        <v>38</v>
      </c>
      <c r="N662" s="193">
        <f t="shared" si="31"/>
        <v>0.64723032069970843</v>
      </c>
      <c r="O662" s="194">
        <f t="shared" si="32"/>
        <v>1.7032376860518644E-2</v>
      </c>
    </row>
    <row r="663" spans="1:15" ht="12.75" customHeight="1">
      <c r="A663" s="188" t="s">
        <v>620</v>
      </c>
      <c r="B663" s="188" t="s">
        <v>1394</v>
      </c>
      <c r="C663" s="188" t="s">
        <v>641</v>
      </c>
      <c r="D663" s="188" t="s">
        <v>1669</v>
      </c>
      <c r="E663" s="189">
        <v>39611</v>
      </c>
      <c r="F663" s="190">
        <v>0</v>
      </c>
      <c r="G663" s="190">
        <v>140.80000000000001</v>
      </c>
      <c r="H663" s="191">
        <v>1425</v>
      </c>
      <c r="I663" s="191">
        <v>550</v>
      </c>
      <c r="J663" s="188" t="s">
        <v>624</v>
      </c>
      <c r="K663" s="188" t="s">
        <v>338</v>
      </c>
      <c r="L663" s="188" t="s">
        <v>938</v>
      </c>
      <c r="M663" s="192">
        <f t="shared" si="30"/>
        <v>38</v>
      </c>
      <c r="N663" s="193">
        <f t="shared" si="31"/>
        <v>0.64772727272727271</v>
      </c>
      <c r="O663" s="194">
        <f t="shared" si="32"/>
        <v>1.7045454545454544E-2</v>
      </c>
    </row>
    <row r="664" spans="1:15" ht="12.75" customHeight="1">
      <c r="A664" s="188" t="s">
        <v>620</v>
      </c>
      <c r="B664" s="188" t="s">
        <v>1394</v>
      </c>
      <c r="C664" s="188" t="s">
        <v>641</v>
      </c>
      <c r="D664" s="188" t="s">
        <v>1670</v>
      </c>
      <c r="E664" s="189">
        <v>39576</v>
      </c>
      <c r="F664" s="190">
        <v>0</v>
      </c>
      <c r="G664" s="190">
        <v>92.29</v>
      </c>
      <c r="H664" s="191">
        <v>665</v>
      </c>
      <c r="I664" s="191">
        <v>360.5</v>
      </c>
      <c r="J664" s="188" t="s">
        <v>639</v>
      </c>
      <c r="K664" s="188" t="s">
        <v>338</v>
      </c>
      <c r="L664" s="188" t="s">
        <v>1671</v>
      </c>
      <c r="M664" s="192">
        <f t="shared" si="30"/>
        <v>27</v>
      </c>
      <c r="N664" s="193">
        <f t="shared" si="31"/>
        <v>0.46116504854368934</v>
      </c>
      <c r="O664" s="194">
        <f t="shared" si="32"/>
        <v>1.7080186983099606E-2</v>
      </c>
    </row>
    <row r="665" spans="1:15" ht="12.75" customHeight="1">
      <c r="A665" s="188" t="s">
        <v>620</v>
      </c>
      <c r="B665" s="188" t="s">
        <v>1394</v>
      </c>
      <c r="C665" s="188" t="s">
        <v>641</v>
      </c>
      <c r="D665" s="188" t="s">
        <v>1672</v>
      </c>
      <c r="E665" s="189">
        <v>39401</v>
      </c>
      <c r="F665" s="190">
        <v>0</v>
      </c>
      <c r="G665" s="190">
        <v>121.6</v>
      </c>
      <c r="H665" s="191">
        <v>1235</v>
      </c>
      <c r="I665" s="191">
        <v>475</v>
      </c>
      <c r="J665" s="188" t="s">
        <v>624</v>
      </c>
      <c r="K665" s="188" t="s">
        <v>338</v>
      </c>
      <c r="L665" s="188" t="s">
        <v>1673</v>
      </c>
      <c r="M665" s="192">
        <f t="shared" si="30"/>
        <v>38</v>
      </c>
      <c r="N665" s="193">
        <f t="shared" si="31"/>
        <v>0.65</v>
      </c>
      <c r="O665" s="194">
        <f t="shared" si="32"/>
        <v>1.7105263157894738E-2</v>
      </c>
    </row>
    <row r="666" spans="1:15" ht="12.75" customHeight="1">
      <c r="A666" s="188" t="s">
        <v>620</v>
      </c>
      <c r="B666" s="188" t="s">
        <v>1394</v>
      </c>
      <c r="C666" s="188" t="s">
        <v>641</v>
      </c>
      <c r="D666" s="188" t="s">
        <v>1674</v>
      </c>
      <c r="E666" s="189">
        <v>39499</v>
      </c>
      <c r="F666" s="190">
        <v>0</v>
      </c>
      <c r="G666" s="190">
        <v>52.74</v>
      </c>
      <c r="H666" s="191">
        <v>396</v>
      </c>
      <c r="I666" s="191">
        <v>206</v>
      </c>
      <c r="J666" s="188" t="s">
        <v>750</v>
      </c>
      <c r="K666" s="188" t="s">
        <v>338</v>
      </c>
      <c r="L666" s="188" t="s">
        <v>1675</v>
      </c>
      <c r="M666" s="192">
        <f t="shared" si="30"/>
        <v>28</v>
      </c>
      <c r="N666" s="193">
        <f t="shared" si="31"/>
        <v>0.48058252427184467</v>
      </c>
      <c r="O666" s="194">
        <f t="shared" si="32"/>
        <v>1.7163661581137309E-2</v>
      </c>
    </row>
    <row r="667" spans="1:15" ht="12.75" customHeight="1">
      <c r="A667" s="188" t="s">
        <v>620</v>
      </c>
      <c r="B667" s="188" t="s">
        <v>1394</v>
      </c>
      <c r="C667" s="188" t="s">
        <v>641</v>
      </c>
      <c r="D667" s="188" t="s">
        <v>1676</v>
      </c>
      <c r="E667" s="189">
        <v>39534</v>
      </c>
      <c r="F667" s="190">
        <v>0</v>
      </c>
      <c r="G667" s="190">
        <v>88.19</v>
      </c>
      <c r="H667" s="191">
        <v>710</v>
      </c>
      <c r="I667" s="191">
        <v>344.5</v>
      </c>
      <c r="J667" s="188" t="s">
        <v>635</v>
      </c>
      <c r="K667" s="188" t="s">
        <v>338</v>
      </c>
      <c r="L667" s="188" t="s">
        <v>1677</v>
      </c>
      <c r="M667" s="192">
        <f t="shared" si="30"/>
        <v>30</v>
      </c>
      <c r="N667" s="193">
        <f t="shared" si="31"/>
        <v>0.51523947750362842</v>
      </c>
      <c r="O667" s="194">
        <f t="shared" si="32"/>
        <v>1.7174649250120948E-2</v>
      </c>
    </row>
    <row r="668" spans="1:15" ht="12.75" customHeight="1">
      <c r="A668" s="188" t="s">
        <v>620</v>
      </c>
      <c r="B668" s="188" t="s">
        <v>1394</v>
      </c>
      <c r="C668" s="188" t="s">
        <v>641</v>
      </c>
      <c r="D668" s="188" t="s">
        <v>1678</v>
      </c>
      <c r="E668" s="189">
        <v>39527</v>
      </c>
      <c r="F668" s="190">
        <v>0</v>
      </c>
      <c r="G668" s="190">
        <v>112.64</v>
      </c>
      <c r="H668" s="191">
        <v>1150</v>
      </c>
      <c r="I668" s="191">
        <v>440</v>
      </c>
      <c r="J668" s="188" t="s">
        <v>624</v>
      </c>
      <c r="K668" s="188" t="s">
        <v>338</v>
      </c>
      <c r="L668" s="188" t="s">
        <v>1496</v>
      </c>
      <c r="M668" s="192">
        <f t="shared" si="30"/>
        <v>38</v>
      </c>
      <c r="N668" s="193">
        <f t="shared" si="31"/>
        <v>0.65340909090909094</v>
      </c>
      <c r="O668" s="194">
        <f t="shared" si="32"/>
        <v>1.7194976076555023E-2</v>
      </c>
    </row>
    <row r="669" spans="1:15" ht="12.75" customHeight="1">
      <c r="A669" s="188" t="s">
        <v>620</v>
      </c>
      <c r="B669" s="188" t="s">
        <v>1394</v>
      </c>
      <c r="C669" s="188" t="s">
        <v>641</v>
      </c>
      <c r="D669" s="188" t="s">
        <v>1679</v>
      </c>
      <c r="E669" s="189">
        <v>39520</v>
      </c>
      <c r="F669" s="190">
        <v>0</v>
      </c>
      <c r="G669" s="190">
        <v>72.58</v>
      </c>
      <c r="H669" s="191">
        <v>585</v>
      </c>
      <c r="I669" s="191">
        <v>283.5</v>
      </c>
      <c r="J669" s="188" t="s">
        <v>635</v>
      </c>
      <c r="K669" s="188" t="s">
        <v>338</v>
      </c>
      <c r="L669" s="188" t="s">
        <v>1680</v>
      </c>
      <c r="M669" s="192">
        <f t="shared" si="30"/>
        <v>30</v>
      </c>
      <c r="N669" s="193">
        <f t="shared" si="31"/>
        <v>0.51587301587301593</v>
      </c>
      <c r="O669" s="194">
        <f t="shared" si="32"/>
        <v>1.7195767195767198E-2</v>
      </c>
    </row>
    <row r="670" spans="1:15" ht="12.75" customHeight="1">
      <c r="A670" s="188" t="s">
        <v>620</v>
      </c>
      <c r="B670" s="188" t="s">
        <v>1394</v>
      </c>
      <c r="C670" s="188" t="s">
        <v>641</v>
      </c>
      <c r="D670" s="188" t="s">
        <v>1681</v>
      </c>
      <c r="E670" s="189">
        <v>39632</v>
      </c>
      <c r="F670" s="190">
        <v>0</v>
      </c>
      <c r="G670" s="190">
        <v>83.2</v>
      </c>
      <c r="H670" s="191">
        <v>850</v>
      </c>
      <c r="I670" s="191">
        <v>325</v>
      </c>
      <c r="J670" s="188" t="s">
        <v>624</v>
      </c>
      <c r="K670" s="188" t="s">
        <v>338</v>
      </c>
      <c r="L670" s="188" t="s">
        <v>699</v>
      </c>
      <c r="M670" s="192">
        <f t="shared" si="30"/>
        <v>38</v>
      </c>
      <c r="N670" s="193">
        <f t="shared" si="31"/>
        <v>0.65384615384615385</v>
      </c>
      <c r="O670" s="194">
        <f t="shared" si="32"/>
        <v>1.7206477732793522E-2</v>
      </c>
    </row>
    <row r="671" spans="1:15" ht="12.75" customHeight="1">
      <c r="A671" s="188" t="s">
        <v>620</v>
      </c>
      <c r="B671" s="188" t="s">
        <v>1394</v>
      </c>
      <c r="C671" s="188" t="s">
        <v>641</v>
      </c>
      <c r="D671" s="188" t="s">
        <v>1682</v>
      </c>
      <c r="E671" s="189">
        <v>39366</v>
      </c>
      <c r="F671" s="190">
        <v>0</v>
      </c>
      <c r="G671" s="190">
        <v>81.41</v>
      </c>
      <c r="H671" s="191">
        <v>833</v>
      </c>
      <c r="I671" s="191">
        <v>318</v>
      </c>
      <c r="J671" s="188" t="s">
        <v>624</v>
      </c>
      <c r="K671" s="188" t="s">
        <v>338</v>
      </c>
      <c r="L671" s="188" t="s">
        <v>1525</v>
      </c>
      <c r="M671" s="192">
        <f t="shared" si="30"/>
        <v>38</v>
      </c>
      <c r="N671" s="193">
        <f t="shared" si="31"/>
        <v>0.65487421383647804</v>
      </c>
      <c r="O671" s="194">
        <f t="shared" si="32"/>
        <v>1.7233531943065213E-2</v>
      </c>
    </row>
    <row r="672" spans="1:15" ht="12.75" customHeight="1">
      <c r="A672" s="188" t="s">
        <v>620</v>
      </c>
      <c r="B672" s="188" t="s">
        <v>1394</v>
      </c>
      <c r="C672" s="188" t="s">
        <v>641</v>
      </c>
      <c r="D672" s="188" t="s">
        <v>1683</v>
      </c>
      <c r="E672" s="189">
        <v>39359</v>
      </c>
      <c r="F672" s="190">
        <v>0</v>
      </c>
      <c r="G672" s="190">
        <v>67.2</v>
      </c>
      <c r="H672" s="191">
        <v>887</v>
      </c>
      <c r="I672" s="191">
        <v>262.5</v>
      </c>
      <c r="J672" s="188" t="s">
        <v>624</v>
      </c>
      <c r="K672" s="188" t="s">
        <v>648</v>
      </c>
      <c r="L672" s="188" t="s">
        <v>1139</v>
      </c>
      <c r="M672" s="192">
        <f t="shared" si="30"/>
        <v>49</v>
      </c>
      <c r="N672" s="193">
        <f t="shared" si="31"/>
        <v>0.84476190476190471</v>
      </c>
      <c r="O672" s="194">
        <f t="shared" si="32"/>
        <v>1.7240038872691932E-2</v>
      </c>
    </row>
    <row r="673" spans="1:15" ht="12.75" customHeight="1">
      <c r="A673" s="188" t="s">
        <v>620</v>
      </c>
      <c r="B673" s="188" t="s">
        <v>1394</v>
      </c>
      <c r="C673" s="188" t="s">
        <v>641</v>
      </c>
      <c r="D673" s="188" t="s">
        <v>1684</v>
      </c>
      <c r="E673" s="189">
        <v>39590</v>
      </c>
      <c r="F673" s="190">
        <v>0</v>
      </c>
      <c r="G673" s="190">
        <v>92.8</v>
      </c>
      <c r="H673" s="191">
        <v>750</v>
      </c>
      <c r="I673" s="191">
        <v>362.5</v>
      </c>
      <c r="J673" s="188" t="s">
        <v>635</v>
      </c>
      <c r="K673" s="188" t="s">
        <v>338</v>
      </c>
      <c r="L673" s="188" t="s">
        <v>920</v>
      </c>
      <c r="M673" s="192">
        <f t="shared" si="30"/>
        <v>30</v>
      </c>
      <c r="N673" s="193">
        <f t="shared" si="31"/>
        <v>0.51724137931034486</v>
      </c>
      <c r="O673" s="194">
        <f t="shared" si="32"/>
        <v>1.7241379310344827E-2</v>
      </c>
    </row>
    <row r="674" spans="1:15" ht="12.75" customHeight="1">
      <c r="A674" s="188" t="s">
        <v>620</v>
      </c>
      <c r="B674" s="188" t="s">
        <v>1394</v>
      </c>
      <c r="C674" s="188" t="s">
        <v>641</v>
      </c>
      <c r="D674" s="188" t="s">
        <v>1685</v>
      </c>
      <c r="E674" s="189">
        <v>39436</v>
      </c>
      <c r="F674" s="190">
        <v>0</v>
      </c>
      <c r="G674" s="190">
        <v>69.89</v>
      </c>
      <c r="H674" s="191">
        <v>490</v>
      </c>
      <c r="I674" s="191">
        <v>273</v>
      </c>
      <c r="J674" s="188" t="s">
        <v>361</v>
      </c>
      <c r="K674" s="188" t="s">
        <v>338</v>
      </c>
      <c r="L674" s="188" t="s">
        <v>1686</v>
      </c>
      <c r="M674" s="192">
        <f t="shared" si="30"/>
        <v>26</v>
      </c>
      <c r="N674" s="193">
        <f t="shared" si="31"/>
        <v>0.44871794871794873</v>
      </c>
      <c r="O674" s="194">
        <f t="shared" si="32"/>
        <v>1.7258382642998029E-2</v>
      </c>
    </row>
    <row r="675" spans="1:15" ht="12.75" customHeight="1">
      <c r="A675" s="188" t="s">
        <v>620</v>
      </c>
      <c r="B675" s="188" t="s">
        <v>1394</v>
      </c>
      <c r="C675" s="188" t="s">
        <v>641</v>
      </c>
      <c r="D675" s="188" t="s">
        <v>1687</v>
      </c>
      <c r="E675" s="189">
        <v>39499</v>
      </c>
      <c r="F675" s="190">
        <v>0</v>
      </c>
      <c r="G675" s="190">
        <v>80.319999999999993</v>
      </c>
      <c r="H675" s="191">
        <v>824</v>
      </c>
      <c r="I675" s="191">
        <v>313.75</v>
      </c>
      <c r="J675" s="188" t="s">
        <v>624</v>
      </c>
      <c r="K675" s="188" t="s">
        <v>338</v>
      </c>
      <c r="L675" s="188" t="s">
        <v>856</v>
      </c>
      <c r="M675" s="192">
        <f t="shared" si="30"/>
        <v>38</v>
      </c>
      <c r="N675" s="193">
        <f t="shared" si="31"/>
        <v>0.65657370517928282</v>
      </c>
      <c r="O675" s="194">
        <f t="shared" si="32"/>
        <v>1.7278255399454812E-2</v>
      </c>
    </row>
    <row r="676" spans="1:15" ht="12.75" customHeight="1">
      <c r="A676" s="188" t="s">
        <v>620</v>
      </c>
      <c r="B676" s="188" t="s">
        <v>1394</v>
      </c>
      <c r="C676" s="188" t="s">
        <v>641</v>
      </c>
      <c r="D676" s="188" t="s">
        <v>1688</v>
      </c>
      <c r="E676" s="189">
        <v>39373</v>
      </c>
      <c r="F676" s="190">
        <v>0</v>
      </c>
      <c r="G676" s="190">
        <v>94.46</v>
      </c>
      <c r="H676" s="191">
        <v>765.19</v>
      </c>
      <c r="I676" s="191">
        <v>369</v>
      </c>
      <c r="J676" s="188" t="s">
        <v>635</v>
      </c>
      <c r="K676" s="188" t="s">
        <v>338</v>
      </c>
      <c r="L676" s="188" t="s">
        <v>1689</v>
      </c>
      <c r="M676" s="192">
        <f t="shared" si="30"/>
        <v>30</v>
      </c>
      <c r="N676" s="193">
        <f t="shared" si="31"/>
        <v>0.51842140921409219</v>
      </c>
      <c r="O676" s="194">
        <f t="shared" si="32"/>
        <v>1.7280713640469739E-2</v>
      </c>
    </row>
    <row r="677" spans="1:15" ht="12.75" customHeight="1">
      <c r="A677" s="188" t="s">
        <v>620</v>
      </c>
      <c r="B677" s="188" t="s">
        <v>1394</v>
      </c>
      <c r="C677" s="188" t="s">
        <v>641</v>
      </c>
      <c r="D677" s="188" t="s">
        <v>1690</v>
      </c>
      <c r="E677" s="189">
        <v>39447</v>
      </c>
      <c r="F677" s="190">
        <v>0</v>
      </c>
      <c r="G677" s="190">
        <v>84.8</v>
      </c>
      <c r="H677" s="191">
        <v>458</v>
      </c>
      <c r="I677" s="191">
        <v>331.25</v>
      </c>
      <c r="J677" s="188" t="s">
        <v>560</v>
      </c>
      <c r="K677" s="188" t="s">
        <v>338</v>
      </c>
      <c r="L677" s="188" t="s">
        <v>1691</v>
      </c>
      <c r="M677" s="192">
        <f t="shared" si="30"/>
        <v>20</v>
      </c>
      <c r="N677" s="193">
        <f t="shared" si="31"/>
        <v>0.34566037735849059</v>
      </c>
      <c r="O677" s="194">
        <f t="shared" si="32"/>
        <v>1.7283018867924528E-2</v>
      </c>
    </row>
    <row r="678" spans="1:15" ht="12.75" customHeight="1">
      <c r="A678" s="188" t="s">
        <v>620</v>
      </c>
      <c r="B678" s="188" t="s">
        <v>1394</v>
      </c>
      <c r="C678" s="188" t="s">
        <v>641</v>
      </c>
      <c r="D678" s="188" t="s">
        <v>1692</v>
      </c>
      <c r="E678" s="189">
        <v>39339</v>
      </c>
      <c r="F678" s="190">
        <v>0</v>
      </c>
      <c r="G678" s="190">
        <v>109.44</v>
      </c>
      <c r="H678" s="191">
        <v>1004.97</v>
      </c>
      <c r="I678" s="191">
        <v>427.5</v>
      </c>
      <c r="J678" s="188" t="s">
        <v>571</v>
      </c>
      <c r="K678" s="188" t="s">
        <v>648</v>
      </c>
      <c r="L678" s="188" t="s">
        <v>462</v>
      </c>
      <c r="M678" s="192">
        <f t="shared" si="30"/>
        <v>34</v>
      </c>
      <c r="N678" s="193">
        <f t="shared" si="31"/>
        <v>0.58770175438596495</v>
      </c>
      <c r="O678" s="194">
        <f t="shared" si="32"/>
        <v>1.7285345717234262E-2</v>
      </c>
    </row>
    <row r="679" spans="1:15" ht="12.75" customHeight="1">
      <c r="A679" s="188" t="s">
        <v>620</v>
      </c>
      <c r="B679" s="188" t="s">
        <v>1394</v>
      </c>
      <c r="C679" s="188" t="s">
        <v>641</v>
      </c>
      <c r="D679" s="188" t="s">
        <v>1693</v>
      </c>
      <c r="E679" s="189">
        <v>39401</v>
      </c>
      <c r="F679" s="190">
        <v>0</v>
      </c>
      <c r="G679" s="190">
        <v>233.47</v>
      </c>
      <c r="H679" s="191">
        <v>2401</v>
      </c>
      <c r="I679" s="191">
        <v>912</v>
      </c>
      <c r="J679" s="188" t="s">
        <v>635</v>
      </c>
      <c r="K679" s="188" t="s">
        <v>421</v>
      </c>
      <c r="L679" s="188" t="s">
        <v>1694</v>
      </c>
      <c r="M679" s="192">
        <f t="shared" si="30"/>
        <v>38</v>
      </c>
      <c r="N679" s="193">
        <f t="shared" si="31"/>
        <v>0.65816885964912286</v>
      </c>
      <c r="O679" s="194">
        <f t="shared" si="32"/>
        <v>1.7320233148661129E-2</v>
      </c>
    </row>
    <row r="680" spans="1:15" ht="12.75" customHeight="1">
      <c r="A680" s="188" t="s">
        <v>620</v>
      </c>
      <c r="B680" s="188" t="s">
        <v>1394</v>
      </c>
      <c r="C680" s="188" t="s">
        <v>641</v>
      </c>
      <c r="D680" s="188" t="s">
        <v>1695</v>
      </c>
      <c r="E680" s="189">
        <v>39240</v>
      </c>
      <c r="F680" s="190">
        <v>0</v>
      </c>
      <c r="G680" s="190">
        <v>115.2</v>
      </c>
      <c r="H680" s="191">
        <v>936</v>
      </c>
      <c r="I680" s="191">
        <v>450</v>
      </c>
      <c r="J680" s="188" t="s">
        <v>635</v>
      </c>
      <c r="K680" s="188" t="s">
        <v>338</v>
      </c>
      <c r="L680" s="188" t="s">
        <v>718</v>
      </c>
      <c r="M680" s="192">
        <f t="shared" si="30"/>
        <v>30</v>
      </c>
      <c r="N680" s="193">
        <f t="shared" si="31"/>
        <v>0.52</v>
      </c>
      <c r="O680" s="194">
        <f t="shared" si="32"/>
        <v>1.7333333333333333E-2</v>
      </c>
    </row>
    <row r="681" spans="1:15" ht="12.75" customHeight="1">
      <c r="A681" s="188" t="s">
        <v>620</v>
      </c>
      <c r="B681" s="188" t="s">
        <v>1394</v>
      </c>
      <c r="C681" s="188" t="s">
        <v>641</v>
      </c>
      <c r="D681" s="188" t="s">
        <v>1696</v>
      </c>
      <c r="E681" s="189">
        <v>39366</v>
      </c>
      <c r="F681" s="190">
        <v>0</v>
      </c>
      <c r="G681" s="190">
        <v>96</v>
      </c>
      <c r="H681" s="191">
        <v>780</v>
      </c>
      <c r="I681" s="191">
        <v>375</v>
      </c>
      <c r="J681" s="188" t="s">
        <v>635</v>
      </c>
      <c r="K681" s="188" t="s">
        <v>338</v>
      </c>
      <c r="L681" s="188" t="s">
        <v>746</v>
      </c>
      <c r="M681" s="192">
        <f t="shared" si="30"/>
        <v>30</v>
      </c>
      <c r="N681" s="193">
        <f t="shared" si="31"/>
        <v>0.52</v>
      </c>
      <c r="O681" s="194">
        <f t="shared" si="32"/>
        <v>1.7333333333333333E-2</v>
      </c>
    </row>
    <row r="682" spans="1:15" ht="12.75" customHeight="1">
      <c r="A682" s="188" t="s">
        <v>620</v>
      </c>
      <c r="B682" s="188" t="s">
        <v>1394</v>
      </c>
      <c r="C682" s="188" t="s">
        <v>641</v>
      </c>
      <c r="D682" s="188" t="s">
        <v>1697</v>
      </c>
      <c r="E682" s="189">
        <v>39436</v>
      </c>
      <c r="F682" s="190">
        <v>0</v>
      </c>
      <c r="G682" s="190">
        <v>134.4</v>
      </c>
      <c r="H682" s="191">
        <v>983</v>
      </c>
      <c r="I682" s="191">
        <v>525</v>
      </c>
      <c r="J682" s="188" t="s">
        <v>639</v>
      </c>
      <c r="K682" s="188" t="s">
        <v>338</v>
      </c>
      <c r="L682" s="188" t="s">
        <v>701</v>
      </c>
      <c r="M682" s="192">
        <f t="shared" si="30"/>
        <v>27</v>
      </c>
      <c r="N682" s="193">
        <f t="shared" si="31"/>
        <v>0.46809523809523812</v>
      </c>
      <c r="O682" s="194">
        <f t="shared" si="32"/>
        <v>1.7336860670194004E-2</v>
      </c>
    </row>
    <row r="683" spans="1:15" ht="12.75" customHeight="1">
      <c r="A683" s="188" t="s">
        <v>620</v>
      </c>
      <c r="B683" s="188" t="s">
        <v>1394</v>
      </c>
      <c r="C683" s="188" t="s">
        <v>641</v>
      </c>
      <c r="D683" s="188" t="s">
        <v>1698</v>
      </c>
      <c r="E683" s="189">
        <v>39310</v>
      </c>
      <c r="F683" s="190">
        <v>0</v>
      </c>
      <c r="G683" s="190">
        <v>95.04</v>
      </c>
      <c r="H683" s="191">
        <v>825.07</v>
      </c>
      <c r="I683" s="191">
        <v>371.25</v>
      </c>
      <c r="J683" s="188" t="s">
        <v>353</v>
      </c>
      <c r="K683" s="188" t="s">
        <v>338</v>
      </c>
      <c r="L683" s="188" t="s">
        <v>1699</v>
      </c>
      <c r="M683" s="192">
        <f t="shared" si="30"/>
        <v>32</v>
      </c>
      <c r="N683" s="193">
        <f t="shared" si="31"/>
        <v>0.55560269360269365</v>
      </c>
      <c r="O683" s="194">
        <f t="shared" si="32"/>
        <v>1.7362584175084177E-2</v>
      </c>
    </row>
    <row r="684" spans="1:15" ht="12.75" customHeight="1">
      <c r="A684" s="188" t="s">
        <v>620</v>
      </c>
      <c r="B684" s="188" t="s">
        <v>1394</v>
      </c>
      <c r="C684" s="188" t="s">
        <v>641</v>
      </c>
      <c r="D684" s="188" t="s">
        <v>1700</v>
      </c>
      <c r="E684" s="189">
        <v>39366</v>
      </c>
      <c r="F684" s="190">
        <v>0</v>
      </c>
      <c r="G684" s="190">
        <v>26.62</v>
      </c>
      <c r="H684" s="191">
        <v>274.56</v>
      </c>
      <c r="I684" s="191">
        <v>104</v>
      </c>
      <c r="J684" s="188" t="s">
        <v>624</v>
      </c>
      <c r="K684" s="188" t="s">
        <v>338</v>
      </c>
      <c r="L684" s="188" t="s">
        <v>1701</v>
      </c>
      <c r="M684" s="192">
        <f t="shared" si="30"/>
        <v>38</v>
      </c>
      <c r="N684" s="193">
        <f t="shared" si="31"/>
        <v>0.66</v>
      </c>
      <c r="O684" s="194">
        <f t="shared" si="32"/>
        <v>1.7368421052631578E-2</v>
      </c>
    </row>
    <row r="685" spans="1:15" ht="12.75" customHeight="1">
      <c r="A685" s="188" t="s">
        <v>620</v>
      </c>
      <c r="B685" s="188" t="s">
        <v>1394</v>
      </c>
      <c r="C685" s="188" t="s">
        <v>641</v>
      </c>
      <c r="D685" s="188" t="s">
        <v>1702</v>
      </c>
      <c r="E685" s="189">
        <v>39429</v>
      </c>
      <c r="F685" s="190">
        <v>0</v>
      </c>
      <c r="G685" s="190">
        <v>80</v>
      </c>
      <c r="H685" s="191">
        <v>653</v>
      </c>
      <c r="I685" s="191">
        <v>312.5</v>
      </c>
      <c r="J685" s="188" t="s">
        <v>635</v>
      </c>
      <c r="K685" s="188" t="s">
        <v>338</v>
      </c>
      <c r="L685" s="188" t="s">
        <v>716</v>
      </c>
      <c r="M685" s="192">
        <f t="shared" si="30"/>
        <v>30</v>
      </c>
      <c r="N685" s="193">
        <f t="shared" si="31"/>
        <v>0.52239999999999998</v>
      </c>
      <c r="O685" s="194">
        <f t="shared" si="32"/>
        <v>1.7413333333333333E-2</v>
      </c>
    </row>
    <row r="686" spans="1:15" ht="12.75" customHeight="1">
      <c r="A686" s="188" t="s">
        <v>620</v>
      </c>
      <c r="B686" s="188" t="s">
        <v>1394</v>
      </c>
      <c r="C686" s="188" t="s">
        <v>641</v>
      </c>
      <c r="D686" s="188" t="s">
        <v>1703</v>
      </c>
      <c r="E686" s="189">
        <v>39429</v>
      </c>
      <c r="F686" s="190">
        <v>0</v>
      </c>
      <c r="G686" s="190">
        <v>54.4</v>
      </c>
      <c r="H686" s="191">
        <v>459</v>
      </c>
      <c r="I686" s="191">
        <v>212.5</v>
      </c>
      <c r="J686" s="188" t="s">
        <v>560</v>
      </c>
      <c r="K686" s="188" t="s">
        <v>648</v>
      </c>
      <c r="L686" s="188" t="s">
        <v>1170</v>
      </c>
      <c r="M686" s="192">
        <f t="shared" si="30"/>
        <v>31</v>
      </c>
      <c r="N686" s="193">
        <f t="shared" si="31"/>
        <v>0.54</v>
      </c>
      <c r="O686" s="194">
        <f t="shared" si="32"/>
        <v>1.741935483870968E-2</v>
      </c>
    </row>
    <row r="687" spans="1:15" ht="12.75" customHeight="1">
      <c r="A687" s="188" t="s">
        <v>620</v>
      </c>
      <c r="B687" s="188" t="s">
        <v>1394</v>
      </c>
      <c r="C687" s="188" t="s">
        <v>641</v>
      </c>
      <c r="D687" s="188" t="s">
        <v>1704</v>
      </c>
      <c r="E687" s="189">
        <v>39513</v>
      </c>
      <c r="F687" s="190">
        <v>0</v>
      </c>
      <c r="G687" s="190">
        <v>96</v>
      </c>
      <c r="H687" s="191">
        <v>995</v>
      </c>
      <c r="I687" s="191">
        <v>375</v>
      </c>
      <c r="J687" s="188" t="s">
        <v>624</v>
      </c>
      <c r="K687" s="188" t="s">
        <v>338</v>
      </c>
      <c r="L687" s="188" t="s">
        <v>746</v>
      </c>
      <c r="M687" s="192">
        <f t="shared" si="30"/>
        <v>38</v>
      </c>
      <c r="N687" s="193">
        <f t="shared" si="31"/>
        <v>0.66333333333333333</v>
      </c>
      <c r="O687" s="194">
        <f t="shared" si="32"/>
        <v>1.7456140350877194E-2</v>
      </c>
    </row>
    <row r="688" spans="1:15" ht="12.75" customHeight="1">
      <c r="A688" s="188" t="s">
        <v>620</v>
      </c>
      <c r="B688" s="188" t="s">
        <v>1394</v>
      </c>
      <c r="C688" s="188" t="s">
        <v>641</v>
      </c>
      <c r="D688" s="188" t="s">
        <v>1705</v>
      </c>
      <c r="E688" s="189">
        <v>39541</v>
      </c>
      <c r="F688" s="190">
        <v>0</v>
      </c>
      <c r="G688" s="190">
        <v>89.22</v>
      </c>
      <c r="H688" s="191">
        <v>536</v>
      </c>
      <c r="I688" s="191">
        <v>348.5</v>
      </c>
      <c r="J688" s="188" t="s">
        <v>710</v>
      </c>
      <c r="K688" s="188" t="s">
        <v>338</v>
      </c>
      <c r="L688" s="188" t="s">
        <v>1706</v>
      </c>
      <c r="M688" s="192">
        <f t="shared" si="30"/>
        <v>22</v>
      </c>
      <c r="N688" s="193">
        <f t="shared" si="31"/>
        <v>0.38450502152080346</v>
      </c>
      <c r="O688" s="194">
        <f t="shared" si="32"/>
        <v>1.747750097821834E-2</v>
      </c>
    </row>
    <row r="689" spans="1:15" ht="12.75" customHeight="1">
      <c r="A689" s="188" t="s">
        <v>620</v>
      </c>
      <c r="B689" s="188" t="s">
        <v>1394</v>
      </c>
      <c r="C689" s="188" t="s">
        <v>641</v>
      </c>
      <c r="D689" s="188" t="s">
        <v>1707</v>
      </c>
      <c r="E689" s="189">
        <v>39485</v>
      </c>
      <c r="F689" s="190">
        <v>0</v>
      </c>
      <c r="G689" s="190">
        <v>73.540000000000006</v>
      </c>
      <c r="H689" s="191">
        <v>402</v>
      </c>
      <c r="I689" s="191">
        <v>287.25</v>
      </c>
      <c r="J689" s="188" t="s">
        <v>560</v>
      </c>
      <c r="K689" s="188" t="s">
        <v>338</v>
      </c>
      <c r="L689" s="188" t="s">
        <v>1708</v>
      </c>
      <c r="M689" s="192">
        <f t="shared" si="30"/>
        <v>20</v>
      </c>
      <c r="N689" s="193">
        <f t="shared" si="31"/>
        <v>0.34986945169712796</v>
      </c>
      <c r="O689" s="194">
        <f t="shared" si="32"/>
        <v>1.7493472584856399E-2</v>
      </c>
    </row>
    <row r="690" spans="1:15" ht="12.75" customHeight="1">
      <c r="A690" s="188" t="s">
        <v>620</v>
      </c>
      <c r="B690" s="188" t="s">
        <v>1394</v>
      </c>
      <c r="C690" s="188" t="s">
        <v>641</v>
      </c>
      <c r="D690" s="188" t="s">
        <v>1709</v>
      </c>
      <c r="E690" s="189">
        <v>39275</v>
      </c>
      <c r="F690" s="190">
        <v>0</v>
      </c>
      <c r="G690" s="190">
        <v>50.18</v>
      </c>
      <c r="H690" s="191">
        <v>411.99</v>
      </c>
      <c r="I690" s="191">
        <v>196</v>
      </c>
      <c r="J690" s="188" t="s">
        <v>635</v>
      </c>
      <c r="K690" s="188" t="s">
        <v>338</v>
      </c>
      <c r="L690" s="188" t="s">
        <v>713</v>
      </c>
      <c r="M690" s="192">
        <f t="shared" si="30"/>
        <v>30</v>
      </c>
      <c r="N690" s="193">
        <f t="shared" si="31"/>
        <v>0.52549744897959183</v>
      </c>
      <c r="O690" s="194">
        <f t="shared" si="32"/>
        <v>1.7516581632653062E-2</v>
      </c>
    </row>
    <row r="691" spans="1:15" ht="12.75" customHeight="1">
      <c r="A691" s="188" t="s">
        <v>620</v>
      </c>
      <c r="B691" s="188" t="s">
        <v>1394</v>
      </c>
      <c r="C691" s="188" t="s">
        <v>641</v>
      </c>
      <c r="D691" s="188" t="s">
        <v>1710</v>
      </c>
      <c r="E691" s="189">
        <v>39447</v>
      </c>
      <c r="F691" s="190">
        <v>0</v>
      </c>
      <c r="G691" s="190">
        <v>53.25</v>
      </c>
      <c r="H691" s="191">
        <v>554</v>
      </c>
      <c r="I691" s="191">
        <v>208</v>
      </c>
      <c r="J691" s="188" t="s">
        <v>624</v>
      </c>
      <c r="K691" s="188" t="s">
        <v>338</v>
      </c>
      <c r="L691" s="188" t="s">
        <v>734</v>
      </c>
      <c r="M691" s="192">
        <f t="shared" si="30"/>
        <v>38</v>
      </c>
      <c r="N691" s="193">
        <f t="shared" si="31"/>
        <v>0.66586538461538458</v>
      </c>
      <c r="O691" s="194">
        <f t="shared" si="32"/>
        <v>1.7522773279352227E-2</v>
      </c>
    </row>
    <row r="692" spans="1:15" ht="12.75" customHeight="1">
      <c r="A692" s="188" t="s">
        <v>620</v>
      </c>
      <c r="B692" s="188" t="s">
        <v>1394</v>
      </c>
      <c r="C692" s="188" t="s">
        <v>641</v>
      </c>
      <c r="D692" s="188" t="s">
        <v>1711</v>
      </c>
      <c r="E692" s="189">
        <v>39562</v>
      </c>
      <c r="F692" s="190">
        <v>0</v>
      </c>
      <c r="G692" s="190">
        <v>59.9</v>
      </c>
      <c r="H692" s="191">
        <v>623.6</v>
      </c>
      <c r="I692" s="191">
        <v>234</v>
      </c>
      <c r="J692" s="188" t="s">
        <v>624</v>
      </c>
      <c r="K692" s="188" t="s">
        <v>338</v>
      </c>
      <c r="L692" s="188" t="s">
        <v>1618</v>
      </c>
      <c r="M692" s="192">
        <f t="shared" si="30"/>
        <v>38</v>
      </c>
      <c r="N692" s="193">
        <f t="shared" si="31"/>
        <v>0.66623931623931631</v>
      </c>
      <c r="O692" s="194">
        <f t="shared" si="32"/>
        <v>1.7532613585245167E-2</v>
      </c>
    </row>
    <row r="693" spans="1:15" ht="12.75" customHeight="1">
      <c r="A693" s="188" t="s">
        <v>620</v>
      </c>
      <c r="B693" s="188" t="s">
        <v>1394</v>
      </c>
      <c r="C693" s="188" t="s">
        <v>641</v>
      </c>
      <c r="D693" s="188" t="s">
        <v>1712</v>
      </c>
      <c r="E693" s="189">
        <v>39422</v>
      </c>
      <c r="F693" s="190">
        <v>0</v>
      </c>
      <c r="G693" s="190">
        <v>67.2</v>
      </c>
      <c r="H693" s="191">
        <v>350</v>
      </c>
      <c r="I693" s="191">
        <v>262.5</v>
      </c>
      <c r="J693" s="188" t="s">
        <v>667</v>
      </c>
      <c r="K693" s="188" t="s">
        <v>338</v>
      </c>
      <c r="L693" s="188" t="s">
        <v>1139</v>
      </c>
      <c r="M693" s="192">
        <f t="shared" si="30"/>
        <v>19</v>
      </c>
      <c r="N693" s="193">
        <f t="shared" si="31"/>
        <v>0.33333333333333331</v>
      </c>
      <c r="O693" s="194">
        <f t="shared" si="32"/>
        <v>1.7543859649122806E-2</v>
      </c>
    </row>
    <row r="694" spans="1:15" ht="12.75" customHeight="1">
      <c r="A694" s="188" t="s">
        <v>620</v>
      </c>
      <c r="B694" s="188" t="s">
        <v>1394</v>
      </c>
      <c r="C694" s="188" t="s">
        <v>641</v>
      </c>
      <c r="D694" s="188" t="s">
        <v>1713</v>
      </c>
      <c r="E694" s="189">
        <v>39513</v>
      </c>
      <c r="F694" s="190">
        <v>0</v>
      </c>
      <c r="G694" s="190">
        <v>121.6</v>
      </c>
      <c r="H694" s="191">
        <v>1000</v>
      </c>
      <c r="I694" s="191">
        <v>475</v>
      </c>
      <c r="J694" s="188" t="s">
        <v>635</v>
      </c>
      <c r="K694" s="188" t="s">
        <v>338</v>
      </c>
      <c r="L694" s="188" t="s">
        <v>1673</v>
      </c>
      <c r="M694" s="192">
        <f t="shared" si="30"/>
        <v>30</v>
      </c>
      <c r="N694" s="193">
        <f t="shared" si="31"/>
        <v>0.52631578947368418</v>
      </c>
      <c r="O694" s="194">
        <f t="shared" si="32"/>
        <v>1.7543859649122806E-2</v>
      </c>
    </row>
    <row r="695" spans="1:15" ht="12.75" customHeight="1">
      <c r="A695" s="188" t="s">
        <v>620</v>
      </c>
      <c r="B695" s="188" t="s">
        <v>1394</v>
      </c>
      <c r="C695" s="188" t="s">
        <v>641</v>
      </c>
      <c r="D695" s="188" t="s">
        <v>1714</v>
      </c>
      <c r="E695" s="189">
        <v>39534</v>
      </c>
      <c r="F695" s="190">
        <v>0</v>
      </c>
      <c r="G695" s="190">
        <v>48</v>
      </c>
      <c r="H695" s="191">
        <v>500</v>
      </c>
      <c r="I695" s="191">
        <v>187.5</v>
      </c>
      <c r="J695" s="188" t="s">
        <v>624</v>
      </c>
      <c r="K695" s="188" t="s">
        <v>338</v>
      </c>
      <c r="L695" s="188" t="s">
        <v>1058</v>
      </c>
      <c r="M695" s="192">
        <f t="shared" si="30"/>
        <v>38</v>
      </c>
      <c r="N695" s="193">
        <f t="shared" si="31"/>
        <v>0.66666666666666663</v>
      </c>
      <c r="O695" s="194">
        <f t="shared" si="32"/>
        <v>1.7543859649122806E-2</v>
      </c>
    </row>
    <row r="696" spans="1:15" ht="12.75" customHeight="1">
      <c r="A696" s="188" t="s">
        <v>620</v>
      </c>
      <c r="B696" s="188" t="s">
        <v>1394</v>
      </c>
      <c r="C696" s="188" t="s">
        <v>641</v>
      </c>
      <c r="D696" s="188" t="s">
        <v>1715</v>
      </c>
      <c r="E696" s="189">
        <v>39568</v>
      </c>
      <c r="F696" s="190">
        <v>0</v>
      </c>
      <c r="G696" s="190">
        <v>81.599999999999994</v>
      </c>
      <c r="H696" s="191">
        <v>850</v>
      </c>
      <c r="I696" s="191">
        <v>318.75</v>
      </c>
      <c r="J696" s="188" t="s">
        <v>624</v>
      </c>
      <c r="K696" s="188" t="s">
        <v>338</v>
      </c>
      <c r="L696" s="188" t="s">
        <v>847</v>
      </c>
      <c r="M696" s="192">
        <f t="shared" si="30"/>
        <v>38</v>
      </c>
      <c r="N696" s="193">
        <f t="shared" si="31"/>
        <v>0.66666666666666663</v>
      </c>
      <c r="O696" s="194">
        <f t="shared" si="32"/>
        <v>1.7543859649122806E-2</v>
      </c>
    </row>
    <row r="697" spans="1:15" ht="12.75" customHeight="1">
      <c r="A697" s="188" t="s">
        <v>620</v>
      </c>
      <c r="B697" s="188" t="s">
        <v>1394</v>
      </c>
      <c r="C697" s="188" t="s">
        <v>641</v>
      </c>
      <c r="D697" s="188" t="s">
        <v>1716</v>
      </c>
      <c r="E697" s="189">
        <v>39254</v>
      </c>
      <c r="F697" s="190">
        <v>0</v>
      </c>
      <c r="G697" s="190">
        <v>57.6</v>
      </c>
      <c r="H697" s="191">
        <v>600.03</v>
      </c>
      <c r="I697" s="191">
        <v>225</v>
      </c>
      <c r="J697" s="188" t="s">
        <v>624</v>
      </c>
      <c r="K697" s="188" t="s">
        <v>338</v>
      </c>
      <c r="L697" s="188" t="s">
        <v>740</v>
      </c>
      <c r="M697" s="192">
        <f t="shared" si="30"/>
        <v>38</v>
      </c>
      <c r="N697" s="193">
        <f t="shared" si="31"/>
        <v>0.66669999999999996</v>
      </c>
      <c r="O697" s="194">
        <f t="shared" si="32"/>
        <v>1.7544736842105262E-2</v>
      </c>
    </row>
    <row r="698" spans="1:15" ht="12.75" customHeight="1">
      <c r="A698" s="188" t="s">
        <v>620</v>
      </c>
      <c r="B698" s="188" t="s">
        <v>1394</v>
      </c>
      <c r="C698" s="188" t="s">
        <v>641</v>
      </c>
      <c r="D698" s="188" t="s">
        <v>1717</v>
      </c>
      <c r="E698" s="189">
        <v>39520</v>
      </c>
      <c r="F698" s="190">
        <v>0</v>
      </c>
      <c r="G698" s="190">
        <v>39.299999999999997</v>
      </c>
      <c r="H698" s="191">
        <v>409.65</v>
      </c>
      <c r="I698" s="191">
        <v>153.5</v>
      </c>
      <c r="J698" s="188" t="s">
        <v>624</v>
      </c>
      <c r="K698" s="188" t="s">
        <v>338</v>
      </c>
      <c r="L698" s="188" t="s">
        <v>1718</v>
      </c>
      <c r="M698" s="192">
        <f t="shared" si="30"/>
        <v>38</v>
      </c>
      <c r="N698" s="193">
        <f t="shared" si="31"/>
        <v>0.66718241042345272</v>
      </c>
      <c r="O698" s="194">
        <f t="shared" si="32"/>
        <v>1.7557431853248755E-2</v>
      </c>
    </row>
    <row r="699" spans="1:15" ht="12.75" customHeight="1">
      <c r="A699" s="188" t="s">
        <v>620</v>
      </c>
      <c r="B699" s="188" t="s">
        <v>1394</v>
      </c>
      <c r="C699" s="188" t="s">
        <v>641</v>
      </c>
      <c r="D699" s="188" t="s">
        <v>1719</v>
      </c>
      <c r="E699" s="189">
        <v>39632</v>
      </c>
      <c r="F699" s="190">
        <v>0</v>
      </c>
      <c r="G699" s="190">
        <v>71.680000000000007</v>
      </c>
      <c r="H699" s="191">
        <v>590</v>
      </c>
      <c r="I699" s="191">
        <v>280</v>
      </c>
      <c r="J699" s="188" t="s">
        <v>635</v>
      </c>
      <c r="K699" s="188" t="s">
        <v>338</v>
      </c>
      <c r="L699" s="188" t="s">
        <v>825</v>
      </c>
      <c r="M699" s="192">
        <f t="shared" si="30"/>
        <v>30</v>
      </c>
      <c r="N699" s="193">
        <f t="shared" si="31"/>
        <v>0.5267857142857143</v>
      </c>
      <c r="O699" s="194">
        <f t="shared" si="32"/>
        <v>1.755952380952381E-2</v>
      </c>
    </row>
    <row r="700" spans="1:15" ht="12.75" customHeight="1">
      <c r="A700" s="188" t="s">
        <v>620</v>
      </c>
      <c r="B700" s="188" t="s">
        <v>1394</v>
      </c>
      <c r="C700" s="188" t="s">
        <v>641</v>
      </c>
      <c r="D700" s="188" t="s">
        <v>1720</v>
      </c>
      <c r="E700" s="189">
        <v>39527</v>
      </c>
      <c r="F700" s="190">
        <v>0</v>
      </c>
      <c r="G700" s="190">
        <v>89.41</v>
      </c>
      <c r="H700" s="191">
        <v>736</v>
      </c>
      <c r="I700" s="191">
        <v>349.25</v>
      </c>
      <c r="J700" s="188" t="s">
        <v>635</v>
      </c>
      <c r="K700" s="188" t="s">
        <v>338</v>
      </c>
      <c r="L700" s="188" t="s">
        <v>1721</v>
      </c>
      <c r="M700" s="192">
        <f t="shared" si="30"/>
        <v>30</v>
      </c>
      <c r="N700" s="193">
        <f t="shared" si="31"/>
        <v>0.52684323550465284</v>
      </c>
      <c r="O700" s="194">
        <f t="shared" si="32"/>
        <v>1.7561441183488426E-2</v>
      </c>
    </row>
    <row r="701" spans="1:15" ht="12.75" customHeight="1">
      <c r="A701" s="188" t="s">
        <v>620</v>
      </c>
      <c r="B701" s="188" t="s">
        <v>1394</v>
      </c>
      <c r="C701" s="188" t="s">
        <v>641</v>
      </c>
      <c r="D701" s="188" t="s">
        <v>1722</v>
      </c>
      <c r="E701" s="189">
        <v>39395</v>
      </c>
      <c r="F701" s="190">
        <v>0</v>
      </c>
      <c r="G701" s="190">
        <v>80</v>
      </c>
      <c r="H701" s="191">
        <v>594</v>
      </c>
      <c r="I701" s="191">
        <v>312.5</v>
      </c>
      <c r="J701" s="188" t="s">
        <v>639</v>
      </c>
      <c r="K701" s="188" t="s">
        <v>338</v>
      </c>
      <c r="L701" s="188" t="s">
        <v>716</v>
      </c>
      <c r="M701" s="192">
        <f t="shared" si="30"/>
        <v>27</v>
      </c>
      <c r="N701" s="193">
        <f t="shared" si="31"/>
        <v>0.47520000000000001</v>
      </c>
      <c r="O701" s="194">
        <f t="shared" si="32"/>
        <v>1.7600000000000001E-2</v>
      </c>
    </row>
    <row r="702" spans="1:15" ht="12.75" customHeight="1">
      <c r="A702" s="188" t="s">
        <v>620</v>
      </c>
      <c r="B702" s="188" t="s">
        <v>1394</v>
      </c>
      <c r="C702" s="188" t="s">
        <v>641</v>
      </c>
      <c r="D702" s="188" t="s">
        <v>1723</v>
      </c>
      <c r="E702" s="189">
        <v>39604</v>
      </c>
      <c r="F702" s="190">
        <v>0</v>
      </c>
      <c r="G702" s="190">
        <v>113.92</v>
      </c>
      <c r="H702" s="191">
        <v>940</v>
      </c>
      <c r="I702" s="191">
        <v>445</v>
      </c>
      <c r="J702" s="188" t="s">
        <v>667</v>
      </c>
      <c r="K702" s="188" t="s">
        <v>648</v>
      </c>
      <c r="L702" s="188" t="s">
        <v>1724</v>
      </c>
      <c r="M702" s="192">
        <f t="shared" si="30"/>
        <v>30</v>
      </c>
      <c r="N702" s="193">
        <f t="shared" si="31"/>
        <v>0.5280898876404494</v>
      </c>
      <c r="O702" s="194">
        <f t="shared" si="32"/>
        <v>1.7602996254681647E-2</v>
      </c>
    </row>
    <row r="703" spans="1:15" ht="12.75" customHeight="1">
      <c r="A703" s="188" t="s">
        <v>620</v>
      </c>
      <c r="B703" s="188" t="s">
        <v>1394</v>
      </c>
      <c r="C703" s="188" t="s">
        <v>641</v>
      </c>
      <c r="D703" s="188" t="s">
        <v>1725</v>
      </c>
      <c r="E703" s="189">
        <v>39548</v>
      </c>
      <c r="F703" s="190">
        <v>0</v>
      </c>
      <c r="G703" s="190">
        <v>89.6</v>
      </c>
      <c r="H703" s="191">
        <v>789</v>
      </c>
      <c r="I703" s="191">
        <v>350</v>
      </c>
      <c r="J703" s="188" t="s">
        <v>353</v>
      </c>
      <c r="K703" s="188" t="s">
        <v>338</v>
      </c>
      <c r="L703" s="188" t="s">
        <v>754</v>
      </c>
      <c r="M703" s="192">
        <f t="shared" si="30"/>
        <v>32</v>
      </c>
      <c r="N703" s="193">
        <f t="shared" si="31"/>
        <v>0.56357142857142861</v>
      </c>
      <c r="O703" s="194">
        <f t="shared" si="32"/>
        <v>1.7611607142857144E-2</v>
      </c>
    </row>
    <row r="704" spans="1:15" ht="12.75" customHeight="1">
      <c r="A704" s="188" t="s">
        <v>620</v>
      </c>
      <c r="B704" s="188" t="s">
        <v>1394</v>
      </c>
      <c r="C704" s="188" t="s">
        <v>641</v>
      </c>
      <c r="D704" s="188" t="s">
        <v>1726</v>
      </c>
      <c r="E704" s="189">
        <v>39611</v>
      </c>
      <c r="F704" s="190">
        <v>0</v>
      </c>
      <c r="G704" s="190">
        <v>79.36</v>
      </c>
      <c r="H704" s="191">
        <v>831</v>
      </c>
      <c r="I704" s="191">
        <v>310</v>
      </c>
      <c r="J704" s="188" t="s">
        <v>624</v>
      </c>
      <c r="K704" s="188" t="s">
        <v>338</v>
      </c>
      <c r="L704" s="188" t="s">
        <v>1449</v>
      </c>
      <c r="M704" s="192">
        <f t="shared" si="30"/>
        <v>38</v>
      </c>
      <c r="N704" s="193">
        <f t="shared" si="31"/>
        <v>0.67016129032258065</v>
      </c>
      <c r="O704" s="194">
        <f t="shared" si="32"/>
        <v>1.7635823429541595E-2</v>
      </c>
    </row>
    <row r="705" spans="1:15" ht="12.75" customHeight="1">
      <c r="A705" s="188" t="s">
        <v>620</v>
      </c>
      <c r="B705" s="188" t="s">
        <v>1394</v>
      </c>
      <c r="C705" s="188" t="s">
        <v>641</v>
      </c>
      <c r="D705" s="188" t="s">
        <v>1727</v>
      </c>
      <c r="E705" s="189">
        <v>39464</v>
      </c>
      <c r="F705" s="190">
        <v>0</v>
      </c>
      <c r="G705" s="190">
        <v>113.6</v>
      </c>
      <c r="H705" s="191">
        <v>720</v>
      </c>
      <c r="I705" s="191">
        <v>443.75</v>
      </c>
      <c r="J705" s="188" t="s">
        <v>571</v>
      </c>
      <c r="K705" s="188" t="s">
        <v>338</v>
      </c>
      <c r="L705" s="188" t="s">
        <v>1403</v>
      </c>
      <c r="M705" s="192">
        <f t="shared" si="30"/>
        <v>23</v>
      </c>
      <c r="N705" s="193">
        <f t="shared" si="31"/>
        <v>0.40563380281690142</v>
      </c>
      <c r="O705" s="194">
        <f t="shared" si="32"/>
        <v>1.7636252296387017E-2</v>
      </c>
    </row>
    <row r="706" spans="1:15" ht="12.75" customHeight="1">
      <c r="A706" s="188" t="s">
        <v>620</v>
      </c>
      <c r="B706" s="188" t="s">
        <v>1394</v>
      </c>
      <c r="C706" s="188" t="s">
        <v>641</v>
      </c>
      <c r="D706" s="188" t="s">
        <v>1728</v>
      </c>
      <c r="E706" s="189">
        <v>39471</v>
      </c>
      <c r="F706" s="190">
        <v>0</v>
      </c>
      <c r="G706" s="190">
        <v>100.8</v>
      </c>
      <c r="H706" s="191">
        <v>750</v>
      </c>
      <c r="I706" s="191">
        <v>393.75</v>
      </c>
      <c r="J706" s="188" t="s">
        <v>639</v>
      </c>
      <c r="K706" s="188" t="s">
        <v>338</v>
      </c>
      <c r="L706" s="188" t="s">
        <v>1729</v>
      </c>
      <c r="M706" s="192">
        <f t="shared" ref="M706:M769" si="33">K706-J706</f>
        <v>27</v>
      </c>
      <c r="N706" s="193">
        <f t="shared" ref="N706:N769" si="34">H706/L706</f>
        <v>0.47619047619047616</v>
      </c>
      <c r="O706" s="194">
        <f t="shared" ref="O706:O769" si="35">N706/M706</f>
        <v>1.7636684303350969E-2</v>
      </c>
    </row>
    <row r="707" spans="1:15" ht="12.75" customHeight="1">
      <c r="A707" s="188" t="s">
        <v>620</v>
      </c>
      <c r="B707" s="188" t="s">
        <v>1394</v>
      </c>
      <c r="C707" s="188" t="s">
        <v>641</v>
      </c>
      <c r="D707" s="188" t="s">
        <v>1730</v>
      </c>
      <c r="E707" s="189">
        <v>39407</v>
      </c>
      <c r="F707" s="190">
        <v>0</v>
      </c>
      <c r="G707" s="190">
        <v>38.4</v>
      </c>
      <c r="H707" s="191">
        <v>339</v>
      </c>
      <c r="I707" s="191">
        <v>150</v>
      </c>
      <c r="J707" s="188" t="s">
        <v>353</v>
      </c>
      <c r="K707" s="188" t="s">
        <v>338</v>
      </c>
      <c r="L707" s="188" t="s">
        <v>677</v>
      </c>
      <c r="M707" s="192">
        <f t="shared" si="33"/>
        <v>32</v>
      </c>
      <c r="N707" s="193">
        <f t="shared" si="34"/>
        <v>0.56499999999999995</v>
      </c>
      <c r="O707" s="194">
        <f t="shared" si="35"/>
        <v>1.7656249999999998E-2</v>
      </c>
    </row>
    <row r="708" spans="1:15" ht="12.75" customHeight="1">
      <c r="A708" s="188" t="s">
        <v>620</v>
      </c>
      <c r="B708" s="188" t="s">
        <v>1394</v>
      </c>
      <c r="C708" s="188" t="s">
        <v>641</v>
      </c>
      <c r="D708" s="188" t="s">
        <v>1731</v>
      </c>
      <c r="E708" s="189">
        <v>39611</v>
      </c>
      <c r="F708" s="190">
        <v>0</v>
      </c>
      <c r="G708" s="190">
        <v>104.45</v>
      </c>
      <c r="H708" s="191">
        <v>1095</v>
      </c>
      <c r="I708" s="191">
        <v>408</v>
      </c>
      <c r="J708" s="188" t="s">
        <v>624</v>
      </c>
      <c r="K708" s="188" t="s">
        <v>338</v>
      </c>
      <c r="L708" s="188" t="s">
        <v>1732</v>
      </c>
      <c r="M708" s="192">
        <f t="shared" si="33"/>
        <v>38</v>
      </c>
      <c r="N708" s="193">
        <f t="shared" si="34"/>
        <v>0.67095588235294112</v>
      </c>
      <c r="O708" s="194">
        <f t="shared" si="35"/>
        <v>1.765673374613003E-2</v>
      </c>
    </row>
    <row r="709" spans="1:15" ht="12.75" customHeight="1">
      <c r="A709" s="188" t="s">
        <v>620</v>
      </c>
      <c r="B709" s="188" t="s">
        <v>1394</v>
      </c>
      <c r="C709" s="188" t="s">
        <v>641</v>
      </c>
      <c r="D709" s="188" t="s">
        <v>1733</v>
      </c>
      <c r="E709" s="189">
        <v>39275</v>
      </c>
      <c r="F709" s="190">
        <v>0</v>
      </c>
      <c r="G709" s="190">
        <v>118.21</v>
      </c>
      <c r="H709" s="191">
        <v>1240.08</v>
      </c>
      <c r="I709" s="191">
        <v>461.75</v>
      </c>
      <c r="J709" s="188" t="s">
        <v>624</v>
      </c>
      <c r="K709" s="188" t="s">
        <v>338</v>
      </c>
      <c r="L709" s="188" t="s">
        <v>1734</v>
      </c>
      <c r="M709" s="192">
        <f t="shared" si="33"/>
        <v>38</v>
      </c>
      <c r="N709" s="193">
        <f t="shared" si="34"/>
        <v>0.6714022739577693</v>
      </c>
      <c r="O709" s="194">
        <f t="shared" si="35"/>
        <v>1.7668480893625507E-2</v>
      </c>
    </row>
    <row r="710" spans="1:15" ht="12.75" customHeight="1">
      <c r="A710" s="188" t="s">
        <v>620</v>
      </c>
      <c r="B710" s="188" t="s">
        <v>1394</v>
      </c>
      <c r="C710" s="188" t="s">
        <v>641</v>
      </c>
      <c r="D710" s="188" t="s">
        <v>1735</v>
      </c>
      <c r="E710" s="189">
        <v>39226</v>
      </c>
      <c r="F710" s="190">
        <v>0</v>
      </c>
      <c r="G710" s="190">
        <v>118.4</v>
      </c>
      <c r="H710" s="191">
        <v>752.03</v>
      </c>
      <c r="I710" s="191">
        <v>462.5</v>
      </c>
      <c r="J710" s="188" t="s">
        <v>571</v>
      </c>
      <c r="K710" s="188" t="s">
        <v>338</v>
      </c>
      <c r="L710" s="188" t="s">
        <v>1736</v>
      </c>
      <c r="M710" s="192">
        <f t="shared" si="33"/>
        <v>23</v>
      </c>
      <c r="N710" s="193">
        <f t="shared" si="34"/>
        <v>0.40650270270270267</v>
      </c>
      <c r="O710" s="194">
        <f t="shared" si="35"/>
        <v>1.7674030552291421E-2</v>
      </c>
    </row>
    <row r="711" spans="1:15" ht="12.75" customHeight="1">
      <c r="A711" s="188" t="s">
        <v>620</v>
      </c>
      <c r="B711" s="188" t="s">
        <v>1394</v>
      </c>
      <c r="C711" s="188" t="s">
        <v>641</v>
      </c>
      <c r="D711" s="188" t="s">
        <v>1737</v>
      </c>
      <c r="E711" s="189">
        <v>39597</v>
      </c>
      <c r="F711" s="190">
        <v>0</v>
      </c>
      <c r="G711" s="190">
        <v>75.010000000000005</v>
      </c>
      <c r="H711" s="191">
        <v>539</v>
      </c>
      <c r="I711" s="191">
        <v>293</v>
      </c>
      <c r="J711" s="188" t="s">
        <v>361</v>
      </c>
      <c r="K711" s="188" t="s">
        <v>338</v>
      </c>
      <c r="L711" s="188" t="s">
        <v>1738</v>
      </c>
      <c r="M711" s="192">
        <f t="shared" si="33"/>
        <v>26</v>
      </c>
      <c r="N711" s="193">
        <f t="shared" si="34"/>
        <v>0.45989761092150172</v>
      </c>
      <c r="O711" s="194">
        <f t="shared" si="35"/>
        <v>1.7688369650826988E-2</v>
      </c>
    </row>
    <row r="712" spans="1:15" ht="12.75" customHeight="1">
      <c r="A712" s="188" t="s">
        <v>620</v>
      </c>
      <c r="B712" s="188" t="s">
        <v>1394</v>
      </c>
      <c r="C712" s="188" t="s">
        <v>641</v>
      </c>
      <c r="D712" s="188" t="s">
        <v>1739</v>
      </c>
      <c r="E712" s="189">
        <v>39447</v>
      </c>
      <c r="F712" s="190">
        <v>0</v>
      </c>
      <c r="G712" s="190">
        <v>102.4</v>
      </c>
      <c r="H712" s="191">
        <v>850</v>
      </c>
      <c r="I712" s="191">
        <v>400</v>
      </c>
      <c r="J712" s="188" t="s">
        <v>635</v>
      </c>
      <c r="K712" s="188" t="s">
        <v>338</v>
      </c>
      <c r="L712" s="188" t="s">
        <v>625</v>
      </c>
      <c r="M712" s="192">
        <f t="shared" si="33"/>
        <v>30</v>
      </c>
      <c r="N712" s="193">
        <f t="shared" si="34"/>
        <v>0.53125</v>
      </c>
      <c r="O712" s="194">
        <f t="shared" si="35"/>
        <v>1.7708333333333333E-2</v>
      </c>
    </row>
    <row r="713" spans="1:15" ht="12.75" customHeight="1">
      <c r="A713" s="188" t="s">
        <v>620</v>
      </c>
      <c r="B713" s="188" t="s">
        <v>1394</v>
      </c>
      <c r="C713" s="188" t="s">
        <v>641</v>
      </c>
      <c r="D713" s="188" t="s">
        <v>1740</v>
      </c>
      <c r="E713" s="189">
        <v>39507</v>
      </c>
      <c r="F713" s="190">
        <v>0</v>
      </c>
      <c r="G713" s="190">
        <v>49.15</v>
      </c>
      <c r="H713" s="191">
        <v>517</v>
      </c>
      <c r="I713" s="191">
        <v>192</v>
      </c>
      <c r="J713" s="188" t="s">
        <v>624</v>
      </c>
      <c r="K713" s="188" t="s">
        <v>338</v>
      </c>
      <c r="L713" s="188" t="s">
        <v>1741</v>
      </c>
      <c r="M713" s="192">
        <f t="shared" si="33"/>
        <v>38</v>
      </c>
      <c r="N713" s="193">
        <f t="shared" si="34"/>
        <v>0.67317708333333337</v>
      </c>
      <c r="O713" s="194">
        <f t="shared" si="35"/>
        <v>1.7715186403508772E-2</v>
      </c>
    </row>
    <row r="714" spans="1:15" ht="12.75" customHeight="1">
      <c r="A714" s="188" t="s">
        <v>620</v>
      </c>
      <c r="B714" s="188" t="s">
        <v>1394</v>
      </c>
      <c r="C714" s="188" t="s">
        <v>641</v>
      </c>
      <c r="D714" s="188" t="s">
        <v>1742</v>
      </c>
      <c r="E714" s="189">
        <v>39464</v>
      </c>
      <c r="F714" s="190">
        <v>0</v>
      </c>
      <c r="G714" s="190">
        <v>103.42</v>
      </c>
      <c r="H714" s="191">
        <v>773</v>
      </c>
      <c r="I714" s="191">
        <v>404</v>
      </c>
      <c r="J714" s="188" t="s">
        <v>639</v>
      </c>
      <c r="K714" s="188" t="s">
        <v>338</v>
      </c>
      <c r="L714" s="188" t="s">
        <v>1743</v>
      </c>
      <c r="M714" s="192">
        <f t="shared" si="33"/>
        <v>27</v>
      </c>
      <c r="N714" s="193">
        <f t="shared" si="34"/>
        <v>0.47834158415841582</v>
      </c>
      <c r="O714" s="194">
        <f t="shared" si="35"/>
        <v>1.7716354968830214E-2</v>
      </c>
    </row>
    <row r="715" spans="1:15" ht="12.75" customHeight="1">
      <c r="A715" s="188" t="s">
        <v>620</v>
      </c>
      <c r="B715" s="188" t="s">
        <v>1394</v>
      </c>
      <c r="C715" s="188" t="s">
        <v>641</v>
      </c>
      <c r="D715" s="188" t="s">
        <v>1744</v>
      </c>
      <c r="E715" s="189">
        <v>39632</v>
      </c>
      <c r="F715" s="190">
        <v>0</v>
      </c>
      <c r="G715" s="190">
        <v>84.48</v>
      </c>
      <c r="H715" s="191">
        <v>468</v>
      </c>
      <c r="I715" s="191">
        <v>330</v>
      </c>
      <c r="J715" s="188" t="s">
        <v>560</v>
      </c>
      <c r="K715" s="188" t="s">
        <v>338</v>
      </c>
      <c r="L715" s="188" t="s">
        <v>1050</v>
      </c>
      <c r="M715" s="192">
        <f t="shared" si="33"/>
        <v>20</v>
      </c>
      <c r="N715" s="193">
        <f t="shared" si="34"/>
        <v>0.35454545454545455</v>
      </c>
      <c r="O715" s="194">
        <f t="shared" si="35"/>
        <v>1.7727272727272727E-2</v>
      </c>
    </row>
    <row r="716" spans="1:15" ht="12.75" customHeight="1">
      <c r="A716" s="188" t="s">
        <v>620</v>
      </c>
      <c r="B716" s="188" t="s">
        <v>1394</v>
      </c>
      <c r="C716" s="188" t="s">
        <v>641</v>
      </c>
      <c r="D716" s="188" t="s">
        <v>1745</v>
      </c>
      <c r="E716" s="189">
        <v>39436</v>
      </c>
      <c r="F716" s="190">
        <v>0</v>
      </c>
      <c r="G716" s="190">
        <v>87.94</v>
      </c>
      <c r="H716" s="191">
        <v>804</v>
      </c>
      <c r="I716" s="191">
        <v>343.5</v>
      </c>
      <c r="J716" s="188" t="s">
        <v>742</v>
      </c>
      <c r="K716" s="188" t="s">
        <v>338</v>
      </c>
      <c r="L716" s="188" t="s">
        <v>1746</v>
      </c>
      <c r="M716" s="192">
        <f t="shared" si="33"/>
        <v>33</v>
      </c>
      <c r="N716" s="193">
        <f t="shared" si="34"/>
        <v>0.58515283842794763</v>
      </c>
      <c r="O716" s="194">
        <f t="shared" si="35"/>
        <v>1.7731904194786291E-2</v>
      </c>
    </row>
    <row r="717" spans="1:15" ht="12.75" customHeight="1">
      <c r="A717" s="188" t="s">
        <v>620</v>
      </c>
      <c r="B717" s="188" t="s">
        <v>1394</v>
      </c>
      <c r="C717" s="188" t="s">
        <v>641</v>
      </c>
      <c r="D717" s="188" t="s">
        <v>1747</v>
      </c>
      <c r="E717" s="189">
        <v>39611</v>
      </c>
      <c r="F717" s="190">
        <v>0</v>
      </c>
      <c r="G717" s="190">
        <v>80.64</v>
      </c>
      <c r="H717" s="191">
        <v>850</v>
      </c>
      <c r="I717" s="191">
        <v>315</v>
      </c>
      <c r="J717" s="188" t="s">
        <v>624</v>
      </c>
      <c r="K717" s="188" t="s">
        <v>338</v>
      </c>
      <c r="L717" s="188" t="s">
        <v>680</v>
      </c>
      <c r="M717" s="192">
        <f t="shared" si="33"/>
        <v>38</v>
      </c>
      <c r="N717" s="193">
        <f t="shared" si="34"/>
        <v>0.67460317460317465</v>
      </c>
      <c r="O717" s="194">
        <f t="shared" si="35"/>
        <v>1.7752715121136176E-2</v>
      </c>
    </row>
    <row r="718" spans="1:15" ht="12.75" customHeight="1">
      <c r="A718" s="188" t="s">
        <v>620</v>
      </c>
      <c r="B718" s="188" t="s">
        <v>1394</v>
      </c>
      <c r="C718" s="188" t="s">
        <v>641</v>
      </c>
      <c r="D718" s="188" t="s">
        <v>1748</v>
      </c>
      <c r="E718" s="189">
        <v>39520</v>
      </c>
      <c r="F718" s="190">
        <v>0</v>
      </c>
      <c r="G718" s="190">
        <v>72.319999999999993</v>
      </c>
      <c r="H718" s="191">
        <v>822.75</v>
      </c>
      <c r="I718" s="191">
        <v>282.5</v>
      </c>
      <c r="J718" s="188" t="s">
        <v>635</v>
      </c>
      <c r="K718" s="188" t="s">
        <v>648</v>
      </c>
      <c r="L718" s="188" t="s">
        <v>1749</v>
      </c>
      <c r="M718" s="192">
        <f t="shared" si="33"/>
        <v>41</v>
      </c>
      <c r="N718" s="193">
        <f t="shared" si="34"/>
        <v>0.72809734513274338</v>
      </c>
      <c r="O718" s="194">
        <f t="shared" si="35"/>
        <v>1.7758471832505937E-2</v>
      </c>
    </row>
    <row r="719" spans="1:15" ht="12.75" customHeight="1">
      <c r="A719" s="188" t="s">
        <v>620</v>
      </c>
      <c r="B719" s="188" t="s">
        <v>1394</v>
      </c>
      <c r="C719" s="188" t="s">
        <v>641</v>
      </c>
      <c r="D719" s="188" t="s">
        <v>1750</v>
      </c>
      <c r="E719" s="189">
        <v>39380</v>
      </c>
      <c r="F719" s="190">
        <v>0</v>
      </c>
      <c r="G719" s="190">
        <v>86.91</v>
      </c>
      <c r="H719" s="191">
        <v>652</v>
      </c>
      <c r="I719" s="191">
        <v>339.5</v>
      </c>
      <c r="J719" s="188" t="s">
        <v>639</v>
      </c>
      <c r="K719" s="188" t="s">
        <v>338</v>
      </c>
      <c r="L719" s="188" t="s">
        <v>1751</v>
      </c>
      <c r="M719" s="192">
        <f t="shared" si="33"/>
        <v>27</v>
      </c>
      <c r="N719" s="193">
        <f t="shared" si="34"/>
        <v>0.48011782032400591</v>
      </c>
      <c r="O719" s="194">
        <f t="shared" si="35"/>
        <v>1.7782141493481701E-2</v>
      </c>
    </row>
    <row r="720" spans="1:15" ht="12.75" customHeight="1">
      <c r="A720" s="188" t="s">
        <v>620</v>
      </c>
      <c r="B720" s="188" t="s">
        <v>1394</v>
      </c>
      <c r="C720" s="188" t="s">
        <v>641</v>
      </c>
      <c r="D720" s="188" t="s">
        <v>1752</v>
      </c>
      <c r="E720" s="189">
        <v>39597</v>
      </c>
      <c r="F720" s="190">
        <v>0</v>
      </c>
      <c r="G720" s="190">
        <v>80.959999999999994</v>
      </c>
      <c r="H720" s="191">
        <v>584.95000000000005</v>
      </c>
      <c r="I720" s="191">
        <v>316.25</v>
      </c>
      <c r="J720" s="188" t="s">
        <v>571</v>
      </c>
      <c r="K720" s="188" t="s">
        <v>733</v>
      </c>
      <c r="L720" s="188" t="s">
        <v>1753</v>
      </c>
      <c r="M720" s="192">
        <f t="shared" si="33"/>
        <v>26</v>
      </c>
      <c r="N720" s="193">
        <f t="shared" si="34"/>
        <v>0.46241106719367592</v>
      </c>
      <c r="O720" s="194">
        <f t="shared" si="35"/>
        <v>1.7785041045910614E-2</v>
      </c>
    </row>
    <row r="721" spans="1:15" ht="12.75" customHeight="1">
      <c r="A721" s="188" t="s">
        <v>620</v>
      </c>
      <c r="B721" s="188" t="s">
        <v>1394</v>
      </c>
      <c r="C721" s="188" t="s">
        <v>641</v>
      </c>
      <c r="D721" s="188" t="s">
        <v>1754</v>
      </c>
      <c r="E721" s="189">
        <v>39275</v>
      </c>
      <c r="F721" s="190">
        <v>0</v>
      </c>
      <c r="G721" s="190">
        <v>93.63</v>
      </c>
      <c r="H721" s="191">
        <v>990.01</v>
      </c>
      <c r="I721" s="191">
        <v>365.75</v>
      </c>
      <c r="J721" s="188" t="s">
        <v>624</v>
      </c>
      <c r="K721" s="188" t="s">
        <v>338</v>
      </c>
      <c r="L721" s="188" t="s">
        <v>1755</v>
      </c>
      <c r="M721" s="192">
        <f t="shared" si="33"/>
        <v>38</v>
      </c>
      <c r="N721" s="193">
        <f t="shared" si="34"/>
        <v>0.67669856459330147</v>
      </c>
      <c r="O721" s="194">
        <f t="shared" si="35"/>
        <v>1.7807856962981618E-2</v>
      </c>
    </row>
    <row r="722" spans="1:15" ht="12.75" customHeight="1">
      <c r="A722" s="188" t="s">
        <v>620</v>
      </c>
      <c r="B722" s="188" t="s">
        <v>1394</v>
      </c>
      <c r="C722" s="188" t="s">
        <v>641</v>
      </c>
      <c r="D722" s="188" t="s">
        <v>1756</v>
      </c>
      <c r="E722" s="189">
        <v>39447</v>
      </c>
      <c r="F722" s="190">
        <v>0</v>
      </c>
      <c r="G722" s="190">
        <v>14.66</v>
      </c>
      <c r="H722" s="191">
        <v>155</v>
      </c>
      <c r="I722" s="191">
        <v>57.25</v>
      </c>
      <c r="J722" s="188" t="s">
        <v>624</v>
      </c>
      <c r="K722" s="188" t="s">
        <v>338</v>
      </c>
      <c r="L722" s="188" t="s">
        <v>1757</v>
      </c>
      <c r="M722" s="192">
        <f t="shared" si="33"/>
        <v>38</v>
      </c>
      <c r="N722" s="193">
        <f t="shared" si="34"/>
        <v>0.67685589519650657</v>
      </c>
      <c r="O722" s="194">
        <f t="shared" si="35"/>
        <v>1.7811997242013333E-2</v>
      </c>
    </row>
    <row r="723" spans="1:15" ht="12.75" customHeight="1">
      <c r="A723" s="188" t="s">
        <v>620</v>
      </c>
      <c r="B723" s="188" t="s">
        <v>1394</v>
      </c>
      <c r="C723" s="188" t="s">
        <v>641</v>
      </c>
      <c r="D723" s="188" t="s">
        <v>1758</v>
      </c>
      <c r="E723" s="189">
        <v>39345</v>
      </c>
      <c r="F723" s="190">
        <v>0</v>
      </c>
      <c r="G723" s="190">
        <v>86.14</v>
      </c>
      <c r="H723" s="191">
        <v>719.98</v>
      </c>
      <c r="I723" s="191">
        <v>336.5</v>
      </c>
      <c r="J723" s="188" t="s">
        <v>635</v>
      </c>
      <c r="K723" s="188" t="s">
        <v>338</v>
      </c>
      <c r="L723" s="188" t="s">
        <v>1759</v>
      </c>
      <c r="M723" s="192">
        <f t="shared" si="33"/>
        <v>30</v>
      </c>
      <c r="N723" s="193">
        <f t="shared" si="34"/>
        <v>0.5349034175334324</v>
      </c>
      <c r="O723" s="194">
        <f t="shared" si="35"/>
        <v>1.7830113917781078E-2</v>
      </c>
    </row>
    <row r="724" spans="1:15" ht="12.75" customHeight="1">
      <c r="A724" s="188" t="s">
        <v>620</v>
      </c>
      <c r="B724" s="188" t="s">
        <v>1394</v>
      </c>
      <c r="C724" s="188" t="s">
        <v>641</v>
      </c>
      <c r="D724" s="188" t="s">
        <v>1760</v>
      </c>
      <c r="E724" s="189">
        <v>39359</v>
      </c>
      <c r="F724" s="190">
        <v>0</v>
      </c>
      <c r="G724" s="190">
        <v>132.16</v>
      </c>
      <c r="H724" s="191">
        <v>1400</v>
      </c>
      <c r="I724" s="191">
        <v>516.25</v>
      </c>
      <c r="J724" s="188" t="s">
        <v>639</v>
      </c>
      <c r="K724" s="188" t="s">
        <v>648</v>
      </c>
      <c r="L724" s="188" t="s">
        <v>1761</v>
      </c>
      <c r="M724" s="192">
        <f t="shared" si="33"/>
        <v>38</v>
      </c>
      <c r="N724" s="193">
        <f t="shared" si="34"/>
        <v>0.67796610169491522</v>
      </c>
      <c r="O724" s="194">
        <f t="shared" si="35"/>
        <v>1.784121320249777E-2</v>
      </c>
    </row>
    <row r="725" spans="1:15" ht="12.75" customHeight="1">
      <c r="A725" s="188" t="s">
        <v>620</v>
      </c>
      <c r="B725" s="188" t="s">
        <v>1394</v>
      </c>
      <c r="C725" s="188" t="s">
        <v>641</v>
      </c>
      <c r="D725" s="188" t="s">
        <v>1762</v>
      </c>
      <c r="E725" s="189">
        <v>39485</v>
      </c>
      <c r="F725" s="190">
        <v>0</v>
      </c>
      <c r="G725" s="190">
        <v>153.09</v>
      </c>
      <c r="H725" s="191">
        <v>1153</v>
      </c>
      <c r="I725" s="191">
        <v>598</v>
      </c>
      <c r="J725" s="188" t="s">
        <v>639</v>
      </c>
      <c r="K725" s="188" t="s">
        <v>338</v>
      </c>
      <c r="L725" s="188" t="s">
        <v>1763</v>
      </c>
      <c r="M725" s="192">
        <f t="shared" si="33"/>
        <v>27</v>
      </c>
      <c r="N725" s="193">
        <f t="shared" si="34"/>
        <v>0.48202341137123744</v>
      </c>
      <c r="O725" s="194">
        <f t="shared" si="35"/>
        <v>1.7852718939675463E-2</v>
      </c>
    </row>
    <row r="726" spans="1:15" ht="12.75" customHeight="1">
      <c r="A726" s="188" t="s">
        <v>620</v>
      </c>
      <c r="B726" s="188" t="s">
        <v>1394</v>
      </c>
      <c r="C726" s="188" t="s">
        <v>641</v>
      </c>
      <c r="D726" s="188" t="s">
        <v>1764</v>
      </c>
      <c r="E726" s="189">
        <v>39499</v>
      </c>
      <c r="F726" s="190">
        <v>0</v>
      </c>
      <c r="G726" s="190">
        <v>89.6</v>
      </c>
      <c r="H726" s="191">
        <v>750</v>
      </c>
      <c r="I726" s="191">
        <v>350</v>
      </c>
      <c r="J726" s="188" t="s">
        <v>635</v>
      </c>
      <c r="K726" s="188" t="s">
        <v>338</v>
      </c>
      <c r="L726" s="188" t="s">
        <v>754</v>
      </c>
      <c r="M726" s="192">
        <f t="shared" si="33"/>
        <v>30</v>
      </c>
      <c r="N726" s="193">
        <f t="shared" si="34"/>
        <v>0.5357142857142857</v>
      </c>
      <c r="O726" s="194">
        <f t="shared" si="35"/>
        <v>1.7857142857142856E-2</v>
      </c>
    </row>
    <row r="727" spans="1:15" ht="12.75" customHeight="1">
      <c r="A727" s="188" t="s">
        <v>620</v>
      </c>
      <c r="B727" s="188" t="s">
        <v>1394</v>
      </c>
      <c r="C727" s="188" t="s">
        <v>641</v>
      </c>
      <c r="D727" s="188" t="s">
        <v>1765</v>
      </c>
      <c r="E727" s="189">
        <v>39380</v>
      </c>
      <c r="F727" s="190">
        <v>0</v>
      </c>
      <c r="G727" s="190">
        <v>74.5</v>
      </c>
      <c r="H727" s="191">
        <v>624</v>
      </c>
      <c r="I727" s="191">
        <v>291</v>
      </c>
      <c r="J727" s="188" t="s">
        <v>635</v>
      </c>
      <c r="K727" s="188" t="s">
        <v>338</v>
      </c>
      <c r="L727" s="188" t="s">
        <v>1235</v>
      </c>
      <c r="M727" s="192">
        <f t="shared" si="33"/>
        <v>30</v>
      </c>
      <c r="N727" s="193">
        <f t="shared" si="34"/>
        <v>0.53608247422680411</v>
      </c>
      <c r="O727" s="194">
        <f t="shared" si="35"/>
        <v>1.7869415807560136E-2</v>
      </c>
    </row>
    <row r="728" spans="1:15" ht="12.75" customHeight="1">
      <c r="A728" s="188" t="s">
        <v>620</v>
      </c>
      <c r="B728" s="188" t="s">
        <v>1394</v>
      </c>
      <c r="C728" s="188" t="s">
        <v>641</v>
      </c>
      <c r="D728" s="188" t="s">
        <v>1766</v>
      </c>
      <c r="E728" s="189">
        <v>39632</v>
      </c>
      <c r="F728" s="190">
        <v>0</v>
      </c>
      <c r="G728" s="190">
        <v>77.819999999999993</v>
      </c>
      <c r="H728" s="191">
        <v>652</v>
      </c>
      <c r="I728" s="191">
        <v>304</v>
      </c>
      <c r="J728" s="188" t="s">
        <v>635</v>
      </c>
      <c r="K728" s="188" t="s">
        <v>338</v>
      </c>
      <c r="L728" s="188" t="s">
        <v>1767</v>
      </c>
      <c r="M728" s="192">
        <f t="shared" si="33"/>
        <v>30</v>
      </c>
      <c r="N728" s="193">
        <f t="shared" si="34"/>
        <v>0.53618421052631582</v>
      </c>
      <c r="O728" s="194">
        <f t="shared" si="35"/>
        <v>1.787280701754386E-2</v>
      </c>
    </row>
    <row r="729" spans="1:15" ht="12.75" customHeight="1">
      <c r="A729" s="188" t="s">
        <v>620</v>
      </c>
      <c r="B729" s="188" t="s">
        <v>1394</v>
      </c>
      <c r="C729" s="188" t="s">
        <v>641</v>
      </c>
      <c r="D729" s="188" t="s">
        <v>1768</v>
      </c>
      <c r="E729" s="189">
        <v>39401</v>
      </c>
      <c r="F729" s="190">
        <v>0</v>
      </c>
      <c r="G729" s="190">
        <v>65.92</v>
      </c>
      <c r="H729" s="191">
        <v>700</v>
      </c>
      <c r="I729" s="191">
        <v>257.5</v>
      </c>
      <c r="J729" s="188" t="s">
        <v>624</v>
      </c>
      <c r="K729" s="188" t="s">
        <v>338</v>
      </c>
      <c r="L729" s="188" t="s">
        <v>298</v>
      </c>
      <c r="M729" s="192">
        <f t="shared" si="33"/>
        <v>38</v>
      </c>
      <c r="N729" s="193">
        <f t="shared" si="34"/>
        <v>0.67961165048543692</v>
      </c>
      <c r="O729" s="194">
        <f t="shared" si="35"/>
        <v>1.7884517118037815E-2</v>
      </c>
    </row>
    <row r="730" spans="1:15" ht="12.75" customHeight="1">
      <c r="A730" s="188" t="s">
        <v>620</v>
      </c>
      <c r="B730" s="188" t="s">
        <v>1394</v>
      </c>
      <c r="C730" s="188" t="s">
        <v>641</v>
      </c>
      <c r="D730" s="188" t="s">
        <v>1769</v>
      </c>
      <c r="E730" s="189">
        <v>39520</v>
      </c>
      <c r="F730" s="190">
        <v>0</v>
      </c>
      <c r="G730" s="190">
        <v>73.34</v>
      </c>
      <c r="H730" s="191">
        <v>1005</v>
      </c>
      <c r="I730" s="191">
        <v>286.5</v>
      </c>
      <c r="J730" s="188" t="s">
        <v>624</v>
      </c>
      <c r="K730" s="188" t="s">
        <v>648</v>
      </c>
      <c r="L730" s="188" t="s">
        <v>1770</v>
      </c>
      <c r="M730" s="192">
        <f t="shared" si="33"/>
        <v>49</v>
      </c>
      <c r="N730" s="193">
        <f t="shared" si="34"/>
        <v>0.87696335078534027</v>
      </c>
      <c r="O730" s="194">
        <f t="shared" si="35"/>
        <v>1.7897211240517148E-2</v>
      </c>
    </row>
    <row r="731" spans="1:15" ht="12.75" customHeight="1">
      <c r="A731" s="188" t="s">
        <v>620</v>
      </c>
      <c r="B731" s="188" t="s">
        <v>1394</v>
      </c>
      <c r="C731" s="188" t="s">
        <v>641</v>
      </c>
      <c r="D731" s="188" t="s">
        <v>1771</v>
      </c>
      <c r="E731" s="189">
        <v>39471</v>
      </c>
      <c r="F731" s="190">
        <v>0</v>
      </c>
      <c r="G731" s="190">
        <v>153.6</v>
      </c>
      <c r="H731" s="191">
        <v>1291</v>
      </c>
      <c r="I731" s="191">
        <v>600</v>
      </c>
      <c r="J731" s="188" t="s">
        <v>635</v>
      </c>
      <c r="K731" s="188" t="s">
        <v>338</v>
      </c>
      <c r="L731" s="188" t="s">
        <v>539</v>
      </c>
      <c r="M731" s="192">
        <f t="shared" si="33"/>
        <v>30</v>
      </c>
      <c r="N731" s="193">
        <f t="shared" si="34"/>
        <v>0.53791666666666671</v>
      </c>
      <c r="O731" s="194">
        <f t="shared" si="35"/>
        <v>1.7930555555555557E-2</v>
      </c>
    </row>
    <row r="732" spans="1:15" ht="12.75" customHeight="1">
      <c r="A732" s="188" t="s">
        <v>620</v>
      </c>
      <c r="B732" s="188" t="s">
        <v>1394</v>
      </c>
      <c r="C732" s="188" t="s">
        <v>641</v>
      </c>
      <c r="D732" s="188" t="s">
        <v>1772</v>
      </c>
      <c r="E732" s="189">
        <v>39541</v>
      </c>
      <c r="F732" s="190">
        <v>0</v>
      </c>
      <c r="G732" s="190">
        <v>60.8</v>
      </c>
      <c r="H732" s="191">
        <v>648</v>
      </c>
      <c r="I732" s="191">
        <v>237.5</v>
      </c>
      <c r="J732" s="188" t="s">
        <v>635</v>
      </c>
      <c r="K732" s="188" t="s">
        <v>421</v>
      </c>
      <c r="L732" s="188" t="s">
        <v>1164</v>
      </c>
      <c r="M732" s="192">
        <f t="shared" si="33"/>
        <v>38</v>
      </c>
      <c r="N732" s="193">
        <f t="shared" si="34"/>
        <v>0.68210526315789477</v>
      </c>
      <c r="O732" s="194">
        <f t="shared" si="35"/>
        <v>1.7950138504155125E-2</v>
      </c>
    </row>
    <row r="733" spans="1:15" ht="12.75" customHeight="1">
      <c r="A733" s="188" t="s">
        <v>620</v>
      </c>
      <c r="B733" s="188" t="s">
        <v>1394</v>
      </c>
      <c r="C733" s="188" t="s">
        <v>641</v>
      </c>
      <c r="D733" s="188" t="s">
        <v>1773</v>
      </c>
      <c r="E733" s="189">
        <v>39240</v>
      </c>
      <c r="F733" s="190">
        <v>0</v>
      </c>
      <c r="G733" s="190">
        <v>41.6</v>
      </c>
      <c r="H733" s="191">
        <v>350.03</v>
      </c>
      <c r="I733" s="191">
        <v>162.5</v>
      </c>
      <c r="J733" s="188" t="s">
        <v>560</v>
      </c>
      <c r="K733" s="188" t="s">
        <v>442</v>
      </c>
      <c r="L733" s="188" t="s">
        <v>1774</v>
      </c>
      <c r="M733" s="192">
        <f t="shared" si="33"/>
        <v>30</v>
      </c>
      <c r="N733" s="193">
        <f t="shared" si="34"/>
        <v>0.53850769230769224</v>
      </c>
      <c r="O733" s="194">
        <f t="shared" si="35"/>
        <v>1.7950256410256406E-2</v>
      </c>
    </row>
    <row r="734" spans="1:15" ht="12.75" customHeight="1">
      <c r="A734" s="188" t="s">
        <v>620</v>
      </c>
      <c r="B734" s="188" t="s">
        <v>1394</v>
      </c>
      <c r="C734" s="188" t="s">
        <v>641</v>
      </c>
      <c r="D734" s="188" t="s">
        <v>1775</v>
      </c>
      <c r="E734" s="189">
        <v>39548</v>
      </c>
      <c r="F734" s="190">
        <v>0</v>
      </c>
      <c r="G734" s="190">
        <v>115.2</v>
      </c>
      <c r="H734" s="191">
        <v>970</v>
      </c>
      <c r="I734" s="191">
        <v>450</v>
      </c>
      <c r="J734" s="188" t="s">
        <v>635</v>
      </c>
      <c r="K734" s="188" t="s">
        <v>338</v>
      </c>
      <c r="L734" s="188" t="s">
        <v>718</v>
      </c>
      <c r="M734" s="192">
        <f t="shared" si="33"/>
        <v>30</v>
      </c>
      <c r="N734" s="193">
        <f t="shared" si="34"/>
        <v>0.53888888888888886</v>
      </c>
      <c r="O734" s="194">
        <f t="shared" si="35"/>
        <v>1.7962962962962962E-2</v>
      </c>
    </row>
    <row r="735" spans="1:15" ht="12.75" customHeight="1">
      <c r="A735" s="188" t="s">
        <v>620</v>
      </c>
      <c r="B735" s="188" t="s">
        <v>1394</v>
      </c>
      <c r="C735" s="188" t="s">
        <v>641</v>
      </c>
      <c r="D735" s="188" t="s">
        <v>1776</v>
      </c>
      <c r="E735" s="189">
        <v>39527</v>
      </c>
      <c r="F735" s="190">
        <v>0</v>
      </c>
      <c r="G735" s="190">
        <v>176.77</v>
      </c>
      <c r="H735" s="191">
        <v>1490</v>
      </c>
      <c r="I735" s="191">
        <v>690.5</v>
      </c>
      <c r="J735" s="188" t="s">
        <v>635</v>
      </c>
      <c r="K735" s="188" t="s">
        <v>338</v>
      </c>
      <c r="L735" s="188" t="s">
        <v>1777</v>
      </c>
      <c r="M735" s="192">
        <f t="shared" si="33"/>
        <v>30</v>
      </c>
      <c r="N735" s="193">
        <f t="shared" si="34"/>
        <v>0.53946415640839973</v>
      </c>
      <c r="O735" s="194">
        <f t="shared" si="35"/>
        <v>1.7982138546946656E-2</v>
      </c>
    </row>
    <row r="736" spans="1:15" ht="12.75" customHeight="1">
      <c r="A736" s="188" t="s">
        <v>620</v>
      </c>
      <c r="B736" s="188" t="s">
        <v>1394</v>
      </c>
      <c r="C736" s="188" t="s">
        <v>641</v>
      </c>
      <c r="D736" s="188" t="s">
        <v>1778</v>
      </c>
      <c r="E736" s="189">
        <v>39534</v>
      </c>
      <c r="F736" s="190">
        <v>0</v>
      </c>
      <c r="G736" s="190">
        <v>65.540000000000006</v>
      </c>
      <c r="H736" s="191">
        <v>700</v>
      </c>
      <c r="I736" s="191">
        <v>256</v>
      </c>
      <c r="J736" s="188" t="s">
        <v>624</v>
      </c>
      <c r="K736" s="188" t="s">
        <v>338</v>
      </c>
      <c r="L736" s="188" t="s">
        <v>507</v>
      </c>
      <c r="M736" s="192">
        <f t="shared" si="33"/>
        <v>38</v>
      </c>
      <c r="N736" s="193">
        <f t="shared" si="34"/>
        <v>0.68359375</v>
      </c>
      <c r="O736" s="194">
        <f t="shared" si="35"/>
        <v>1.7989309210526317E-2</v>
      </c>
    </row>
    <row r="737" spans="1:15" ht="12.75" customHeight="1">
      <c r="A737" s="188" t="s">
        <v>620</v>
      </c>
      <c r="B737" s="188" t="s">
        <v>1394</v>
      </c>
      <c r="C737" s="188" t="s">
        <v>641</v>
      </c>
      <c r="D737" s="188" t="s">
        <v>1779</v>
      </c>
      <c r="E737" s="189">
        <v>39443</v>
      </c>
      <c r="F737" s="190">
        <v>0</v>
      </c>
      <c r="G737" s="190">
        <v>83.2</v>
      </c>
      <c r="H737" s="191">
        <v>632</v>
      </c>
      <c r="I737" s="191">
        <v>325</v>
      </c>
      <c r="J737" s="188" t="s">
        <v>639</v>
      </c>
      <c r="K737" s="188" t="s">
        <v>338</v>
      </c>
      <c r="L737" s="188" t="s">
        <v>699</v>
      </c>
      <c r="M737" s="192">
        <f t="shared" si="33"/>
        <v>27</v>
      </c>
      <c r="N737" s="193">
        <f t="shared" si="34"/>
        <v>0.48615384615384616</v>
      </c>
      <c r="O737" s="194">
        <f t="shared" si="35"/>
        <v>1.8005698005698005E-2</v>
      </c>
    </row>
    <row r="738" spans="1:15" ht="12.75" customHeight="1">
      <c r="A738" s="188" t="s">
        <v>620</v>
      </c>
      <c r="B738" s="188" t="s">
        <v>1394</v>
      </c>
      <c r="C738" s="188" t="s">
        <v>641</v>
      </c>
      <c r="D738" s="188" t="s">
        <v>1780</v>
      </c>
      <c r="E738" s="189">
        <v>39429</v>
      </c>
      <c r="F738" s="190">
        <v>0</v>
      </c>
      <c r="G738" s="190">
        <v>78.34</v>
      </c>
      <c r="H738" s="191">
        <v>662</v>
      </c>
      <c r="I738" s="191">
        <v>306</v>
      </c>
      <c r="J738" s="188" t="s">
        <v>635</v>
      </c>
      <c r="K738" s="188" t="s">
        <v>338</v>
      </c>
      <c r="L738" s="188" t="s">
        <v>1781</v>
      </c>
      <c r="M738" s="192">
        <f t="shared" si="33"/>
        <v>30</v>
      </c>
      <c r="N738" s="193">
        <f t="shared" si="34"/>
        <v>0.54084967320261434</v>
      </c>
      <c r="O738" s="194">
        <f t="shared" si="35"/>
        <v>1.8028322440087143E-2</v>
      </c>
    </row>
    <row r="739" spans="1:15" ht="12.75" customHeight="1">
      <c r="A739" s="188" t="s">
        <v>620</v>
      </c>
      <c r="B739" s="188" t="s">
        <v>1394</v>
      </c>
      <c r="C739" s="188" t="s">
        <v>641</v>
      </c>
      <c r="D739" s="188" t="s">
        <v>1782</v>
      </c>
      <c r="E739" s="189">
        <v>39395</v>
      </c>
      <c r="F739" s="190">
        <v>0</v>
      </c>
      <c r="G739" s="190">
        <v>55.04</v>
      </c>
      <c r="H739" s="191">
        <v>466</v>
      </c>
      <c r="I739" s="191">
        <v>215</v>
      </c>
      <c r="J739" s="188" t="s">
        <v>635</v>
      </c>
      <c r="K739" s="188" t="s">
        <v>338</v>
      </c>
      <c r="L739" s="188" t="s">
        <v>1783</v>
      </c>
      <c r="M739" s="192">
        <f t="shared" si="33"/>
        <v>30</v>
      </c>
      <c r="N739" s="193">
        <f t="shared" si="34"/>
        <v>0.54186046511627906</v>
      </c>
      <c r="O739" s="194">
        <f t="shared" si="35"/>
        <v>1.8062015503875969E-2</v>
      </c>
    </row>
    <row r="740" spans="1:15" ht="12.75" customHeight="1">
      <c r="A740" s="188" t="s">
        <v>620</v>
      </c>
      <c r="B740" s="188" t="s">
        <v>1394</v>
      </c>
      <c r="C740" s="188" t="s">
        <v>641</v>
      </c>
      <c r="D740" s="188" t="s">
        <v>1784</v>
      </c>
      <c r="E740" s="189">
        <v>39331</v>
      </c>
      <c r="F740" s="190">
        <v>0</v>
      </c>
      <c r="G740" s="190">
        <v>96</v>
      </c>
      <c r="H740" s="191">
        <v>732</v>
      </c>
      <c r="I740" s="191">
        <v>375</v>
      </c>
      <c r="J740" s="188" t="s">
        <v>639</v>
      </c>
      <c r="K740" s="188" t="s">
        <v>338</v>
      </c>
      <c r="L740" s="188" t="s">
        <v>746</v>
      </c>
      <c r="M740" s="192">
        <f t="shared" si="33"/>
        <v>27</v>
      </c>
      <c r="N740" s="193">
        <f t="shared" si="34"/>
        <v>0.48799999999999999</v>
      </c>
      <c r="O740" s="194">
        <f t="shared" si="35"/>
        <v>1.8074074074074072E-2</v>
      </c>
    </row>
    <row r="741" spans="1:15" ht="12.75" customHeight="1">
      <c r="A741" s="188" t="s">
        <v>620</v>
      </c>
      <c r="B741" s="188" t="s">
        <v>1394</v>
      </c>
      <c r="C741" s="188" t="s">
        <v>641</v>
      </c>
      <c r="D741" s="188" t="s">
        <v>1785</v>
      </c>
      <c r="E741" s="189">
        <v>39471</v>
      </c>
      <c r="F741" s="190">
        <v>0</v>
      </c>
      <c r="G741" s="190">
        <v>78.08</v>
      </c>
      <c r="H741" s="191">
        <v>586</v>
      </c>
      <c r="I741" s="191">
        <v>305</v>
      </c>
      <c r="J741" s="188" t="s">
        <v>639</v>
      </c>
      <c r="K741" s="188" t="s">
        <v>338</v>
      </c>
      <c r="L741" s="188" t="s">
        <v>632</v>
      </c>
      <c r="M741" s="192">
        <f t="shared" si="33"/>
        <v>27</v>
      </c>
      <c r="N741" s="193">
        <f t="shared" si="34"/>
        <v>0.48833333333333334</v>
      </c>
      <c r="O741" s="194">
        <f t="shared" si="35"/>
        <v>1.8086419753086419E-2</v>
      </c>
    </row>
    <row r="742" spans="1:15" ht="12.75" customHeight="1">
      <c r="A742" s="188" t="s">
        <v>620</v>
      </c>
      <c r="B742" s="188" t="s">
        <v>1394</v>
      </c>
      <c r="C742" s="188" t="s">
        <v>641</v>
      </c>
      <c r="D742" s="188" t="s">
        <v>1786</v>
      </c>
      <c r="E742" s="189">
        <v>39568</v>
      </c>
      <c r="F742" s="190">
        <v>0</v>
      </c>
      <c r="G742" s="190">
        <v>61.57</v>
      </c>
      <c r="H742" s="191">
        <v>540</v>
      </c>
      <c r="I742" s="191">
        <v>240.5</v>
      </c>
      <c r="J742" s="188" t="s">
        <v>560</v>
      </c>
      <c r="K742" s="188" t="s">
        <v>648</v>
      </c>
      <c r="L742" s="188" t="s">
        <v>1787</v>
      </c>
      <c r="M742" s="192">
        <f t="shared" si="33"/>
        <v>31</v>
      </c>
      <c r="N742" s="193">
        <f t="shared" si="34"/>
        <v>0.56133056133056136</v>
      </c>
      <c r="O742" s="194">
        <f t="shared" si="35"/>
        <v>1.8107437462276173E-2</v>
      </c>
    </row>
    <row r="743" spans="1:15" ht="12.75" customHeight="1">
      <c r="A743" s="188" t="s">
        <v>620</v>
      </c>
      <c r="B743" s="188" t="s">
        <v>1394</v>
      </c>
      <c r="C743" s="188" t="s">
        <v>641</v>
      </c>
      <c r="D743" s="188" t="s">
        <v>1788</v>
      </c>
      <c r="E743" s="189">
        <v>39317</v>
      </c>
      <c r="F743" s="190">
        <v>0</v>
      </c>
      <c r="G743" s="190">
        <v>57.6</v>
      </c>
      <c r="H743" s="191">
        <v>620.01</v>
      </c>
      <c r="I743" s="191">
        <v>225</v>
      </c>
      <c r="J743" s="188" t="s">
        <v>624</v>
      </c>
      <c r="K743" s="188" t="s">
        <v>338</v>
      </c>
      <c r="L743" s="188" t="s">
        <v>740</v>
      </c>
      <c r="M743" s="192">
        <f t="shared" si="33"/>
        <v>38</v>
      </c>
      <c r="N743" s="193">
        <f t="shared" si="34"/>
        <v>0.68889999999999996</v>
      </c>
      <c r="O743" s="194">
        <f t="shared" si="35"/>
        <v>1.812894736842105E-2</v>
      </c>
    </row>
    <row r="744" spans="1:15" ht="12.75" customHeight="1">
      <c r="A744" s="188" t="s">
        <v>620</v>
      </c>
      <c r="B744" s="188" t="s">
        <v>1394</v>
      </c>
      <c r="C744" s="188" t="s">
        <v>641</v>
      </c>
      <c r="D744" s="188" t="s">
        <v>1789</v>
      </c>
      <c r="E744" s="189">
        <v>39395</v>
      </c>
      <c r="F744" s="190">
        <v>0</v>
      </c>
      <c r="G744" s="190">
        <v>56</v>
      </c>
      <c r="H744" s="191">
        <v>603</v>
      </c>
      <c r="I744" s="191">
        <v>218.75</v>
      </c>
      <c r="J744" s="188" t="s">
        <v>639</v>
      </c>
      <c r="K744" s="188" t="s">
        <v>648</v>
      </c>
      <c r="L744" s="188" t="s">
        <v>1511</v>
      </c>
      <c r="M744" s="192">
        <f t="shared" si="33"/>
        <v>38</v>
      </c>
      <c r="N744" s="193">
        <f t="shared" si="34"/>
        <v>0.68914285714285717</v>
      </c>
      <c r="O744" s="194">
        <f t="shared" si="35"/>
        <v>1.8135338345864661E-2</v>
      </c>
    </row>
    <row r="745" spans="1:15" ht="12.75" customHeight="1">
      <c r="A745" s="188" t="s">
        <v>620</v>
      </c>
      <c r="B745" s="188" t="s">
        <v>1394</v>
      </c>
      <c r="C745" s="188" t="s">
        <v>641</v>
      </c>
      <c r="D745" s="188" t="s">
        <v>1790</v>
      </c>
      <c r="E745" s="189">
        <v>39507</v>
      </c>
      <c r="F745" s="190">
        <v>0</v>
      </c>
      <c r="G745" s="190">
        <v>41.22</v>
      </c>
      <c r="H745" s="191">
        <v>222</v>
      </c>
      <c r="I745" s="191">
        <v>161</v>
      </c>
      <c r="J745" s="188" t="s">
        <v>667</v>
      </c>
      <c r="K745" s="188" t="s">
        <v>338</v>
      </c>
      <c r="L745" s="188" t="s">
        <v>1432</v>
      </c>
      <c r="M745" s="192">
        <f t="shared" si="33"/>
        <v>19</v>
      </c>
      <c r="N745" s="193">
        <f t="shared" si="34"/>
        <v>0.34472049689440992</v>
      </c>
      <c r="O745" s="194">
        <f t="shared" si="35"/>
        <v>1.8143184047074205E-2</v>
      </c>
    </row>
    <row r="746" spans="1:15" ht="12.75" customHeight="1">
      <c r="A746" s="188" t="s">
        <v>620</v>
      </c>
      <c r="B746" s="188" t="s">
        <v>1394</v>
      </c>
      <c r="C746" s="188" t="s">
        <v>641</v>
      </c>
      <c r="D746" s="188" t="s">
        <v>1791</v>
      </c>
      <c r="E746" s="189">
        <v>39407</v>
      </c>
      <c r="F746" s="190">
        <v>0</v>
      </c>
      <c r="G746" s="190">
        <v>102.4</v>
      </c>
      <c r="H746" s="191">
        <v>784</v>
      </c>
      <c r="I746" s="191">
        <v>400</v>
      </c>
      <c r="J746" s="188" t="s">
        <v>639</v>
      </c>
      <c r="K746" s="188" t="s">
        <v>338</v>
      </c>
      <c r="L746" s="188" t="s">
        <v>625</v>
      </c>
      <c r="M746" s="192">
        <f t="shared" si="33"/>
        <v>27</v>
      </c>
      <c r="N746" s="193">
        <f t="shared" si="34"/>
        <v>0.49</v>
      </c>
      <c r="O746" s="194">
        <f t="shared" si="35"/>
        <v>1.8148148148148149E-2</v>
      </c>
    </row>
    <row r="747" spans="1:15" ht="12.75" customHeight="1">
      <c r="A747" s="188" t="s">
        <v>620</v>
      </c>
      <c r="B747" s="188" t="s">
        <v>1394</v>
      </c>
      <c r="C747" s="188" t="s">
        <v>641</v>
      </c>
      <c r="D747" s="188" t="s">
        <v>1792</v>
      </c>
      <c r="E747" s="189">
        <v>39447</v>
      </c>
      <c r="F747" s="190">
        <v>0</v>
      </c>
      <c r="G747" s="190">
        <v>49.92</v>
      </c>
      <c r="H747" s="191">
        <v>425</v>
      </c>
      <c r="I747" s="191">
        <v>195</v>
      </c>
      <c r="J747" s="188" t="s">
        <v>635</v>
      </c>
      <c r="K747" s="188" t="s">
        <v>338</v>
      </c>
      <c r="L747" s="188" t="s">
        <v>656</v>
      </c>
      <c r="M747" s="192">
        <f t="shared" si="33"/>
        <v>30</v>
      </c>
      <c r="N747" s="193">
        <f t="shared" si="34"/>
        <v>0.54487179487179482</v>
      </c>
      <c r="O747" s="194">
        <f t="shared" si="35"/>
        <v>1.816239316239316E-2</v>
      </c>
    </row>
    <row r="748" spans="1:15" ht="12.75" customHeight="1">
      <c r="A748" s="188" t="s">
        <v>620</v>
      </c>
      <c r="B748" s="188" t="s">
        <v>1394</v>
      </c>
      <c r="C748" s="188" t="s">
        <v>641</v>
      </c>
      <c r="D748" s="188" t="s">
        <v>1793</v>
      </c>
      <c r="E748" s="189">
        <v>39429</v>
      </c>
      <c r="F748" s="190">
        <v>0</v>
      </c>
      <c r="G748" s="190">
        <v>196.1</v>
      </c>
      <c r="H748" s="191">
        <v>2115</v>
      </c>
      <c r="I748" s="191">
        <v>766</v>
      </c>
      <c r="J748" s="188" t="s">
        <v>639</v>
      </c>
      <c r="K748" s="188" t="s">
        <v>648</v>
      </c>
      <c r="L748" s="188" t="s">
        <v>1794</v>
      </c>
      <c r="M748" s="192">
        <f t="shared" si="33"/>
        <v>38</v>
      </c>
      <c r="N748" s="193">
        <f t="shared" si="34"/>
        <v>0.69027415143603132</v>
      </c>
      <c r="O748" s="194">
        <f t="shared" si="35"/>
        <v>1.8165109248316613E-2</v>
      </c>
    </row>
    <row r="749" spans="1:15" ht="12.75" customHeight="1">
      <c r="A749" s="188" t="s">
        <v>620</v>
      </c>
      <c r="B749" s="188" t="s">
        <v>1394</v>
      </c>
      <c r="C749" s="188" t="s">
        <v>641</v>
      </c>
      <c r="D749" s="188" t="s">
        <v>1795</v>
      </c>
      <c r="E749" s="189">
        <v>39226</v>
      </c>
      <c r="F749" s="190">
        <v>0</v>
      </c>
      <c r="G749" s="190">
        <v>103.3</v>
      </c>
      <c r="H749" s="191">
        <v>879.95</v>
      </c>
      <c r="I749" s="191">
        <v>403.5</v>
      </c>
      <c r="J749" s="188" t="s">
        <v>635</v>
      </c>
      <c r="K749" s="188" t="s">
        <v>338</v>
      </c>
      <c r="L749" s="188" t="s">
        <v>1796</v>
      </c>
      <c r="M749" s="192">
        <f t="shared" si="33"/>
        <v>30</v>
      </c>
      <c r="N749" s="193">
        <f t="shared" si="34"/>
        <v>0.54519826517967784</v>
      </c>
      <c r="O749" s="194">
        <f t="shared" si="35"/>
        <v>1.817327550598926E-2</v>
      </c>
    </row>
    <row r="750" spans="1:15" ht="12.75" customHeight="1">
      <c r="A750" s="188" t="s">
        <v>620</v>
      </c>
      <c r="B750" s="188" t="s">
        <v>1394</v>
      </c>
      <c r="C750" s="188" t="s">
        <v>641</v>
      </c>
      <c r="D750" s="188" t="s">
        <v>1797</v>
      </c>
      <c r="E750" s="189">
        <v>39366</v>
      </c>
      <c r="F750" s="190">
        <v>0</v>
      </c>
      <c r="G750" s="190">
        <v>91.52</v>
      </c>
      <c r="H750" s="191">
        <v>780</v>
      </c>
      <c r="I750" s="191">
        <v>357.5</v>
      </c>
      <c r="J750" s="188" t="s">
        <v>635</v>
      </c>
      <c r="K750" s="188" t="s">
        <v>338</v>
      </c>
      <c r="L750" s="188" t="s">
        <v>1798</v>
      </c>
      <c r="M750" s="192">
        <f t="shared" si="33"/>
        <v>30</v>
      </c>
      <c r="N750" s="193">
        <f t="shared" si="34"/>
        <v>0.54545454545454541</v>
      </c>
      <c r="O750" s="194">
        <f t="shared" si="35"/>
        <v>1.8181818181818181E-2</v>
      </c>
    </row>
    <row r="751" spans="1:15" ht="12.75" customHeight="1">
      <c r="A751" s="188" t="s">
        <v>620</v>
      </c>
      <c r="B751" s="188" t="s">
        <v>1394</v>
      </c>
      <c r="C751" s="188" t="s">
        <v>641</v>
      </c>
      <c r="D751" s="188" t="s">
        <v>1799</v>
      </c>
      <c r="E751" s="189">
        <v>39485</v>
      </c>
      <c r="F751" s="190">
        <v>0</v>
      </c>
      <c r="G751" s="190">
        <v>110.59</v>
      </c>
      <c r="H751" s="191">
        <v>850</v>
      </c>
      <c r="I751" s="191">
        <v>432</v>
      </c>
      <c r="J751" s="188" t="s">
        <v>639</v>
      </c>
      <c r="K751" s="188" t="s">
        <v>338</v>
      </c>
      <c r="L751" s="188" t="s">
        <v>1800</v>
      </c>
      <c r="M751" s="192">
        <f t="shared" si="33"/>
        <v>27</v>
      </c>
      <c r="N751" s="193">
        <f t="shared" si="34"/>
        <v>0.49189814814814814</v>
      </c>
      <c r="O751" s="194">
        <f t="shared" si="35"/>
        <v>1.8218449931412892E-2</v>
      </c>
    </row>
    <row r="752" spans="1:15" ht="12.75" customHeight="1">
      <c r="A752" s="188" t="s">
        <v>620</v>
      </c>
      <c r="B752" s="188" t="s">
        <v>1394</v>
      </c>
      <c r="C752" s="188" t="s">
        <v>641</v>
      </c>
      <c r="D752" s="188" t="s">
        <v>1801</v>
      </c>
      <c r="E752" s="189">
        <v>39555</v>
      </c>
      <c r="F752" s="190">
        <v>0</v>
      </c>
      <c r="G752" s="190">
        <v>121.34</v>
      </c>
      <c r="H752" s="191">
        <v>1209.46</v>
      </c>
      <c r="I752" s="191">
        <v>474</v>
      </c>
      <c r="J752" s="188" t="s">
        <v>639</v>
      </c>
      <c r="K752" s="188" t="s">
        <v>421</v>
      </c>
      <c r="L752" s="188" t="s">
        <v>1802</v>
      </c>
      <c r="M752" s="192">
        <f t="shared" si="33"/>
        <v>35</v>
      </c>
      <c r="N752" s="193">
        <f t="shared" si="34"/>
        <v>0.63790084388185653</v>
      </c>
      <c r="O752" s="194">
        <f t="shared" si="35"/>
        <v>1.8225738396624471E-2</v>
      </c>
    </row>
    <row r="753" spans="1:15" ht="12.75" customHeight="1">
      <c r="A753" s="188" t="s">
        <v>620</v>
      </c>
      <c r="B753" s="188" t="s">
        <v>1394</v>
      </c>
      <c r="C753" s="188" t="s">
        <v>641</v>
      </c>
      <c r="D753" s="188" t="s">
        <v>1803</v>
      </c>
      <c r="E753" s="189">
        <v>39590</v>
      </c>
      <c r="F753" s="190">
        <v>0</v>
      </c>
      <c r="G753" s="190">
        <v>102.98</v>
      </c>
      <c r="H753" s="191">
        <v>880</v>
      </c>
      <c r="I753" s="191">
        <v>402.25</v>
      </c>
      <c r="J753" s="188" t="s">
        <v>635</v>
      </c>
      <c r="K753" s="188" t="s">
        <v>338</v>
      </c>
      <c r="L753" s="188" t="s">
        <v>1804</v>
      </c>
      <c r="M753" s="192">
        <f t="shared" si="33"/>
        <v>30</v>
      </c>
      <c r="N753" s="193">
        <f t="shared" si="34"/>
        <v>0.54692355500310752</v>
      </c>
      <c r="O753" s="194">
        <f t="shared" si="35"/>
        <v>1.823078516677025E-2</v>
      </c>
    </row>
    <row r="754" spans="1:15" ht="12.75" customHeight="1">
      <c r="A754" s="188" t="s">
        <v>620</v>
      </c>
      <c r="B754" s="188" t="s">
        <v>1394</v>
      </c>
      <c r="C754" s="188" t="s">
        <v>641</v>
      </c>
      <c r="D754" s="188" t="s">
        <v>1805</v>
      </c>
      <c r="E754" s="189">
        <v>39625</v>
      </c>
      <c r="F754" s="190">
        <v>0</v>
      </c>
      <c r="G754" s="190">
        <v>53.25</v>
      </c>
      <c r="H754" s="191">
        <v>577</v>
      </c>
      <c r="I754" s="191">
        <v>208</v>
      </c>
      <c r="J754" s="188" t="s">
        <v>624</v>
      </c>
      <c r="K754" s="188" t="s">
        <v>338</v>
      </c>
      <c r="L754" s="188" t="s">
        <v>734</v>
      </c>
      <c r="M754" s="192">
        <f t="shared" si="33"/>
        <v>38</v>
      </c>
      <c r="N754" s="193">
        <f t="shared" si="34"/>
        <v>0.69350961538461542</v>
      </c>
      <c r="O754" s="194">
        <f t="shared" si="35"/>
        <v>1.8250253036437247E-2</v>
      </c>
    </row>
    <row r="755" spans="1:15" ht="12.75" customHeight="1">
      <c r="A755" s="188" t="s">
        <v>620</v>
      </c>
      <c r="B755" s="188" t="s">
        <v>1394</v>
      </c>
      <c r="C755" s="188" t="s">
        <v>641</v>
      </c>
      <c r="D755" s="188" t="s">
        <v>1806</v>
      </c>
      <c r="E755" s="189">
        <v>39310</v>
      </c>
      <c r="F755" s="190">
        <v>0</v>
      </c>
      <c r="G755" s="190">
        <v>86.4</v>
      </c>
      <c r="H755" s="191">
        <v>739.94</v>
      </c>
      <c r="I755" s="191">
        <v>337.5</v>
      </c>
      <c r="J755" s="188" t="s">
        <v>635</v>
      </c>
      <c r="K755" s="188" t="s">
        <v>338</v>
      </c>
      <c r="L755" s="188" t="s">
        <v>707</v>
      </c>
      <c r="M755" s="192">
        <f t="shared" si="33"/>
        <v>30</v>
      </c>
      <c r="N755" s="193">
        <f t="shared" si="34"/>
        <v>0.54810370370370376</v>
      </c>
      <c r="O755" s="194">
        <f t="shared" si="35"/>
        <v>1.8270123456790126E-2</v>
      </c>
    </row>
    <row r="756" spans="1:15" ht="12.75" customHeight="1">
      <c r="A756" s="188" t="s">
        <v>620</v>
      </c>
      <c r="B756" s="188" t="s">
        <v>1394</v>
      </c>
      <c r="C756" s="188" t="s">
        <v>641</v>
      </c>
      <c r="D756" s="188" t="s">
        <v>1807</v>
      </c>
      <c r="E756" s="189">
        <v>39548</v>
      </c>
      <c r="F756" s="190">
        <v>0</v>
      </c>
      <c r="G756" s="190">
        <v>58.37</v>
      </c>
      <c r="H756" s="191">
        <v>450</v>
      </c>
      <c r="I756" s="191">
        <v>228</v>
      </c>
      <c r="J756" s="188" t="s">
        <v>639</v>
      </c>
      <c r="K756" s="188" t="s">
        <v>338</v>
      </c>
      <c r="L756" s="188" t="s">
        <v>1808</v>
      </c>
      <c r="M756" s="192">
        <f t="shared" si="33"/>
        <v>27</v>
      </c>
      <c r="N756" s="193">
        <f t="shared" si="34"/>
        <v>0.49342105263157893</v>
      </c>
      <c r="O756" s="194">
        <f t="shared" si="35"/>
        <v>1.827485380116959E-2</v>
      </c>
    </row>
    <row r="757" spans="1:15" ht="12.75" customHeight="1">
      <c r="A757" s="188" t="s">
        <v>620</v>
      </c>
      <c r="B757" s="188" t="s">
        <v>1394</v>
      </c>
      <c r="C757" s="188" t="s">
        <v>641</v>
      </c>
      <c r="D757" s="188" t="s">
        <v>1809</v>
      </c>
      <c r="E757" s="189">
        <v>39269</v>
      </c>
      <c r="F757" s="190">
        <v>0</v>
      </c>
      <c r="G757" s="190">
        <v>64</v>
      </c>
      <c r="H757" s="191">
        <v>530</v>
      </c>
      <c r="I757" s="191">
        <v>250</v>
      </c>
      <c r="J757" s="188" t="s">
        <v>715</v>
      </c>
      <c r="K757" s="188" t="s">
        <v>338</v>
      </c>
      <c r="L757" s="188" t="s">
        <v>636</v>
      </c>
      <c r="M757" s="192">
        <f t="shared" si="33"/>
        <v>29</v>
      </c>
      <c r="N757" s="193">
        <f t="shared" si="34"/>
        <v>0.53</v>
      </c>
      <c r="O757" s="194">
        <f t="shared" si="35"/>
        <v>1.8275862068965518E-2</v>
      </c>
    </row>
    <row r="758" spans="1:15" ht="12.75" customHeight="1">
      <c r="A758" s="188" t="s">
        <v>620</v>
      </c>
      <c r="B758" s="188" t="s">
        <v>1394</v>
      </c>
      <c r="C758" s="188" t="s">
        <v>641</v>
      </c>
      <c r="D758" s="188" t="s">
        <v>1810</v>
      </c>
      <c r="E758" s="189">
        <v>39527</v>
      </c>
      <c r="F758" s="190">
        <v>0</v>
      </c>
      <c r="G758" s="190">
        <v>49.66</v>
      </c>
      <c r="H758" s="191">
        <v>540</v>
      </c>
      <c r="I758" s="191">
        <v>194</v>
      </c>
      <c r="J758" s="188" t="s">
        <v>624</v>
      </c>
      <c r="K758" s="188" t="s">
        <v>338</v>
      </c>
      <c r="L758" s="188" t="s">
        <v>1036</v>
      </c>
      <c r="M758" s="192">
        <f t="shared" si="33"/>
        <v>38</v>
      </c>
      <c r="N758" s="193">
        <f t="shared" si="34"/>
        <v>0.69587628865979378</v>
      </c>
      <c r="O758" s="194">
        <f t="shared" si="35"/>
        <v>1.8312533912099836E-2</v>
      </c>
    </row>
    <row r="759" spans="1:15" ht="12.75" customHeight="1">
      <c r="A759" s="188" t="s">
        <v>620</v>
      </c>
      <c r="B759" s="188" t="s">
        <v>1394</v>
      </c>
      <c r="C759" s="188" t="s">
        <v>641</v>
      </c>
      <c r="D759" s="188" t="s">
        <v>1811</v>
      </c>
      <c r="E759" s="189">
        <v>39471</v>
      </c>
      <c r="F759" s="190">
        <v>0</v>
      </c>
      <c r="G759" s="190">
        <v>108.8</v>
      </c>
      <c r="H759" s="191">
        <v>1090</v>
      </c>
      <c r="I759" s="191">
        <v>425</v>
      </c>
      <c r="J759" s="188" t="s">
        <v>829</v>
      </c>
      <c r="K759" s="188" t="s">
        <v>338</v>
      </c>
      <c r="L759" s="188" t="s">
        <v>833</v>
      </c>
      <c r="M759" s="192">
        <f t="shared" si="33"/>
        <v>35</v>
      </c>
      <c r="N759" s="193">
        <f t="shared" si="34"/>
        <v>0.64117647058823535</v>
      </c>
      <c r="O759" s="194">
        <f t="shared" si="35"/>
        <v>1.831932773109244E-2</v>
      </c>
    </row>
    <row r="760" spans="1:15" ht="12.75" customHeight="1">
      <c r="A760" s="188" t="s">
        <v>620</v>
      </c>
      <c r="B760" s="188" t="s">
        <v>1394</v>
      </c>
      <c r="C760" s="188" t="s">
        <v>641</v>
      </c>
      <c r="D760" s="188" t="s">
        <v>1812</v>
      </c>
      <c r="E760" s="189">
        <v>39485</v>
      </c>
      <c r="F760" s="190">
        <v>0</v>
      </c>
      <c r="G760" s="190">
        <v>64</v>
      </c>
      <c r="H760" s="191">
        <v>550</v>
      </c>
      <c r="I760" s="191">
        <v>250</v>
      </c>
      <c r="J760" s="188" t="s">
        <v>635</v>
      </c>
      <c r="K760" s="188" t="s">
        <v>338</v>
      </c>
      <c r="L760" s="188" t="s">
        <v>636</v>
      </c>
      <c r="M760" s="192">
        <f t="shared" si="33"/>
        <v>30</v>
      </c>
      <c r="N760" s="193">
        <f t="shared" si="34"/>
        <v>0.55000000000000004</v>
      </c>
      <c r="O760" s="194">
        <f t="shared" si="35"/>
        <v>1.8333333333333333E-2</v>
      </c>
    </row>
    <row r="761" spans="1:15" ht="12.75" customHeight="1">
      <c r="A761" s="188" t="s">
        <v>620</v>
      </c>
      <c r="B761" s="188" t="s">
        <v>1394</v>
      </c>
      <c r="C761" s="188" t="s">
        <v>641</v>
      </c>
      <c r="D761" s="188" t="s">
        <v>1813</v>
      </c>
      <c r="E761" s="189">
        <v>39534</v>
      </c>
      <c r="F761" s="190">
        <v>0</v>
      </c>
      <c r="G761" s="190">
        <v>78.59</v>
      </c>
      <c r="H761" s="191">
        <v>517</v>
      </c>
      <c r="I761" s="191">
        <v>307</v>
      </c>
      <c r="J761" s="188" t="s">
        <v>571</v>
      </c>
      <c r="K761" s="188" t="s">
        <v>338</v>
      </c>
      <c r="L761" s="188" t="s">
        <v>1653</v>
      </c>
      <c r="M761" s="192">
        <f t="shared" si="33"/>
        <v>23</v>
      </c>
      <c r="N761" s="193">
        <f t="shared" si="34"/>
        <v>0.42204081632653062</v>
      </c>
      <c r="O761" s="194">
        <f t="shared" si="35"/>
        <v>1.8349600709849156E-2</v>
      </c>
    </row>
    <row r="762" spans="1:15" ht="12.75" customHeight="1">
      <c r="A762" s="188" t="s">
        <v>620</v>
      </c>
      <c r="B762" s="188" t="s">
        <v>1394</v>
      </c>
      <c r="C762" s="188" t="s">
        <v>641</v>
      </c>
      <c r="D762" s="188" t="s">
        <v>1814</v>
      </c>
      <c r="E762" s="189">
        <v>39576</v>
      </c>
      <c r="F762" s="190">
        <v>0</v>
      </c>
      <c r="G762" s="190">
        <v>128</v>
      </c>
      <c r="H762" s="191">
        <v>1395</v>
      </c>
      <c r="I762" s="191">
        <v>500</v>
      </c>
      <c r="J762" s="188" t="s">
        <v>624</v>
      </c>
      <c r="K762" s="188" t="s">
        <v>338</v>
      </c>
      <c r="L762" s="188" t="s">
        <v>756</v>
      </c>
      <c r="M762" s="192">
        <f t="shared" si="33"/>
        <v>38</v>
      </c>
      <c r="N762" s="193">
        <f t="shared" si="34"/>
        <v>0.69750000000000001</v>
      </c>
      <c r="O762" s="194">
        <f t="shared" si="35"/>
        <v>1.8355263157894736E-2</v>
      </c>
    </row>
    <row r="763" spans="1:15" ht="12.75" customHeight="1">
      <c r="A763" s="188" t="s">
        <v>620</v>
      </c>
      <c r="B763" s="188" t="s">
        <v>1394</v>
      </c>
      <c r="C763" s="188" t="s">
        <v>641</v>
      </c>
      <c r="D763" s="188" t="s">
        <v>1815</v>
      </c>
      <c r="E763" s="189">
        <v>39289</v>
      </c>
      <c r="F763" s="190">
        <v>0</v>
      </c>
      <c r="G763" s="190">
        <v>204.8</v>
      </c>
      <c r="H763" s="191">
        <v>1585.92</v>
      </c>
      <c r="I763" s="191">
        <v>800</v>
      </c>
      <c r="J763" s="188" t="s">
        <v>639</v>
      </c>
      <c r="K763" s="188" t="s">
        <v>338</v>
      </c>
      <c r="L763" s="188" t="s">
        <v>1111</v>
      </c>
      <c r="M763" s="192">
        <f t="shared" si="33"/>
        <v>27</v>
      </c>
      <c r="N763" s="193">
        <f t="shared" si="34"/>
        <v>0.49560000000000004</v>
      </c>
      <c r="O763" s="194">
        <f t="shared" si="35"/>
        <v>1.8355555555555556E-2</v>
      </c>
    </row>
    <row r="764" spans="1:15" ht="12.75" customHeight="1">
      <c r="A764" s="188" t="s">
        <v>620</v>
      </c>
      <c r="B764" s="188" t="s">
        <v>1394</v>
      </c>
      <c r="C764" s="188" t="s">
        <v>641</v>
      </c>
      <c r="D764" s="188" t="s">
        <v>1816</v>
      </c>
      <c r="E764" s="189">
        <v>39380</v>
      </c>
      <c r="F764" s="190">
        <v>0</v>
      </c>
      <c r="G764" s="190">
        <v>108.99</v>
      </c>
      <c r="H764" s="191">
        <v>845</v>
      </c>
      <c r="I764" s="191">
        <v>425.75</v>
      </c>
      <c r="J764" s="188" t="s">
        <v>639</v>
      </c>
      <c r="K764" s="188" t="s">
        <v>338</v>
      </c>
      <c r="L764" s="188" t="s">
        <v>1817</v>
      </c>
      <c r="M764" s="192">
        <f t="shared" si="33"/>
        <v>27</v>
      </c>
      <c r="N764" s="193">
        <f t="shared" si="34"/>
        <v>0.49618320610687022</v>
      </c>
      <c r="O764" s="194">
        <f t="shared" si="35"/>
        <v>1.8377155781735936E-2</v>
      </c>
    </row>
    <row r="765" spans="1:15" ht="12.75" customHeight="1">
      <c r="A765" s="188" t="s">
        <v>620</v>
      </c>
      <c r="B765" s="188" t="s">
        <v>1394</v>
      </c>
      <c r="C765" s="188" t="s">
        <v>641</v>
      </c>
      <c r="D765" s="188" t="s">
        <v>1818</v>
      </c>
      <c r="E765" s="189">
        <v>39289</v>
      </c>
      <c r="F765" s="190">
        <v>0</v>
      </c>
      <c r="G765" s="190">
        <v>118.4</v>
      </c>
      <c r="H765" s="191">
        <v>1020.09</v>
      </c>
      <c r="I765" s="191">
        <v>462.5</v>
      </c>
      <c r="J765" s="188" t="s">
        <v>635</v>
      </c>
      <c r="K765" s="188" t="s">
        <v>338</v>
      </c>
      <c r="L765" s="188" t="s">
        <v>1736</v>
      </c>
      <c r="M765" s="192">
        <f t="shared" si="33"/>
        <v>30</v>
      </c>
      <c r="N765" s="193">
        <f t="shared" si="34"/>
        <v>0.5514</v>
      </c>
      <c r="O765" s="194">
        <f t="shared" si="35"/>
        <v>1.8380000000000001E-2</v>
      </c>
    </row>
    <row r="766" spans="1:15" ht="12.75" customHeight="1">
      <c r="A766" s="188" t="s">
        <v>620</v>
      </c>
      <c r="B766" s="188" t="s">
        <v>1394</v>
      </c>
      <c r="C766" s="188" t="s">
        <v>641</v>
      </c>
      <c r="D766" s="188" t="s">
        <v>1819</v>
      </c>
      <c r="E766" s="189">
        <v>39548</v>
      </c>
      <c r="F766" s="190">
        <v>0</v>
      </c>
      <c r="G766" s="190">
        <v>74.239999999999995</v>
      </c>
      <c r="H766" s="191">
        <v>767.9</v>
      </c>
      <c r="I766" s="191">
        <v>290</v>
      </c>
      <c r="J766" s="188" t="s">
        <v>387</v>
      </c>
      <c r="K766" s="188" t="s">
        <v>338</v>
      </c>
      <c r="L766" s="188" t="s">
        <v>1001</v>
      </c>
      <c r="M766" s="192">
        <f t="shared" si="33"/>
        <v>36</v>
      </c>
      <c r="N766" s="193">
        <f t="shared" si="34"/>
        <v>0.66198275862068967</v>
      </c>
      <c r="O766" s="194">
        <f t="shared" si="35"/>
        <v>1.8388409961685823E-2</v>
      </c>
    </row>
    <row r="767" spans="1:15" ht="12.75" customHeight="1">
      <c r="A767" s="188" t="s">
        <v>620</v>
      </c>
      <c r="B767" s="188" t="s">
        <v>1394</v>
      </c>
      <c r="C767" s="188" t="s">
        <v>641</v>
      </c>
      <c r="D767" s="188" t="s">
        <v>1820</v>
      </c>
      <c r="E767" s="189">
        <v>39555</v>
      </c>
      <c r="F767" s="190">
        <v>0</v>
      </c>
      <c r="G767" s="190">
        <v>114.11</v>
      </c>
      <c r="H767" s="191">
        <v>1870</v>
      </c>
      <c r="I767" s="191">
        <v>445.75</v>
      </c>
      <c r="J767" s="188" t="s">
        <v>829</v>
      </c>
      <c r="K767" s="188" t="s">
        <v>415</v>
      </c>
      <c r="L767" s="188" t="s">
        <v>1821</v>
      </c>
      <c r="M767" s="192">
        <f t="shared" si="33"/>
        <v>57</v>
      </c>
      <c r="N767" s="193">
        <f t="shared" si="34"/>
        <v>1.0487941671340437</v>
      </c>
      <c r="O767" s="194">
        <f t="shared" si="35"/>
        <v>1.8399897669018311E-2</v>
      </c>
    </row>
    <row r="768" spans="1:15" ht="12.75" customHeight="1">
      <c r="A768" s="188" t="s">
        <v>620</v>
      </c>
      <c r="B768" s="188" t="s">
        <v>1394</v>
      </c>
      <c r="C768" s="188" t="s">
        <v>641</v>
      </c>
      <c r="D768" s="188" t="s">
        <v>1822</v>
      </c>
      <c r="E768" s="189">
        <v>39492</v>
      </c>
      <c r="F768" s="190">
        <v>0</v>
      </c>
      <c r="G768" s="190">
        <v>40</v>
      </c>
      <c r="H768" s="191">
        <v>437</v>
      </c>
      <c r="I768" s="191">
        <v>156.25</v>
      </c>
      <c r="J768" s="188" t="s">
        <v>624</v>
      </c>
      <c r="K768" s="188" t="s">
        <v>338</v>
      </c>
      <c r="L768" s="188" t="s">
        <v>1823</v>
      </c>
      <c r="M768" s="192">
        <f t="shared" si="33"/>
        <v>38</v>
      </c>
      <c r="N768" s="193">
        <f t="shared" si="34"/>
        <v>0.69920000000000004</v>
      </c>
      <c r="O768" s="194">
        <f t="shared" si="35"/>
        <v>1.84E-2</v>
      </c>
    </row>
    <row r="769" spans="1:15" ht="12.75" customHeight="1">
      <c r="A769" s="188" t="s">
        <v>620</v>
      </c>
      <c r="B769" s="188" t="s">
        <v>1394</v>
      </c>
      <c r="C769" s="188" t="s">
        <v>641</v>
      </c>
      <c r="D769" s="188" t="s">
        <v>1824</v>
      </c>
      <c r="E769" s="189">
        <v>39576</v>
      </c>
      <c r="F769" s="190">
        <v>0</v>
      </c>
      <c r="G769" s="190">
        <v>182.08</v>
      </c>
      <c r="H769" s="191">
        <v>1990</v>
      </c>
      <c r="I769" s="191">
        <v>711.25</v>
      </c>
      <c r="J769" s="188" t="s">
        <v>624</v>
      </c>
      <c r="K769" s="188" t="s">
        <v>338</v>
      </c>
      <c r="L769" s="188" t="s">
        <v>1825</v>
      </c>
      <c r="M769" s="192">
        <f t="shared" si="33"/>
        <v>38</v>
      </c>
      <c r="N769" s="193">
        <f t="shared" si="34"/>
        <v>0.69947275922671348</v>
      </c>
      <c r="O769" s="194">
        <f t="shared" si="35"/>
        <v>1.8407177874387198E-2</v>
      </c>
    </row>
    <row r="770" spans="1:15" ht="12.75" customHeight="1">
      <c r="A770" s="188" t="s">
        <v>620</v>
      </c>
      <c r="B770" s="188" t="s">
        <v>1394</v>
      </c>
      <c r="C770" s="188" t="s">
        <v>641</v>
      </c>
      <c r="D770" s="188" t="s">
        <v>1826</v>
      </c>
      <c r="E770" s="189">
        <v>39380</v>
      </c>
      <c r="F770" s="190">
        <v>0</v>
      </c>
      <c r="G770" s="190">
        <v>44.8</v>
      </c>
      <c r="H770" s="191">
        <v>490</v>
      </c>
      <c r="I770" s="191">
        <v>175</v>
      </c>
      <c r="J770" s="188" t="s">
        <v>624</v>
      </c>
      <c r="K770" s="188" t="s">
        <v>338</v>
      </c>
      <c r="L770" s="188" t="s">
        <v>1827</v>
      </c>
      <c r="M770" s="192">
        <f t="shared" ref="M770:M833" si="36">K770-J770</f>
        <v>38</v>
      </c>
      <c r="N770" s="193">
        <f t="shared" ref="N770:N833" si="37">H770/L770</f>
        <v>0.7</v>
      </c>
      <c r="O770" s="194">
        <f t="shared" ref="O770:O833" si="38">N770/M770</f>
        <v>1.8421052631578946E-2</v>
      </c>
    </row>
    <row r="771" spans="1:15" ht="12.75" customHeight="1">
      <c r="A771" s="188" t="s">
        <v>620</v>
      </c>
      <c r="B771" s="188" t="s">
        <v>1394</v>
      </c>
      <c r="C771" s="188" t="s">
        <v>641</v>
      </c>
      <c r="D771" s="188" t="s">
        <v>1828</v>
      </c>
      <c r="E771" s="189">
        <v>39429</v>
      </c>
      <c r="F771" s="190">
        <v>0</v>
      </c>
      <c r="G771" s="190">
        <v>89.6</v>
      </c>
      <c r="H771" s="191">
        <v>980</v>
      </c>
      <c r="I771" s="191">
        <v>350</v>
      </c>
      <c r="J771" s="188" t="s">
        <v>624</v>
      </c>
      <c r="K771" s="188" t="s">
        <v>338</v>
      </c>
      <c r="L771" s="188" t="s">
        <v>754</v>
      </c>
      <c r="M771" s="192">
        <f t="shared" si="36"/>
        <v>38</v>
      </c>
      <c r="N771" s="193">
        <f t="shared" si="37"/>
        <v>0.7</v>
      </c>
      <c r="O771" s="194">
        <f t="shared" si="38"/>
        <v>1.8421052631578946E-2</v>
      </c>
    </row>
    <row r="772" spans="1:15" ht="12.75" customHeight="1">
      <c r="A772" s="188" t="s">
        <v>620</v>
      </c>
      <c r="B772" s="188" t="s">
        <v>1394</v>
      </c>
      <c r="C772" s="188" t="s">
        <v>641</v>
      </c>
      <c r="D772" s="188" t="s">
        <v>1829</v>
      </c>
      <c r="E772" s="189">
        <v>39464</v>
      </c>
      <c r="F772" s="190">
        <v>0</v>
      </c>
      <c r="G772" s="190">
        <v>121.6</v>
      </c>
      <c r="H772" s="191">
        <v>1330</v>
      </c>
      <c r="I772" s="191">
        <v>475</v>
      </c>
      <c r="J772" s="188" t="s">
        <v>624</v>
      </c>
      <c r="K772" s="188" t="s">
        <v>338</v>
      </c>
      <c r="L772" s="188" t="s">
        <v>1673</v>
      </c>
      <c r="M772" s="192">
        <f t="shared" si="36"/>
        <v>38</v>
      </c>
      <c r="N772" s="193">
        <f t="shared" si="37"/>
        <v>0.7</v>
      </c>
      <c r="O772" s="194">
        <f t="shared" si="38"/>
        <v>1.8421052631578946E-2</v>
      </c>
    </row>
    <row r="773" spans="1:15" ht="12.75" customHeight="1">
      <c r="A773" s="188" t="s">
        <v>620</v>
      </c>
      <c r="B773" s="188" t="s">
        <v>1394</v>
      </c>
      <c r="C773" s="188" t="s">
        <v>641</v>
      </c>
      <c r="D773" s="188" t="s">
        <v>1830</v>
      </c>
      <c r="E773" s="189">
        <v>39436</v>
      </c>
      <c r="F773" s="190">
        <v>0</v>
      </c>
      <c r="G773" s="190">
        <v>96</v>
      </c>
      <c r="H773" s="191">
        <v>1050</v>
      </c>
      <c r="I773" s="191">
        <v>375</v>
      </c>
      <c r="J773" s="188" t="s">
        <v>624</v>
      </c>
      <c r="K773" s="188" t="s">
        <v>338</v>
      </c>
      <c r="L773" s="188" t="s">
        <v>746</v>
      </c>
      <c r="M773" s="192">
        <f t="shared" si="36"/>
        <v>38</v>
      </c>
      <c r="N773" s="193">
        <f t="shared" si="37"/>
        <v>0.7</v>
      </c>
      <c r="O773" s="194">
        <f t="shared" si="38"/>
        <v>1.8421052631578946E-2</v>
      </c>
    </row>
    <row r="774" spans="1:15" ht="12.75" customHeight="1">
      <c r="A774" s="188" t="s">
        <v>620</v>
      </c>
      <c r="B774" s="188" t="s">
        <v>1394</v>
      </c>
      <c r="C774" s="188" t="s">
        <v>641</v>
      </c>
      <c r="D774" s="188" t="s">
        <v>1831</v>
      </c>
      <c r="E774" s="189">
        <v>39447</v>
      </c>
      <c r="F774" s="190">
        <v>0</v>
      </c>
      <c r="G774" s="190">
        <v>64</v>
      </c>
      <c r="H774" s="191">
        <v>700</v>
      </c>
      <c r="I774" s="191">
        <v>250</v>
      </c>
      <c r="J774" s="188" t="s">
        <v>624</v>
      </c>
      <c r="K774" s="188" t="s">
        <v>338</v>
      </c>
      <c r="L774" s="188" t="s">
        <v>636</v>
      </c>
      <c r="M774" s="192">
        <f t="shared" si="36"/>
        <v>38</v>
      </c>
      <c r="N774" s="193">
        <f t="shared" si="37"/>
        <v>0.7</v>
      </c>
      <c r="O774" s="194">
        <f t="shared" si="38"/>
        <v>1.8421052631578946E-2</v>
      </c>
    </row>
    <row r="775" spans="1:15" ht="12.75" customHeight="1">
      <c r="A775" s="188" t="s">
        <v>620</v>
      </c>
      <c r="B775" s="188" t="s">
        <v>1394</v>
      </c>
      <c r="C775" s="188" t="s">
        <v>641</v>
      </c>
      <c r="D775" s="188" t="s">
        <v>1832</v>
      </c>
      <c r="E775" s="189">
        <v>39471</v>
      </c>
      <c r="F775" s="190">
        <v>0</v>
      </c>
      <c r="G775" s="190">
        <v>96</v>
      </c>
      <c r="H775" s="191">
        <v>1050</v>
      </c>
      <c r="I775" s="191">
        <v>375</v>
      </c>
      <c r="J775" s="188" t="s">
        <v>624</v>
      </c>
      <c r="K775" s="188" t="s">
        <v>338</v>
      </c>
      <c r="L775" s="188" t="s">
        <v>746</v>
      </c>
      <c r="M775" s="192">
        <f t="shared" si="36"/>
        <v>38</v>
      </c>
      <c r="N775" s="193">
        <f t="shared" si="37"/>
        <v>0.7</v>
      </c>
      <c r="O775" s="194">
        <f t="shared" si="38"/>
        <v>1.8421052631578946E-2</v>
      </c>
    </row>
    <row r="776" spans="1:15" ht="12.75" customHeight="1">
      <c r="A776" s="188" t="s">
        <v>620</v>
      </c>
      <c r="B776" s="188" t="s">
        <v>1394</v>
      </c>
      <c r="C776" s="188" t="s">
        <v>641</v>
      </c>
      <c r="D776" s="188" t="s">
        <v>1833</v>
      </c>
      <c r="E776" s="189">
        <v>39527</v>
      </c>
      <c r="F776" s="190">
        <v>0</v>
      </c>
      <c r="G776" s="190">
        <v>79.36</v>
      </c>
      <c r="H776" s="191">
        <v>434</v>
      </c>
      <c r="I776" s="191">
        <v>310</v>
      </c>
      <c r="J776" s="188" t="s">
        <v>667</v>
      </c>
      <c r="K776" s="188" t="s">
        <v>338</v>
      </c>
      <c r="L776" s="188" t="s">
        <v>1449</v>
      </c>
      <c r="M776" s="192">
        <f t="shared" si="36"/>
        <v>19</v>
      </c>
      <c r="N776" s="193">
        <f t="shared" si="37"/>
        <v>0.35</v>
      </c>
      <c r="O776" s="194">
        <f t="shared" si="38"/>
        <v>1.8421052631578946E-2</v>
      </c>
    </row>
    <row r="777" spans="1:15" ht="12.75" customHeight="1">
      <c r="A777" s="188" t="s">
        <v>620</v>
      </c>
      <c r="B777" s="188" t="s">
        <v>1394</v>
      </c>
      <c r="C777" s="188" t="s">
        <v>641</v>
      </c>
      <c r="D777" s="188" t="s">
        <v>1834</v>
      </c>
      <c r="E777" s="189">
        <v>39541</v>
      </c>
      <c r="F777" s="190">
        <v>0</v>
      </c>
      <c r="G777" s="190">
        <v>134.4</v>
      </c>
      <c r="H777" s="191">
        <v>1470</v>
      </c>
      <c r="I777" s="191">
        <v>525</v>
      </c>
      <c r="J777" s="188" t="s">
        <v>624</v>
      </c>
      <c r="K777" s="188" t="s">
        <v>338</v>
      </c>
      <c r="L777" s="188" t="s">
        <v>701</v>
      </c>
      <c r="M777" s="192">
        <f t="shared" si="36"/>
        <v>38</v>
      </c>
      <c r="N777" s="193">
        <f t="shared" si="37"/>
        <v>0.7</v>
      </c>
      <c r="O777" s="194">
        <f t="shared" si="38"/>
        <v>1.8421052631578946E-2</v>
      </c>
    </row>
    <row r="778" spans="1:15" ht="12.75" customHeight="1">
      <c r="A778" s="188" t="s">
        <v>620</v>
      </c>
      <c r="B778" s="188" t="s">
        <v>1394</v>
      </c>
      <c r="C778" s="188" t="s">
        <v>641</v>
      </c>
      <c r="D778" s="188" t="s">
        <v>1835</v>
      </c>
      <c r="E778" s="189">
        <v>39436</v>
      </c>
      <c r="F778" s="190">
        <v>0</v>
      </c>
      <c r="G778" s="190">
        <v>60.8</v>
      </c>
      <c r="H778" s="191">
        <v>525</v>
      </c>
      <c r="I778" s="191">
        <v>237.5</v>
      </c>
      <c r="J778" s="188" t="s">
        <v>635</v>
      </c>
      <c r="K778" s="188" t="s">
        <v>338</v>
      </c>
      <c r="L778" s="188" t="s">
        <v>1164</v>
      </c>
      <c r="M778" s="192">
        <f t="shared" si="36"/>
        <v>30</v>
      </c>
      <c r="N778" s="193">
        <f t="shared" si="37"/>
        <v>0.55263157894736847</v>
      </c>
      <c r="O778" s="194">
        <f t="shared" si="38"/>
        <v>1.8421052631578949E-2</v>
      </c>
    </row>
    <row r="779" spans="1:15" ht="12.75" customHeight="1">
      <c r="A779" s="188" t="s">
        <v>620</v>
      </c>
      <c r="B779" s="188" t="s">
        <v>1394</v>
      </c>
      <c r="C779" s="188" t="s">
        <v>641</v>
      </c>
      <c r="D779" s="188" t="s">
        <v>1836</v>
      </c>
      <c r="E779" s="189">
        <v>39492</v>
      </c>
      <c r="F779" s="190">
        <v>0</v>
      </c>
      <c r="G779" s="190">
        <v>115.2</v>
      </c>
      <c r="H779" s="191">
        <v>995</v>
      </c>
      <c r="I779" s="191">
        <v>450</v>
      </c>
      <c r="J779" s="188" t="s">
        <v>635</v>
      </c>
      <c r="K779" s="188" t="s">
        <v>338</v>
      </c>
      <c r="L779" s="188" t="s">
        <v>718</v>
      </c>
      <c r="M779" s="192">
        <f t="shared" si="36"/>
        <v>30</v>
      </c>
      <c r="N779" s="193">
        <f t="shared" si="37"/>
        <v>0.55277777777777781</v>
      </c>
      <c r="O779" s="194">
        <f t="shared" si="38"/>
        <v>1.8425925925925925E-2</v>
      </c>
    </row>
    <row r="780" spans="1:15" ht="12.75" customHeight="1">
      <c r="A780" s="188" t="s">
        <v>620</v>
      </c>
      <c r="B780" s="188" t="s">
        <v>1394</v>
      </c>
      <c r="C780" s="188" t="s">
        <v>641</v>
      </c>
      <c r="D780" s="188" t="s">
        <v>1837</v>
      </c>
      <c r="E780" s="189">
        <v>39353</v>
      </c>
      <c r="F780" s="190">
        <v>0</v>
      </c>
      <c r="G780" s="190">
        <v>55.36</v>
      </c>
      <c r="H780" s="191">
        <v>606</v>
      </c>
      <c r="I780" s="191">
        <v>216.25</v>
      </c>
      <c r="J780" s="188" t="s">
        <v>624</v>
      </c>
      <c r="K780" s="188" t="s">
        <v>338</v>
      </c>
      <c r="L780" s="188" t="s">
        <v>1838</v>
      </c>
      <c r="M780" s="192">
        <f t="shared" si="36"/>
        <v>38</v>
      </c>
      <c r="N780" s="193">
        <f t="shared" si="37"/>
        <v>0.70057803468208091</v>
      </c>
      <c r="O780" s="194">
        <f t="shared" si="38"/>
        <v>1.8436264070581077E-2</v>
      </c>
    </row>
    <row r="781" spans="1:15" ht="12.75" customHeight="1">
      <c r="A781" s="188" t="s">
        <v>620</v>
      </c>
      <c r="B781" s="188" t="s">
        <v>1394</v>
      </c>
      <c r="C781" s="188" t="s">
        <v>641</v>
      </c>
      <c r="D781" s="188" t="s">
        <v>1839</v>
      </c>
      <c r="E781" s="189">
        <v>39507</v>
      </c>
      <c r="F781" s="190">
        <v>0</v>
      </c>
      <c r="G781" s="190">
        <v>91.97</v>
      </c>
      <c r="H781" s="191">
        <v>689</v>
      </c>
      <c r="I781" s="191">
        <v>359.25</v>
      </c>
      <c r="J781" s="188" t="s">
        <v>361</v>
      </c>
      <c r="K781" s="188" t="s">
        <v>338</v>
      </c>
      <c r="L781" s="188" t="s">
        <v>1840</v>
      </c>
      <c r="M781" s="192">
        <f t="shared" si="36"/>
        <v>26</v>
      </c>
      <c r="N781" s="193">
        <f t="shared" si="37"/>
        <v>0.47947112038970074</v>
      </c>
      <c r="O781" s="194">
        <f t="shared" si="38"/>
        <v>1.8441196938065414E-2</v>
      </c>
    </row>
    <row r="782" spans="1:15" ht="12.75" customHeight="1">
      <c r="A782" s="188" t="s">
        <v>620</v>
      </c>
      <c r="B782" s="188" t="s">
        <v>1394</v>
      </c>
      <c r="C782" s="188" t="s">
        <v>641</v>
      </c>
      <c r="D782" s="188" t="s">
        <v>1841</v>
      </c>
      <c r="E782" s="189">
        <v>39583</v>
      </c>
      <c r="F782" s="190">
        <v>0</v>
      </c>
      <c r="G782" s="190">
        <v>245.38</v>
      </c>
      <c r="H782" s="191">
        <v>2687</v>
      </c>
      <c r="I782" s="191">
        <v>958.5</v>
      </c>
      <c r="J782" s="188" t="s">
        <v>624</v>
      </c>
      <c r="K782" s="188" t="s">
        <v>338</v>
      </c>
      <c r="L782" s="188" t="s">
        <v>1842</v>
      </c>
      <c r="M782" s="192">
        <f t="shared" si="36"/>
        <v>38</v>
      </c>
      <c r="N782" s="193">
        <f t="shared" si="37"/>
        <v>0.70083463745435581</v>
      </c>
      <c r="O782" s="194">
        <f t="shared" si="38"/>
        <v>1.8443016775114628E-2</v>
      </c>
    </row>
    <row r="783" spans="1:15" ht="12.75" customHeight="1">
      <c r="A783" s="188" t="s">
        <v>620</v>
      </c>
      <c r="B783" s="188" t="s">
        <v>1394</v>
      </c>
      <c r="C783" s="188" t="s">
        <v>641</v>
      </c>
      <c r="D783" s="188" t="s">
        <v>1843</v>
      </c>
      <c r="E783" s="189">
        <v>39401</v>
      </c>
      <c r="F783" s="190">
        <v>0</v>
      </c>
      <c r="G783" s="190">
        <v>87.3</v>
      </c>
      <c r="H783" s="191">
        <v>956</v>
      </c>
      <c r="I783" s="191">
        <v>341</v>
      </c>
      <c r="J783" s="188" t="s">
        <v>624</v>
      </c>
      <c r="K783" s="188" t="s">
        <v>338</v>
      </c>
      <c r="L783" s="188" t="s">
        <v>1844</v>
      </c>
      <c r="M783" s="192">
        <f t="shared" si="36"/>
        <v>38</v>
      </c>
      <c r="N783" s="193">
        <f t="shared" si="37"/>
        <v>0.70087976539589447</v>
      </c>
      <c r="O783" s="194">
        <f t="shared" si="38"/>
        <v>1.844420435252354E-2</v>
      </c>
    </row>
    <row r="784" spans="1:15" ht="12.75" customHeight="1">
      <c r="A784" s="188" t="s">
        <v>620</v>
      </c>
      <c r="B784" s="188" t="s">
        <v>1394</v>
      </c>
      <c r="C784" s="188" t="s">
        <v>641</v>
      </c>
      <c r="D784" s="188" t="s">
        <v>1845</v>
      </c>
      <c r="E784" s="189">
        <v>39331</v>
      </c>
      <c r="F784" s="190">
        <v>0</v>
      </c>
      <c r="G784" s="190">
        <v>108.8</v>
      </c>
      <c r="H784" s="191">
        <v>690.03</v>
      </c>
      <c r="I784" s="191">
        <v>425</v>
      </c>
      <c r="J784" s="188" t="s">
        <v>667</v>
      </c>
      <c r="K784" s="188" t="s">
        <v>733</v>
      </c>
      <c r="L784" s="188" t="s">
        <v>833</v>
      </c>
      <c r="M784" s="192">
        <f t="shared" si="36"/>
        <v>22</v>
      </c>
      <c r="N784" s="193">
        <f t="shared" si="37"/>
        <v>0.40589999999999998</v>
      </c>
      <c r="O784" s="194">
        <f t="shared" si="38"/>
        <v>1.8449999999999998E-2</v>
      </c>
    </row>
    <row r="785" spans="1:15" ht="12.75" customHeight="1">
      <c r="A785" s="188" t="s">
        <v>620</v>
      </c>
      <c r="B785" s="188" t="s">
        <v>1394</v>
      </c>
      <c r="C785" s="188" t="s">
        <v>641</v>
      </c>
      <c r="D785" s="188" t="s">
        <v>1846</v>
      </c>
      <c r="E785" s="189">
        <v>39541</v>
      </c>
      <c r="F785" s="190">
        <v>0</v>
      </c>
      <c r="G785" s="190">
        <v>64.510000000000005</v>
      </c>
      <c r="H785" s="191">
        <v>372</v>
      </c>
      <c r="I785" s="191">
        <v>252</v>
      </c>
      <c r="J785" s="188" t="s">
        <v>560</v>
      </c>
      <c r="K785" s="188" t="s">
        <v>338</v>
      </c>
      <c r="L785" s="188" t="s">
        <v>736</v>
      </c>
      <c r="M785" s="192">
        <f t="shared" si="36"/>
        <v>20</v>
      </c>
      <c r="N785" s="193">
        <f t="shared" si="37"/>
        <v>0.36904761904761907</v>
      </c>
      <c r="O785" s="194">
        <f t="shared" si="38"/>
        <v>1.8452380952380953E-2</v>
      </c>
    </row>
    <row r="786" spans="1:15" ht="12.75" customHeight="1">
      <c r="A786" s="188" t="s">
        <v>620</v>
      </c>
      <c r="B786" s="188" t="s">
        <v>1394</v>
      </c>
      <c r="C786" s="188" t="s">
        <v>641</v>
      </c>
      <c r="D786" s="188" t="s">
        <v>1847</v>
      </c>
      <c r="E786" s="189">
        <v>39520</v>
      </c>
      <c r="F786" s="190">
        <v>0</v>
      </c>
      <c r="G786" s="190">
        <v>40</v>
      </c>
      <c r="H786" s="191">
        <v>300</v>
      </c>
      <c r="I786" s="191">
        <v>156.25</v>
      </c>
      <c r="J786" s="188" t="s">
        <v>361</v>
      </c>
      <c r="K786" s="188" t="s">
        <v>338</v>
      </c>
      <c r="L786" s="188" t="s">
        <v>1823</v>
      </c>
      <c r="M786" s="192">
        <f t="shared" si="36"/>
        <v>26</v>
      </c>
      <c r="N786" s="193">
        <f t="shared" si="37"/>
        <v>0.48</v>
      </c>
      <c r="O786" s="194">
        <f t="shared" si="38"/>
        <v>1.846153846153846E-2</v>
      </c>
    </row>
    <row r="787" spans="1:15" ht="12.75" customHeight="1">
      <c r="A787" s="188" t="s">
        <v>620</v>
      </c>
      <c r="B787" s="188" t="s">
        <v>1394</v>
      </c>
      <c r="C787" s="188" t="s">
        <v>641</v>
      </c>
      <c r="D787" s="188" t="s">
        <v>1848</v>
      </c>
      <c r="E787" s="189">
        <v>39401</v>
      </c>
      <c r="F787" s="190">
        <v>0</v>
      </c>
      <c r="G787" s="190">
        <v>40.96</v>
      </c>
      <c r="H787" s="191">
        <v>450</v>
      </c>
      <c r="I787" s="191">
        <v>160</v>
      </c>
      <c r="J787" s="188" t="s">
        <v>624</v>
      </c>
      <c r="K787" s="188" t="s">
        <v>338</v>
      </c>
      <c r="L787" s="188" t="s">
        <v>1849</v>
      </c>
      <c r="M787" s="192">
        <f t="shared" si="36"/>
        <v>38</v>
      </c>
      <c r="N787" s="193">
        <f t="shared" si="37"/>
        <v>0.703125</v>
      </c>
      <c r="O787" s="194">
        <f t="shared" si="38"/>
        <v>1.8503289473684209E-2</v>
      </c>
    </row>
    <row r="788" spans="1:15" ht="12.75" customHeight="1">
      <c r="A788" s="188" t="s">
        <v>620</v>
      </c>
      <c r="B788" s="188" t="s">
        <v>1394</v>
      </c>
      <c r="C788" s="188" t="s">
        <v>641</v>
      </c>
      <c r="D788" s="188" t="s">
        <v>1850</v>
      </c>
      <c r="E788" s="189">
        <v>39471</v>
      </c>
      <c r="F788" s="190">
        <v>0</v>
      </c>
      <c r="G788" s="190">
        <v>90.5</v>
      </c>
      <c r="H788" s="191">
        <v>785</v>
      </c>
      <c r="I788" s="191">
        <v>353.5</v>
      </c>
      <c r="J788" s="188" t="s">
        <v>635</v>
      </c>
      <c r="K788" s="188" t="s">
        <v>338</v>
      </c>
      <c r="L788" s="188" t="s">
        <v>1317</v>
      </c>
      <c r="M788" s="192">
        <f t="shared" si="36"/>
        <v>30</v>
      </c>
      <c r="N788" s="193">
        <f t="shared" si="37"/>
        <v>0.55516265912305518</v>
      </c>
      <c r="O788" s="194">
        <f t="shared" si="38"/>
        <v>1.8505421970768505E-2</v>
      </c>
    </row>
    <row r="789" spans="1:15" ht="12.75" customHeight="1">
      <c r="A789" s="188" t="s">
        <v>620</v>
      </c>
      <c r="B789" s="188" t="s">
        <v>1394</v>
      </c>
      <c r="C789" s="188" t="s">
        <v>641</v>
      </c>
      <c r="D789" s="188" t="s">
        <v>1851</v>
      </c>
      <c r="E789" s="189">
        <v>39471</v>
      </c>
      <c r="F789" s="190">
        <v>0</v>
      </c>
      <c r="G789" s="190">
        <v>111.49</v>
      </c>
      <c r="H789" s="191">
        <v>1064</v>
      </c>
      <c r="I789" s="191">
        <v>435.5</v>
      </c>
      <c r="J789" s="188" t="s">
        <v>742</v>
      </c>
      <c r="K789" s="188" t="s">
        <v>338</v>
      </c>
      <c r="L789" s="188" t="s">
        <v>1852</v>
      </c>
      <c r="M789" s="192">
        <f t="shared" si="36"/>
        <v>33</v>
      </c>
      <c r="N789" s="193">
        <f t="shared" si="37"/>
        <v>0.61079219288174513</v>
      </c>
      <c r="O789" s="194">
        <f t="shared" si="38"/>
        <v>1.8508854329749854E-2</v>
      </c>
    </row>
    <row r="790" spans="1:15" ht="12.75" customHeight="1">
      <c r="A790" s="188" t="s">
        <v>620</v>
      </c>
      <c r="B790" s="188" t="s">
        <v>1394</v>
      </c>
      <c r="C790" s="188" t="s">
        <v>641</v>
      </c>
      <c r="D790" s="188" t="s">
        <v>1853</v>
      </c>
      <c r="E790" s="189">
        <v>39513</v>
      </c>
      <c r="F790" s="190">
        <v>0</v>
      </c>
      <c r="G790" s="190">
        <v>56</v>
      </c>
      <c r="H790" s="191">
        <v>486</v>
      </c>
      <c r="I790" s="191">
        <v>218.75</v>
      </c>
      <c r="J790" s="188" t="s">
        <v>635</v>
      </c>
      <c r="K790" s="188" t="s">
        <v>338</v>
      </c>
      <c r="L790" s="188" t="s">
        <v>1511</v>
      </c>
      <c r="M790" s="192">
        <f t="shared" si="36"/>
        <v>30</v>
      </c>
      <c r="N790" s="193">
        <f t="shared" si="37"/>
        <v>0.55542857142857138</v>
      </c>
      <c r="O790" s="194">
        <f t="shared" si="38"/>
        <v>1.8514285714285712E-2</v>
      </c>
    </row>
    <row r="791" spans="1:15" ht="12.75" customHeight="1">
      <c r="A791" s="188" t="s">
        <v>620</v>
      </c>
      <c r="B791" s="188" t="s">
        <v>1394</v>
      </c>
      <c r="C791" s="188" t="s">
        <v>641</v>
      </c>
      <c r="D791" s="188" t="s">
        <v>1854</v>
      </c>
      <c r="E791" s="189">
        <v>39387</v>
      </c>
      <c r="F791" s="190">
        <v>0</v>
      </c>
      <c r="G791" s="190">
        <v>110.98</v>
      </c>
      <c r="H791" s="191">
        <v>1220</v>
      </c>
      <c r="I791" s="191">
        <v>433.5</v>
      </c>
      <c r="J791" s="188" t="s">
        <v>624</v>
      </c>
      <c r="K791" s="188" t="s">
        <v>338</v>
      </c>
      <c r="L791" s="188" t="s">
        <v>1855</v>
      </c>
      <c r="M791" s="192">
        <f t="shared" si="36"/>
        <v>38</v>
      </c>
      <c r="N791" s="193">
        <f t="shared" si="37"/>
        <v>0.70357554786620535</v>
      </c>
      <c r="O791" s="194">
        <f t="shared" si="38"/>
        <v>1.8515145996479087E-2</v>
      </c>
    </row>
    <row r="792" spans="1:15" ht="12.75" customHeight="1">
      <c r="A792" s="188" t="s">
        <v>620</v>
      </c>
      <c r="B792" s="188" t="s">
        <v>1394</v>
      </c>
      <c r="C792" s="188" t="s">
        <v>641</v>
      </c>
      <c r="D792" s="188" t="s">
        <v>1856</v>
      </c>
      <c r="E792" s="189">
        <v>39401</v>
      </c>
      <c r="F792" s="190">
        <v>0</v>
      </c>
      <c r="G792" s="190">
        <v>70.400000000000006</v>
      </c>
      <c r="H792" s="191">
        <v>550</v>
      </c>
      <c r="I792" s="191">
        <v>275</v>
      </c>
      <c r="J792" s="188" t="s">
        <v>639</v>
      </c>
      <c r="K792" s="188" t="s">
        <v>338</v>
      </c>
      <c r="L792" s="188" t="s">
        <v>557</v>
      </c>
      <c r="M792" s="192">
        <f t="shared" si="36"/>
        <v>27</v>
      </c>
      <c r="N792" s="193">
        <f t="shared" si="37"/>
        <v>0.5</v>
      </c>
      <c r="O792" s="194">
        <f t="shared" si="38"/>
        <v>1.8518518518518517E-2</v>
      </c>
    </row>
    <row r="793" spans="1:15" ht="12.75" customHeight="1">
      <c r="A793" s="188" t="s">
        <v>620</v>
      </c>
      <c r="B793" s="188" t="s">
        <v>1394</v>
      </c>
      <c r="C793" s="188" t="s">
        <v>641</v>
      </c>
      <c r="D793" s="188" t="s">
        <v>1857</v>
      </c>
      <c r="E793" s="189">
        <v>39436</v>
      </c>
      <c r="F793" s="190">
        <v>0</v>
      </c>
      <c r="G793" s="190">
        <v>140.80000000000001</v>
      </c>
      <c r="H793" s="191">
        <v>1100</v>
      </c>
      <c r="I793" s="191">
        <v>550</v>
      </c>
      <c r="J793" s="188" t="s">
        <v>639</v>
      </c>
      <c r="K793" s="188" t="s">
        <v>338</v>
      </c>
      <c r="L793" s="188" t="s">
        <v>938</v>
      </c>
      <c r="M793" s="192">
        <f t="shared" si="36"/>
        <v>27</v>
      </c>
      <c r="N793" s="193">
        <f t="shared" si="37"/>
        <v>0.5</v>
      </c>
      <c r="O793" s="194">
        <f t="shared" si="38"/>
        <v>1.8518518518518517E-2</v>
      </c>
    </row>
    <row r="794" spans="1:15" ht="12.75" customHeight="1">
      <c r="A794" s="188" t="s">
        <v>620</v>
      </c>
      <c r="B794" s="188" t="s">
        <v>1394</v>
      </c>
      <c r="C794" s="188" t="s">
        <v>641</v>
      </c>
      <c r="D794" s="188" t="s">
        <v>1858</v>
      </c>
      <c r="E794" s="189">
        <v>39436</v>
      </c>
      <c r="F794" s="190">
        <v>0</v>
      </c>
      <c r="G794" s="190">
        <v>38.4</v>
      </c>
      <c r="H794" s="191">
        <v>300</v>
      </c>
      <c r="I794" s="191">
        <v>150</v>
      </c>
      <c r="J794" s="188" t="s">
        <v>639</v>
      </c>
      <c r="K794" s="188" t="s">
        <v>338</v>
      </c>
      <c r="L794" s="188" t="s">
        <v>677</v>
      </c>
      <c r="M794" s="192">
        <f t="shared" si="36"/>
        <v>27</v>
      </c>
      <c r="N794" s="193">
        <f t="shared" si="37"/>
        <v>0.5</v>
      </c>
      <c r="O794" s="194">
        <f t="shared" si="38"/>
        <v>1.8518518518518517E-2</v>
      </c>
    </row>
    <row r="795" spans="1:15" ht="12.75" customHeight="1">
      <c r="A795" s="188" t="s">
        <v>620</v>
      </c>
      <c r="B795" s="188" t="s">
        <v>1394</v>
      </c>
      <c r="C795" s="188" t="s">
        <v>641</v>
      </c>
      <c r="D795" s="188" t="s">
        <v>1859</v>
      </c>
      <c r="E795" s="189">
        <v>39555</v>
      </c>
      <c r="F795" s="190">
        <v>0</v>
      </c>
      <c r="G795" s="190">
        <v>87.94</v>
      </c>
      <c r="H795" s="191">
        <v>687</v>
      </c>
      <c r="I795" s="191">
        <v>343.5</v>
      </c>
      <c r="J795" s="188" t="s">
        <v>639</v>
      </c>
      <c r="K795" s="188" t="s">
        <v>338</v>
      </c>
      <c r="L795" s="188" t="s">
        <v>1746</v>
      </c>
      <c r="M795" s="192">
        <f t="shared" si="36"/>
        <v>27</v>
      </c>
      <c r="N795" s="193">
        <f t="shared" si="37"/>
        <v>0.5</v>
      </c>
      <c r="O795" s="194">
        <f t="shared" si="38"/>
        <v>1.8518518518518517E-2</v>
      </c>
    </row>
    <row r="796" spans="1:15" ht="12.75" customHeight="1">
      <c r="A796" s="188" t="s">
        <v>620</v>
      </c>
      <c r="B796" s="188" t="s">
        <v>1394</v>
      </c>
      <c r="C796" s="188" t="s">
        <v>641</v>
      </c>
      <c r="D796" s="188" t="s">
        <v>1860</v>
      </c>
      <c r="E796" s="189">
        <v>39331</v>
      </c>
      <c r="F796" s="190">
        <v>0</v>
      </c>
      <c r="G796" s="190">
        <v>96.77</v>
      </c>
      <c r="H796" s="191">
        <v>840.07</v>
      </c>
      <c r="I796" s="191">
        <v>378</v>
      </c>
      <c r="J796" s="188" t="s">
        <v>635</v>
      </c>
      <c r="K796" s="188" t="s">
        <v>338</v>
      </c>
      <c r="L796" s="188" t="s">
        <v>649</v>
      </c>
      <c r="M796" s="192">
        <f t="shared" si="36"/>
        <v>30</v>
      </c>
      <c r="N796" s="193">
        <f t="shared" si="37"/>
        <v>0.55560185185185185</v>
      </c>
      <c r="O796" s="194">
        <f t="shared" si="38"/>
        <v>1.852006172839506E-2</v>
      </c>
    </row>
    <row r="797" spans="1:15" ht="12.75" customHeight="1">
      <c r="A797" s="188" t="s">
        <v>620</v>
      </c>
      <c r="B797" s="188" t="s">
        <v>1394</v>
      </c>
      <c r="C797" s="188" t="s">
        <v>641</v>
      </c>
      <c r="D797" s="188" t="s">
        <v>1861</v>
      </c>
      <c r="E797" s="189">
        <v>39233</v>
      </c>
      <c r="F797" s="190">
        <v>0</v>
      </c>
      <c r="G797" s="190">
        <v>82.62</v>
      </c>
      <c r="H797" s="191">
        <v>908.99</v>
      </c>
      <c r="I797" s="191">
        <v>322.75</v>
      </c>
      <c r="J797" s="188" t="s">
        <v>624</v>
      </c>
      <c r="K797" s="188" t="s">
        <v>338</v>
      </c>
      <c r="L797" s="188" t="s">
        <v>1862</v>
      </c>
      <c r="M797" s="192">
        <f t="shared" si="36"/>
        <v>38</v>
      </c>
      <c r="N797" s="193">
        <f t="shared" si="37"/>
        <v>0.7040975987606507</v>
      </c>
      <c r="O797" s="194">
        <f t="shared" si="38"/>
        <v>1.8528884177911861E-2</v>
      </c>
    </row>
    <row r="798" spans="1:15" ht="12.75" customHeight="1">
      <c r="A798" s="188" t="s">
        <v>620</v>
      </c>
      <c r="B798" s="188" t="s">
        <v>1394</v>
      </c>
      <c r="C798" s="188" t="s">
        <v>641</v>
      </c>
      <c r="D798" s="188" t="s">
        <v>1863</v>
      </c>
      <c r="E798" s="189">
        <v>39317</v>
      </c>
      <c r="F798" s="190">
        <v>0</v>
      </c>
      <c r="G798" s="190">
        <v>102.02</v>
      </c>
      <c r="H798" s="191">
        <v>680</v>
      </c>
      <c r="I798" s="191">
        <v>398.5</v>
      </c>
      <c r="J798" s="188" t="s">
        <v>571</v>
      </c>
      <c r="K798" s="188" t="s">
        <v>338</v>
      </c>
      <c r="L798" s="188" t="s">
        <v>1864</v>
      </c>
      <c r="M798" s="192">
        <f t="shared" si="36"/>
        <v>23</v>
      </c>
      <c r="N798" s="193">
        <f t="shared" si="37"/>
        <v>0.42659974905897113</v>
      </c>
      <c r="O798" s="194">
        <f t="shared" si="38"/>
        <v>1.8547815176477005E-2</v>
      </c>
    </row>
    <row r="799" spans="1:15" ht="12.75" customHeight="1">
      <c r="A799" s="188" t="s">
        <v>620</v>
      </c>
      <c r="B799" s="188" t="s">
        <v>1394</v>
      </c>
      <c r="C799" s="188" t="s">
        <v>641</v>
      </c>
      <c r="D799" s="188" t="s">
        <v>1865</v>
      </c>
      <c r="E799" s="189">
        <v>39541</v>
      </c>
      <c r="F799" s="190">
        <v>0</v>
      </c>
      <c r="G799" s="190">
        <v>108.8</v>
      </c>
      <c r="H799" s="191">
        <v>1200</v>
      </c>
      <c r="I799" s="191">
        <v>425</v>
      </c>
      <c r="J799" s="188" t="s">
        <v>624</v>
      </c>
      <c r="K799" s="188" t="s">
        <v>338</v>
      </c>
      <c r="L799" s="188" t="s">
        <v>833</v>
      </c>
      <c r="M799" s="192">
        <f t="shared" si="36"/>
        <v>38</v>
      </c>
      <c r="N799" s="193">
        <f t="shared" si="37"/>
        <v>0.70588235294117652</v>
      </c>
      <c r="O799" s="194">
        <f t="shared" si="38"/>
        <v>1.8575851393188857E-2</v>
      </c>
    </row>
    <row r="800" spans="1:15" ht="12.75" customHeight="1">
      <c r="A800" s="188" t="s">
        <v>620</v>
      </c>
      <c r="B800" s="188" t="s">
        <v>1394</v>
      </c>
      <c r="C800" s="188" t="s">
        <v>641</v>
      </c>
      <c r="D800" s="188" t="s">
        <v>1866</v>
      </c>
      <c r="E800" s="189">
        <v>39520</v>
      </c>
      <c r="F800" s="190">
        <v>0</v>
      </c>
      <c r="G800" s="190">
        <v>88.38</v>
      </c>
      <c r="H800" s="191">
        <v>770</v>
      </c>
      <c r="I800" s="191">
        <v>345.25</v>
      </c>
      <c r="J800" s="188" t="s">
        <v>635</v>
      </c>
      <c r="K800" s="188" t="s">
        <v>338</v>
      </c>
      <c r="L800" s="188" t="s">
        <v>1867</v>
      </c>
      <c r="M800" s="192">
        <f t="shared" si="36"/>
        <v>30</v>
      </c>
      <c r="N800" s="193">
        <f t="shared" si="37"/>
        <v>0.55756698044895003</v>
      </c>
      <c r="O800" s="194">
        <f t="shared" si="38"/>
        <v>1.8585566014965003E-2</v>
      </c>
    </row>
    <row r="801" spans="1:15" ht="12.75" customHeight="1">
      <c r="A801" s="188" t="s">
        <v>620</v>
      </c>
      <c r="B801" s="188" t="s">
        <v>1394</v>
      </c>
      <c r="C801" s="188" t="s">
        <v>641</v>
      </c>
      <c r="D801" s="188" t="s">
        <v>1868</v>
      </c>
      <c r="E801" s="189">
        <v>39471</v>
      </c>
      <c r="F801" s="190">
        <v>0</v>
      </c>
      <c r="G801" s="190">
        <v>83.2</v>
      </c>
      <c r="H801" s="191">
        <v>725</v>
      </c>
      <c r="I801" s="191">
        <v>325</v>
      </c>
      <c r="J801" s="188" t="s">
        <v>635</v>
      </c>
      <c r="K801" s="188" t="s">
        <v>338</v>
      </c>
      <c r="L801" s="188" t="s">
        <v>699</v>
      </c>
      <c r="M801" s="192">
        <f t="shared" si="36"/>
        <v>30</v>
      </c>
      <c r="N801" s="193">
        <f t="shared" si="37"/>
        <v>0.55769230769230771</v>
      </c>
      <c r="O801" s="194">
        <f t="shared" si="38"/>
        <v>1.858974358974359E-2</v>
      </c>
    </row>
    <row r="802" spans="1:15" ht="12.75" customHeight="1">
      <c r="A802" s="188" t="s">
        <v>620</v>
      </c>
      <c r="B802" s="188" t="s">
        <v>1394</v>
      </c>
      <c r="C802" s="188" t="s">
        <v>641</v>
      </c>
      <c r="D802" s="188" t="s">
        <v>1869</v>
      </c>
      <c r="E802" s="189">
        <v>39541</v>
      </c>
      <c r="F802" s="190">
        <v>0</v>
      </c>
      <c r="G802" s="190">
        <v>88.32</v>
      </c>
      <c r="H802" s="191">
        <v>719</v>
      </c>
      <c r="I802" s="191">
        <v>345</v>
      </c>
      <c r="J802" s="188" t="s">
        <v>750</v>
      </c>
      <c r="K802" s="188" t="s">
        <v>338</v>
      </c>
      <c r="L802" s="188" t="s">
        <v>1364</v>
      </c>
      <c r="M802" s="192">
        <f t="shared" si="36"/>
        <v>28</v>
      </c>
      <c r="N802" s="193">
        <f t="shared" si="37"/>
        <v>0.52101449275362322</v>
      </c>
      <c r="O802" s="194">
        <f t="shared" si="38"/>
        <v>1.8607660455486542E-2</v>
      </c>
    </row>
    <row r="803" spans="1:15" ht="12.75" customHeight="1">
      <c r="A803" s="188" t="s">
        <v>620</v>
      </c>
      <c r="B803" s="188" t="s">
        <v>1394</v>
      </c>
      <c r="C803" s="188" t="s">
        <v>641</v>
      </c>
      <c r="D803" s="188" t="s">
        <v>1870</v>
      </c>
      <c r="E803" s="189">
        <v>39555</v>
      </c>
      <c r="F803" s="190">
        <v>0</v>
      </c>
      <c r="G803" s="190">
        <v>92.8</v>
      </c>
      <c r="H803" s="191">
        <v>810</v>
      </c>
      <c r="I803" s="191">
        <v>362.5</v>
      </c>
      <c r="J803" s="188" t="s">
        <v>667</v>
      </c>
      <c r="K803" s="188" t="s">
        <v>648</v>
      </c>
      <c r="L803" s="188" t="s">
        <v>920</v>
      </c>
      <c r="M803" s="192">
        <f t="shared" si="36"/>
        <v>30</v>
      </c>
      <c r="N803" s="193">
        <f t="shared" si="37"/>
        <v>0.55862068965517242</v>
      </c>
      <c r="O803" s="194">
        <f t="shared" si="38"/>
        <v>1.8620689655172416E-2</v>
      </c>
    </row>
    <row r="804" spans="1:15" ht="12.75" customHeight="1">
      <c r="A804" s="188" t="s">
        <v>620</v>
      </c>
      <c r="B804" s="188" t="s">
        <v>1394</v>
      </c>
      <c r="C804" s="188" t="s">
        <v>641</v>
      </c>
      <c r="D804" s="188" t="s">
        <v>1871</v>
      </c>
      <c r="E804" s="189">
        <v>39520</v>
      </c>
      <c r="F804" s="190">
        <v>0</v>
      </c>
      <c r="G804" s="190">
        <v>104.19</v>
      </c>
      <c r="H804" s="191">
        <v>820</v>
      </c>
      <c r="I804" s="191">
        <v>407</v>
      </c>
      <c r="J804" s="188" t="s">
        <v>639</v>
      </c>
      <c r="K804" s="188" t="s">
        <v>338</v>
      </c>
      <c r="L804" s="188" t="s">
        <v>827</v>
      </c>
      <c r="M804" s="192">
        <f t="shared" si="36"/>
        <v>27</v>
      </c>
      <c r="N804" s="193">
        <f t="shared" si="37"/>
        <v>0.50368550368550369</v>
      </c>
      <c r="O804" s="194">
        <f t="shared" si="38"/>
        <v>1.8655018655018656E-2</v>
      </c>
    </row>
    <row r="805" spans="1:15" ht="12.75" customHeight="1">
      <c r="A805" s="188" t="s">
        <v>620</v>
      </c>
      <c r="B805" s="188" t="s">
        <v>1394</v>
      </c>
      <c r="C805" s="188" t="s">
        <v>641</v>
      </c>
      <c r="D805" s="188" t="s">
        <v>1872</v>
      </c>
      <c r="E805" s="189">
        <v>39317</v>
      </c>
      <c r="F805" s="190">
        <v>0</v>
      </c>
      <c r="G805" s="190">
        <v>35.200000000000003</v>
      </c>
      <c r="H805" s="191">
        <v>308</v>
      </c>
      <c r="I805" s="191">
        <v>137.5</v>
      </c>
      <c r="J805" s="188" t="s">
        <v>635</v>
      </c>
      <c r="K805" s="188" t="s">
        <v>338</v>
      </c>
      <c r="L805" s="188" t="s">
        <v>1873</v>
      </c>
      <c r="M805" s="192">
        <f t="shared" si="36"/>
        <v>30</v>
      </c>
      <c r="N805" s="193">
        <f t="shared" si="37"/>
        <v>0.56000000000000005</v>
      </c>
      <c r="O805" s="194">
        <f t="shared" si="38"/>
        <v>1.8666666666666668E-2</v>
      </c>
    </row>
    <row r="806" spans="1:15" ht="12.75" customHeight="1">
      <c r="A806" s="188" t="s">
        <v>620</v>
      </c>
      <c r="B806" s="188" t="s">
        <v>1394</v>
      </c>
      <c r="C806" s="188" t="s">
        <v>641</v>
      </c>
      <c r="D806" s="188" t="s">
        <v>1874</v>
      </c>
      <c r="E806" s="189">
        <v>39471</v>
      </c>
      <c r="F806" s="190">
        <v>0</v>
      </c>
      <c r="G806" s="190">
        <v>71.680000000000007</v>
      </c>
      <c r="H806" s="191">
        <v>460</v>
      </c>
      <c r="I806" s="191">
        <v>280</v>
      </c>
      <c r="J806" s="188" t="s">
        <v>710</v>
      </c>
      <c r="K806" s="188" t="s">
        <v>338</v>
      </c>
      <c r="L806" s="188" t="s">
        <v>825</v>
      </c>
      <c r="M806" s="192">
        <f t="shared" si="36"/>
        <v>22</v>
      </c>
      <c r="N806" s="193">
        <f t="shared" si="37"/>
        <v>0.4107142857142857</v>
      </c>
      <c r="O806" s="194">
        <f t="shared" si="38"/>
        <v>1.8668831168831168E-2</v>
      </c>
    </row>
    <row r="807" spans="1:15" ht="12.75" customHeight="1">
      <c r="A807" s="188" t="s">
        <v>620</v>
      </c>
      <c r="B807" s="188" t="s">
        <v>1394</v>
      </c>
      <c r="C807" s="188" t="s">
        <v>641</v>
      </c>
      <c r="D807" s="188" t="s">
        <v>1875</v>
      </c>
      <c r="E807" s="189">
        <v>39353</v>
      </c>
      <c r="F807" s="190">
        <v>0</v>
      </c>
      <c r="G807" s="190">
        <v>73.47</v>
      </c>
      <c r="H807" s="191">
        <v>815</v>
      </c>
      <c r="I807" s="191">
        <v>287</v>
      </c>
      <c r="J807" s="188" t="s">
        <v>624</v>
      </c>
      <c r="K807" s="188" t="s">
        <v>338</v>
      </c>
      <c r="L807" s="188" t="s">
        <v>1876</v>
      </c>
      <c r="M807" s="192">
        <f t="shared" si="36"/>
        <v>38</v>
      </c>
      <c r="N807" s="193">
        <f t="shared" si="37"/>
        <v>0.70993031358885017</v>
      </c>
      <c r="O807" s="194">
        <f t="shared" si="38"/>
        <v>1.8682376673390795E-2</v>
      </c>
    </row>
    <row r="808" spans="1:15" ht="12.75" customHeight="1">
      <c r="A808" s="188" t="s">
        <v>620</v>
      </c>
      <c r="B808" s="188" t="s">
        <v>1394</v>
      </c>
      <c r="C808" s="188" t="s">
        <v>641</v>
      </c>
      <c r="D808" s="188" t="s">
        <v>1877</v>
      </c>
      <c r="E808" s="189">
        <v>39310</v>
      </c>
      <c r="F808" s="190">
        <v>0</v>
      </c>
      <c r="G808" s="190">
        <v>108.8</v>
      </c>
      <c r="H808" s="191">
        <v>857.99</v>
      </c>
      <c r="I808" s="191">
        <v>425</v>
      </c>
      <c r="J808" s="188" t="s">
        <v>639</v>
      </c>
      <c r="K808" s="188" t="s">
        <v>338</v>
      </c>
      <c r="L808" s="188" t="s">
        <v>833</v>
      </c>
      <c r="M808" s="192">
        <f t="shared" si="36"/>
        <v>27</v>
      </c>
      <c r="N808" s="193">
        <f t="shared" si="37"/>
        <v>0.50470000000000004</v>
      </c>
      <c r="O808" s="194">
        <f t="shared" si="38"/>
        <v>1.8692592592592594E-2</v>
      </c>
    </row>
    <row r="809" spans="1:15" ht="12.75" customHeight="1">
      <c r="A809" s="188" t="s">
        <v>620</v>
      </c>
      <c r="B809" s="188" t="s">
        <v>1394</v>
      </c>
      <c r="C809" s="188" t="s">
        <v>641</v>
      </c>
      <c r="D809" s="188" t="s">
        <v>1878</v>
      </c>
      <c r="E809" s="189">
        <v>39447</v>
      </c>
      <c r="F809" s="190">
        <v>0</v>
      </c>
      <c r="G809" s="190">
        <v>12.29</v>
      </c>
      <c r="H809" s="191">
        <v>165.12</v>
      </c>
      <c r="I809" s="191">
        <v>48</v>
      </c>
      <c r="J809" s="188" t="s">
        <v>560</v>
      </c>
      <c r="K809" s="188" t="s">
        <v>476</v>
      </c>
      <c r="L809" s="188" t="s">
        <v>1879</v>
      </c>
      <c r="M809" s="192">
        <f t="shared" si="36"/>
        <v>46</v>
      </c>
      <c r="N809" s="193">
        <f t="shared" si="37"/>
        <v>0.86</v>
      </c>
      <c r="O809" s="194">
        <f t="shared" si="38"/>
        <v>1.8695652173913044E-2</v>
      </c>
    </row>
    <row r="810" spans="1:15" ht="12.75" customHeight="1">
      <c r="A810" s="188" t="s">
        <v>620</v>
      </c>
      <c r="B810" s="188" t="s">
        <v>1394</v>
      </c>
      <c r="C810" s="188" t="s">
        <v>641</v>
      </c>
      <c r="D810" s="188" t="s">
        <v>1880</v>
      </c>
      <c r="E810" s="189">
        <v>39429</v>
      </c>
      <c r="F810" s="190">
        <v>0</v>
      </c>
      <c r="G810" s="190">
        <v>66.180000000000007</v>
      </c>
      <c r="H810" s="191">
        <v>735</v>
      </c>
      <c r="I810" s="191">
        <v>258.5</v>
      </c>
      <c r="J810" s="188" t="s">
        <v>829</v>
      </c>
      <c r="K810" s="188" t="s">
        <v>733</v>
      </c>
      <c r="L810" s="188" t="s">
        <v>1881</v>
      </c>
      <c r="M810" s="192">
        <f t="shared" si="36"/>
        <v>38</v>
      </c>
      <c r="N810" s="193">
        <f t="shared" si="37"/>
        <v>0.71083172147001938</v>
      </c>
      <c r="O810" s="194">
        <f t="shared" si="38"/>
        <v>1.8706097933421564E-2</v>
      </c>
    </row>
    <row r="811" spans="1:15" ht="12.75" customHeight="1">
      <c r="A811" s="188" t="s">
        <v>620</v>
      </c>
      <c r="B811" s="188" t="s">
        <v>1394</v>
      </c>
      <c r="C811" s="188" t="s">
        <v>641</v>
      </c>
      <c r="D811" s="188" t="s">
        <v>1882</v>
      </c>
      <c r="E811" s="189">
        <v>39507</v>
      </c>
      <c r="F811" s="190">
        <v>0</v>
      </c>
      <c r="G811" s="190">
        <v>51.84</v>
      </c>
      <c r="H811" s="191">
        <v>455</v>
      </c>
      <c r="I811" s="191">
        <v>202.5</v>
      </c>
      <c r="J811" s="188" t="s">
        <v>635</v>
      </c>
      <c r="K811" s="188" t="s">
        <v>338</v>
      </c>
      <c r="L811" s="188" t="s">
        <v>1883</v>
      </c>
      <c r="M811" s="192">
        <f t="shared" si="36"/>
        <v>30</v>
      </c>
      <c r="N811" s="193">
        <f t="shared" si="37"/>
        <v>0.56172839506172845</v>
      </c>
      <c r="O811" s="194">
        <f t="shared" si="38"/>
        <v>1.8724279835390947E-2</v>
      </c>
    </row>
    <row r="812" spans="1:15" ht="12.75" customHeight="1">
      <c r="A812" s="188" t="s">
        <v>620</v>
      </c>
      <c r="B812" s="188" t="s">
        <v>1394</v>
      </c>
      <c r="C812" s="188" t="s">
        <v>641</v>
      </c>
      <c r="D812" s="188" t="s">
        <v>1884</v>
      </c>
      <c r="E812" s="189">
        <v>39562</v>
      </c>
      <c r="F812" s="190">
        <v>0</v>
      </c>
      <c r="G812" s="190">
        <v>143.87</v>
      </c>
      <c r="H812" s="191">
        <v>1600</v>
      </c>
      <c r="I812" s="191">
        <v>562</v>
      </c>
      <c r="J812" s="188" t="s">
        <v>624</v>
      </c>
      <c r="K812" s="188" t="s">
        <v>338</v>
      </c>
      <c r="L812" s="188" t="s">
        <v>1885</v>
      </c>
      <c r="M812" s="192">
        <f t="shared" si="36"/>
        <v>38</v>
      </c>
      <c r="N812" s="193">
        <f t="shared" si="37"/>
        <v>0.71174377224199292</v>
      </c>
      <c r="O812" s="194">
        <f t="shared" si="38"/>
        <v>1.8730099269526131E-2</v>
      </c>
    </row>
    <row r="813" spans="1:15" ht="12.75" customHeight="1">
      <c r="A813" s="188" t="s">
        <v>620</v>
      </c>
      <c r="B813" s="188" t="s">
        <v>1394</v>
      </c>
      <c r="C813" s="188" t="s">
        <v>641</v>
      </c>
      <c r="D813" s="188" t="s">
        <v>1886</v>
      </c>
      <c r="E813" s="189">
        <v>39507</v>
      </c>
      <c r="F813" s="190">
        <v>0</v>
      </c>
      <c r="G813" s="190">
        <v>54.4</v>
      </c>
      <c r="H813" s="191">
        <v>478</v>
      </c>
      <c r="I813" s="191">
        <v>212.5</v>
      </c>
      <c r="J813" s="188" t="s">
        <v>635</v>
      </c>
      <c r="K813" s="188" t="s">
        <v>338</v>
      </c>
      <c r="L813" s="188" t="s">
        <v>1170</v>
      </c>
      <c r="M813" s="192">
        <f t="shared" si="36"/>
        <v>30</v>
      </c>
      <c r="N813" s="193">
        <f t="shared" si="37"/>
        <v>0.56235294117647061</v>
      </c>
      <c r="O813" s="194">
        <f t="shared" si="38"/>
        <v>1.8745098039215688E-2</v>
      </c>
    </row>
    <row r="814" spans="1:15" ht="12.75" customHeight="1">
      <c r="A814" s="188" t="s">
        <v>620</v>
      </c>
      <c r="B814" s="188" t="s">
        <v>1394</v>
      </c>
      <c r="C814" s="188" t="s">
        <v>641</v>
      </c>
      <c r="D814" s="188" t="s">
        <v>1887</v>
      </c>
      <c r="E814" s="189">
        <v>39380</v>
      </c>
      <c r="F814" s="190">
        <v>0</v>
      </c>
      <c r="G814" s="190">
        <v>103.1</v>
      </c>
      <c r="H814" s="191">
        <v>907</v>
      </c>
      <c r="I814" s="191">
        <v>402.75</v>
      </c>
      <c r="J814" s="188" t="s">
        <v>635</v>
      </c>
      <c r="K814" s="188" t="s">
        <v>338</v>
      </c>
      <c r="L814" s="188" t="s">
        <v>1183</v>
      </c>
      <c r="M814" s="192">
        <f t="shared" si="36"/>
        <v>30</v>
      </c>
      <c r="N814" s="193">
        <f t="shared" si="37"/>
        <v>0.56300434512725017</v>
      </c>
      <c r="O814" s="194">
        <f t="shared" si="38"/>
        <v>1.8766811504241674E-2</v>
      </c>
    </row>
    <row r="815" spans="1:15" ht="12.75" customHeight="1">
      <c r="A815" s="188" t="s">
        <v>620</v>
      </c>
      <c r="B815" s="188" t="s">
        <v>1394</v>
      </c>
      <c r="C815" s="188" t="s">
        <v>641</v>
      </c>
      <c r="D815" s="188" t="s">
        <v>1888</v>
      </c>
      <c r="E815" s="189">
        <v>39436</v>
      </c>
      <c r="F815" s="190">
        <v>0</v>
      </c>
      <c r="G815" s="190">
        <v>44.8</v>
      </c>
      <c r="H815" s="191">
        <v>500</v>
      </c>
      <c r="I815" s="191">
        <v>175</v>
      </c>
      <c r="J815" s="188" t="s">
        <v>624</v>
      </c>
      <c r="K815" s="188" t="s">
        <v>338</v>
      </c>
      <c r="L815" s="188" t="s">
        <v>1827</v>
      </c>
      <c r="M815" s="192">
        <f t="shared" si="36"/>
        <v>38</v>
      </c>
      <c r="N815" s="193">
        <f t="shared" si="37"/>
        <v>0.7142857142857143</v>
      </c>
      <c r="O815" s="194">
        <f t="shared" si="38"/>
        <v>1.8796992481203006E-2</v>
      </c>
    </row>
    <row r="816" spans="1:15" ht="12.75" customHeight="1">
      <c r="A816" s="188" t="s">
        <v>620</v>
      </c>
      <c r="B816" s="188" t="s">
        <v>1394</v>
      </c>
      <c r="C816" s="188" t="s">
        <v>641</v>
      </c>
      <c r="D816" s="188" t="s">
        <v>1889</v>
      </c>
      <c r="E816" s="189">
        <v>39541</v>
      </c>
      <c r="F816" s="190">
        <v>0</v>
      </c>
      <c r="G816" s="190">
        <v>134.4</v>
      </c>
      <c r="H816" s="191">
        <v>1500</v>
      </c>
      <c r="I816" s="191">
        <v>525</v>
      </c>
      <c r="J816" s="188" t="s">
        <v>624</v>
      </c>
      <c r="K816" s="188" t="s">
        <v>338</v>
      </c>
      <c r="L816" s="188" t="s">
        <v>701</v>
      </c>
      <c r="M816" s="192">
        <f t="shared" si="36"/>
        <v>38</v>
      </c>
      <c r="N816" s="193">
        <f t="shared" si="37"/>
        <v>0.7142857142857143</v>
      </c>
      <c r="O816" s="194">
        <f t="shared" si="38"/>
        <v>1.8796992481203006E-2</v>
      </c>
    </row>
    <row r="817" spans="1:15" ht="12.75" customHeight="1">
      <c r="A817" s="188" t="s">
        <v>620</v>
      </c>
      <c r="B817" s="188" t="s">
        <v>1394</v>
      </c>
      <c r="C817" s="188" t="s">
        <v>641</v>
      </c>
      <c r="D817" s="188" t="s">
        <v>1890</v>
      </c>
      <c r="E817" s="189">
        <v>39212</v>
      </c>
      <c r="F817" s="190">
        <v>0</v>
      </c>
      <c r="G817" s="190">
        <v>62.21</v>
      </c>
      <c r="H817" s="191">
        <v>456.84</v>
      </c>
      <c r="I817" s="191">
        <v>243</v>
      </c>
      <c r="J817" s="188" t="s">
        <v>652</v>
      </c>
      <c r="K817" s="188" t="s">
        <v>338</v>
      </c>
      <c r="L817" s="188" t="s">
        <v>365</v>
      </c>
      <c r="M817" s="192">
        <f t="shared" si="36"/>
        <v>25</v>
      </c>
      <c r="N817" s="193">
        <f t="shared" si="37"/>
        <v>0.47</v>
      </c>
      <c r="O817" s="194">
        <f t="shared" si="38"/>
        <v>1.8799999999999997E-2</v>
      </c>
    </row>
    <row r="818" spans="1:15" ht="12.75" customHeight="1">
      <c r="A818" s="188" t="s">
        <v>620</v>
      </c>
      <c r="B818" s="188" t="s">
        <v>1394</v>
      </c>
      <c r="C818" s="188" t="s">
        <v>641</v>
      </c>
      <c r="D818" s="188" t="s">
        <v>1891</v>
      </c>
      <c r="E818" s="189">
        <v>39407</v>
      </c>
      <c r="F818" s="190">
        <v>0</v>
      </c>
      <c r="G818" s="190">
        <v>73.599999999999994</v>
      </c>
      <c r="H818" s="191">
        <v>650</v>
      </c>
      <c r="I818" s="191">
        <v>287.5</v>
      </c>
      <c r="J818" s="188" t="s">
        <v>635</v>
      </c>
      <c r="K818" s="188" t="s">
        <v>338</v>
      </c>
      <c r="L818" s="188" t="s">
        <v>697</v>
      </c>
      <c r="M818" s="192">
        <f t="shared" si="36"/>
        <v>30</v>
      </c>
      <c r="N818" s="193">
        <f t="shared" si="37"/>
        <v>0.56521739130434778</v>
      </c>
      <c r="O818" s="194">
        <f t="shared" si="38"/>
        <v>1.8840579710144925E-2</v>
      </c>
    </row>
    <row r="819" spans="1:15" ht="12.75" customHeight="1">
      <c r="A819" s="188" t="s">
        <v>620</v>
      </c>
      <c r="B819" s="188" t="s">
        <v>1394</v>
      </c>
      <c r="C819" s="188" t="s">
        <v>641</v>
      </c>
      <c r="D819" s="188" t="s">
        <v>1892</v>
      </c>
      <c r="E819" s="189">
        <v>39527</v>
      </c>
      <c r="F819" s="190">
        <v>0</v>
      </c>
      <c r="G819" s="190">
        <v>97.92</v>
      </c>
      <c r="H819" s="191">
        <v>865</v>
      </c>
      <c r="I819" s="191">
        <v>382.5</v>
      </c>
      <c r="J819" s="188" t="s">
        <v>635</v>
      </c>
      <c r="K819" s="188" t="s">
        <v>338</v>
      </c>
      <c r="L819" s="188" t="s">
        <v>1077</v>
      </c>
      <c r="M819" s="192">
        <f t="shared" si="36"/>
        <v>30</v>
      </c>
      <c r="N819" s="193">
        <f t="shared" si="37"/>
        <v>0.565359477124183</v>
      </c>
      <c r="O819" s="194">
        <f t="shared" si="38"/>
        <v>1.8845315904139435E-2</v>
      </c>
    </row>
    <row r="820" spans="1:15" ht="12.75" customHeight="1">
      <c r="A820" s="188" t="s">
        <v>620</v>
      </c>
      <c r="B820" s="188" t="s">
        <v>1394</v>
      </c>
      <c r="C820" s="188" t="s">
        <v>641</v>
      </c>
      <c r="D820" s="188" t="s">
        <v>1893</v>
      </c>
      <c r="E820" s="189">
        <v>39416</v>
      </c>
      <c r="F820" s="190">
        <v>0</v>
      </c>
      <c r="G820" s="190">
        <v>78.34</v>
      </c>
      <c r="H820" s="191">
        <v>600</v>
      </c>
      <c r="I820" s="191">
        <v>306</v>
      </c>
      <c r="J820" s="188" t="s">
        <v>361</v>
      </c>
      <c r="K820" s="188" t="s">
        <v>338</v>
      </c>
      <c r="L820" s="188" t="s">
        <v>1781</v>
      </c>
      <c r="M820" s="192">
        <f t="shared" si="36"/>
        <v>26</v>
      </c>
      <c r="N820" s="193">
        <f t="shared" si="37"/>
        <v>0.49019607843137253</v>
      </c>
      <c r="O820" s="194">
        <f t="shared" si="38"/>
        <v>1.8853695324283559E-2</v>
      </c>
    </row>
    <row r="821" spans="1:15" ht="12.75" customHeight="1">
      <c r="A821" s="188" t="s">
        <v>620</v>
      </c>
      <c r="B821" s="188" t="s">
        <v>1394</v>
      </c>
      <c r="C821" s="188" t="s">
        <v>641</v>
      </c>
      <c r="D821" s="188" t="s">
        <v>1894</v>
      </c>
      <c r="E821" s="189">
        <v>39331</v>
      </c>
      <c r="F821" s="190">
        <v>0</v>
      </c>
      <c r="G821" s="190">
        <v>56.32</v>
      </c>
      <c r="H821" s="191">
        <v>415.01</v>
      </c>
      <c r="I821" s="191">
        <v>220</v>
      </c>
      <c r="J821" s="188" t="s">
        <v>652</v>
      </c>
      <c r="K821" s="188" t="s">
        <v>338</v>
      </c>
      <c r="L821" s="188" t="s">
        <v>1213</v>
      </c>
      <c r="M821" s="192">
        <f t="shared" si="36"/>
        <v>25</v>
      </c>
      <c r="N821" s="193">
        <f t="shared" si="37"/>
        <v>0.47160227272727273</v>
      </c>
      <c r="O821" s="194">
        <f t="shared" si="38"/>
        <v>1.886409090909091E-2</v>
      </c>
    </row>
    <row r="822" spans="1:15" ht="12.75" customHeight="1">
      <c r="A822" s="188" t="s">
        <v>620</v>
      </c>
      <c r="B822" s="188" t="s">
        <v>1394</v>
      </c>
      <c r="C822" s="188" t="s">
        <v>641</v>
      </c>
      <c r="D822" s="188" t="s">
        <v>1895</v>
      </c>
      <c r="E822" s="189">
        <v>39555</v>
      </c>
      <c r="F822" s="190">
        <v>0</v>
      </c>
      <c r="G822" s="190">
        <v>134.4</v>
      </c>
      <c r="H822" s="191">
        <v>1190</v>
      </c>
      <c r="I822" s="191">
        <v>525</v>
      </c>
      <c r="J822" s="188" t="s">
        <v>635</v>
      </c>
      <c r="K822" s="188" t="s">
        <v>338</v>
      </c>
      <c r="L822" s="188" t="s">
        <v>701</v>
      </c>
      <c r="M822" s="192">
        <f t="shared" si="36"/>
        <v>30</v>
      </c>
      <c r="N822" s="193">
        <f t="shared" si="37"/>
        <v>0.56666666666666665</v>
      </c>
      <c r="O822" s="194">
        <f t="shared" si="38"/>
        <v>1.8888888888888889E-2</v>
      </c>
    </row>
    <row r="823" spans="1:15" ht="12.75" customHeight="1">
      <c r="A823" s="188" t="s">
        <v>620</v>
      </c>
      <c r="B823" s="188" t="s">
        <v>1394</v>
      </c>
      <c r="C823" s="188" t="s">
        <v>641</v>
      </c>
      <c r="D823" s="188" t="s">
        <v>1896</v>
      </c>
      <c r="E823" s="189">
        <v>39345</v>
      </c>
      <c r="F823" s="190">
        <v>0</v>
      </c>
      <c r="G823" s="190">
        <v>39.94</v>
      </c>
      <c r="H823" s="191">
        <v>319</v>
      </c>
      <c r="I823" s="191">
        <v>156</v>
      </c>
      <c r="J823" s="188" t="s">
        <v>639</v>
      </c>
      <c r="K823" s="188" t="s">
        <v>338</v>
      </c>
      <c r="L823" s="188" t="s">
        <v>1897</v>
      </c>
      <c r="M823" s="192">
        <f t="shared" si="36"/>
        <v>27</v>
      </c>
      <c r="N823" s="193">
        <f t="shared" si="37"/>
        <v>0.51121794871794868</v>
      </c>
      <c r="O823" s="194">
        <f t="shared" si="38"/>
        <v>1.8933998100664765E-2</v>
      </c>
    </row>
    <row r="824" spans="1:15" ht="12.75" customHeight="1">
      <c r="A824" s="188" t="s">
        <v>620</v>
      </c>
      <c r="B824" s="188" t="s">
        <v>1394</v>
      </c>
      <c r="C824" s="188" t="s">
        <v>641</v>
      </c>
      <c r="D824" s="188" t="s">
        <v>1898</v>
      </c>
      <c r="E824" s="189">
        <v>39359</v>
      </c>
      <c r="F824" s="190">
        <v>0</v>
      </c>
      <c r="G824" s="190">
        <v>39.94</v>
      </c>
      <c r="H824" s="191">
        <v>319</v>
      </c>
      <c r="I824" s="191">
        <v>156</v>
      </c>
      <c r="J824" s="188" t="s">
        <v>639</v>
      </c>
      <c r="K824" s="188" t="s">
        <v>338</v>
      </c>
      <c r="L824" s="188" t="s">
        <v>1897</v>
      </c>
      <c r="M824" s="192">
        <f t="shared" si="36"/>
        <v>27</v>
      </c>
      <c r="N824" s="193">
        <f t="shared" si="37"/>
        <v>0.51121794871794868</v>
      </c>
      <c r="O824" s="194">
        <f t="shared" si="38"/>
        <v>1.8933998100664765E-2</v>
      </c>
    </row>
    <row r="825" spans="1:15" ht="12.75" customHeight="1">
      <c r="A825" s="188" t="s">
        <v>620</v>
      </c>
      <c r="B825" s="188" t="s">
        <v>1394</v>
      </c>
      <c r="C825" s="188" t="s">
        <v>641</v>
      </c>
      <c r="D825" s="188" t="s">
        <v>1899</v>
      </c>
      <c r="E825" s="189">
        <v>39303</v>
      </c>
      <c r="F825" s="190">
        <v>0</v>
      </c>
      <c r="G825" s="190">
        <v>106.75</v>
      </c>
      <c r="H825" s="191">
        <v>822.99</v>
      </c>
      <c r="I825" s="191">
        <v>417</v>
      </c>
      <c r="J825" s="188" t="s">
        <v>361</v>
      </c>
      <c r="K825" s="188" t="s">
        <v>338</v>
      </c>
      <c r="L825" s="188" t="s">
        <v>1900</v>
      </c>
      <c r="M825" s="192">
        <f t="shared" si="36"/>
        <v>26</v>
      </c>
      <c r="N825" s="193">
        <f t="shared" si="37"/>
        <v>0.49339928057553956</v>
      </c>
      <c r="O825" s="194">
        <f t="shared" si="38"/>
        <v>1.8976895406751522E-2</v>
      </c>
    </row>
    <row r="826" spans="1:15" ht="12.75" customHeight="1">
      <c r="A826" s="188" t="s">
        <v>620</v>
      </c>
      <c r="B826" s="188" t="s">
        <v>1394</v>
      </c>
      <c r="C826" s="188" t="s">
        <v>641</v>
      </c>
      <c r="D826" s="188" t="s">
        <v>1901</v>
      </c>
      <c r="E826" s="189">
        <v>39447</v>
      </c>
      <c r="F826" s="190">
        <v>0</v>
      </c>
      <c r="G826" s="190">
        <v>65.73</v>
      </c>
      <c r="H826" s="191">
        <v>585</v>
      </c>
      <c r="I826" s="191">
        <v>256.75</v>
      </c>
      <c r="J826" s="188" t="s">
        <v>635</v>
      </c>
      <c r="K826" s="188" t="s">
        <v>338</v>
      </c>
      <c r="L826" s="188" t="s">
        <v>1902</v>
      </c>
      <c r="M826" s="192">
        <f t="shared" si="36"/>
        <v>30</v>
      </c>
      <c r="N826" s="193">
        <f t="shared" si="37"/>
        <v>0.569620253164557</v>
      </c>
      <c r="O826" s="194">
        <f t="shared" si="38"/>
        <v>1.8987341772151899E-2</v>
      </c>
    </row>
    <row r="827" spans="1:15" ht="12.75" customHeight="1">
      <c r="A827" s="188" t="s">
        <v>620</v>
      </c>
      <c r="B827" s="188" t="s">
        <v>1394</v>
      </c>
      <c r="C827" s="188" t="s">
        <v>641</v>
      </c>
      <c r="D827" s="188" t="s">
        <v>1903</v>
      </c>
      <c r="E827" s="189">
        <v>39436</v>
      </c>
      <c r="F827" s="190">
        <v>0</v>
      </c>
      <c r="G827" s="190">
        <v>89.6</v>
      </c>
      <c r="H827" s="191">
        <v>800</v>
      </c>
      <c r="I827" s="191">
        <v>350</v>
      </c>
      <c r="J827" s="188" t="s">
        <v>635</v>
      </c>
      <c r="K827" s="188" t="s">
        <v>338</v>
      </c>
      <c r="L827" s="188" t="s">
        <v>754</v>
      </c>
      <c r="M827" s="192">
        <f t="shared" si="36"/>
        <v>30</v>
      </c>
      <c r="N827" s="193">
        <f t="shared" si="37"/>
        <v>0.5714285714285714</v>
      </c>
      <c r="O827" s="194">
        <f t="shared" si="38"/>
        <v>1.9047619047619046E-2</v>
      </c>
    </row>
    <row r="828" spans="1:15" ht="12.75" customHeight="1">
      <c r="A828" s="188" t="s">
        <v>620</v>
      </c>
      <c r="B828" s="188" t="s">
        <v>1394</v>
      </c>
      <c r="C828" s="188" t="s">
        <v>641</v>
      </c>
      <c r="D828" s="188" t="s">
        <v>1904</v>
      </c>
      <c r="E828" s="189">
        <v>39416</v>
      </c>
      <c r="F828" s="190">
        <v>0</v>
      </c>
      <c r="G828" s="190">
        <v>37.119999999999997</v>
      </c>
      <c r="H828" s="191">
        <v>420</v>
      </c>
      <c r="I828" s="191">
        <v>145</v>
      </c>
      <c r="J828" s="188" t="s">
        <v>624</v>
      </c>
      <c r="K828" s="188" t="s">
        <v>338</v>
      </c>
      <c r="L828" s="188" t="s">
        <v>517</v>
      </c>
      <c r="M828" s="192">
        <f t="shared" si="36"/>
        <v>38</v>
      </c>
      <c r="N828" s="193">
        <f t="shared" si="37"/>
        <v>0.72413793103448276</v>
      </c>
      <c r="O828" s="194">
        <f t="shared" si="38"/>
        <v>1.9056261343012703E-2</v>
      </c>
    </row>
    <row r="829" spans="1:15" ht="12.75" customHeight="1">
      <c r="A829" s="188" t="s">
        <v>620</v>
      </c>
      <c r="B829" s="188" t="s">
        <v>1394</v>
      </c>
      <c r="C829" s="188" t="s">
        <v>641</v>
      </c>
      <c r="D829" s="188" t="s">
        <v>1905</v>
      </c>
      <c r="E829" s="189">
        <v>39387</v>
      </c>
      <c r="F829" s="190">
        <v>0</v>
      </c>
      <c r="G829" s="190">
        <v>52.99</v>
      </c>
      <c r="H829" s="191">
        <v>600</v>
      </c>
      <c r="I829" s="191">
        <v>207</v>
      </c>
      <c r="J829" s="188" t="s">
        <v>624</v>
      </c>
      <c r="K829" s="188" t="s">
        <v>338</v>
      </c>
      <c r="L829" s="188" t="s">
        <v>864</v>
      </c>
      <c r="M829" s="192">
        <f t="shared" si="36"/>
        <v>38</v>
      </c>
      <c r="N829" s="193">
        <f t="shared" si="37"/>
        <v>0.72463768115942029</v>
      </c>
      <c r="O829" s="194">
        <f t="shared" si="38"/>
        <v>1.9069412662090009E-2</v>
      </c>
    </row>
    <row r="830" spans="1:15" ht="12.75" customHeight="1">
      <c r="A830" s="188" t="s">
        <v>620</v>
      </c>
      <c r="B830" s="188" t="s">
        <v>1394</v>
      </c>
      <c r="C830" s="188" t="s">
        <v>641</v>
      </c>
      <c r="D830" s="188" t="s">
        <v>1906</v>
      </c>
      <c r="E830" s="189">
        <v>39345</v>
      </c>
      <c r="F830" s="190">
        <v>0</v>
      </c>
      <c r="G830" s="190">
        <v>96</v>
      </c>
      <c r="H830" s="191">
        <v>658.2</v>
      </c>
      <c r="I830" s="191">
        <v>375</v>
      </c>
      <c r="J830" s="188" t="s">
        <v>571</v>
      </c>
      <c r="K830" s="188" t="s">
        <v>338</v>
      </c>
      <c r="L830" s="188" t="s">
        <v>746</v>
      </c>
      <c r="M830" s="192">
        <f t="shared" si="36"/>
        <v>23</v>
      </c>
      <c r="N830" s="193">
        <f t="shared" si="37"/>
        <v>0.43880000000000002</v>
      </c>
      <c r="O830" s="194">
        <f t="shared" si="38"/>
        <v>1.9078260869565218E-2</v>
      </c>
    </row>
    <row r="831" spans="1:15" ht="12.75" customHeight="1">
      <c r="A831" s="188" t="s">
        <v>620</v>
      </c>
      <c r="B831" s="188" t="s">
        <v>1394</v>
      </c>
      <c r="C831" s="188" t="s">
        <v>641</v>
      </c>
      <c r="D831" s="188" t="s">
        <v>1907</v>
      </c>
      <c r="E831" s="189">
        <v>39639</v>
      </c>
      <c r="F831" s="190">
        <v>0</v>
      </c>
      <c r="G831" s="190">
        <v>53.44</v>
      </c>
      <c r="H831" s="191">
        <v>351.04</v>
      </c>
      <c r="I831" s="191">
        <v>208.75</v>
      </c>
      <c r="J831" s="188" t="s">
        <v>560</v>
      </c>
      <c r="K831" s="188" t="s">
        <v>327</v>
      </c>
      <c r="L831" s="188" t="s">
        <v>1908</v>
      </c>
      <c r="M831" s="192">
        <f t="shared" si="36"/>
        <v>22</v>
      </c>
      <c r="N831" s="193">
        <f t="shared" si="37"/>
        <v>0.42040718562874252</v>
      </c>
      <c r="O831" s="194">
        <f t="shared" si="38"/>
        <v>1.9109417528579205E-2</v>
      </c>
    </row>
    <row r="832" spans="1:15" ht="12.75" customHeight="1">
      <c r="A832" s="188" t="s">
        <v>620</v>
      </c>
      <c r="B832" s="188" t="s">
        <v>1394</v>
      </c>
      <c r="C832" s="188" t="s">
        <v>641</v>
      </c>
      <c r="D832" s="188" t="s">
        <v>1909</v>
      </c>
      <c r="E832" s="189">
        <v>39401</v>
      </c>
      <c r="F832" s="190">
        <v>0</v>
      </c>
      <c r="G832" s="190">
        <v>130.43</v>
      </c>
      <c r="H832" s="191">
        <v>858.29</v>
      </c>
      <c r="I832" s="191">
        <v>509.5</v>
      </c>
      <c r="J832" s="188" t="s">
        <v>560</v>
      </c>
      <c r="K832" s="188" t="s">
        <v>327</v>
      </c>
      <c r="L832" s="188" t="s">
        <v>1910</v>
      </c>
      <c r="M832" s="192">
        <f t="shared" si="36"/>
        <v>22</v>
      </c>
      <c r="N832" s="193">
        <f t="shared" si="37"/>
        <v>0.4211432777232581</v>
      </c>
      <c r="O832" s="194">
        <f t="shared" si="38"/>
        <v>1.9142876260148097E-2</v>
      </c>
    </row>
    <row r="833" spans="1:15" ht="12.75" customHeight="1">
      <c r="A833" s="188" t="s">
        <v>620</v>
      </c>
      <c r="B833" s="188" t="s">
        <v>1394</v>
      </c>
      <c r="C833" s="188" t="s">
        <v>641</v>
      </c>
      <c r="D833" s="188" t="s">
        <v>1911</v>
      </c>
      <c r="E833" s="189">
        <v>39507</v>
      </c>
      <c r="F833" s="190">
        <v>0</v>
      </c>
      <c r="G833" s="190">
        <v>133.44</v>
      </c>
      <c r="H833" s="191">
        <v>1516.95</v>
      </c>
      <c r="I833" s="191">
        <v>521.25</v>
      </c>
      <c r="J833" s="188" t="s">
        <v>624</v>
      </c>
      <c r="K833" s="188" t="s">
        <v>338</v>
      </c>
      <c r="L833" s="188" t="s">
        <v>1912</v>
      </c>
      <c r="M833" s="192">
        <f t="shared" si="36"/>
        <v>38</v>
      </c>
      <c r="N833" s="193">
        <f t="shared" si="37"/>
        <v>0.72755395683453239</v>
      </c>
      <c r="O833" s="194">
        <f t="shared" si="38"/>
        <v>1.9146156758803483E-2</v>
      </c>
    </row>
    <row r="834" spans="1:15" ht="12.75" customHeight="1">
      <c r="A834" s="188" t="s">
        <v>620</v>
      </c>
      <c r="B834" s="188" t="s">
        <v>1394</v>
      </c>
      <c r="C834" s="188" t="s">
        <v>641</v>
      </c>
      <c r="D834" s="188" t="s">
        <v>1913</v>
      </c>
      <c r="E834" s="189">
        <v>39464</v>
      </c>
      <c r="F834" s="190">
        <v>0</v>
      </c>
      <c r="G834" s="190">
        <v>46.08</v>
      </c>
      <c r="H834" s="191">
        <v>400</v>
      </c>
      <c r="I834" s="191">
        <v>180</v>
      </c>
      <c r="J834" s="188" t="s">
        <v>715</v>
      </c>
      <c r="K834" s="188" t="s">
        <v>338</v>
      </c>
      <c r="L834" s="188" t="s">
        <v>313</v>
      </c>
      <c r="M834" s="192">
        <f t="shared" ref="M834:M897" si="39">K834-J834</f>
        <v>29</v>
      </c>
      <c r="N834" s="193">
        <f t="shared" ref="N834:N897" si="40">H834/L834</f>
        <v>0.55555555555555558</v>
      </c>
      <c r="O834" s="194">
        <f t="shared" ref="O834:O897" si="41">N834/M834</f>
        <v>1.9157088122605366E-2</v>
      </c>
    </row>
    <row r="835" spans="1:15" ht="12.75" customHeight="1">
      <c r="A835" s="188" t="s">
        <v>620</v>
      </c>
      <c r="B835" s="188" t="s">
        <v>1394</v>
      </c>
      <c r="C835" s="188" t="s">
        <v>641</v>
      </c>
      <c r="D835" s="188" t="s">
        <v>1914</v>
      </c>
      <c r="E835" s="189">
        <v>39507</v>
      </c>
      <c r="F835" s="190">
        <v>0</v>
      </c>
      <c r="G835" s="190">
        <v>73.47</v>
      </c>
      <c r="H835" s="191">
        <v>660</v>
      </c>
      <c r="I835" s="191">
        <v>287</v>
      </c>
      <c r="J835" s="188" t="s">
        <v>635</v>
      </c>
      <c r="K835" s="188" t="s">
        <v>338</v>
      </c>
      <c r="L835" s="188" t="s">
        <v>1876</v>
      </c>
      <c r="M835" s="192">
        <f t="shared" si="39"/>
        <v>30</v>
      </c>
      <c r="N835" s="193">
        <f t="shared" si="40"/>
        <v>0.57491289198606277</v>
      </c>
      <c r="O835" s="194">
        <f t="shared" si="41"/>
        <v>1.9163763066202093E-2</v>
      </c>
    </row>
    <row r="836" spans="1:15" ht="12.75" customHeight="1">
      <c r="A836" s="188" t="s">
        <v>620</v>
      </c>
      <c r="B836" s="188" t="s">
        <v>1394</v>
      </c>
      <c r="C836" s="188" t="s">
        <v>641</v>
      </c>
      <c r="D836" s="188" t="s">
        <v>1915</v>
      </c>
      <c r="E836" s="189">
        <v>39429</v>
      </c>
      <c r="F836" s="190">
        <v>0</v>
      </c>
      <c r="G836" s="190">
        <v>64</v>
      </c>
      <c r="H836" s="191">
        <v>575.39</v>
      </c>
      <c r="I836" s="191">
        <v>250</v>
      </c>
      <c r="J836" s="188" t="s">
        <v>879</v>
      </c>
      <c r="K836" s="188" t="s">
        <v>366</v>
      </c>
      <c r="L836" s="188" t="s">
        <v>636</v>
      </c>
      <c r="M836" s="192">
        <f t="shared" si="39"/>
        <v>30</v>
      </c>
      <c r="N836" s="193">
        <f t="shared" si="40"/>
        <v>0.57538999999999996</v>
      </c>
      <c r="O836" s="194">
        <f t="shared" si="41"/>
        <v>1.9179666666666664E-2</v>
      </c>
    </row>
    <row r="837" spans="1:15" ht="12.75" customHeight="1">
      <c r="A837" s="188" t="s">
        <v>620</v>
      </c>
      <c r="B837" s="188" t="s">
        <v>1394</v>
      </c>
      <c r="C837" s="188" t="s">
        <v>641</v>
      </c>
      <c r="D837" s="188" t="s">
        <v>1916</v>
      </c>
      <c r="E837" s="189">
        <v>39447</v>
      </c>
      <c r="F837" s="190">
        <v>0</v>
      </c>
      <c r="G837" s="190">
        <v>61.44</v>
      </c>
      <c r="H837" s="191">
        <v>700</v>
      </c>
      <c r="I837" s="191">
        <v>240</v>
      </c>
      <c r="J837" s="188" t="s">
        <v>624</v>
      </c>
      <c r="K837" s="188" t="s">
        <v>338</v>
      </c>
      <c r="L837" s="188" t="s">
        <v>1146</v>
      </c>
      <c r="M837" s="192">
        <f t="shared" si="39"/>
        <v>38</v>
      </c>
      <c r="N837" s="193">
        <f t="shared" si="40"/>
        <v>0.72916666666666663</v>
      </c>
      <c r="O837" s="194">
        <f t="shared" si="41"/>
        <v>1.9188596491228071E-2</v>
      </c>
    </row>
    <row r="838" spans="1:15" ht="12.75" customHeight="1">
      <c r="A838" s="188" t="s">
        <v>620</v>
      </c>
      <c r="B838" s="188" t="s">
        <v>1394</v>
      </c>
      <c r="C838" s="188" t="s">
        <v>641</v>
      </c>
      <c r="D838" s="188" t="s">
        <v>1917</v>
      </c>
      <c r="E838" s="189">
        <v>39261</v>
      </c>
      <c r="F838" s="190">
        <v>0</v>
      </c>
      <c r="G838" s="190">
        <v>113.15</v>
      </c>
      <c r="H838" s="191">
        <v>949.95</v>
      </c>
      <c r="I838" s="191">
        <v>442</v>
      </c>
      <c r="J838" s="188" t="s">
        <v>750</v>
      </c>
      <c r="K838" s="188" t="s">
        <v>338</v>
      </c>
      <c r="L838" s="188" t="s">
        <v>1498</v>
      </c>
      <c r="M838" s="192">
        <f t="shared" si="39"/>
        <v>28</v>
      </c>
      <c r="N838" s="193">
        <f t="shared" si="40"/>
        <v>0.537302036199095</v>
      </c>
      <c r="O838" s="194">
        <f t="shared" si="41"/>
        <v>1.9189358435681963E-2</v>
      </c>
    </row>
    <row r="839" spans="1:15" ht="12.75" customHeight="1">
      <c r="A839" s="188" t="s">
        <v>620</v>
      </c>
      <c r="B839" s="188" t="s">
        <v>1394</v>
      </c>
      <c r="C839" s="188" t="s">
        <v>641</v>
      </c>
      <c r="D839" s="188" t="s">
        <v>1918</v>
      </c>
      <c r="E839" s="189">
        <v>39254</v>
      </c>
      <c r="F839" s="190">
        <v>0</v>
      </c>
      <c r="G839" s="190">
        <v>107.39</v>
      </c>
      <c r="H839" s="191">
        <v>966.02</v>
      </c>
      <c r="I839" s="191">
        <v>419.5</v>
      </c>
      <c r="J839" s="188" t="s">
        <v>635</v>
      </c>
      <c r="K839" s="188" t="s">
        <v>338</v>
      </c>
      <c r="L839" s="188" t="s">
        <v>1609</v>
      </c>
      <c r="M839" s="192">
        <f t="shared" si="39"/>
        <v>30</v>
      </c>
      <c r="N839" s="193">
        <f t="shared" si="40"/>
        <v>0.57569725864123955</v>
      </c>
      <c r="O839" s="194">
        <f t="shared" si="41"/>
        <v>1.9189908621374652E-2</v>
      </c>
    </row>
    <row r="840" spans="1:15" ht="12.75" customHeight="1">
      <c r="A840" s="188" t="s">
        <v>620</v>
      </c>
      <c r="B840" s="188" t="s">
        <v>1394</v>
      </c>
      <c r="C840" s="188" t="s">
        <v>641</v>
      </c>
      <c r="D840" s="188" t="s">
        <v>1919</v>
      </c>
      <c r="E840" s="189">
        <v>39513</v>
      </c>
      <c r="F840" s="190">
        <v>0</v>
      </c>
      <c r="G840" s="190">
        <v>92.8</v>
      </c>
      <c r="H840" s="191">
        <v>780</v>
      </c>
      <c r="I840" s="191">
        <v>362.5</v>
      </c>
      <c r="J840" s="188" t="s">
        <v>750</v>
      </c>
      <c r="K840" s="188" t="s">
        <v>338</v>
      </c>
      <c r="L840" s="188" t="s">
        <v>920</v>
      </c>
      <c r="M840" s="192">
        <f t="shared" si="39"/>
        <v>28</v>
      </c>
      <c r="N840" s="193">
        <f t="shared" si="40"/>
        <v>0.53793103448275859</v>
      </c>
      <c r="O840" s="194">
        <f t="shared" si="41"/>
        <v>1.9211822660098521E-2</v>
      </c>
    </row>
    <row r="841" spans="1:15" ht="12.75" customHeight="1">
      <c r="A841" s="188" t="s">
        <v>620</v>
      </c>
      <c r="B841" s="188" t="s">
        <v>1394</v>
      </c>
      <c r="C841" s="188" t="s">
        <v>641</v>
      </c>
      <c r="D841" s="188" t="s">
        <v>1920</v>
      </c>
      <c r="E841" s="189">
        <v>39555</v>
      </c>
      <c r="F841" s="190">
        <v>0</v>
      </c>
      <c r="G841" s="190">
        <v>84.74</v>
      </c>
      <c r="H841" s="191">
        <v>636</v>
      </c>
      <c r="I841" s="191">
        <v>331</v>
      </c>
      <c r="J841" s="188" t="s">
        <v>652</v>
      </c>
      <c r="K841" s="188" t="s">
        <v>338</v>
      </c>
      <c r="L841" s="188" t="s">
        <v>663</v>
      </c>
      <c r="M841" s="192">
        <f t="shared" si="39"/>
        <v>25</v>
      </c>
      <c r="N841" s="193">
        <f t="shared" si="40"/>
        <v>0.48036253776435045</v>
      </c>
      <c r="O841" s="194">
        <f t="shared" si="41"/>
        <v>1.9214501510574019E-2</v>
      </c>
    </row>
    <row r="842" spans="1:15" ht="12.75" customHeight="1">
      <c r="A842" s="188" t="s">
        <v>620</v>
      </c>
      <c r="B842" s="188" t="s">
        <v>1394</v>
      </c>
      <c r="C842" s="188" t="s">
        <v>641</v>
      </c>
      <c r="D842" s="188" t="s">
        <v>1921</v>
      </c>
      <c r="E842" s="189">
        <v>39507</v>
      </c>
      <c r="F842" s="190">
        <v>0</v>
      </c>
      <c r="G842" s="190">
        <v>102.14</v>
      </c>
      <c r="H842" s="191">
        <v>920</v>
      </c>
      <c r="I842" s="191">
        <v>399</v>
      </c>
      <c r="J842" s="188" t="s">
        <v>635</v>
      </c>
      <c r="K842" s="188" t="s">
        <v>338</v>
      </c>
      <c r="L842" s="188" t="s">
        <v>1516</v>
      </c>
      <c r="M842" s="192">
        <f t="shared" si="39"/>
        <v>30</v>
      </c>
      <c r="N842" s="193">
        <f t="shared" si="40"/>
        <v>0.5764411027568922</v>
      </c>
      <c r="O842" s="194">
        <f t="shared" si="41"/>
        <v>1.921470342522974E-2</v>
      </c>
    </row>
    <row r="843" spans="1:15" ht="12.75" customHeight="1">
      <c r="A843" s="188" t="s">
        <v>620</v>
      </c>
      <c r="B843" s="188" t="s">
        <v>1394</v>
      </c>
      <c r="C843" s="188" t="s">
        <v>641</v>
      </c>
      <c r="D843" s="188" t="s">
        <v>1922</v>
      </c>
      <c r="E843" s="189">
        <v>39639</v>
      </c>
      <c r="F843" s="190">
        <v>0</v>
      </c>
      <c r="G843" s="190">
        <v>83.2</v>
      </c>
      <c r="H843" s="191">
        <v>750</v>
      </c>
      <c r="I843" s="191">
        <v>325</v>
      </c>
      <c r="J843" s="188" t="s">
        <v>635</v>
      </c>
      <c r="K843" s="188" t="s">
        <v>338</v>
      </c>
      <c r="L843" s="188" t="s">
        <v>699</v>
      </c>
      <c r="M843" s="192">
        <f t="shared" si="39"/>
        <v>30</v>
      </c>
      <c r="N843" s="193">
        <f t="shared" si="40"/>
        <v>0.57692307692307687</v>
      </c>
      <c r="O843" s="194">
        <f t="shared" si="41"/>
        <v>1.9230769230769228E-2</v>
      </c>
    </row>
    <row r="844" spans="1:15" ht="12.75" customHeight="1">
      <c r="A844" s="188" t="s">
        <v>620</v>
      </c>
      <c r="B844" s="188" t="s">
        <v>1394</v>
      </c>
      <c r="C844" s="188" t="s">
        <v>641</v>
      </c>
      <c r="D844" s="188" t="s">
        <v>1923</v>
      </c>
      <c r="E844" s="189">
        <v>39478</v>
      </c>
      <c r="F844" s="190">
        <v>0</v>
      </c>
      <c r="G844" s="190">
        <v>74.239999999999995</v>
      </c>
      <c r="H844" s="191">
        <v>580</v>
      </c>
      <c r="I844" s="191">
        <v>290</v>
      </c>
      <c r="J844" s="188" t="s">
        <v>361</v>
      </c>
      <c r="K844" s="188" t="s">
        <v>338</v>
      </c>
      <c r="L844" s="188" t="s">
        <v>1001</v>
      </c>
      <c r="M844" s="192">
        <f t="shared" si="39"/>
        <v>26</v>
      </c>
      <c r="N844" s="193">
        <f t="shared" si="40"/>
        <v>0.5</v>
      </c>
      <c r="O844" s="194">
        <f t="shared" si="41"/>
        <v>1.9230769230769232E-2</v>
      </c>
    </row>
    <row r="845" spans="1:15" ht="12.75" customHeight="1">
      <c r="A845" s="188" t="s">
        <v>620</v>
      </c>
      <c r="B845" s="188" t="s">
        <v>1394</v>
      </c>
      <c r="C845" s="188" t="s">
        <v>641</v>
      </c>
      <c r="D845" s="188" t="s">
        <v>1924</v>
      </c>
      <c r="E845" s="189">
        <v>39507</v>
      </c>
      <c r="F845" s="190">
        <v>0</v>
      </c>
      <c r="G845" s="190">
        <v>36.61</v>
      </c>
      <c r="H845" s="191">
        <v>275</v>
      </c>
      <c r="I845" s="191">
        <v>143</v>
      </c>
      <c r="J845" s="188" t="s">
        <v>652</v>
      </c>
      <c r="K845" s="188" t="s">
        <v>338</v>
      </c>
      <c r="L845" s="188" t="s">
        <v>841</v>
      </c>
      <c r="M845" s="192">
        <f t="shared" si="39"/>
        <v>25</v>
      </c>
      <c r="N845" s="193">
        <f t="shared" si="40"/>
        <v>0.48076923076923078</v>
      </c>
      <c r="O845" s="194">
        <f t="shared" si="41"/>
        <v>1.9230769230769232E-2</v>
      </c>
    </row>
    <row r="846" spans="1:15" ht="12.75" customHeight="1">
      <c r="A846" s="188" t="s">
        <v>620</v>
      </c>
      <c r="B846" s="188" t="s">
        <v>1394</v>
      </c>
      <c r="C846" s="188" t="s">
        <v>641</v>
      </c>
      <c r="D846" s="188" t="s">
        <v>1925</v>
      </c>
      <c r="E846" s="189">
        <v>39485</v>
      </c>
      <c r="F846" s="190">
        <v>0</v>
      </c>
      <c r="G846" s="190">
        <v>62.14</v>
      </c>
      <c r="H846" s="191">
        <v>467</v>
      </c>
      <c r="I846" s="191">
        <v>242.75</v>
      </c>
      <c r="J846" s="188" t="s">
        <v>652</v>
      </c>
      <c r="K846" s="188" t="s">
        <v>338</v>
      </c>
      <c r="L846" s="188" t="s">
        <v>1926</v>
      </c>
      <c r="M846" s="192">
        <f t="shared" si="39"/>
        <v>25</v>
      </c>
      <c r="N846" s="193">
        <f t="shared" si="40"/>
        <v>0.48094747682801237</v>
      </c>
      <c r="O846" s="194">
        <f t="shared" si="41"/>
        <v>1.9237899073120495E-2</v>
      </c>
    </row>
    <row r="847" spans="1:15" ht="12.75" customHeight="1">
      <c r="A847" s="188" t="s">
        <v>620</v>
      </c>
      <c r="B847" s="188" t="s">
        <v>1394</v>
      </c>
      <c r="C847" s="188" t="s">
        <v>641</v>
      </c>
      <c r="D847" s="188" t="s">
        <v>1927</v>
      </c>
      <c r="E847" s="189">
        <v>39548</v>
      </c>
      <c r="F847" s="190">
        <v>0</v>
      </c>
      <c r="G847" s="190">
        <v>60.8</v>
      </c>
      <c r="H847" s="191">
        <v>695</v>
      </c>
      <c r="I847" s="191">
        <v>237.5</v>
      </c>
      <c r="J847" s="188" t="s">
        <v>624</v>
      </c>
      <c r="K847" s="188" t="s">
        <v>338</v>
      </c>
      <c r="L847" s="188" t="s">
        <v>1164</v>
      </c>
      <c r="M847" s="192">
        <f t="shared" si="39"/>
        <v>38</v>
      </c>
      <c r="N847" s="193">
        <f t="shared" si="40"/>
        <v>0.73157894736842111</v>
      </c>
      <c r="O847" s="194">
        <f t="shared" si="41"/>
        <v>1.9252077562326872E-2</v>
      </c>
    </row>
    <row r="848" spans="1:15" ht="12.75" customHeight="1">
      <c r="A848" s="188" t="s">
        <v>620</v>
      </c>
      <c r="B848" s="188" t="s">
        <v>1394</v>
      </c>
      <c r="C848" s="188" t="s">
        <v>641</v>
      </c>
      <c r="D848" s="188" t="s">
        <v>1928</v>
      </c>
      <c r="E848" s="189">
        <v>39611</v>
      </c>
      <c r="F848" s="190">
        <v>0</v>
      </c>
      <c r="G848" s="190">
        <v>150.4</v>
      </c>
      <c r="H848" s="191">
        <v>1222</v>
      </c>
      <c r="I848" s="191">
        <v>587.5</v>
      </c>
      <c r="J848" s="188" t="s">
        <v>639</v>
      </c>
      <c r="K848" s="188" t="s">
        <v>338</v>
      </c>
      <c r="L848" s="188" t="s">
        <v>1929</v>
      </c>
      <c r="M848" s="192">
        <f t="shared" si="39"/>
        <v>27</v>
      </c>
      <c r="N848" s="193">
        <f t="shared" si="40"/>
        <v>0.52</v>
      </c>
      <c r="O848" s="194">
        <f t="shared" si="41"/>
        <v>1.9259259259259261E-2</v>
      </c>
    </row>
    <row r="849" spans="1:15" ht="12.75" customHeight="1">
      <c r="A849" s="188" t="s">
        <v>620</v>
      </c>
      <c r="B849" s="188" t="s">
        <v>1394</v>
      </c>
      <c r="C849" s="188" t="s">
        <v>641</v>
      </c>
      <c r="D849" s="188" t="s">
        <v>1930</v>
      </c>
      <c r="E849" s="189">
        <v>39422</v>
      </c>
      <c r="F849" s="190">
        <v>0</v>
      </c>
      <c r="G849" s="190">
        <v>101.76</v>
      </c>
      <c r="H849" s="191">
        <v>766</v>
      </c>
      <c r="I849" s="191">
        <v>397.5</v>
      </c>
      <c r="J849" s="188" t="s">
        <v>652</v>
      </c>
      <c r="K849" s="188" t="s">
        <v>338</v>
      </c>
      <c r="L849" s="188" t="s">
        <v>1931</v>
      </c>
      <c r="M849" s="192">
        <f t="shared" si="39"/>
        <v>25</v>
      </c>
      <c r="N849" s="193">
        <f t="shared" si="40"/>
        <v>0.48176100628930818</v>
      </c>
      <c r="O849" s="194">
        <f t="shared" si="41"/>
        <v>1.9270440251572329E-2</v>
      </c>
    </row>
    <row r="850" spans="1:15" ht="12.75" customHeight="1">
      <c r="A850" s="188" t="s">
        <v>620</v>
      </c>
      <c r="B850" s="188" t="s">
        <v>1394</v>
      </c>
      <c r="C850" s="188" t="s">
        <v>641</v>
      </c>
      <c r="D850" s="188" t="s">
        <v>1932</v>
      </c>
      <c r="E850" s="189">
        <v>39492</v>
      </c>
      <c r="F850" s="190">
        <v>0</v>
      </c>
      <c r="G850" s="190">
        <v>127.23</v>
      </c>
      <c r="H850" s="191">
        <v>1150</v>
      </c>
      <c r="I850" s="191">
        <v>497</v>
      </c>
      <c r="J850" s="188" t="s">
        <v>635</v>
      </c>
      <c r="K850" s="188" t="s">
        <v>338</v>
      </c>
      <c r="L850" s="188" t="s">
        <v>1933</v>
      </c>
      <c r="M850" s="192">
        <f t="shared" si="39"/>
        <v>30</v>
      </c>
      <c r="N850" s="193">
        <f t="shared" si="40"/>
        <v>0.57847082494969815</v>
      </c>
      <c r="O850" s="194">
        <f t="shared" si="41"/>
        <v>1.9282360831656607E-2</v>
      </c>
    </row>
    <row r="851" spans="1:15" ht="12.75" customHeight="1">
      <c r="A851" s="188" t="s">
        <v>620</v>
      </c>
      <c r="B851" s="188" t="s">
        <v>1394</v>
      </c>
      <c r="C851" s="188" t="s">
        <v>641</v>
      </c>
      <c r="D851" s="188" t="s">
        <v>1934</v>
      </c>
      <c r="E851" s="189">
        <v>39611</v>
      </c>
      <c r="F851" s="190">
        <v>0</v>
      </c>
      <c r="G851" s="190">
        <v>20.61</v>
      </c>
      <c r="H851" s="191">
        <v>173.88</v>
      </c>
      <c r="I851" s="191">
        <v>80.5</v>
      </c>
      <c r="J851" s="188" t="s">
        <v>750</v>
      </c>
      <c r="K851" s="188" t="s">
        <v>338</v>
      </c>
      <c r="L851" s="188" t="s">
        <v>1935</v>
      </c>
      <c r="M851" s="192">
        <f t="shared" si="39"/>
        <v>28</v>
      </c>
      <c r="N851" s="193">
        <f t="shared" si="40"/>
        <v>0.54</v>
      </c>
      <c r="O851" s="194">
        <f t="shared" si="41"/>
        <v>1.9285714285714288E-2</v>
      </c>
    </row>
    <row r="852" spans="1:15" ht="12.75" customHeight="1">
      <c r="A852" s="188" t="s">
        <v>620</v>
      </c>
      <c r="B852" s="188" t="s">
        <v>1394</v>
      </c>
      <c r="C852" s="188" t="s">
        <v>641</v>
      </c>
      <c r="D852" s="188" t="s">
        <v>1936</v>
      </c>
      <c r="E852" s="189">
        <v>39464</v>
      </c>
      <c r="F852" s="190">
        <v>0</v>
      </c>
      <c r="G852" s="190">
        <v>38.4</v>
      </c>
      <c r="H852" s="191">
        <v>440</v>
      </c>
      <c r="I852" s="191">
        <v>150</v>
      </c>
      <c r="J852" s="188" t="s">
        <v>624</v>
      </c>
      <c r="K852" s="188" t="s">
        <v>338</v>
      </c>
      <c r="L852" s="188" t="s">
        <v>677</v>
      </c>
      <c r="M852" s="192">
        <f t="shared" si="39"/>
        <v>38</v>
      </c>
      <c r="N852" s="193">
        <f t="shared" si="40"/>
        <v>0.73333333333333328</v>
      </c>
      <c r="O852" s="194">
        <f t="shared" si="41"/>
        <v>1.9298245614035085E-2</v>
      </c>
    </row>
    <row r="853" spans="1:15" ht="12.75" customHeight="1">
      <c r="A853" s="188" t="s">
        <v>620</v>
      </c>
      <c r="B853" s="188" t="s">
        <v>1394</v>
      </c>
      <c r="C853" s="188" t="s">
        <v>641</v>
      </c>
      <c r="D853" s="188" t="s">
        <v>1937</v>
      </c>
      <c r="E853" s="189">
        <v>39345</v>
      </c>
      <c r="F853" s="190">
        <v>0</v>
      </c>
      <c r="G853" s="190">
        <v>115.2</v>
      </c>
      <c r="H853" s="191">
        <v>1043</v>
      </c>
      <c r="I853" s="191">
        <v>450</v>
      </c>
      <c r="J853" s="188" t="s">
        <v>635</v>
      </c>
      <c r="K853" s="188" t="s">
        <v>338</v>
      </c>
      <c r="L853" s="188" t="s">
        <v>718</v>
      </c>
      <c r="M853" s="192">
        <f t="shared" si="39"/>
        <v>30</v>
      </c>
      <c r="N853" s="193">
        <f t="shared" si="40"/>
        <v>0.57944444444444443</v>
      </c>
      <c r="O853" s="194">
        <f t="shared" si="41"/>
        <v>1.9314814814814816E-2</v>
      </c>
    </row>
    <row r="854" spans="1:15" ht="12.75" customHeight="1">
      <c r="A854" s="188" t="s">
        <v>620</v>
      </c>
      <c r="B854" s="188" t="s">
        <v>1394</v>
      </c>
      <c r="C854" s="188" t="s">
        <v>641</v>
      </c>
      <c r="D854" s="188" t="s">
        <v>1938</v>
      </c>
      <c r="E854" s="189">
        <v>39339</v>
      </c>
      <c r="F854" s="190">
        <v>0</v>
      </c>
      <c r="G854" s="190">
        <v>70.400000000000006</v>
      </c>
      <c r="H854" s="191">
        <v>807.95</v>
      </c>
      <c r="I854" s="191">
        <v>275</v>
      </c>
      <c r="J854" s="188" t="s">
        <v>624</v>
      </c>
      <c r="K854" s="188" t="s">
        <v>338</v>
      </c>
      <c r="L854" s="188" t="s">
        <v>557</v>
      </c>
      <c r="M854" s="192">
        <f t="shared" si="39"/>
        <v>38</v>
      </c>
      <c r="N854" s="193">
        <f t="shared" si="40"/>
        <v>0.73450000000000004</v>
      </c>
      <c r="O854" s="194">
        <f t="shared" si="41"/>
        <v>1.9328947368421053E-2</v>
      </c>
    </row>
    <row r="855" spans="1:15" ht="12.75" customHeight="1">
      <c r="A855" s="188" t="s">
        <v>620</v>
      </c>
      <c r="B855" s="188" t="s">
        <v>1394</v>
      </c>
      <c r="C855" s="188" t="s">
        <v>641</v>
      </c>
      <c r="D855" s="188" t="s">
        <v>1939</v>
      </c>
      <c r="E855" s="189">
        <v>39520</v>
      </c>
      <c r="F855" s="190">
        <v>0</v>
      </c>
      <c r="G855" s="190">
        <v>47.04</v>
      </c>
      <c r="H855" s="191">
        <v>540</v>
      </c>
      <c r="I855" s="191">
        <v>183.75</v>
      </c>
      <c r="J855" s="188" t="s">
        <v>624</v>
      </c>
      <c r="K855" s="188" t="s">
        <v>338</v>
      </c>
      <c r="L855" s="188" t="s">
        <v>1392</v>
      </c>
      <c r="M855" s="192">
        <f t="shared" si="39"/>
        <v>38</v>
      </c>
      <c r="N855" s="193">
        <f t="shared" si="40"/>
        <v>0.73469387755102045</v>
      </c>
      <c r="O855" s="194">
        <f t="shared" si="41"/>
        <v>1.9334049409237379E-2</v>
      </c>
    </row>
    <row r="856" spans="1:15" ht="12.75" customHeight="1">
      <c r="A856" s="188" t="s">
        <v>620</v>
      </c>
      <c r="B856" s="188" t="s">
        <v>1394</v>
      </c>
      <c r="C856" s="188" t="s">
        <v>641</v>
      </c>
      <c r="D856" s="188" t="s">
        <v>1940</v>
      </c>
      <c r="E856" s="189">
        <v>39401</v>
      </c>
      <c r="F856" s="190">
        <v>0</v>
      </c>
      <c r="G856" s="190">
        <v>154.56</v>
      </c>
      <c r="H856" s="191">
        <v>1401</v>
      </c>
      <c r="I856" s="191">
        <v>603.75</v>
      </c>
      <c r="J856" s="188" t="s">
        <v>635</v>
      </c>
      <c r="K856" s="188" t="s">
        <v>338</v>
      </c>
      <c r="L856" s="188" t="s">
        <v>268</v>
      </c>
      <c r="M856" s="192">
        <f t="shared" si="39"/>
        <v>30</v>
      </c>
      <c r="N856" s="193">
        <f t="shared" si="40"/>
        <v>0.5801242236024845</v>
      </c>
      <c r="O856" s="194">
        <f t="shared" si="41"/>
        <v>1.9337474120082816E-2</v>
      </c>
    </row>
    <row r="857" spans="1:15" ht="12.75" customHeight="1">
      <c r="A857" s="188" t="s">
        <v>620</v>
      </c>
      <c r="B857" s="188" t="s">
        <v>1394</v>
      </c>
      <c r="C857" s="188" t="s">
        <v>641</v>
      </c>
      <c r="D857" s="188" t="s">
        <v>1941</v>
      </c>
      <c r="E857" s="189">
        <v>39415</v>
      </c>
      <c r="F857" s="190">
        <v>0</v>
      </c>
      <c r="G857" s="190">
        <v>71.680000000000007</v>
      </c>
      <c r="H857" s="191">
        <v>650</v>
      </c>
      <c r="I857" s="191">
        <v>280</v>
      </c>
      <c r="J857" s="188" t="s">
        <v>635</v>
      </c>
      <c r="K857" s="188" t="s">
        <v>338</v>
      </c>
      <c r="L857" s="188" t="s">
        <v>825</v>
      </c>
      <c r="M857" s="192">
        <f t="shared" si="39"/>
        <v>30</v>
      </c>
      <c r="N857" s="193">
        <f t="shared" si="40"/>
        <v>0.5803571428571429</v>
      </c>
      <c r="O857" s="194">
        <f t="shared" si="41"/>
        <v>1.9345238095238096E-2</v>
      </c>
    </row>
    <row r="858" spans="1:15" ht="12.75" customHeight="1">
      <c r="A858" s="188" t="s">
        <v>620</v>
      </c>
      <c r="B858" s="188" t="s">
        <v>1394</v>
      </c>
      <c r="C858" s="188" t="s">
        <v>641</v>
      </c>
      <c r="D858" s="188" t="s">
        <v>1942</v>
      </c>
      <c r="E858" s="189">
        <v>39447</v>
      </c>
      <c r="F858" s="190">
        <v>0</v>
      </c>
      <c r="G858" s="190">
        <v>79.62</v>
      </c>
      <c r="H858" s="191">
        <v>915</v>
      </c>
      <c r="I858" s="191">
        <v>311</v>
      </c>
      <c r="J858" s="188" t="s">
        <v>624</v>
      </c>
      <c r="K858" s="188" t="s">
        <v>338</v>
      </c>
      <c r="L858" s="188" t="s">
        <v>1943</v>
      </c>
      <c r="M858" s="192">
        <f t="shared" si="39"/>
        <v>38</v>
      </c>
      <c r="N858" s="193">
        <f t="shared" si="40"/>
        <v>0.73553054662379425</v>
      </c>
      <c r="O858" s="194">
        <f t="shared" si="41"/>
        <v>1.9356067016415637E-2</v>
      </c>
    </row>
    <row r="859" spans="1:15" ht="12.75" customHeight="1">
      <c r="A859" s="188" t="s">
        <v>620</v>
      </c>
      <c r="B859" s="188" t="s">
        <v>1394</v>
      </c>
      <c r="C859" s="188" t="s">
        <v>641</v>
      </c>
      <c r="D859" s="188" t="s">
        <v>1944</v>
      </c>
      <c r="E859" s="189">
        <v>39436</v>
      </c>
      <c r="F859" s="190">
        <v>0</v>
      </c>
      <c r="G859" s="190">
        <v>73.22</v>
      </c>
      <c r="H859" s="191">
        <v>665</v>
      </c>
      <c r="I859" s="191">
        <v>286</v>
      </c>
      <c r="J859" s="188" t="s">
        <v>635</v>
      </c>
      <c r="K859" s="188" t="s">
        <v>338</v>
      </c>
      <c r="L859" s="188" t="s">
        <v>990</v>
      </c>
      <c r="M859" s="192">
        <f t="shared" si="39"/>
        <v>30</v>
      </c>
      <c r="N859" s="193">
        <f t="shared" si="40"/>
        <v>0.58129370629370625</v>
      </c>
      <c r="O859" s="194">
        <f t="shared" si="41"/>
        <v>1.9376456876456876E-2</v>
      </c>
    </row>
    <row r="860" spans="1:15" ht="12.75" customHeight="1">
      <c r="A860" s="188" t="s">
        <v>620</v>
      </c>
      <c r="B860" s="188" t="s">
        <v>1394</v>
      </c>
      <c r="C860" s="188" t="s">
        <v>641</v>
      </c>
      <c r="D860" s="188" t="s">
        <v>1945</v>
      </c>
      <c r="E860" s="189">
        <v>39632</v>
      </c>
      <c r="F860" s="190">
        <v>0</v>
      </c>
      <c r="G860" s="190">
        <v>98.94</v>
      </c>
      <c r="H860" s="191">
        <v>809</v>
      </c>
      <c r="I860" s="191">
        <v>386.5</v>
      </c>
      <c r="J860" s="188" t="s">
        <v>639</v>
      </c>
      <c r="K860" s="188" t="s">
        <v>338</v>
      </c>
      <c r="L860" s="188" t="s">
        <v>1946</v>
      </c>
      <c r="M860" s="192">
        <f t="shared" si="39"/>
        <v>27</v>
      </c>
      <c r="N860" s="193">
        <f t="shared" si="40"/>
        <v>0.52328589909443723</v>
      </c>
      <c r="O860" s="194">
        <f t="shared" si="41"/>
        <v>1.9380959225719897E-2</v>
      </c>
    </row>
    <row r="861" spans="1:15" ht="12.75" customHeight="1">
      <c r="A861" s="188" t="s">
        <v>620</v>
      </c>
      <c r="B861" s="188" t="s">
        <v>1394</v>
      </c>
      <c r="C861" s="188" t="s">
        <v>641</v>
      </c>
      <c r="D861" s="188" t="s">
        <v>1947</v>
      </c>
      <c r="E861" s="189">
        <v>39387</v>
      </c>
      <c r="F861" s="190">
        <v>0</v>
      </c>
      <c r="G861" s="190">
        <v>46.08</v>
      </c>
      <c r="H861" s="191">
        <v>530.41999999999996</v>
      </c>
      <c r="I861" s="191">
        <v>180</v>
      </c>
      <c r="J861" s="188" t="s">
        <v>624</v>
      </c>
      <c r="K861" s="188" t="s">
        <v>338</v>
      </c>
      <c r="L861" s="188" t="s">
        <v>313</v>
      </c>
      <c r="M861" s="192">
        <f t="shared" si="39"/>
        <v>38</v>
      </c>
      <c r="N861" s="193">
        <f t="shared" si="40"/>
        <v>0.73669444444444443</v>
      </c>
      <c r="O861" s="194">
        <f t="shared" si="41"/>
        <v>1.9386695906432747E-2</v>
      </c>
    </row>
    <row r="862" spans="1:15" ht="12.75" customHeight="1">
      <c r="A862" s="188" t="s">
        <v>620</v>
      </c>
      <c r="B862" s="188" t="s">
        <v>1394</v>
      </c>
      <c r="C862" s="188" t="s">
        <v>641</v>
      </c>
      <c r="D862" s="188" t="s">
        <v>1948</v>
      </c>
      <c r="E862" s="189">
        <v>39366</v>
      </c>
      <c r="F862" s="190">
        <v>0</v>
      </c>
      <c r="G862" s="190">
        <v>121.6</v>
      </c>
      <c r="H862" s="191">
        <v>1400</v>
      </c>
      <c r="I862" s="191">
        <v>475</v>
      </c>
      <c r="J862" s="188" t="s">
        <v>624</v>
      </c>
      <c r="K862" s="188" t="s">
        <v>338</v>
      </c>
      <c r="L862" s="188" t="s">
        <v>1673</v>
      </c>
      <c r="M862" s="192">
        <f t="shared" si="39"/>
        <v>38</v>
      </c>
      <c r="N862" s="193">
        <f t="shared" si="40"/>
        <v>0.73684210526315785</v>
      </c>
      <c r="O862" s="194">
        <f t="shared" si="41"/>
        <v>1.9390581717451522E-2</v>
      </c>
    </row>
    <row r="863" spans="1:15" ht="12.75" customHeight="1">
      <c r="A863" s="188" t="s">
        <v>620</v>
      </c>
      <c r="B863" s="188" t="s">
        <v>1394</v>
      </c>
      <c r="C863" s="188" t="s">
        <v>641</v>
      </c>
      <c r="D863" s="188" t="s">
        <v>1949</v>
      </c>
      <c r="E863" s="189">
        <v>39520</v>
      </c>
      <c r="F863" s="190">
        <v>0</v>
      </c>
      <c r="G863" s="190">
        <v>83.52</v>
      </c>
      <c r="H863" s="191">
        <v>760</v>
      </c>
      <c r="I863" s="191">
        <v>326.25</v>
      </c>
      <c r="J863" s="188" t="s">
        <v>635</v>
      </c>
      <c r="K863" s="188" t="s">
        <v>338</v>
      </c>
      <c r="L863" s="188" t="s">
        <v>1950</v>
      </c>
      <c r="M863" s="192">
        <f t="shared" si="39"/>
        <v>30</v>
      </c>
      <c r="N863" s="193">
        <f t="shared" si="40"/>
        <v>0.58237547892720309</v>
      </c>
      <c r="O863" s="194">
        <f t="shared" si="41"/>
        <v>1.9412515964240103E-2</v>
      </c>
    </row>
    <row r="864" spans="1:15" ht="12.75" customHeight="1">
      <c r="A864" s="188" t="s">
        <v>620</v>
      </c>
      <c r="B864" s="188" t="s">
        <v>1394</v>
      </c>
      <c r="C864" s="188" t="s">
        <v>641</v>
      </c>
      <c r="D864" s="188" t="s">
        <v>1951</v>
      </c>
      <c r="E864" s="189">
        <v>39415</v>
      </c>
      <c r="F864" s="190">
        <v>0</v>
      </c>
      <c r="G864" s="190">
        <v>76.8</v>
      </c>
      <c r="H864" s="191">
        <v>700</v>
      </c>
      <c r="I864" s="191">
        <v>300</v>
      </c>
      <c r="J864" s="188" t="s">
        <v>635</v>
      </c>
      <c r="K864" s="188" t="s">
        <v>338</v>
      </c>
      <c r="L864" s="188" t="s">
        <v>632</v>
      </c>
      <c r="M864" s="192">
        <f t="shared" si="39"/>
        <v>30</v>
      </c>
      <c r="N864" s="193">
        <f t="shared" si="40"/>
        <v>0.58333333333333337</v>
      </c>
      <c r="O864" s="194">
        <f t="shared" si="41"/>
        <v>1.9444444444444445E-2</v>
      </c>
    </row>
    <row r="865" spans="1:15" ht="12.75" customHeight="1">
      <c r="A865" s="188" t="s">
        <v>620</v>
      </c>
      <c r="B865" s="188" t="s">
        <v>1394</v>
      </c>
      <c r="C865" s="188" t="s">
        <v>641</v>
      </c>
      <c r="D865" s="188" t="s">
        <v>1952</v>
      </c>
      <c r="E865" s="189">
        <v>39485</v>
      </c>
      <c r="F865" s="190">
        <v>0</v>
      </c>
      <c r="G865" s="190">
        <v>102.66</v>
      </c>
      <c r="H865" s="191">
        <v>1030</v>
      </c>
      <c r="I865" s="191">
        <v>401</v>
      </c>
      <c r="J865" s="188" t="s">
        <v>742</v>
      </c>
      <c r="K865" s="188" t="s">
        <v>338</v>
      </c>
      <c r="L865" s="188" t="s">
        <v>1953</v>
      </c>
      <c r="M865" s="192">
        <f t="shared" si="39"/>
        <v>33</v>
      </c>
      <c r="N865" s="193">
        <f t="shared" si="40"/>
        <v>0.64214463840399005</v>
      </c>
      <c r="O865" s="194">
        <f t="shared" si="41"/>
        <v>1.9458928436484547E-2</v>
      </c>
    </row>
    <row r="866" spans="1:15" ht="12.75" customHeight="1">
      <c r="A866" s="188" t="s">
        <v>620</v>
      </c>
      <c r="B866" s="188" t="s">
        <v>1394</v>
      </c>
      <c r="C866" s="188" t="s">
        <v>641</v>
      </c>
      <c r="D866" s="188" t="s">
        <v>1954</v>
      </c>
      <c r="E866" s="189">
        <v>39422</v>
      </c>
      <c r="F866" s="190">
        <v>0</v>
      </c>
      <c r="G866" s="190">
        <v>50.69</v>
      </c>
      <c r="H866" s="191">
        <v>524.79999999999995</v>
      </c>
      <c r="I866" s="191">
        <v>198</v>
      </c>
      <c r="J866" s="188" t="s">
        <v>720</v>
      </c>
      <c r="K866" s="188" t="s">
        <v>338</v>
      </c>
      <c r="L866" s="188" t="s">
        <v>1583</v>
      </c>
      <c r="M866" s="192">
        <f t="shared" si="39"/>
        <v>34</v>
      </c>
      <c r="N866" s="193">
        <f t="shared" si="40"/>
        <v>0.66262626262626256</v>
      </c>
      <c r="O866" s="194">
        <f t="shared" si="41"/>
        <v>1.948900772430184E-2</v>
      </c>
    </row>
    <row r="867" spans="1:15" ht="12.75" customHeight="1">
      <c r="A867" s="188" t="s">
        <v>620</v>
      </c>
      <c r="B867" s="188" t="s">
        <v>1394</v>
      </c>
      <c r="C867" s="188" t="s">
        <v>641</v>
      </c>
      <c r="D867" s="188" t="s">
        <v>1955</v>
      </c>
      <c r="E867" s="189">
        <v>39407</v>
      </c>
      <c r="F867" s="190">
        <v>0</v>
      </c>
      <c r="G867" s="190">
        <v>94.72</v>
      </c>
      <c r="H867" s="191">
        <v>750</v>
      </c>
      <c r="I867" s="191">
        <v>370</v>
      </c>
      <c r="J867" s="188" t="s">
        <v>361</v>
      </c>
      <c r="K867" s="188" t="s">
        <v>338</v>
      </c>
      <c r="L867" s="188" t="s">
        <v>1479</v>
      </c>
      <c r="M867" s="192">
        <f t="shared" si="39"/>
        <v>26</v>
      </c>
      <c r="N867" s="193">
        <f t="shared" si="40"/>
        <v>0.5067567567567568</v>
      </c>
      <c r="O867" s="194">
        <f t="shared" si="41"/>
        <v>1.9490644490644492E-2</v>
      </c>
    </row>
    <row r="868" spans="1:15" ht="12.75" customHeight="1">
      <c r="A868" s="188" t="s">
        <v>620</v>
      </c>
      <c r="B868" s="188" t="s">
        <v>1394</v>
      </c>
      <c r="C868" s="188" t="s">
        <v>641</v>
      </c>
      <c r="D868" s="188" t="s">
        <v>1956</v>
      </c>
      <c r="E868" s="189">
        <v>39275</v>
      </c>
      <c r="F868" s="190">
        <v>0</v>
      </c>
      <c r="G868" s="190">
        <v>84.8</v>
      </c>
      <c r="H868" s="191">
        <v>594</v>
      </c>
      <c r="I868" s="191">
        <v>331.25</v>
      </c>
      <c r="J868" s="188" t="s">
        <v>571</v>
      </c>
      <c r="K868" s="188" t="s">
        <v>338</v>
      </c>
      <c r="L868" s="188" t="s">
        <v>1691</v>
      </c>
      <c r="M868" s="192">
        <f t="shared" si="39"/>
        <v>23</v>
      </c>
      <c r="N868" s="193">
        <f t="shared" si="40"/>
        <v>0.44830188679245281</v>
      </c>
      <c r="O868" s="194">
        <f t="shared" si="41"/>
        <v>1.9491386382280557E-2</v>
      </c>
    </row>
    <row r="869" spans="1:15" ht="12.75" customHeight="1">
      <c r="A869" s="188" t="s">
        <v>620</v>
      </c>
      <c r="B869" s="188" t="s">
        <v>1394</v>
      </c>
      <c r="C869" s="188" t="s">
        <v>641</v>
      </c>
      <c r="D869" s="188" t="s">
        <v>1957</v>
      </c>
      <c r="E869" s="189">
        <v>39317</v>
      </c>
      <c r="F869" s="190">
        <v>0</v>
      </c>
      <c r="G869" s="190">
        <v>84.8</v>
      </c>
      <c r="H869" s="191">
        <v>594</v>
      </c>
      <c r="I869" s="191">
        <v>331.25</v>
      </c>
      <c r="J869" s="188" t="s">
        <v>571</v>
      </c>
      <c r="K869" s="188" t="s">
        <v>338</v>
      </c>
      <c r="L869" s="188" t="s">
        <v>1691</v>
      </c>
      <c r="M869" s="192">
        <f t="shared" si="39"/>
        <v>23</v>
      </c>
      <c r="N869" s="193">
        <f t="shared" si="40"/>
        <v>0.44830188679245281</v>
      </c>
      <c r="O869" s="194">
        <f t="shared" si="41"/>
        <v>1.9491386382280557E-2</v>
      </c>
    </row>
    <row r="870" spans="1:15" ht="12.75" customHeight="1">
      <c r="A870" s="188" t="s">
        <v>620</v>
      </c>
      <c r="B870" s="188" t="s">
        <v>1394</v>
      </c>
      <c r="C870" s="188" t="s">
        <v>641</v>
      </c>
      <c r="D870" s="188" t="s">
        <v>1958</v>
      </c>
      <c r="E870" s="189">
        <v>39401</v>
      </c>
      <c r="F870" s="190">
        <v>0</v>
      </c>
      <c r="G870" s="190">
        <v>65.790000000000006</v>
      </c>
      <c r="H870" s="191">
        <v>601.4</v>
      </c>
      <c r="I870" s="191">
        <v>257</v>
      </c>
      <c r="J870" s="188" t="s">
        <v>635</v>
      </c>
      <c r="K870" s="188" t="s">
        <v>338</v>
      </c>
      <c r="L870" s="188" t="s">
        <v>1959</v>
      </c>
      <c r="M870" s="192">
        <f t="shared" si="39"/>
        <v>30</v>
      </c>
      <c r="N870" s="193">
        <f t="shared" si="40"/>
        <v>0.58501945525291832</v>
      </c>
      <c r="O870" s="194">
        <f t="shared" si="41"/>
        <v>1.9500648508430609E-2</v>
      </c>
    </row>
    <row r="871" spans="1:15" ht="12.75" customHeight="1">
      <c r="A871" s="188" t="s">
        <v>620</v>
      </c>
      <c r="B871" s="188" t="s">
        <v>1394</v>
      </c>
      <c r="C871" s="188" t="s">
        <v>641</v>
      </c>
      <c r="D871" s="188" t="s">
        <v>1960</v>
      </c>
      <c r="E871" s="189">
        <v>39373</v>
      </c>
      <c r="F871" s="190">
        <v>0</v>
      </c>
      <c r="G871" s="190">
        <v>54.4</v>
      </c>
      <c r="H871" s="191">
        <v>630</v>
      </c>
      <c r="I871" s="191">
        <v>212.5</v>
      </c>
      <c r="J871" s="188" t="s">
        <v>624</v>
      </c>
      <c r="K871" s="188" t="s">
        <v>338</v>
      </c>
      <c r="L871" s="188" t="s">
        <v>1170</v>
      </c>
      <c r="M871" s="192">
        <f t="shared" si="39"/>
        <v>38</v>
      </c>
      <c r="N871" s="193">
        <f t="shared" si="40"/>
        <v>0.74117647058823533</v>
      </c>
      <c r="O871" s="194">
        <f t="shared" si="41"/>
        <v>1.95046439628483E-2</v>
      </c>
    </row>
    <row r="872" spans="1:15" ht="12.75" customHeight="1">
      <c r="A872" s="188" t="s">
        <v>620</v>
      </c>
      <c r="B872" s="188" t="s">
        <v>1394</v>
      </c>
      <c r="C872" s="188" t="s">
        <v>641</v>
      </c>
      <c r="D872" s="188" t="s">
        <v>1961</v>
      </c>
      <c r="E872" s="189">
        <v>39331</v>
      </c>
      <c r="F872" s="190">
        <v>0</v>
      </c>
      <c r="G872" s="190">
        <v>66.56</v>
      </c>
      <c r="H872" s="191">
        <v>508.04</v>
      </c>
      <c r="I872" s="191">
        <v>260</v>
      </c>
      <c r="J872" s="188" t="s">
        <v>652</v>
      </c>
      <c r="K872" s="188" t="s">
        <v>338</v>
      </c>
      <c r="L872" s="188" t="s">
        <v>808</v>
      </c>
      <c r="M872" s="192">
        <f t="shared" si="39"/>
        <v>25</v>
      </c>
      <c r="N872" s="193">
        <f t="shared" si="40"/>
        <v>0.48850000000000005</v>
      </c>
      <c r="O872" s="194">
        <f t="shared" si="41"/>
        <v>1.9540000000000002E-2</v>
      </c>
    </row>
    <row r="873" spans="1:15" ht="12.75" customHeight="1">
      <c r="A873" s="188" t="s">
        <v>620</v>
      </c>
      <c r="B873" s="188" t="s">
        <v>1394</v>
      </c>
      <c r="C873" s="188" t="s">
        <v>641</v>
      </c>
      <c r="D873" s="188" t="s">
        <v>1962</v>
      </c>
      <c r="E873" s="189">
        <v>39240</v>
      </c>
      <c r="F873" s="190">
        <v>0</v>
      </c>
      <c r="G873" s="190">
        <v>98.18</v>
      </c>
      <c r="H873" s="191">
        <v>749.97</v>
      </c>
      <c r="I873" s="191">
        <v>383.5</v>
      </c>
      <c r="J873" s="188" t="s">
        <v>652</v>
      </c>
      <c r="K873" s="188" t="s">
        <v>338</v>
      </c>
      <c r="L873" s="188" t="s">
        <v>1200</v>
      </c>
      <c r="M873" s="192">
        <f t="shared" si="39"/>
        <v>25</v>
      </c>
      <c r="N873" s="193">
        <f t="shared" si="40"/>
        <v>0.4888983050847458</v>
      </c>
      <c r="O873" s="194">
        <f t="shared" si="41"/>
        <v>1.9555932203389831E-2</v>
      </c>
    </row>
    <row r="874" spans="1:15" ht="12.75" customHeight="1">
      <c r="A874" s="188" t="s">
        <v>620</v>
      </c>
      <c r="B874" s="188" t="s">
        <v>1394</v>
      </c>
      <c r="C874" s="188" t="s">
        <v>641</v>
      </c>
      <c r="D874" s="188" t="s">
        <v>1963</v>
      </c>
      <c r="E874" s="189">
        <v>39247</v>
      </c>
      <c r="F874" s="190">
        <v>0</v>
      </c>
      <c r="G874" s="190">
        <v>82.94</v>
      </c>
      <c r="H874" s="191">
        <v>761.01</v>
      </c>
      <c r="I874" s="191">
        <v>324</v>
      </c>
      <c r="J874" s="188" t="s">
        <v>635</v>
      </c>
      <c r="K874" s="188" t="s">
        <v>338</v>
      </c>
      <c r="L874" s="188" t="s">
        <v>1319</v>
      </c>
      <c r="M874" s="192">
        <f t="shared" si="39"/>
        <v>30</v>
      </c>
      <c r="N874" s="193">
        <f t="shared" si="40"/>
        <v>0.58719907407407401</v>
      </c>
      <c r="O874" s="194">
        <f t="shared" si="41"/>
        <v>1.95733024691358E-2</v>
      </c>
    </row>
    <row r="875" spans="1:15" ht="12.75" customHeight="1">
      <c r="A875" s="188" t="s">
        <v>620</v>
      </c>
      <c r="B875" s="188" t="s">
        <v>1394</v>
      </c>
      <c r="C875" s="188" t="s">
        <v>641</v>
      </c>
      <c r="D875" s="188" t="s">
        <v>1964</v>
      </c>
      <c r="E875" s="189">
        <v>39219</v>
      </c>
      <c r="F875" s="190">
        <v>0</v>
      </c>
      <c r="G875" s="190">
        <v>78.849999999999994</v>
      </c>
      <c r="H875" s="191">
        <v>603.67999999999995</v>
      </c>
      <c r="I875" s="191">
        <v>308</v>
      </c>
      <c r="J875" s="188" t="s">
        <v>652</v>
      </c>
      <c r="K875" s="188" t="s">
        <v>338</v>
      </c>
      <c r="L875" s="188" t="s">
        <v>1965</v>
      </c>
      <c r="M875" s="192">
        <f t="shared" si="39"/>
        <v>25</v>
      </c>
      <c r="N875" s="193">
        <f t="shared" si="40"/>
        <v>0.48999999999999994</v>
      </c>
      <c r="O875" s="194">
        <f t="shared" si="41"/>
        <v>1.9599999999999996E-2</v>
      </c>
    </row>
    <row r="876" spans="1:15" ht="12.75" customHeight="1">
      <c r="A876" s="188" t="s">
        <v>620</v>
      </c>
      <c r="B876" s="188" t="s">
        <v>1394</v>
      </c>
      <c r="C876" s="188" t="s">
        <v>641</v>
      </c>
      <c r="D876" s="188" t="s">
        <v>1966</v>
      </c>
      <c r="E876" s="189">
        <v>39534</v>
      </c>
      <c r="F876" s="190">
        <v>0</v>
      </c>
      <c r="G876" s="190">
        <v>65.28</v>
      </c>
      <c r="H876" s="191">
        <v>500</v>
      </c>
      <c r="I876" s="191">
        <v>255</v>
      </c>
      <c r="J876" s="188" t="s">
        <v>652</v>
      </c>
      <c r="K876" s="188" t="s">
        <v>338</v>
      </c>
      <c r="L876" s="188" t="s">
        <v>658</v>
      </c>
      <c r="M876" s="192">
        <f t="shared" si="39"/>
        <v>25</v>
      </c>
      <c r="N876" s="193">
        <f t="shared" si="40"/>
        <v>0.49019607843137253</v>
      </c>
      <c r="O876" s="194">
        <f t="shared" si="41"/>
        <v>1.9607843137254902E-2</v>
      </c>
    </row>
    <row r="877" spans="1:15" ht="12.75" customHeight="1">
      <c r="A877" s="188" t="s">
        <v>620</v>
      </c>
      <c r="B877" s="188" t="s">
        <v>1394</v>
      </c>
      <c r="C877" s="188" t="s">
        <v>641</v>
      </c>
      <c r="D877" s="188" t="s">
        <v>1967</v>
      </c>
      <c r="E877" s="189">
        <v>39240</v>
      </c>
      <c r="F877" s="190">
        <v>0</v>
      </c>
      <c r="G877" s="190">
        <v>123.52</v>
      </c>
      <c r="H877" s="191">
        <v>946.09</v>
      </c>
      <c r="I877" s="191">
        <v>482.5</v>
      </c>
      <c r="J877" s="188" t="s">
        <v>652</v>
      </c>
      <c r="K877" s="188" t="s">
        <v>338</v>
      </c>
      <c r="L877" s="188" t="s">
        <v>1968</v>
      </c>
      <c r="M877" s="192">
        <f t="shared" si="39"/>
        <v>25</v>
      </c>
      <c r="N877" s="193">
        <f t="shared" si="40"/>
        <v>0.49020207253886011</v>
      </c>
      <c r="O877" s="194">
        <f t="shared" si="41"/>
        <v>1.9608082901554403E-2</v>
      </c>
    </row>
    <row r="878" spans="1:15" ht="12.75" customHeight="1">
      <c r="A878" s="188" t="s">
        <v>620</v>
      </c>
      <c r="B878" s="188" t="s">
        <v>1394</v>
      </c>
      <c r="C878" s="188" t="s">
        <v>641</v>
      </c>
      <c r="D878" s="188" t="s">
        <v>1969</v>
      </c>
      <c r="E878" s="189">
        <v>39507</v>
      </c>
      <c r="F878" s="190">
        <v>0</v>
      </c>
      <c r="G878" s="190">
        <v>80.7</v>
      </c>
      <c r="H878" s="191">
        <v>940</v>
      </c>
      <c r="I878" s="191">
        <v>315.25</v>
      </c>
      <c r="J878" s="188" t="s">
        <v>624</v>
      </c>
      <c r="K878" s="188" t="s">
        <v>338</v>
      </c>
      <c r="L878" s="188" t="s">
        <v>1970</v>
      </c>
      <c r="M878" s="192">
        <f t="shared" si="39"/>
        <v>38</v>
      </c>
      <c r="N878" s="193">
        <f t="shared" si="40"/>
        <v>0.74544012688342587</v>
      </c>
      <c r="O878" s="194">
        <f t="shared" si="41"/>
        <v>1.961684544430068E-2</v>
      </c>
    </row>
    <row r="879" spans="1:15" ht="12.75" customHeight="1">
      <c r="A879" s="188" t="s">
        <v>620</v>
      </c>
      <c r="B879" s="188" t="s">
        <v>1394</v>
      </c>
      <c r="C879" s="188" t="s">
        <v>641</v>
      </c>
      <c r="D879" s="188" t="s">
        <v>1971</v>
      </c>
      <c r="E879" s="189">
        <v>39345</v>
      </c>
      <c r="F879" s="190">
        <v>0</v>
      </c>
      <c r="G879" s="190">
        <v>125.18</v>
      </c>
      <c r="H879" s="191">
        <v>960</v>
      </c>
      <c r="I879" s="191">
        <v>489</v>
      </c>
      <c r="J879" s="188" t="s">
        <v>652</v>
      </c>
      <c r="K879" s="188" t="s">
        <v>338</v>
      </c>
      <c r="L879" s="188" t="s">
        <v>1972</v>
      </c>
      <c r="M879" s="192">
        <f t="shared" si="39"/>
        <v>25</v>
      </c>
      <c r="N879" s="193">
        <f t="shared" si="40"/>
        <v>0.49079754601226994</v>
      </c>
      <c r="O879" s="194">
        <f t="shared" si="41"/>
        <v>1.9631901840490799E-2</v>
      </c>
    </row>
    <row r="880" spans="1:15" ht="12.75" customHeight="1">
      <c r="A880" s="188" t="s">
        <v>620</v>
      </c>
      <c r="B880" s="188" t="s">
        <v>1394</v>
      </c>
      <c r="C880" s="188" t="s">
        <v>641</v>
      </c>
      <c r="D880" s="188" t="s">
        <v>1973</v>
      </c>
      <c r="E880" s="189">
        <v>39568</v>
      </c>
      <c r="F880" s="190">
        <v>0</v>
      </c>
      <c r="G880" s="190">
        <v>74.75</v>
      </c>
      <c r="H880" s="191">
        <v>688</v>
      </c>
      <c r="I880" s="191">
        <v>292</v>
      </c>
      <c r="J880" s="188" t="s">
        <v>635</v>
      </c>
      <c r="K880" s="188" t="s">
        <v>338</v>
      </c>
      <c r="L880" s="188" t="s">
        <v>1974</v>
      </c>
      <c r="M880" s="192">
        <f t="shared" si="39"/>
        <v>30</v>
      </c>
      <c r="N880" s="193">
        <f t="shared" si="40"/>
        <v>0.58904109589041098</v>
      </c>
      <c r="O880" s="194">
        <f t="shared" si="41"/>
        <v>1.9634703196347032E-2</v>
      </c>
    </row>
    <row r="881" spans="1:15" ht="12.75" customHeight="1">
      <c r="A881" s="188" t="s">
        <v>620</v>
      </c>
      <c r="B881" s="188" t="s">
        <v>1394</v>
      </c>
      <c r="C881" s="188" t="s">
        <v>641</v>
      </c>
      <c r="D881" s="188" t="s">
        <v>1975</v>
      </c>
      <c r="E881" s="189">
        <v>39527</v>
      </c>
      <c r="F881" s="190">
        <v>0</v>
      </c>
      <c r="G881" s="190">
        <v>59.14</v>
      </c>
      <c r="H881" s="191">
        <v>508</v>
      </c>
      <c r="I881" s="191">
        <v>231</v>
      </c>
      <c r="J881" s="188" t="s">
        <v>750</v>
      </c>
      <c r="K881" s="188" t="s">
        <v>338</v>
      </c>
      <c r="L881" s="188" t="s">
        <v>1976</v>
      </c>
      <c r="M881" s="192">
        <f t="shared" si="39"/>
        <v>28</v>
      </c>
      <c r="N881" s="193">
        <f t="shared" si="40"/>
        <v>0.54978354978354982</v>
      </c>
      <c r="O881" s="194">
        <f t="shared" si="41"/>
        <v>1.9635126777983923E-2</v>
      </c>
    </row>
    <row r="882" spans="1:15" ht="12.75" customHeight="1">
      <c r="A882" s="188" t="s">
        <v>620</v>
      </c>
      <c r="B882" s="188" t="s">
        <v>1394</v>
      </c>
      <c r="C882" s="188" t="s">
        <v>641</v>
      </c>
      <c r="D882" s="188" t="s">
        <v>1977</v>
      </c>
      <c r="E882" s="189">
        <v>39464</v>
      </c>
      <c r="F882" s="190">
        <v>0</v>
      </c>
      <c r="G882" s="190">
        <v>58.37</v>
      </c>
      <c r="H882" s="191">
        <v>448</v>
      </c>
      <c r="I882" s="191">
        <v>228</v>
      </c>
      <c r="J882" s="188" t="s">
        <v>652</v>
      </c>
      <c r="K882" s="188" t="s">
        <v>338</v>
      </c>
      <c r="L882" s="188" t="s">
        <v>1808</v>
      </c>
      <c r="M882" s="192">
        <f t="shared" si="39"/>
        <v>25</v>
      </c>
      <c r="N882" s="193">
        <f t="shared" si="40"/>
        <v>0.49122807017543857</v>
      </c>
      <c r="O882" s="194">
        <f t="shared" si="41"/>
        <v>1.9649122807017541E-2</v>
      </c>
    </row>
    <row r="883" spans="1:15" ht="12.75" customHeight="1">
      <c r="A883" s="188" t="s">
        <v>620</v>
      </c>
      <c r="B883" s="188" t="s">
        <v>1394</v>
      </c>
      <c r="C883" s="188" t="s">
        <v>641</v>
      </c>
      <c r="D883" s="188" t="s">
        <v>1978</v>
      </c>
      <c r="E883" s="189">
        <v>39485</v>
      </c>
      <c r="F883" s="190">
        <v>0</v>
      </c>
      <c r="G883" s="190">
        <v>55.68</v>
      </c>
      <c r="H883" s="191">
        <v>650</v>
      </c>
      <c r="I883" s="191">
        <v>217.5</v>
      </c>
      <c r="J883" s="188" t="s">
        <v>624</v>
      </c>
      <c r="K883" s="188" t="s">
        <v>338</v>
      </c>
      <c r="L883" s="188" t="s">
        <v>1979</v>
      </c>
      <c r="M883" s="192">
        <f t="shared" si="39"/>
        <v>38</v>
      </c>
      <c r="N883" s="193">
        <f t="shared" si="40"/>
        <v>0.74712643678160917</v>
      </c>
      <c r="O883" s="194">
        <f t="shared" si="41"/>
        <v>1.9661222020568664E-2</v>
      </c>
    </row>
    <row r="884" spans="1:15" ht="12.75" customHeight="1">
      <c r="A884" s="188" t="s">
        <v>620</v>
      </c>
      <c r="B884" s="188" t="s">
        <v>1394</v>
      </c>
      <c r="C884" s="188" t="s">
        <v>641</v>
      </c>
      <c r="D884" s="188" t="s">
        <v>1980</v>
      </c>
      <c r="E884" s="189">
        <v>39583</v>
      </c>
      <c r="F884" s="190">
        <v>0</v>
      </c>
      <c r="G884" s="190">
        <v>94.85</v>
      </c>
      <c r="H884" s="191">
        <v>730.13</v>
      </c>
      <c r="I884" s="191">
        <v>370.5</v>
      </c>
      <c r="J884" s="188" t="s">
        <v>652</v>
      </c>
      <c r="K884" s="188" t="s">
        <v>338</v>
      </c>
      <c r="L884" s="188" t="s">
        <v>1530</v>
      </c>
      <c r="M884" s="192">
        <f t="shared" si="39"/>
        <v>25</v>
      </c>
      <c r="N884" s="193">
        <f t="shared" si="40"/>
        <v>0.49266531713900136</v>
      </c>
      <c r="O884" s="194">
        <f t="shared" si="41"/>
        <v>1.9706612685560055E-2</v>
      </c>
    </row>
    <row r="885" spans="1:15" ht="12.75" customHeight="1">
      <c r="A885" s="188" t="s">
        <v>620</v>
      </c>
      <c r="B885" s="188" t="s">
        <v>1394</v>
      </c>
      <c r="C885" s="188" t="s">
        <v>641</v>
      </c>
      <c r="D885" s="188" t="s">
        <v>1981</v>
      </c>
      <c r="E885" s="189">
        <v>39555</v>
      </c>
      <c r="F885" s="190">
        <v>0</v>
      </c>
      <c r="G885" s="190">
        <v>106.88</v>
      </c>
      <c r="H885" s="191">
        <v>823</v>
      </c>
      <c r="I885" s="191">
        <v>417.5</v>
      </c>
      <c r="J885" s="188" t="s">
        <v>652</v>
      </c>
      <c r="K885" s="188" t="s">
        <v>338</v>
      </c>
      <c r="L885" s="188" t="s">
        <v>1015</v>
      </c>
      <c r="M885" s="192">
        <f t="shared" si="39"/>
        <v>25</v>
      </c>
      <c r="N885" s="193">
        <f t="shared" si="40"/>
        <v>0.49281437125748501</v>
      </c>
      <c r="O885" s="194">
        <f t="shared" si="41"/>
        <v>1.97125748502994E-2</v>
      </c>
    </row>
    <row r="886" spans="1:15" ht="12.75" customHeight="1">
      <c r="A886" s="188" t="s">
        <v>620</v>
      </c>
      <c r="B886" s="188" t="s">
        <v>1394</v>
      </c>
      <c r="C886" s="188" t="s">
        <v>641</v>
      </c>
      <c r="D886" s="188" t="s">
        <v>1982</v>
      </c>
      <c r="E886" s="189">
        <v>39471</v>
      </c>
      <c r="F886" s="190">
        <v>0</v>
      </c>
      <c r="G886" s="190">
        <v>75.58</v>
      </c>
      <c r="H886" s="191">
        <v>699</v>
      </c>
      <c r="I886" s="191">
        <v>295.25</v>
      </c>
      <c r="J886" s="188" t="s">
        <v>635</v>
      </c>
      <c r="K886" s="188" t="s">
        <v>338</v>
      </c>
      <c r="L886" s="188" t="s">
        <v>1983</v>
      </c>
      <c r="M886" s="192">
        <f t="shared" si="39"/>
        <v>30</v>
      </c>
      <c r="N886" s="193">
        <f t="shared" si="40"/>
        <v>0.59187129551227768</v>
      </c>
      <c r="O886" s="194">
        <f t="shared" si="41"/>
        <v>1.9729043183742589E-2</v>
      </c>
    </row>
    <row r="887" spans="1:15" ht="12.75" customHeight="1">
      <c r="A887" s="188" t="s">
        <v>620</v>
      </c>
      <c r="B887" s="188" t="s">
        <v>1394</v>
      </c>
      <c r="C887" s="188" t="s">
        <v>641</v>
      </c>
      <c r="D887" s="188" t="s">
        <v>1984</v>
      </c>
      <c r="E887" s="189">
        <v>39447</v>
      </c>
      <c r="F887" s="190">
        <v>0</v>
      </c>
      <c r="G887" s="190">
        <v>128.06</v>
      </c>
      <c r="H887" s="191">
        <v>1066</v>
      </c>
      <c r="I887" s="191">
        <v>500.25</v>
      </c>
      <c r="J887" s="188" t="s">
        <v>639</v>
      </c>
      <c r="K887" s="188" t="s">
        <v>338</v>
      </c>
      <c r="L887" s="188" t="s">
        <v>1985</v>
      </c>
      <c r="M887" s="192">
        <f t="shared" si="39"/>
        <v>27</v>
      </c>
      <c r="N887" s="193">
        <f t="shared" si="40"/>
        <v>0.53273363318340827</v>
      </c>
      <c r="O887" s="194">
        <f t="shared" si="41"/>
        <v>1.9730875303089195E-2</v>
      </c>
    </row>
    <row r="888" spans="1:15" ht="12.75" customHeight="1">
      <c r="A888" s="188" t="s">
        <v>620</v>
      </c>
      <c r="B888" s="188" t="s">
        <v>1394</v>
      </c>
      <c r="C888" s="188" t="s">
        <v>641</v>
      </c>
      <c r="D888" s="188" t="s">
        <v>1986</v>
      </c>
      <c r="E888" s="189">
        <v>39303</v>
      </c>
      <c r="F888" s="190">
        <v>0</v>
      </c>
      <c r="G888" s="190">
        <v>91.33</v>
      </c>
      <c r="H888" s="191">
        <v>703.94</v>
      </c>
      <c r="I888" s="191">
        <v>356.75</v>
      </c>
      <c r="J888" s="188" t="s">
        <v>652</v>
      </c>
      <c r="K888" s="188" t="s">
        <v>338</v>
      </c>
      <c r="L888" s="188" t="s">
        <v>1987</v>
      </c>
      <c r="M888" s="192">
        <f t="shared" si="39"/>
        <v>25</v>
      </c>
      <c r="N888" s="193">
        <f t="shared" si="40"/>
        <v>0.49330063069376318</v>
      </c>
      <c r="O888" s="194">
        <f t="shared" si="41"/>
        <v>1.9732025227750527E-2</v>
      </c>
    </row>
    <row r="889" spans="1:15" ht="12.75" customHeight="1">
      <c r="A889" s="188" t="s">
        <v>620</v>
      </c>
      <c r="B889" s="188" t="s">
        <v>1394</v>
      </c>
      <c r="C889" s="188" t="s">
        <v>641</v>
      </c>
      <c r="D889" s="188" t="s">
        <v>1988</v>
      </c>
      <c r="E889" s="189">
        <v>39366</v>
      </c>
      <c r="F889" s="190">
        <v>0</v>
      </c>
      <c r="G889" s="190">
        <v>60.86</v>
      </c>
      <c r="H889" s="191">
        <v>563</v>
      </c>
      <c r="I889" s="191">
        <v>237.75</v>
      </c>
      <c r="J889" s="188" t="s">
        <v>635</v>
      </c>
      <c r="K889" s="188" t="s">
        <v>338</v>
      </c>
      <c r="L889" s="188" t="s">
        <v>1989</v>
      </c>
      <c r="M889" s="192">
        <f t="shared" si="39"/>
        <v>30</v>
      </c>
      <c r="N889" s="193">
        <f t="shared" si="40"/>
        <v>0.59200841219768663</v>
      </c>
      <c r="O889" s="194">
        <f t="shared" si="41"/>
        <v>1.9733613739922887E-2</v>
      </c>
    </row>
    <row r="890" spans="1:15" ht="12.75" customHeight="1">
      <c r="A890" s="188" t="s">
        <v>620</v>
      </c>
      <c r="B890" s="188" t="s">
        <v>1394</v>
      </c>
      <c r="C890" s="188" t="s">
        <v>641</v>
      </c>
      <c r="D890" s="188" t="s">
        <v>1990</v>
      </c>
      <c r="E890" s="189">
        <v>39261</v>
      </c>
      <c r="F890" s="190">
        <v>0</v>
      </c>
      <c r="G890" s="190">
        <v>50.69</v>
      </c>
      <c r="H890" s="191">
        <v>594</v>
      </c>
      <c r="I890" s="191">
        <v>198</v>
      </c>
      <c r="J890" s="188" t="s">
        <v>624</v>
      </c>
      <c r="K890" s="188" t="s">
        <v>338</v>
      </c>
      <c r="L890" s="188" t="s">
        <v>1583</v>
      </c>
      <c r="M890" s="192">
        <f t="shared" si="39"/>
        <v>38</v>
      </c>
      <c r="N890" s="193">
        <f t="shared" si="40"/>
        <v>0.75</v>
      </c>
      <c r="O890" s="194">
        <f t="shared" si="41"/>
        <v>1.9736842105263157E-2</v>
      </c>
    </row>
    <row r="891" spans="1:15" ht="12.75" customHeight="1">
      <c r="A891" s="188" t="s">
        <v>620</v>
      </c>
      <c r="B891" s="188" t="s">
        <v>1394</v>
      </c>
      <c r="C891" s="188" t="s">
        <v>641</v>
      </c>
      <c r="D891" s="188" t="s">
        <v>1991</v>
      </c>
      <c r="E891" s="189">
        <v>39345</v>
      </c>
      <c r="F891" s="190">
        <v>0</v>
      </c>
      <c r="G891" s="190">
        <v>153.6</v>
      </c>
      <c r="H891" s="191">
        <v>1800</v>
      </c>
      <c r="I891" s="191">
        <v>600</v>
      </c>
      <c r="J891" s="188" t="s">
        <v>624</v>
      </c>
      <c r="K891" s="188" t="s">
        <v>338</v>
      </c>
      <c r="L891" s="188" t="s">
        <v>539</v>
      </c>
      <c r="M891" s="192">
        <f t="shared" si="39"/>
        <v>38</v>
      </c>
      <c r="N891" s="193">
        <f t="shared" si="40"/>
        <v>0.75</v>
      </c>
      <c r="O891" s="194">
        <f t="shared" si="41"/>
        <v>1.9736842105263157E-2</v>
      </c>
    </row>
    <row r="892" spans="1:15" ht="12.75" customHeight="1">
      <c r="A892" s="188" t="s">
        <v>620</v>
      </c>
      <c r="B892" s="188" t="s">
        <v>1394</v>
      </c>
      <c r="C892" s="188" t="s">
        <v>641</v>
      </c>
      <c r="D892" s="188" t="s">
        <v>1992</v>
      </c>
      <c r="E892" s="189">
        <v>39401</v>
      </c>
      <c r="F892" s="190">
        <v>0</v>
      </c>
      <c r="G892" s="190">
        <v>128</v>
      </c>
      <c r="H892" s="191">
        <v>1500</v>
      </c>
      <c r="I892" s="191">
        <v>500</v>
      </c>
      <c r="J892" s="188" t="s">
        <v>624</v>
      </c>
      <c r="K892" s="188" t="s">
        <v>338</v>
      </c>
      <c r="L892" s="188" t="s">
        <v>756</v>
      </c>
      <c r="M892" s="192">
        <f t="shared" si="39"/>
        <v>38</v>
      </c>
      <c r="N892" s="193">
        <f t="shared" si="40"/>
        <v>0.75</v>
      </c>
      <c r="O892" s="194">
        <f t="shared" si="41"/>
        <v>1.9736842105263157E-2</v>
      </c>
    </row>
    <row r="893" spans="1:15" ht="12.75" customHeight="1">
      <c r="A893" s="188" t="s">
        <v>620</v>
      </c>
      <c r="B893" s="188" t="s">
        <v>1394</v>
      </c>
      <c r="C893" s="188" t="s">
        <v>641</v>
      </c>
      <c r="D893" s="188" t="s">
        <v>1993</v>
      </c>
      <c r="E893" s="189">
        <v>39464</v>
      </c>
      <c r="F893" s="190">
        <v>0</v>
      </c>
      <c r="G893" s="190">
        <v>0</v>
      </c>
      <c r="H893" s="191">
        <v>1500</v>
      </c>
      <c r="I893" s="191">
        <v>500</v>
      </c>
      <c r="J893" s="188" t="s">
        <v>624</v>
      </c>
      <c r="K893" s="188" t="s">
        <v>338</v>
      </c>
      <c r="L893" s="188" t="s">
        <v>756</v>
      </c>
      <c r="M893" s="192">
        <f t="shared" si="39"/>
        <v>38</v>
      </c>
      <c r="N893" s="193">
        <f t="shared" si="40"/>
        <v>0.75</v>
      </c>
      <c r="O893" s="194">
        <f t="shared" si="41"/>
        <v>1.9736842105263157E-2</v>
      </c>
    </row>
    <row r="894" spans="1:15" ht="12.75" customHeight="1">
      <c r="A894" s="188" t="s">
        <v>620</v>
      </c>
      <c r="B894" s="188" t="s">
        <v>1394</v>
      </c>
      <c r="C894" s="188" t="s">
        <v>641</v>
      </c>
      <c r="D894" s="188" t="s">
        <v>1994</v>
      </c>
      <c r="E894" s="189">
        <v>39464</v>
      </c>
      <c r="F894" s="190">
        <v>0</v>
      </c>
      <c r="G894" s="190">
        <v>51.2</v>
      </c>
      <c r="H894" s="191">
        <v>600</v>
      </c>
      <c r="I894" s="191">
        <v>200</v>
      </c>
      <c r="J894" s="188" t="s">
        <v>624</v>
      </c>
      <c r="K894" s="188" t="s">
        <v>338</v>
      </c>
      <c r="L894" s="188" t="s">
        <v>752</v>
      </c>
      <c r="M894" s="192">
        <f t="shared" si="39"/>
        <v>38</v>
      </c>
      <c r="N894" s="193">
        <f t="shared" si="40"/>
        <v>0.75</v>
      </c>
      <c r="O894" s="194">
        <f t="shared" si="41"/>
        <v>1.9736842105263157E-2</v>
      </c>
    </row>
    <row r="895" spans="1:15" ht="12.75" customHeight="1">
      <c r="A895" s="188" t="s">
        <v>620</v>
      </c>
      <c r="B895" s="188" t="s">
        <v>1394</v>
      </c>
      <c r="C895" s="188" t="s">
        <v>641</v>
      </c>
      <c r="D895" s="188" t="s">
        <v>1995</v>
      </c>
      <c r="E895" s="189">
        <v>39485</v>
      </c>
      <c r="F895" s="190">
        <v>0</v>
      </c>
      <c r="G895" s="190">
        <v>128</v>
      </c>
      <c r="H895" s="191">
        <v>1500</v>
      </c>
      <c r="I895" s="191">
        <v>500</v>
      </c>
      <c r="J895" s="188" t="s">
        <v>624</v>
      </c>
      <c r="K895" s="188" t="s">
        <v>338</v>
      </c>
      <c r="L895" s="188" t="s">
        <v>756</v>
      </c>
      <c r="M895" s="192">
        <f t="shared" si="39"/>
        <v>38</v>
      </c>
      <c r="N895" s="193">
        <f t="shared" si="40"/>
        <v>0.75</v>
      </c>
      <c r="O895" s="194">
        <f t="shared" si="41"/>
        <v>1.9736842105263157E-2</v>
      </c>
    </row>
    <row r="896" spans="1:15" ht="12.75" customHeight="1">
      <c r="A896" s="188" t="s">
        <v>620</v>
      </c>
      <c r="B896" s="188" t="s">
        <v>1394</v>
      </c>
      <c r="C896" s="188" t="s">
        <v>641</v>
      </c>
      <c r="D896" s="188" t="s">
        <v>1996</v>
      </c>
      <c r="E896" s="189">
        <v>39499</v>
      </c>
      <c r="F896" s="190">
        <v>0</v>
      </c>
      <c r="G896" s="190">
        <v>64</v>
      </c>
      <c r="H896" s="191">
        <v>750</v>
      </c>
      <c r="I896" s="191">
        <v>250</v>
      </c>
      <c r="J896" s="188" t="s">
        <v>624</v>
      </c>
      <c r="K896" s="188" t="s">
        <v>338</v>
      </c>
      <c r="L896" s="188" t="s">
        <v>636</v>
      </c>
      <c r="M896" s="192">
        <f t="shared" si="39"/>
        <v>38</v>
      </c>
      <c r="N896" s="193">
        <f t="shared" si="40"/>
        <v>0.75</v>
      </c>
      <c r="O896" s="194">
        <f t="shared" si="41"/>
        <v>1.9736842105263157E-2</v>
      </c>
    </row>
    <row r="897" spans="1:15" ht="12.75" customHeight="1">
      <c r="A897" s="188" t="s">
        <v>620</v>
      </c>
      <c r="B897" s="188" t="s">
        <v>1394</v>
      </c>
      <c r="C897" s="188" t="s">
        <v>641</v>
      </c>
      <c r="D897" s="188" t="s">
        <v>1997</v>
      </c>
      <c r="E897" s="189">
        <v>39520</v>
      </c>
      <c r="F897" s="190">
        <v>0</v>
      </c>
      <c r="G897" s="190">
        <v>64</v>
      </c>
      <c r="H897" s="191">
        <v>750</v>
      </c>
      <c r="I897" s="191">
        <v>250</v>
      </c>
      <c r="J897" s="188" t="s">
        <v>624</v>
      </c>
      <c r="K897" s="188" t="s">
        <v>338</v>
      </c>
      <c r="L897" s="188" t="s">
        <v>636</v>
      </c>
      <c r="M897" s="192">
        <f t="shared" si="39"/>
        <v>38</v>
      </c>
      <c r="N897" s="193">
        <f t="shared" si="40"/>
        <v>0.75</v>
      </c>
      <c r="O897" s="194">
        <f t="shared" si="41"/>
        <v>1.9736842105263157E-2</v>
      </c>
    </row>
    <row r="898" spans="1:15" ht="12.75" customHeight="1">
      <c r="A898" s="188" t="s">
        <v>620</v>
      </c>
      <c r="B898" s="188" t="s">
        <v>1394</v>
      </c>
      <c r="C898" s="188" t="s">
        <v>641</v>
      </c>
      <c r="D898" s="188" t="s">
        <v>1998</v>
      </c>
      <c r="E898" s="189">
        <v>39507</v>
      </c>
      <c r="F898" s="190">
        <v>0</v>
      </c>
      <c r="G898" s="190">
        <v>64</v>
      </c>
      <c r="H898" s="191">
        <v>750</v>
      </c>
      <c r="I898" s="191">
        <v>250</v>
      </c>
      <c r="J898" s="188" t="s">
        <v>624</v>
      </c>
      <c r="K898" s="188" t="s">
        <v>338</v>
      </c>
      <c r="L898" s="188" t="s">
        <v>636</v>
      </c>
      <c r="M898" s="192">
        <f t="shared" ref="M898:M961" si="42">K898-J898</f>
        <v>38</v>
      </c>
      <c r="N898" s="193">
        <f t="shared" ref="N898:N961" si="43">H898/L898</f>
        <v>0.75</v>
      </c>
      <c r="O898" s="194">
        <f t="shared" ref="O898:O961" si="44">N898/M898</f>
        <v>1.9736842105263157E-2</v>
      </c>
    </row>
    <row r="899" spans="1:15" ht="12.75" customHeight="1">
      <c r="A899" s="188" t="s">
        <v>620</v>
      </c>
      <c r="B899" s="188" t="s">
        <v>1394</v>
      </c>
      <c r="C899" s="188" t="s">
        <v>641</v>
      </c>
      <c r="D899" s="188" t="s">
        <v>1999</v>
      </c>
      <c r="E899" s="189">
        <v>39597</v>
      </c>
      <c r="F899" s="190">
        <v>0</v>
      </c>
      <c r="G899" s="190">
        <v>64</v>
      </c>
      <c r="H899" s="191">
        <v>651.86</v>
      </c>
      <c r="I899" s="191">
        <v>250</v>
      </c>
      <c r="J899" s="188" t="s">
        <v>742</v>
      </c>
      <c r="K899" s="188" t="s">
        <v>338</v>
      </c>
      <c r="L899" s="188" t="s">
        <v>636</v>
      </c>
      <c r="M899" s="192">
        <f t="shared" si="42"/>
        <v>33</v>
      </c>
      <c r="N899" s="193">
        <f t="shared" si="43"/>
        <v>0.65185999999999999</v>
      </c>
      <c r="O899" s="194">
        <f t="shared" si="44"/>
        <v>1.9753333333333335E-2</v>
      </c>
    </row>
    <row r="900" spans="1:15" ht="12.75" customHeight="1">
      <c r="A900" s="188" t="s">
        <v>620</v>
      </c>
      <c r="B900" s="188" t="s">
        <v>1394</v>
      </c>
      <c r="C900" s="188" t="s">
        <v>641</v>
      </c>
      <c r="D900" s="188" t="s">
        <v>2000</v>
      </c>
      <c r="E900" s="189">
        <v>39226</v>
      </c>
      <c r="F900" s="190">
        <v>0</v>
      </c>
      <c r="G900" s="190">
        <v>147.19999999999999</v>
      </c>
      <c r="H900" s="191">
        <v>1411.05</v>
      </c>
      <c r="I900" s="191">
        <v>575</v>
      </c>
      <c r="J900" s="188" t="s">
        <v>560</v>
      </c>
      <c r="K900" s="188" t="s">
        <v>648</v>
      </c>
      <c r="L900" s="188" t="s">
        <v>1472</v>
      </c>
      <c r="M900" s="192">
        <f t="shared" si="42"/>
        <v>31</v>
      </c>
      <c r="N900" s="193">
        <f t="shared" si="43"/>
        <v>0.61349999999999993</v>
      </c>
      <c r="O900" s="194">
        <f t="shared" si="44"/>
        <v>1.979032258064516E-2</v>
      </c>
    </row>
    <row r="901" spans="1:15" ht="12.75" customHeight="1">
      <c r="A901" s="188" t="s">
        <v>620</v>
      </c>
      <c r="B901" s="188" t="s">
        <v>1394</v>
      </c>
      <c r="C901" s="188" t="s">
        <v>641</v>
      </c>
      <c r="D901" s="188" t="s">
        <v>2001</v>
      </c>
      <c r="E901" s="189">
        <v>39373</v>
      </c>
      <c r="F901" s="190">
        <v>0</v>
      </c>
      <c r="G901" s="190">
        <v>51.52</v>
      </c>
      <c r="H901" s="191">
        <v>478</v>
      </c>
      <c r="I901" s="191">
        <v>201.25</v>
      </c>
      <c r="J901" s="188" t="s">
        <v>635</v>
      </c>
      <c r="K901" s="188" t="s">
        <v>338</v>
      </c>
      <c r="L901" s="188" t="s">
        <v>2002</v>
      </c>
      <c r="M901" s="192">
        <f t="shared" si="42"/>
        <v>30</v>
      </c>
      <c r="N901" s="193">
        <f t="shared" si="43"/>
        <v>0.59378881987577636</v>
      </c>
      <c r="O901" s="194">
        <f t="shared" si="44"/>
        <v>1.979296066252588E-2</v>
      </c>
    </row>
    <row r="902" spans="1:15" ht="12.75" customHeight="1">
      <c r="A902" s="188" t="s">
        <v>620</v>
      </c>
      <c r="B902" s="188" t="s">
        <v>1394</v>
      </c>
      <c r="C902" s="188" t="s">
        <v>641</v>
      </c>
      <c r="D902" s="188" t="s">
        <v>2003</v>
      </c>
      <c r="E902" s="189">
        <v>39520</v>
      </c>
      <c r="F902" s="190">
        <v>0</v>
      </c>
      <c r="G902" s="190">
        <v>83.78</v>
      </c>
      <c r="H902" s="191">
        <v>752</v>
      </c>
      <c r="I902" s="191">
        <v>327.25</v>
      </c>
      <c r="J902" s="188" t="s">
        <v>715</v>
      </c>
      <c r="K902" s="188" t="s">
        <v>338</v>
      </c>
      <c r="L902" s="188" t="s">
        <v>2004</v>
      </c>
      <c r="M902" s="192">
        <f t="shared" si="42"/>
        <v>29</v>
      </c>
      <c r="N902" s="193">
        <f t="shared" si="43"/>
        <v>0.57448433919022157</v>
      </c>
      <c r="O902" s="194">
        <f t="shared" si="44"/>
        <v>1.9809804799662812E-2</v>
      </c>
    </row>
    <row r="903" spans="1:15" ht="12.75" customHeight="1">
      <c r="A903" s="188" t="s">
        <v>620</v>
      </c>
      <c r="B903" s="188" t="s">
        <v>1394</v>
      </c>
      <c r="C903" s="188" t="s">
        <v>641</v>
      </c>
      <c r="D903" s="188" t="s">
        <v>2005</v>
      </c>
      <c r="E903" s="189">
        <v>39296</v>
      </c>
      <c r="F903" s="190">
        <v>0</v>
      </c>
      <c r="G903" s="190">
        <v>55.3</v>
      </c>
      <c r="H903" s="191">
        <v>428.03</v>
      </c>
      <c r="I903" s="191">
        <v>216</v>
      </c>
      <c r="J903" s="188" t="s">
        <v>652</v>
      </c>
      <c r="K903" s="188" t="s">
        <v>338</v>
      </c>
      <c r="L903" s="188" t="s">
        <v>1342</v>
      </c>
      <c r="M903" s="192">
        <f t="shared" si="42"/>
        <v>25</v>
      </c>
      <c r="N903" s="193">
        <f t="shared" si="43"/>
        <v>0.49540509259259258</v>
      </c>
      <c r="O903" s="194">
        <f t="shared" si="44"/>
        <v>1.9816203703703704E-2</v>
      </c>
    </row>
    <row r="904" spans="1:15" ht="12.75" customHeight="1">
      <c r="A904" s="188" t="s">
        <v>620</v>
      </c>
      <c r="B904" s="188" t="s">
        <v>1394</v>
      </c>
      <c r="C904" s="188" t="s">
        <v>641</v>
      </c>
      <c r="D904" s="188" t="s">
        <v>2006</v>
      </c>
      <c r="E904" s="189">
        <v>39395</v>
      </c>
      <c r="F904" s="190">
        <v>0</v>
      </c>
      <c r="G904" s="190">
        <v>158.4</v>
      </c>
      <c r="H904" s="191">
        <v>1325</v>
      </c>
      <c r="I904" s="191">
        <v>618.75</v>
      </c>
      <c r="J904" s="188" t="s">
        <v>639</v>
      </c>
      <c r="K904" s="188" t="s">
        <v>338</v>
      </c>
      <c r="L904" s="188" t="s">
        <v>2007</v>
      </c>
      <c r="M904" s="192">
        <f t="shared" si="42"/>
        <v>27</v>
      </c>
      <c r="N904" s="193">
        <f t="shared" si="43"/>
        <v>0.53535353535353536</v>
      </c>
      <c r="O904" s="194">
        <f t="shared" si="44"/>
        <v>1.9827908716797606E-2</v>
      </c>
    </row>
    <row r="905" spans="1:15" ht="12.75" customHeight="1">
      <c r="A905" s="188" t="s">
        <v>620</v>
      </c>
      <c r="B905" s="188" t="s">
        <v>1394</v>
      </c>
      <c r="C905" s="188" t="s">
        <v>641</v>
      </c>
      <c r="D905" s="188" t="s">
        <v>2008</v>
      </c>
      <c r="E905" s="189">
        <v>39447</v>
      </c>
      <c r="F905" s="190">
        <v>0</v>
      </c>
      <c r="G905" s="190">
        <v>86.02</v>
      </c>
      <c r="H905" s="191">
        <v>800</v>
      </c>
      <c r="I905" s="191">
        <v>336</v>
      </c>
      <c r="J905" s="188" t="s">
        <v>635</v>
      </c>
      <c r="K905" s="188" t="s">
        <v>338</v>
      </c>
      <c r="L905" s="188" t="s">
        <v>764</v>
      </c>
      <c r="M905" s="192">
        <f t="shared" si="42"/>
        <v>30</v>
      </c>
      <c r="N905" s="193">
        <f t="shared" si="43"/>
        <v>0.59523809523809523</v>
      </c>
      <c r="O905" s="194">
        <f t="shared" si="44"/>
        <v>1.984126984126984E-2</v>
      </c>
    </row>
    <row r="906" spans="1:15" ht="12.75" customHeight="1">
      <c r="A906" s="188" t="s">
        <v>620</v>
      </c>
      <c r="B906" s="188" t="s">
        <v>1394</v>
      </c>
      <c r="C906" s="188" t="s">
        <v>641</v>
      </c>
      <c r="D906" s="188" t="s">
        <v>2009</v>
      </c>
      <c r="E906" s="189">
        <v>39632</v>
      </c>
      <c r="F906" s="190">
        <v>0</v>
      </c>
      <c r="G906" s="190">
        <v>86.4</v>
      </c>
      <c r="H906" s="191">
        <v>536</v>
      </c>
      <c r="I906" s="191">
        <v>337.5</v>
      </c>
      <c r="J906" s="188" t="s">
        <v>560</v>
      </c>
      <c r="K906" s="188" t="s">
        <v>338</v>
      </c>
      <c r="L906" s="188" t="s">
        <v>707</v>
      </c>
      <c r="M906" s="192">
        <f t="shared" si="42"/>
        <v>20</v>
      </c>
      <c r="N906" s="193">
        <f t="shared" si="43"/>
        <v>0.39703703703703702</v>
      </c>
      <c r="O906" s="194">
        <f t="shared" si="44"/>
        <v>1.985185185185185E-2</v>
      </c>
    </row>
    <row r="907" spans="1:15" ht="12.75" customHeight="1">
      <c r="A907" s="188" t="s">
        <v>620</v>
      </c>
      <c r="B907" s="188" t="s">
        <v>1394</v>
      </c>
      <c r="C907" s="188" t="s">
        <v>641</v>
      </c>
      <c r="D907" s="188" t="s">
        <v>2010</v>
      </c>
      <c r="E907" s="189">
        <v>39562</v>
      </c>
      <c r="F907" s="190">
        <v>0</v>
      </c>
      <c r="G907" s="190">
        <v>74.56</v>
      </c>
      <c r="H907" s="191">
        <v>625</v>
      </c>
      <c r="I907" s="191">
        <v>291.25</v>
      </c>
      <c r="J907" s="188" t="s">
        <v>639</v>
      </c>
      <c r="K907" s="188" t="s">
        <v>338</v>
      </c>
      <c r="L907" s="188" t="s">
        <v>2011</v>
      </c>
      <c r="M907" s="192">
        <f t="shared" si="42"/>
        <v>27</v>
      </c>
      <c r="N907" s="193">
        <f t="shared" si="43"/>
        <v>0.53648068669527893</v>
      </c>
      <c r="O907" s="194">
        <f t="shared" si="44"/>
        <v>1.9869655062788108E-2</v>
      </c>
    </row>
    <row r="908" spans="1:15" ht="12.75" customHeight="1">
      <c r="A908" s="188" t="s">
        <v>620</v>
      </c>
      <c r="B908" s="188" t="s">
        <v>1394</v>
      </c>
      <c r="C908" s="188" t="s">
        <v>641</v>
      </c>
      <c r="D908" s="188" t="s">
        <v>2012</v>
      </c>
      <c r="E908" s="189">
        <v>39401</v>
      </c>
      <c r="F908" s="190">
        <v>0</v>
      </c>
      <c r="G908" s="190">
        <v>96</v>
      </c>
      <c r="H908" s="191">
        <v>1132.95</v>
      </c>
      <c r="I908" s="191">
        <v>375</v>
      </c>
      <c r="J908" s="188" t="s">
        <v>635</v>
      </c>
      <c r="K908" s="188" t="s">
        <v>421</v>
      </c>
      <c r="L908" s="188" t="s">
        <v>746</v>
      </c>
      <c r="M908" s="192">
        <f t="shared" si="42"/>
        <v>38</v>
      </c>
      <c r="N908" s="193">
        <f t="shared" si="43"/>
        <v>0.75530000000000008</v>
      </c>
      <c r="O908" s="194">
        <f t="shared" si="44"/>
        <v>1.9876315789473686E-2</v>
      </c>
    </row>
    <row r="909" spans="1:15" ht="12.75" customHeight="1">
      <c r="A909" s="188" t="s">
        <v>620</v>
      </c>
      <c r="B909" s="188" t="s">
        <v>1394</v>
      </c>
      <c r="C909" s="188" t="s">
        <v>641</v>
      </c>
      <c r="D909" s="188" t="s">
        <v>2013</v>
      </c>
      <c r="E909" s="189">
        <v>39324</v>
      </c>
      <c r="F909" s="190">
        <v>0</v>
      </c>
      <c r="G909" s="190">
        <v>116.22</v>
      </c>
      <c r="H909" s="191">
        <v>833</v>
      </c>
      <c r="I909" s="191">
        <v>454</v>
      </c>
      <c r="J909" s="188" t="s">
        <v>571</v>
      </c>
      <c r="K909" s="188" t="s">
        <v>338</v>
      </c>
      <c r="L909" s="188" t="s">
        <v>272</v>
      </c>
      <c r="M909" s="192">
        <f t="shared" si="42"/>
        <v>23</v>
      </c>
      <c r="N909" s="193">
        <f t="shared" si="43"/>
        <v>0.45870044052863435</v>
      </c>
      <c r="O909" s="194">
        <f t="shared" si="44"/>
        <v>1.9943497414288448E-2</v>
      </c>
    </row>
    <row r="910" spans="1:15" ht="12.75" customHeight="1">
      <c r="A910" s="188" t="s">
        <v>620</v>
      </c>
      <c r="B910" s="188" t="s">
        <v>1394</v>
      </c>
      <c r="C910" s="188" t="s">
        <v>641</v>
      </c>
      <c r="D910" s="188" t="s">
        <v>2014</v>
      </c>
      <c r="E910" s="189">
        <v>39464</v>
      </c>
      <c r="F910" s="190">
        <v>0</v>
      </c>
      <c r="G910" s="190">
        <v>123.52</v>
      </c>
      <c r="H910" s="191">
        <v>963</v>
      </c>
      <c r="I910" s="191">
        <v>482.5</v>
      </c>
      <c r="J910" s="188" t="s">
        <v>652</v>
      </c>
      <c r="K910" s="188" t="s">
        <v>338</v>
      </c>
      <c r="L910" s="188" t="s">
        <v>1968</v>
      </c>
      <c r="M910" s="192">
        <f t="shared" si="42"/>
        <v>25</v>
      </c>
      <c r="N910" s="193">
        <f t="shared" si="43"/>
        <v>0.49896373056994819</v>
      </c>
      <c r="O910" s="194">
        <f t="shared" si="44"/>
        <v>1.9958549222797928E-2</v>
      </c>
    </row>
    <row r="911" spans="1:15" ht="12.75" customHeight="1">
      <c r="A911" s="188" t="s">
        <v>620</v>
      </c>
      <c r="B911" s="188" t="s">
        <v>1394</v>
      </c>
      <c r="C911" s="188" t="s">
        <v>641</v>
      </c>
      <c r="D911" s="188" t="s">
        <v>2015</v>
      </c>
      <c r="E911" s="189">
        <v>39422</v>
      </c>
      <c r="F911" s="190">
        <v>0</v>
      </c>
      <c r="G911" s="190">
        <v>71.680000000000007</v>
      </c>
      <c r="H911" s="191">
        <v>515</v>
      </c>
      <c r="I911" s="191">
        <v>280</v>
      </c>
      <c r="J911" s="188" t="s">
        <v>571</v>
      </c>
      <c r="K911" s="188" t="s">
        <v>338</v>
      </c>
      <c r="L911" s="188" t="s">
        <v>825</v>
      </c>
      <c r="M911" s="192">
        <f t="shared" si="42"/>
        <v>23</v>
      </c>
      <c r="N911" s="193">
        <f t="shared" si="43"/>
        <v>0.45982142857142855</v>
      </c>
      <c r="O911" s="194">
        <f t="shared" si="44"/>
        <v>1.999223602484472E-2</v>
      </c>
    </row>
    <row r="912" spans="1:15" ht="12.75" customHeight="1">
      <c r="A912" s="188" t="s">
        <v>620</v>
      </c>
      <c r="B912" s="188" t="s">
        <v>1394</v>
      </c>
      <c r="C912" s="188" t="s">
        <v>641</v>
      </c>
      <c r="D912" s="188" t="s">
        <v>2016</v>
      </c>
      <c r="E912" s="189">
        <v>39387</v>
      </c>
      <c r="F912" s="190">
        <v>0</v>
      </c>
      <c r="G912" s="190">
        <v>100.16</v>
      </c>
      <c r="H912" s="191">
        <v>845</v>
      </c>
      <c r="I912" s="191">
        <v>391.25</v>
      </c>
      <c r="J912" s="188" t="s">
        <v>639</v>
      </c>
      <c r="K912" s="188" t="s">
        <v>338</v>
      </c>
      <c r="L912" s="188" t="s">
        <v>2017</v>
      </c>
      <c r="M912" s="192">
        <f t="shared" si="42"/>
        <v>27</v>
      </c>
      <c r="N912" s="193">
        <f t="shared" si="43"/>
        <v>0.53993610223642174</v>
      </c>
      <c r="O912" s="194">
        <f t="shared" si="44"/>
        <v>1.9997633416163767E-2</v>
      </c>
    </row>
    <row r="913" spans="1:15" ht="12.75" customHeight="1">
      <c r="A913" s="188" t="s">
        <v>620</v>
      </c>
      <c r="B913" s="188" t="s">
        <v>1394</v>
      </c>
      <c r="C913" s="188" t="s">
        <v>641</v>
      </c>
      <c r="D913" s="188" t="s">
        <v>2018</v>
      </c>
      <c r="E913" s="189">
        <v>39212</v>
      </c>
      <c r="F913" s="190">
        <v>0</v>
      </c>
      <c r="G913" s="190">
        <v>69.12</v>
      </c>
      <c r="H913" s="191">
        <v>648</v>
      </c>
      <c r="I913" s="191">
        <v>270</v>
      </c>
      <c r="J913" s="188" t="s">
        <v>635</v>
      </c>
      <c r="K913" s="188" t="s">
        <v>338</v>
      </c>
      <c r="L913" s="188" t="s">
        <v>817</v>
      </c>
      <c r="M913" s="192">
        <f t="shared" si="42"/>
        <v>30</v>
      </c>
      <c r="N913" s="193">
        <f t="shared" si="43"/>
        <v>0.6</v>
      </c>
      <c r="O913" s="194">
        <f t="shared" si="44"/>
        <v>0.02</v>
      </c>
    </row>
    <row r="914" spans="1:15" ht="12.75" customHeight="1">
      <c r="A914" s="188" t="s">
        <v>620</v>
      </c>
      <c r="B914" s="188" t="s">
        <v>1394</v>
      </c>
      <c r="C914" s="188" t="s">
        <v>641</v>
      </c>
      <c r="D914" s="188" t="s">
        <v>2019</v>
      </c>
      <c r="E914" s="189">
        <v>39226</v>
      </c>
      <c r="F914" s="190">
        <v>0</v>
      </c>
      <c r="G914" s="190">
        <v>76.8</v>
      </c>
      <c r="H914" s="191">
        <v>648</v>
      </c>
      <c r="I914" s="191">
        <v>300</v>
      </c>
      <c r="J914" s="188" t="s">
        <v>639</v>
      </c>
      <c r="K914" s="188" t="s">
        <v>338</v>
      </c>
      <c r="L914" s="188" t="s">
        <v>632</v>
      </c>
      <c r="M914" s="192">
        <f t="shared" si="42"/>
        <v>27</v>
      </c>
      <c r="N914" s="193">
        <f t="shared" si="43"/>
        <v>0.54</v>
      </c>
      <c r="O914" s="194">
        <f t="shared" si="44"/>
        <v>0.02</v>
      </c>
    </row>
    <row r="915" spans="1:15" ht="12.75" customHeight="1">
      <c r="A915" s="188" t="s">
        <v>620</v>
      </c>
      <c r="B915" s="188" t="s">
        <v>1394</v>
      </c>
      <c r="C915" s="188" t="s">
        <v>641</v>
      </c>
      <c r="D915" s="188" t="s">
        <v>2020</v>
      </c>
      <c r="E915" s="189">
        <v>39282</v>
      </c>
      <c r="F915" s="190">
        <v>0</v>
      </c>
      <c r="G915" s="190">
        <v>19.2</v>
      </c>
      <c r="H915" s="191">
        <v>180</v>
      </c>
      <c r="I915" s="191">
        <v>75</v>
      </c>
      <c r="J915" s="188" t="s">
        <v>635</v>
      </c>
      <c r="K915" s="188" t="s">
        <v>338</v>
      </c>
      <c r="L915" s="188" t="s">
        <v>1315</v>
      </c>
      <c r="M915" s="192">
        <f t="shared" si="42"/>
        <v>30</v>
      </c>
      <c r="N915" s="193">
        <f t="shared" si="43"/>
        <v>0.6</v>
      </c>
      <c r="O915" s="194">
        <f t="shared" si="44"/>
        <v>0.02</v>
      </c>
    </row>
    <row r="916" spans="1:15" ht="12.75" customHeight="1">
      <c r="A916" s="188" t="s">
        <v>620</v>
      </c>
      <c r="B916" s="188" t="s">
        <v>1394</v>
      </c>
      <c r="C916" s="188" t="s">
        <v>641</v>
      </c>
      <c r="D916" s="188" t="s">
        <v>2021</v>
      </c>
      <c r="E916" s="189">
        <v>39534</v>
      </c>
      <c r="F916" s="190">
        <v>0</v>
      </c>
      <c r="G916" s="190">
        <v>51.84</v>
      </c>
      <c r="H916" s="191">
        <v>486</v>
      </c>
      <c r="I916" s="191">
        <v>202.5</v>
      </c>
      <c r="J916" s="188" t="s">
        <v>635</v>
      </c>
      <c r="K916" s="188" t="s">
        <v>338</v>
      </c>
      <c r="L916" s="188" t="s">
        <v>1883</v>
      </c>
      <c r="M916" s="192">
        <f t="shared" si="42"/>
        <v>30</v>
      </c>
      <c r="N916" s="193">
        <f t="shared" si="43"/>
        <v>0.6</v>
      </c>
      <c r="O916" s="194">
        <f t="shared" si="44"/>
        <v>0.02</v>
      </c>
    </row>
    <row r="917" spans="1:15" ht="12.75" customHeight="1">
      <c r="A917" s="188" t="s">
        <v>620</v>
      </c>
      <c r="B917" s="188" t="s">
        <v>1394</v>
      </c>
      <c r="C917" s="188" t="s">
        <v>641</v>
      </c>
      <c r="D917" s="188" t="s">
        <v>2022</v>
      </c>
      <c r="E917" s="189">
        <v>39583</v>
      </c>
      <c r="F917" s="190">
        <v>0</v>
      </c>
      <c r="G917" s="190">
        <v>51.2</v>
      </c>
      <c r="H917" s="191">
        <v>480</v>
      </c>
      <c r="I917" s="191">
        <v>200</v>
      </c>
      <c r="J917" s="188" t="s">
        <v>635</v>
      </c>
      <c r="K917" s="188" t="s">
        <v>338</v>
      </c>
      <c r="L917" s="188" t="s">
        <v>752</v>
      </c>
      <c r="M917" s="192">
        <f t="shared" si="42"/>
        <v>30</v>
      </c>
      <c r="N917" s="193">
        <f t="shared" si="43"/>
        <v>0.6</v>
      </c>
      <c r="O917" s="194">
        <f t="shared" si="44"/>
        <v>0.02</v>
      </c>
    </row>
    <row r="918" spans="1:15" ht="12.75" customHeight="1">
      <c r="A918" s="188" t="s">
        <v>620</v>
      </c>
      <c r="B918" s="188" t="s">
        <v>1394</v>
      </c>
      <c r="C918" s="188" t="s">
        <v>641</v>
      </c>
      <c r="D918" s="188" t="s">
        <v>2023</v>
      </c>
      <c r="E918" s="189">
        <v>39407</v>
      </c>
      <c r="F918" s="190">
        <v>0</v>
      </c>
      <c r="G918" s="190">
        <v>105.28</v>
      </c>
      <c r="H918" s="191">
        <v>757</v>
      </c>
      <c r="I918" s="191">
        <v>411.25</v>
      </c>
      <c r="J918" s="188" t="s">
        <v>571</v>
      </c>
      <c r="K918" s="188" t="s">
        <v>338</v>
      </c>
      <c r="L918" s="188" t="s">
        <v>2024</v>
      </c>
      <c r="M918" s="192">
        <f t="shared" si="42"/>
        <v>23</v>
      </c>
      <c r="N918" s="193">
        <f t="shared" si="43"/>
        <v>0.46018237082066871</v>
      </c>
      <c r="O918" s="194">
        <f t="shared" si="44"/>
        <v>2.0007929166116031E-2</v>
      </c>
    </row>
    <row r="919" spans="1:15" ht="12.75" customHeight="1">
      <c r="A919" s="188" t="s">
        <v>620</v>
      </c>
      <c r="B919" s="188" t="s">
        <v>1394</v>
      </c>
      <c r="C919" s="188" t="s">
        <v>641</v>
      </c>
      <c r="D919" s="188" t="s">
        <v>2025</v>
      </c>
      <c r="E919" s="189">
        <v>39541</v>
      </c>
      <c r="F919" s="190">
        <v>0</v>
      </c>
      <c r="G919" s="190">
        <v>156.80000000000001</v>
      </c>
      <c r="H919" s="191">
        <v>1863</v>
      </c>
      <c r="I919" s="191">
        <v>612.5</v>
      </c>
      <c r="J919" s="188" t="s">
        <v>624</v>
      </c>
      <c r="K919" s="188" t="s">
        <v>338</v>
      </c>
      <c r="L919" s="188" t="s">
        <v>2026</v>
      </c>
      <c r="M919" s="192">
        <f t="shared" si="42"/>
        <v>38</v>
      </c>
      <c r="N919" s="193">
        <f t="shared" si="43"/>
        <v>0.76040816326530614</v>
      </c>
      <c r="O919" s="194">
        <f t="shared" si="44"/>
        <v>2.0010741138560689E-2</v>
      </c>
    </row>
    <row r="920" spans="1:15" ht="12.75" customHeight="1">
      <c r="A920" s="188" t="s">
        <v>620</v>
      </c>
      <c r="B920" s="188" t="s">
        <v>1394</v>
      </c>
      <c r="C920" s="188" t="s">
        <v>641</v>
      </c>
      <c r="D920" s="188" t="s">
        <v>2027</v>
      </c>
      <c r="E920" s="189">
        <v>39324</v>
      </c>
      <c r="F920" s="190">
        <v>0</v>
      </c>
      <c r="G920" s="190">
        <v>67.900000000000006</v>
      </c>
      <c r="H920" s="191">
        <v>574</v>
      </c>
      <c r="I920" s="191">
        <v>265.25</v>
      </c>
      <c r="J920" s="188" t="s">
        <v>639</v>
      </c>
      <c r="K920" s="188" t="s">
        <v>338</v>
      </c>
      <c r="L920" s="188" t="s">
        <v>2028</v>
      </c>
      <c r="M920" s="192">
        <f t="shared" si="42"/>
        <v>27</v>
      </c>
      <c r="N920" s="193">
        <f t="shared" si="43"/>
        <v>0.5409990574929312</v>
      </c>
      <c r="O920" s="194">
        <f t="shared" si="44"/>
        <v>2.0037002129367824E-2</v>
      </c>
    </row>
    <row r="921" spans="1:15" ht="12.75" customHeight="1">
      <c r="A921" s="188" t="s">
        <v>620</v>
      </c>
      <c r="B921" s="188" t="s">
        <v>1394</v>
      </c>
      <c r="C921" s="188" t="s">
        <v>641</v>
      </c>
      <c r="D921" s="188" t="s">
        <v>2029</v>
      </c>
      <c r="E921" s="189">
        <v>39422</v>
      </c>
      <c r="F921" s="190">
        <v>0</v>
      </c>
      <c r="G921" s="190">
        <v>108.8</v>
      </c>
      <c r="H921" s="191">
        <v>1295</v>
      </c>
      <c r="I921" s="191">
        <v>425</v>
      </c>
      <c r="J921" s="188" t="s">
        <v>624</v>
      </c>
      <c r="K921" s="188" t="s">
        <v>338</v>
      </c>
      <c r="L921" s="188" t="s">
        <v>833</v>
      </c>
      <c r="M921" s="192">
        <f t="shared" si="42"/>
        <v>38</v>
      </c>
      <c r="N921" s="193">
        <f t="shared" si="43"/>
        <v>0.7617647058823529</v>
      </c>
      <c r="O921" s="194">
        <f t="shared" si="44"/>
        <v>2.004643962848297E-2</v>
      </c>
    </row>
    <row r="922" spans="1:15" ht="12.75" customHeight="1">
      <c r="A922" s="188" t="s">
        <v>620</v>
      </c>
      <c r="B922" s="188" t="s">
        <v>1394</v>
      </c>
      <c r="C922" s="188" t="s">
        <v>641</v>
      </c>
      <c r="D922" s="188" t="s">
        <v>2030</v>
      </c>
      <c r="E922" s="189">
        <v>39562</v>
      </c>
      <c r="F922" s="190">
        <v>0</v>
      </c>
      <c r="G922" s="190">
        <v>58.82</v>
      </c>
      <c r="H922" s="191">
        <v>701</v>
      </c>
      <c r="I922" s="191">
        <v>229.75</v>
      </c>
      <c r="J922" s="188" t="s">
        <v>624</v>
      </c>
      <c r="K922" s="188" t="s">
        <v>338</v>
      </c>
      <c r="L922" s="188" t="s">
        <v>438</v>
      </c>
      <c r="M922" s="192">
        <f t="shared" si="42"/>
        <v>38</v>
      </c>
      <c r="N922" s="193">
        <f t="shared" si="43"/>
        <v>0.76278563656147991</v>
      </c>
      <c r="O922" s="194">
        <f t="shared" si="44"/>
        <v>2.0073306225302102E-2</v>
      </c>
    </row>
    <row r="923" spans="1:15" ht="12.75" customHeight="1">
      <c r="A923" s="188" t="s">
        <v>620</v>
      </c>
      <c r="B923" s="188" t="s">
        <v>1394</v>
      </c>
      <c r="C923" s="188" t="s">
        <v>641</v>
      </c>
      <c r="D923" s="188" t="s">
        <v>2031</v>
      </c>
      <c r="E923" s="189">
        <v>39527</v>
      </c>
      <c r="F923" s="190">
        <v>0</v>
      </c>
      <c r="G923" s="190">
        <v>71.680000000000007</v>
      </c>
      <c r="H923" s="191">
        <v>855</v>
      </c>
      <c r="I923" s="191">
        <v>280</v>
      </c>
      <c r="J923" s="188" t="s">
        <v>624</v>
      </c>
      <c r="K923" s="188" t="s">
        <v>338</v>
      </c>
      <c r="L923" s="188" t="s">
        <v>825</v>
      </c>
      <c r="M923" s="192">
        <f t="shared" si="42"/>
        <v>38</v>
      </c>
      <c r="N923" s="193">
        <f t="shared" si="43"/>
        <v>0.7633928571428571</v>
      </c>
      <c r="O923" s="194">
        <f t="shared" si="44"/>
        <v>2.0089285714285712E-2</v>
      </c>
    </row>
    <row r="924" spans="1:15" ht="12.75" customHeight="1">
      <c r="A924" s="188" t="s">
        <v>620</v>
      </c>
      <c r="B924" s="188" t="s">
        <v>1394</v>
      </c>
      <c r="C924" s="188" t="s">
        <v>641</v>
      </c>
      <c r="D924" s="188" t="s">
        <v>2032</v>
      </c>
      <c r="E924" s="189">
        <v>39331</v>
      </c>
      <c r="F924" s="190">
        <v>0</v>
      </c>
      <c r="G924" s="190">
        <v>84.03</v>
      </c>
      <c r="H924" s="191">
        <v>712.96</v>
      </c>
      <c r="I924" s="191">
        <v>328.25</v>
      </c>
      <c r="J924" s="188" t="s">
        <v>639</v>
      </c>
      <c r="K924" s="188" t="s">
        <v>338</v>
      </c>
      <c r="L924" s="188" t="s">
        <v>2033</v>
      </c>
      <c r="M924" s="192">
        <f t="shared" si="42"/>
        <v>27</v>
      </c>
      <c r="N924" s="193">
        <f t="shared" si="43"/>
        <v>0.54300076161462307</v>
      </c>
      <c r="O924" s="194">
        <f t="shared" si="44"/>
        <v>2.0111139319060115E-2</v>
      </c>
    </row>
    <row r="925" spans="1:15" ht="12.75" customHeight="1">
      <c r="A925" s="188" t="s">
        <v>620</v>
      </c>
      <c r="B925" s="188" t="s">
        <v>1394</v>
      </c>
      <c r="C925" s="188" t="s">
        <v>641</v>
      </c>
      <c r="D925" s="188" t="s">
        <v>2034</v>
      </c>
      <c r="E925" s="189">
        <v>39447</v>
      </c>
      <c r="F925" s="190">
        <v>0</v>
      </c>
      <c r="G925" s="190">
        <v>36.42</v>
      </c>
      <c r="H925" s="191">
        <v>435</v>
      </c>
      <c r="I925" s="191">
        <v>142.25</v>
      </c>
      <c r="J925" s="188" t="s">
        <v>624</v>
      </c>
      <c r="K925" s="188" t="s">
        <v>338</v>
      </c>
      <c r="L925" s="188" t="s">
        <v>2035</v>
      </c>
      <c r="M925" s="192">
        <f t="shared" si="42"/>
        <v>38</v>
      </c>
      <c r="N925" s="193">
        <f t="shared" si="43"/>
        <v>0.76449912126537789</v>
      </c>
      <c r="O925" s="194">
        <f t="shared" si="44"/>
        <v>2.0118397928036259E-2</v>
      </c>
    </row>
    <row r="926" spans="1:15" ht="12.75" customHeight="1">
      <c r="A926" s="188" t="s">
        <v>620</v>
      </c>
      <c r="B926" s="188" t="s">
        <v>1394</v>
      </c>
      <c r="C926" s="188" t="s">
        <v>641</v>
      </c>
      <c r="D926" s="188" t="s">
        <v>2036</v>
      </c>
      <c r="E926" s="189">
        <v>39317</v>
      </c>
      <c r="F926" s="190">
        <v>0</v>
      </c>
      <c r="G926" s="190">
        <v>78.849999999999994</v>
      </c>
      <c r="H926" s="191">
        <v>942.97</v>
      </c>
      <c r="I926" s="191">
        <v>308</v>
      </c>
      <c r="J926" s="188" t="s">
        <v>624</v>
      </c>
      <c r="K926" s="188" t="s">
        <v>338</v>
      </c>
      <c r="L926" s="188" t="s">
        <v>1965</v>
      </c>
      <c r="M926" s="192">
        <f t="shared" si="42"/>
        <v>38</v>
      </c>
      <c r="N926" s="193">
        <f t="shared" si="43"/>
        <v>0.76539772727272726</v>
      </c>
      <c r="O926" s="194">
        <f t="shared" si="44"/>
        <v>2.0142045454545454E-2</v>
      </c>
    </row>
    <row r="927" spans="1:15" ht="12.75" customHeight="1">
      <c r="A927" s="188" t="s">
        <v>620</v>
      </c>
      <c r="B927" s="188" t="s">
        <v>1394</v>
      </c>
      <c r="C927" s="188" t="s">
        <v>641</v>
      </c>
      <c r="D927" s="188" t="s">
        <v>2037</v>
      </c>
      <c r="E927" s="189">
        <v>39499</v>
      </c>
      <c r="F927" s="190">
        <v>0</v>
      </c>
      <c r="G927" s="190">
        <v>57.6</v>
      </c>
      <c r="H927" s="191">
        <v>690</v>
      </c>
      <c r="I927" s="191">
        <v>225</v>
      </c>
      <c r="J927" s="188" t="s">
        <v>624</v>
      </c>
      <c r="K927" s="188" t="s">
        <v>338</v>
      </c>
      <c r="L927" s="188" t="s">
        <v>740</v>
      </c>
      <c r="M927" s="192">
        <f t="shared" si="42"/>
        <v>38</v>
      </c>
      <c r="N927" s="193">
        <f t="shared" si="43"/>
        <v>0.76666666666666672</v>
      </c>
      <c r="O927" s="194">
        <f t="shared" si="44"/>
        <v>2.0175438596491228E-2</v>
      </c>
    </row>
    <row r="928" spans="1:15" ht="12.75" customHeight="1">
      <c r="A928" s="188" t="s">
        <v>620</v>
      </c>
      <c r="B928" s="188" t="s">
        <v>1394</v>
      </c>
      <c r="C928" s="188" t="s">
        <v>641</v>
      </c>
      <c r="D928" s="188" t="s">
        <v>2038</v>
      </c>
      <c r="E928" s="189">
        <v>39339</v>
      </c>
      <c r="F928" s="190">
        <v>0</v>
      </c>
      <c r="G928" s="190">
        <v>42.62</v>
      </c>
      <c r="H928" s="191">
        <v>416.72</v>
      </c>
      <c r="I928" s="191">
        <v>166.5</v>
      </c>
      <c r="J928" s="188" t="s">
        <v>560</v>
      </c>
      <c r="K928" s="188" t="s">
        <v>648</v>
      </c>
      <c r="L928" s="188" t="s">
        <v>2039</v>
      </c>
      <c r="M928" s="192">
        <f t="shared" si="42"/>
        <v>31</v>
      </c>
      <c r="N928" s="193">
        <f t="shared" si="43"/>
        <v>0.62570570570570572</v>
      </c>
      <c r="O928" s="194">
        <f t="shared" si="44"/>
        <v>2.0184055022764699E-2</v>
      </c>
    </row>
    <row r="929" spans="1:15" ht="12.75" customHeight="1">
      <c r="A929" s="188" t="s">
        <v>620</v>
      </c>
      <c r="B929" s="188" t="s">
        <v>1394</v>
      </c>
      <c r="C929" s="188" t="s">
        <v>641</v>
      </c>
      <c r="D929" s="188" t="s">
        <v>2040</v>
      </c>
      <c r="E929" s="189">
        <v>39345</v>
      </c>
      <c r="F929" s="190">
        <v>0</v>
      </c>
      <c r="G929" s="190">
        <v>57.6</v>
      </c>
      <c r="H929" s="191">
        <v>510</v>
      </c>
      <c r="I929" s="191">
        <v>225</v>
      </c>
      <c r="J929" s="188" t="s">
        <v>750</v>
      </c>
      <c r="K929" s="188" t="s">
        <v>338</v>
      </c>
      <c r="L929" s="188" t="s">
        <v>740</v>
      </c>
      <c r="M929" s="192">
        <f t="shared" si="42"/>
        <v>28</v>
      </c>
      <c r="N929" s="193">
        <f t="shared" si="43"/>
        <v>0.56666666666666665</v>
      </c>
      <c r="O929" s="194">
        <f t="shared" si="44"/>
        <v>2.0238095238095239E-2</v>
      </c>
    </row>
    <row r="930" spans="1:15" ht="12.75" customHeight="1">
      <c r="A930" s="188" t="s">
        <v>620</v>
      </c>
      <c r="B930" s="188" t="s">
        <v>1394</v>
      </c>
      <c r="C930" s="188" t="s">
        <v>641</v>
      </c>
      <c r="D930" s="188" t="s">
        <v>2041</v>
      </c>
      <c r="E930" s="189">
        <v>39282</v>
      </c>
      <c r="F930" s="190">
        <v>0</v>
      </c>
      <c r="G930" s="190">
        <v>53.76</v>
      </c>
      <c r="H930" s="191">
        <v>340.03</v>
      </c>
      <c r="I930" s="191">
        <v>210</v>
      </c>
      <c r="J930" s="188" t="s">
        <v>667</v>
      </c>
      <c r="K930" s="188" t="s">
        <v>333</v>
      </c>
      <c r="L930" s="188" t="s">
        <v>906</v>
      </c>
      <c r="M930" s="192">
        <f t="shared" si="42"/>
        <v>20</v>
      </c>
      <c r="N930" s="193">
        <f t="shared" si="43"/>
        <v>0.40479761904761902</v>
      </c>
      <c r="O930" s="194">
        <f t="shared" si="44"/>
        <v>2.023988095238095E-2</v>
      </c>
    </row>
    <row r="931" spans="1:15" ht="12.75" customHeight="1">
      <c r="A931" s="188" t="s">
        <v>620</v>
      </c>
      <c r="B931" s="188" t="s">
        <v>1394</v>
      </c>
      <c r="C931" s="188" t="s">
        <v>641</v>
      </c>
      <c r="D931" s="188" t="s">
        <v>2042</v>
      </c>
      <c r="E931" s="189">
        <v>39541</v>
      </c>
      <c r="F931" s="190">
        <v>0</v>
      </c>
      <c r="G931" s="190">
        <v>46.59</v>
      </c>
      <c r="H931" s="191">
        <v>560</v>
      </c>
      <c r="I931" s="191">
        <v>182</v>
      </c>
      <c r="J931" s="188" t="s">
        <v>624</v>
      </c>
      <c r="K931" s="188" t="s">
        <v>338</v>
      </c>
      <c r="L931" s="188" t="s">
        <v>1249</v>
      </c>
      <c r="M931" s="192">
        <f t="shared" si="42"/>
        <v>38</v>
      </c>
      <c r="N931" s="193">
        <f t="shared" si="43"/>
        <v>0.76923076923076927</v>
      </c>
      <c r="O931" s="194">
        <f t="shared" si="44"/>
        <v>2.0242914979757085E-2</v>
      </c>
    </row>
    <row r="932" spans="1:15" ht="12.75" customHeight="1">
      <c r="A932" s="188" t="s">
        <v>620</v>
      </c>
      <c r="B932" s="188" t="s">
        <v>1394</v>
      </c>
      <c r="C932" s="188" t="s">
        <v>641</v>
      </c>
      <c r="D932" s="188" t="s">
        <v>2043</v>
      </c>
      <c r="E932" s="189">
        <v>39562</v>
      </c>
      <c r="F932" s="190">
        <v>0</v>
      </c>
      <c r="G932" s="190">
        <v>85.31</v>
      </c>
      <c r="H932" s="191">
        <v>540</v>
      </c>
      <c r="I932" s="191">
        <v>333.25</v>
      </c>
      <c r="J932" s="188" t="s">
        <v>560</v>
      </c>
      <c r="K932" s="188" t="s">
        <v>338</v>
      </c>
      <c r="L932" s="188" t="s">
        <v>1647</v>
      </c>
      <c r="M932" s="192">
        <f t="shared" si="42"/>
        <v>20</v>
      </c>
      <c r="N932" s="193">
        <f t="shared" si="43"/>
        <v>0.40510127531882972</v>
      </c>
      <c r="O932" s="194">
        <f t="shared" si="44"/>
        <v>2.0255063765941488E-2</v>
      </c>
    </row>
    <row r="933" spans="1:15" ht="12.75" customHeight="1">
      <c r="A933" s="188" t="s">
        <v>620</v>
      </c>
      <c r="B933" s="188" t="s">
        <v>1394</v>
      </c>
      <c r="C933" s="188" t="s">
        <v>641</v>
      </c>
      <c r="D933" s="188" t="s">
        <v>2044</v>
      </c>
      <c r="E933" s="189">
        <v>39485</v>
      </c>
      <c r="F933" s="190">
        <v>0</v>
      </c>
      <c r="G933" s="190">
        <v>121.6</v>
      </c>
      <c r="H933" s="191">
        <v>1040</v>
      </c>
      <c r="I933" s="191">
        <v>475</v>
      </c>
      <c r="J933" s="188" t="s">
        <v>639</v>
      </c>
      <c r="K933" s="188" t="s">
        <v>338</v>
      </c>
      <c r="L933" s="188" t="s">
        <v>1673</v>
      </c>
      <c r="M933" s="192">
        <f t="shared" si="42"/>
        <v>27</v>
      </c>
      <c r="N933" s="193">
        <f t="shared" si="43"/>
        <v>0.54736842105263162</v>
      </c>
      <c r="O933" s="194">
        <f t="shared" si="44"/>
        <v>2.02729044834308E-2</v>
      </c>
    </row>
    <row r="934" spans="1:15" ht="12.75" customHeight="1">
      <c r="A934" s="188" t="s">
        <v>620</v>
      </c>
      <c r="B934" s="188" t="s">
        <v>1394</v>
      </c>
      <c r="C934" s="188" t="s">
        <v>641</v>
      </c>
      <c r="D934" s="188" t="s">
        <v>2045</v>
      </c>
      <c r="E934" s="189">
        <v>39275</v>
      </c>
      <c r="F934" s="190">
        <v>0</v>
      </c>
      <c r="G934" s="190">
        <v>73.599999999999994</v>
      </c>
      <c r="H934" s="191">
        <v>583.04999999999995</v>
      </c>
      <c r="I934" s="191">
        <v>287.5</v>
      </c>
      <c r="J934" s="188" t="s">
        <v>652</v>
      </c>
      <c r="K934" s="188" t="s">
        <v>338</v>
      </c>
      <c r="L934" s="188" t="s">
        <v>697</v>
      </c>
      <c r="M934" s="192">
        <f t="shared" si="42"/>
        <v>25</v>
      </c>
      <c r="N934" s="193">
        <f t="shared" si="43"/>
        <v>0.50700000000000001</v>
      </c>
      <c r="O934" s="194">
        <f t="shared" si="44"/>
        <v>2.0279999999999999E-2</v>
      </c>
    </row>
    <row r="935" spans="1:15" ht="12.75" customHeight="1">
      <c r="A935" s="188" t="s">
        <v>620</v>
      </c>
      <c r="B935" s="188" t="s">
        <v>1394</v>
      </c>
      <c r="C935" s="188" t="s">
        <v>641</v>
      </c>
      <c r="D935" s="188" t="s">
        <v>2046</v>
      </c>
      <c r="E935" s="189">
        <v>39289</v>
      </c>
      <c r="F935" s="190">
        <v>0</v>
      </c>
      <c r="G935" s="190">
        <v>38.909999999999997</v>
      </c>
      <c r="H935" s="191">
        <v>469.01</v>
      </c>
      <c r="I935" s="191">
        <v>152</v>
      </c>
      <c r="J935" s="188" t="s">
        <v>624</v>
      </c>
      <c r="K935" s="188" t="s">
        <v>338</v>
      </c>
      <c r="L935" s="188" t="s">
        <v>2047</v>
      </c>
      <c r="M935" s="192">
        <f t="shared" si="42"/>
        <v>38</v>
      </c>
      <c r="N935" s="193">
        <f t="shared" si="43"/>
        <v>0.77139802631578946</v>
      </c>
      <c r="O935" s="194">
        <f t="shared" si="44"/>
        <v>2.029994806094183E-2</v>
      </c>
    </row>
    <row r="936" spans="1:15" ht="12.75" customHeight="1">
      <c r="A936" s="188" t="s">
        <v>620</v>
      </c>
      <c r="B936" s="188" t="s">
        <v>1394</v>
      </c>
      <c r="C936" s="188" t="s">
        <v>641</v>
      </c>
      <c r="D936" s="188" t="s">
        <v>2048</v>
      </c>
      <c r="E936" s="189">
        <v>39534</v>
      </c>
      <c r="F936" s="190">
        <v>0</v>
      </c>
      <c r="G936" s="190">
        <v>65.540000000000006</v>
      </c>
      <c r="H936" s="191">
        <v>790.24</v>
      </c>
      <c r="I936" s="191">
        <v>256</v>
      </c>
      <c r="J936" s="188" t="s">
        <v>624</v>
      </c>
      <c r="K936" s="188" t="s">
        <v>338</v>
      </c>
      <c r="L936" s="188" t="s">
        <v>507</v>
      </c>
      <c r="M936" s="192">
        <f t="shared" si="42"/>
        <v>38</v>
      </c>
      <c r="N936" s="193">
        <f t="shared" si="43"/>
        <v>0.77171875000000001</v>
      </c>
      <c r="O936" s="194">
        <f t="shared" si="44"/>
        <v>2.0308388157894736E-2</v>
      </c>
    </row>
    <row r="937" spans="1:15" ht="12.75" customHeight="1">
      <c r="A937" s="188" t="s">
        <v>620</v>
      </c>
      <c r="B937" s="188" t="s">
        <v>1394</v>
      </c>
      <c r="C937" s="188" t="s">
        <v>641</v>
      </c>
      <c r="D937" s="188" t="s">
        <v>2049</v>
      </c>
      <c r="E937" s="189">
        <v>39590</v>
      </c>
      <c r="F937" s="190">
        <v>0</v>
      </c>
      <c r="G937" s="190">
        <v>61.44</v>
      </c>
      <c r="H937" s="191">
        <v>585</v>
      </c>
      <c r="I937" s="191">
        <v>240</v>
      </c>
      <c r="J937" s="188" t="s">
        <v>635</v>
      </c>
      <c r="K937" s="188" t="s">
        <v>338</v>
      </c>
      <c r="L937" s="188" t="s">
        <v>1146</v>
      </c>
      <c r="M937" s="192">
        <f t="shared" si="42"/>
        <v>30</v>
      </c>
      <c r="N937" s="193">
        <f t="shared" si="43"/>
        <v>0.609375</v>
      </c>
      <c r="O937" s="194">
        <f t="shared" si="44"/>
        <v>2.0312500000000001E-2</v>
      </c>
    </row>
    <row r="938" spans="1:15" ht="12.75" customHeight="1">
      <c r="A938" s="188" t="s">
        <v>620</v>
      </c>
      <c r="B938" s="188" t="s">
        <v>1394</v>
      </c>
      <c r="C938" s="188" t="s">
        <v>641</v>
      </c>
      <c r="D938" s="188" t="s">
        <v>2050</v>
      </c>
      <c r="E938" s="189">
        <v>39507</v>
      </c>
      <c r="F938" s="190">
        <v>0</v>
      </c>
      <c r="G938" s="190">
        <v>84.93</v>
      </c>
      <c r="H938" s="191">
        <v>728</v>
      </c>
      <c r="I938" s="191">
        <v>331.75</v>
      </c>
      <c r="J938" s="188" t="s">
        <v>639</v>
      </c>
      <c r="K938" s="188" t="s">
        <v>338</v>
      </c>
      <c r="L938" s="188" t="s">
        <v>2051</v>
      </c>
      <c r="M938" s="192">
        <f t="shared" si="42"/>
        <v>27</v>
      </c>
      <c r="N938" s="193">
        <f t="shared" si="43"/>
        <v>0.54860587792012061</v>
      </c>
      <c r="O938" s="194">
        <f t="shared" si="44"/>
        <v>2.0318736219263726E-2</v>
      </c>
    </row>
    <row r="939" spans="1:15" ht="12.75" customHeight="1">
      <c r="A939" s="188" t="s">
        <v>620</v>
      </c>
      <c r="B939" s="188" t="s">
        <v>1394</v>
      </c>
      <c r="C939" s="188" t="s">
        <v>641</v>
      </c>
      <c r="D939" s="188" t="s">
        <v>2052</v>
      </c>
      <c r="E939" s="189">
        <v>39447</v>
      </c>
      <c r="F939" s="190">
        <v>0</v>
      </c>
      <c r="G939" s="190">
        <v>115.2</v>
      </c>
      <c r="H939" s="191">
        <v>1390</v>
      </c>
      <c r="I939" s="191">
        <v>450</v>
      </c>
      <c r="J939" s="188" t="s">
        <v>624</v>
      </c>
      <c r="K939" s="188" t="s">
        <v>338</v>
      </c>
      <c r="L939" s="188" t="s">
        <v>718</v>
      </c>
      <c r="M939" s="192">
        <f t="shared" si="42"/>
        <v>38</v>
      </c>
      <c r="N939" s="193">
        <f t="shared" si="43"/>
        <v>0.77222222222222225</v>
      </c>
      <c r="O939" s="194">
        <f t="shared" si="44"/>
        <v>2.0321637426900584E-2</v>
      </c>
    </row>
    <row r="940" spans="1:15" ht="12.75" customHeight="1">
      <c r="A940" s="188" t="s">
        <v>620</v>
      </c>
      <c r="B940" s="188" t="s">
        <v>1394</v>
      </c>
      <c r="C940" s="188" t="s">
        <v>641</v>
      </c>
      <c r="D940" s="188" t="s">
        <v>2053</v>
      </c>
      <c r="E940" s="189">
        <v>39520</v>
      </c>
      <c r="F940" s="190">
        <v>0</v>
      </c>
      <c r="G940" s="190">
        <v>73.02</v>
      </c>
      <c r="H940" s="191">
        <v>696</v>
      </c>
      <c r="I940" s="191">
        <v>285.25</v>
      </c>
      <c r="J940" s="188" t="s">
        <v>635</v>
      </c>
      <c r="K940" s="188" t="s">
        <v>338</v>
      </c>
      <c r="L940" s="188" t="s">
        <v>2054</v>
      </c>
      <c r="M940" s="192">
        <f t="shared" si="42"/>
        <v>30</v>
      </c>
      <c r="N940" s="193">
        <f t="shared" si="43"/>
        <v>0.60999123575810688</v>
      </c>
      <c r="O940" s="194">
        <f t="shared" si="44"/>
        <v>2.0333041191936897E-2</v>
      </c>
    </row>
    <row r="941" spans="1:15" ht="12.75" customHeight="1">
      <c r="A941" s="188" t="s">
        <v>620</v>
      </c>
      <c r="B941" s="188" t="s">
        <v>1394</v>
      </c>
      <c r="C941" s="188" t="s">
        <v>641</v>
      </c>
      <c r="D941" s="188" t="s">
        <v>2055</v>
      </c>
      <c r="E941" s="189">
        <v>39499</v>
      </c>
      <c r="F941" s="190">
        <v>0</v>
      </c>
      <c r="G941" s="190">
        <v>70.400000000000006</v>
      </c>
      <c r="H941" s="191">
        <v>850</v>
      </c>
      <c r="I941" s="191">
        <v>275</v>
      </c>
      <c r="J941" s="188" t="s">
        <v>624</v>
      </c>
      <c r="K941" s="188" t="s">
        <v>338</v>
      </c>
      <c r="L941" s="188" t="s">
        <v>557</v>
      </c>
      <c r="M941" s="192">
        <f t="shared" si="42"/>
        <v>38</v>
      </c>
      <c r="N941" s="193">
        <f t="shared" si="43"/>
        <v>0.77272727272727271</v>
      </c>
      <c r="O941" s="194">
        <f t="shared" si="44"/>
        <v>2.033492822966507E-2</v>
      </c>
    </row>
    <row r="942" spans="1:15" ht="12.75" customHeight="1">
      <c r="A942" s="188" t="s">
        <v>620</v>
      </c>
      <c r="B942" s="188" t="s">
        <v>1394</v>
      </c>
      <c r="C942" s="188" t="s">
        <v>641</v>
      </c>
      <c r="D942" s="188" t="s">
        <v>2056</v>
      </c>
      <c r="E942" s="189">
        <v>39562</v>
      </c>
      <c r="F942" s="190">
        <v>0</v>
      </c>
      <c r="G942" s="190">
        <v>110.59</v>
      </c>
      <c r="H942" s="191">
        <v>1337</v>
      </c>
      <c r="I942" s="191">
        <v>432</v>
      </c>
      <c r="J942" s="188" t="s">
        <v>624</v>
      </c>
      <c r="K942" s="188" t="s">
        <v>338</v>
      </c>
      <c r="L942" s="188" t="s">
        <v>1800</v>
      </c>
      <c r="M942" s="192">
        <f t="shared" si="42"/>
        <v>38</v>
      </c>
      <c r="N942" s="193">
        <f t="shared" si="43"/>
        <v>0.77372685185185186</v>
      </c>
      <c r="O942" s="194">
        <f t="shared" si="44"/>
        <v>2.0361232943469785E-2</v>
      </c>
    </row>
    <row r="943" spans="1:15" ht="12.75" customHeight="1">
      <c r="A943" s="188" t="s">
        <v>620</v>
      </c>
      <c r="B943" s="188" t="s">
        <v>1394</v>
      </c>
      <c r="C943" s="188" t="s">
        <v>641</v>
      </c>
      <c r="D943" s="188" t="s">
        <v>2057</v>
      </c>
      <c r="E943" s="189">
        <v>39380</v>
      </c>
      <c r="F943" s="190">
        <v>0</v>
      </c>
      <c r="G943" s="190">
        <v>80.64</v>
      </c>
      <c r="H943" s="191">
        <v>975</v>
      </c>
      <c r="I943" s="191">
        <v>315</v>
      </c>
      <c r="J943" s="188" t="s">
        <v>624</v>
      </c>
      <c r="K943" s="188" t="s">
        <v>338</v>
      </c>
      <c r="L943" s="188" t="s">
        <v>680</v>
      </c>
      <c r="M943" s="192">
        <f t="shared" si="42"/>
        <v>38</v>
      </c>
      <c r="N943" s="193">
        <f t="shared" si="43"/>
        <v>0.77380952380952384</v>
      </c>
      <c r="O943" s="194">
        <f t="shared" si="44"/>
        <v>2.036340852130326E-2</v>
      </c>
    </row>
    <row r="944" spans="1:15" ht="12.75" customHeight="1">
      <c r="A944" s="188" t="s">
        <v>620</v>
      </c>
      <c r="B944" s="188" t="s">
        <v>1394</v>
      </c>
      <c r="C944" s="188" t="s">
        <v>641</v>
      </c>
      <c r="D944" s="188" t="s">
        <v>2058</v>
      </c>
      <c r="E944" s="189">
        <v>39212</v>
      </c>
      <c r="F944" s="190">
        <v>0</v>
      </c>
      <c r="G944" s="190">
        <v>67.58</v>
      </c>
      <c r="H944" s="191">
        <v>538.55999999999995</v>
      </c>
      <c r="I944" s="191">
        <v>264</v>
      </c>
      <c r="J944" s="188" t="s">
        <v>652</v>
      </c>
      <c r="K944" s="188" t="s">
        <v>338</v>
      </c>
      <c r="L944" s="188" t="s">
        <v>1354</v>
      </c>
      <c r="M944" s="192">
        <f t="shared" si="42"/>
        <v>25</v>
      </c>
      <c r="N944" s="193">
        <f t="shared" si="43"/>
        <v>0.5099999999999999</v>
      </c>
      <c r="O944" s="194">
        <f t="shared" si="44"/>
        <v>2.0399999999999995E-2</v>
      </c>
    </row>
    <row r="945" spans="1:15" ht="12.75" customHeight="1">
      <c r="A945" s="188" t="s">
        <v>620</v>
      </c>
      <c r="B945" s="188" t="s">
        <v>1394</v>
      </c>
      <c r="C945" s="188" t="s">
        <v>641</v>
      </c>
      <c r="D945" s="188" t="s">
        <v>2059</v>
      </c>
      <c r="E945" s="189">
        <v>39447</v>
      </c>
      <c r="F945" s="190">
        <v>0</v>
      </c>
      <c r="G945" s="190">
        <v>76.8</v>
      </c>
      <c r="H945" s="191">
        <v>588</v>
      </c>
      <c r="I945" s="191">
        <v>300</v>
      </c>
      <c r="J945" s="188" t="s">
        <v>1052</v>
      </c>
      <c r="K945" s="188" t="s">
        <v>338</v>
      </c>
      <c r="L945" s="188" t="s">
        <v>632</v>
      </c>
      <c r="M945" s="192">
        <f t="shared" si="42"/>
        <v>24</v>
      </c>
      <c r="N945" s="193">
        <f t="shared" si="43"/>
        <v>0.49</v>
      </c>
      <c r="O945" s="194">
        <f t="shared" si="44"/>
        <v>2.0416666666666666E-2</v>
      </c>
    </row>
    <row r="946" spans="1:15" ht="12.75" customHeight="1">
      <c r="A946" s="188" t="s">
        <v>620</v>
      </c>
      <c r="B946" s="188" t="s">
        <v>1394</v>
      </c>
      <c r="C946" s="188" t="s">
        <v>641</v>
      </c>
      <c r="D946" s="188" t="s">
        <v>2060</v>
      </c>
      <c r="E946" s="189">
        <v>39447</v>
      </c>
      <c r="F946" s="190">
        <v>0</v>
      </c>
      <c r="G946" s="190">
        <v>90.24</v>
      </c>
      <c r="H946" s="191">
        <v>576</v>
      </c>
      <c r="I946" s="191">
        <v>352.5</v>
      </c>
      <c r="J946" s="188" t="s">
        <v>560</v>
      </c>
      <c r="K946" s="188" t="s">
        <v>338</v>
      </c>
      <c r="L946" s="188" t="s">
        <v>2061</v>
      </c>
      <c r="M946" s="192">
        <f t="shared" si="42"/>
        <v>20</v>
      </c>
      <c r="N946" s="193">
        <f t="shared" si="43"/>
        <v>0.40851063829787232</v>
      </c>
      <c r="O946" s="194">
        <f t="shared" si="44"/>
        <v>2.0425531914893616E-2</v>
      </c>
    </row>
    <row r="947" spans="1:15" ht="12.75" customHeight="1">
      <c r="A947" s="188" t="s">
        <v>620</v>
      </c>
      <c r="B947" s="188" t="s">
        <v>1394</v>
      </c>
      <c r="C947" s="188" t="s">
        <v>641</v>
      </c>
      <c r="D947" s="188" t="s">
        <v>2062</v>
      </c>
      <c r="E947" s="189">
        <v>39471</v>
      </c>
      <c r="F947" s="190">
        <v>0</v>
      </c>
      <c r="G947" s="190">
        <v>89.6</v>
      </c>
      <c r="H947" s="191">
        <v>544</v>
      </c>
      <c r="I947" s="191">
        <v>350</v>
      </c>
      <c r="J947" s="188" t="s">
        <v>667</v>
      </c>
      <c r="K947" s="188" t="s">
        <v>338</v>
      </c>
      <c r="L947" s="188" t="s">
        <v>754</v>
      </c>
      <c r="M947" s="192">
        <f t="shared" si="42"/>
        <v>19</v>
      </c>
      <c r="N947" s="193">
        <f t="shared" si="43"/>
        <v>0.38857142857142857</v>
      </c>
      <c r="O947" s="194">
        <f t="shared" si="44"/>
        <v>2.0451127819548873E-2</v>
      </c>
    </row>
    <row r="948" spans="1:15" ht="12.75" customHeight="1">
      <c r="A948" s="188" t="s">
        <v>620</v>
      </c>
      <c r="B948" s="188" t="s">
        <v>1394</v>
      </c>
      <c r="C948" s="188" t="s">
        <v>641</v>
      </c>
      <c r="D948" s="188" t="s">
        <v>2063</v>
      </c>
      <c r="E948" s="189">
        <v>39513</v>
      </c>
      <c r="F948" s="190">
        <v>0</v>
      </c>
      <c r="G948" s="190">
        <v>70.400000000000006</v>
      </c>
      <c r="H948" s="191">
        <v>855</v>
      </c>
      <c r="I948" s="191">
        <v>275</v>
      </c>
      <c r="J948" s="188" t="s">
        <v>624</v>
      </c>
      <c r="K948" s="188" t="s">
        <v>338</v>
      </c>
      <c r="L948" s="188" t="s">
        <v>557</v>
      </c>
      <c r="M948" s="192">
        <f t="shared" si="42"/>
        <v>38</v>
      </c>
      <c r="N948" s="193">
        <f t="shared" si="43"/>
        <v>0.77727272727272723</v>
      </c>
      <c r="O948" s="194">
        <f t="shared" si="44"/>
        <v>2.0454545454545454E-2</v>
      </c>
    </row>
    <row r="949" spans="1:15" ht="12.75" customHeight="1">
      <c r="A949" s="188" t="s">
        <v>620</v>
      </c>
      <c r="B949" s="188" t="s">
        <v>1394</v>
      </c>
      <c r="C949" s="188" t="s">
        <v>641</v>
      </c>
      <c r="D949" s="188" t="s">
        <v>2064</v>
      </c>
      <c r="E949" s="189">
        <v>39324</v>
      </c>
      <c r="F949" s="190">
        <v>0</v>
      </c>
      <c r="G949" s="190">
        <v>83.2</v>
      </c>
      <c r="H949" s="191">
        <v>745.03</v>
      </c>
      <c r="I949" s="191">
        <v>325</v>
      </c>
      <c r="J949" s="188" t="s">
        <v>750</v>
      </c>
      <c r="K949" s="188" t="s">
        <v>338</v>
      </c>
      <c r="L949" s="188" t="s">
        <v>699</v>
      </c>
      <c r="M949" s="192">
        <f t="shared" si="42"/>
        <v>28</v>
      </c>
      <c r="N949" s="193">
        <f t="shared" si="43"/>
        <v>0.57309999999999994</v>
      </c>
      <c r="O949" s="194">
        <f t="shared" si="44"/>
        <v>2.0467857142857142E-2</v>
      </c>
    </row>
    <row r="950" spans="1:15" ht="12.75" customHeight="1">
      <c r="A950" s="188" t="s">
        <v>620</v>
      </c>
      <c r="B950" s="188" t="s">
        <v>1394</v>
      </c>
      <c r="C950" s="188" t="s">
        <v>641</v>
      </c>
      <c r="D950" s="188" t="s">
        <v>2065</v>
      </c>
      <c r="E950" s="189">
        <v>39447</v>
      </c>
      <c r="F950" s="190">
        <v>0</v>
      </c>
      <c r="G950" s="190">
        <v>78.72</v>
      </c>
      <c r="H950" s="191">
        <v>580</v>
      </c>
      <c r="I950" s="191">
        <v>307.5</v>
      </c>
      <c r="J950" s="188" t="s">
        <v>571</v>
      </c>
      <c r="K950" s="188" t="s">
        <v>338</v>
      </c>
      <c r="L950" s="188" t="s">
        <v>475</v>
      </c>
      <c r="M950" s="192">
        <f t="shared" si="42"/>
        <v>23</v>
      </c>
      <c r="N950" s="193">
        <f t="shared" si="43"/>
        <v>0.47154471544715448</v>
      </c>
      <c r="O950" s="194">
        <f t="shared" si="44"/>
        <v>2.0501944149876283E-2</v>
      </c>
    </row>
    <row r="951" spans="1:15" ht="12.75" customHeight="1">
      <c r="A951" s="188" t="s">
        <v>620</v>
      </c>
      <c r="B951" s="188" t="s">
        <v>1394</v>
      </c>
      <c r="C951" s="188" t="s">
        <v>641</v>
      </c>
      <c r="D951" s="188" t="s">
        <v>2066</v>
      </c>
      <c r="E951" s="189">
        <v>39447</v>
      </c>
      <c r="F951" s="190">
        <v>0</v>
      </c>
      <c r="G951" s="190">
        <v>89.54</v>
      </c>
      <c r="H951" s="191">
        <v>574</v>
      </c>
      <c r="I951" s="191">
        <v>349.75</v>
      </c>
      <c r="J951" s="188" t="s">
        <v>560</v>
      </c>
      <c r="K951" s="188" t="s">
        <v>338</v>
      </c>
      <c r="L951" s="188" t="s">
        <v>2067</v>
      </c>
      <c r="M951" s="192">
        <f t="shared" si="42"/>
        <v>20</v>
      </c>
      <c r="N951" s="193">
        <f t="shared" si="43"/>
        <v>0.41029306647605435</v>
      </c>
      <c r="O951" s="194">
        <f t="shared" si="44"/>
        <v>2.0514653323802718E-2</v>
      </c>
    </row>
    <row r="952" spans="1:15" ht="12.75" customHeight="1">
      <c r="A952" s="188" t="s">
        <v>620</v>
      </c>
      <c r="B952" s="188" t="s">
        <v>1394</v>
      </c>
      <c r="C952" s="188" t="s">
        <v>641</v>
      </c>
      <c r="D952" s="188" t="s">
        <v>2068</v>
      </c>
      <c r="E952" s="189">
        <v>39324</v>
      </c>
      <c r="F952" s="190">
        <v>0</v>
      </c>
      <c r="G952" s="190">
        <v>117.76</v>
      </c>
      <c r="H952" s="191">
        <v>943.92</v>
      </c>
      <c r="I952" s="191">
        <v>460</v>
      </c>
      <c r="J952" s="188" t="s">
        <v>652</v>
      </c>
      <c r="K952" s="188" t="s">
        <v>338</v>
      </c>
      <c r="L952" s="188" t="s">
        <v>2069</v>
      </c>
      <c r="M952" s="192">
        <f t="shared" si="42"/>
        <v>25</v>
      </c>
      <c r="N952" s="193">
        <f t="shared" si="43"/>
        <v>0.51300000000000001</v>
      </c>
      <c r="O952" s="194">
        <f t="shared" si="44"/>
        <v>2.052E-2</v>
      </c>
    </row>
    <row r="953" spans="1:15" ht="12.75" customHeight="1">
      <c r="A953" s="188" t="s">
        <v>620</v>
      </c>
      <c r="B953" s="188" t="s">
        <v>1394</v>
      </c>
      <c r="C953" s="188" t="s">
        <v>641</v>
      </c>
      <c r="D953" s="188" t="s">
        <v>2070</v>
      </c>
      <c r="E953" s="189">
        <v>39499</v>
      </c>
      <c r="F953" s="190">
        <v>0</v>
      </c>
      <c r="G953" s="190">
        <v>55.81</v>
      </c>
      <c r="H953" s="191">
        <v>680</v>
      </c>
      <c r="I953" s="191">
        <v>218</v>
      </c>
      <c r="J953" s="188" t="s">
        <v>639</v>
      </c>
      <c r="K953" s="188" t="s">
        <v>648</v>
      </c>
      <c r="L953" s="188" t="s">
        <v>2071</v>
      </c>
      <c r="M953" s="192">
        <f t="shared" si="42"/>
        <v>38</v>
      </c>
      <c r="N953" s="193">
        <f t="shared" si="43"/>
        <v>0.77981651376146788</v>
      </c>
      <c r="O953" s="194">
        <f t="shared" si="44"/>
        <v>2.0521487204249154E-2</v>
      </c>
    </row>
    <row r="954" spans="1:15" ht="12.75" customHeight="1">
      <c r="A954" s="188" t="s">
        <v>620</v>
      </c>
      <c r="B954" s="188" t="s">
        <v>1394</v>
      </c>
      <c r="C954" s="188" t="s">
        <v>641</v>
      </c>
      <c r="D954" s="188" t="s">
        <v>2072</v>
      </c>
      <c r="E954" s="189">
        <v>39373</v>
      </c>
      <c r="F954" s="190">
        <v>0</v>
      </c>
      <c r="G954" s="190">
        <v>64.959999999999994</v>
      </c>
      <c r="H954" s="191">
        <v>542</v>
      </c>
      <c r="I954" s="191">
        <v>253.75</v>
      </c>
      <c r="J954" s="188" t="s">
        <v>361</v>
      </c>
      <c r="K954" s="188" t="s">
        <v>338</v>
      </c>
      <c r="L954" s="188" t="s">
        <v>2073</v>
      </c>
      <c r="M954" s="192">
        <f t="shared" si="42"/>
        <v>26</v>
      </c>
      <c r="N954" s="193">
        <f t="shared" si="43"/>
        <v>0.53399014778325127</v>
      </c>
      <c r="O954" s="194">
        <f t="shared" si="44"/>
        <v>2.0538082607048126E-2</v>
      </c>
    </row>
    <row r="955" spans="1:15" ht="12.75" customHeight="1">
      <c r="A955" s="188" t="s">
        <v>620</v>
      </c>
      <c r="B955" s="188" t="s">
        <v>1394</v>
      </c>
      <c r="C955" s="188" t="s">
        <v>641</v>
      </c>
      <c r="D955" s="188" t="s">
        <v>2074</v>
      </c>
      <c r="E955" s="189">
        <v>39261</v>
      </c>
      <c r="F955" s="190">
        <v>0</v>
      </c>
      <c r="G955" s="190">
        <v>80.64</v>
      </c>
      <c r="H955" s="191">
        <v>492.03</v>
      </c>
      <c r="I955" s="191">
        <v>315</v>
      </c>
      <c r="J955" s="188" t="s">
        <v>667</v>
      </c>
      <c r="K955" s="188" t="s">
        <v>338</v>
      </c>
      <c r="L955" s="188" t="s">
        <v>680</v>
      </c>
      <c r="M955" s="192">
        <f t="shared" si="42"/>
        <v>19</v>
      </c>
      <c r="N955" s="193">
        <f t="shared" si="43"/>
        <v>0.39049999999999996</v>
      </c>
      <c r="O955" s="194">
        <f t="shared" si="44"/>
        <v>2.0552631578947368E-2</v>
      </c>
    </row>
    <row r="956" spans="1:15" ht="12.75" customHeight="1">
      <c r="A956" s="188" t="s">
        <v>620</v>
      </c>
      <c r="B956" s="188" t="s">
        <v>1394</v>
      </c>
      <c r="C956" s="188" t="s">
        <v>641</v>
      </c>
      <c r="D956" s="188" t="s">
        <v>2075</v>
      </c>
      <c r="E956" s="189">
        <v>39254</v>
      </c>
      <c r="F956" s="190">
        <v>0</v>
      </c>
      <c r="G956" s="190">
        <v>67.97</v>
      </c>
      <c r="H956" s="191">
        <v>655.04</v>
      </c>
      <c r="I956" s="191">
        <v>265.5</v>
      </c>
      <c r="J956" s="188" t="s">
        <v>635</v>
      </c>
      <c r="K956" s="188" t="s">
        <v>338</v>
      </c>
      <c r="L956" s="188" t="s">
        <v>2076</v>
      </c>
      <c r="M956" s="192">
        <f t="shared" si="42"/>
        <v>30</v>
      </c>
      <c r="N956" s="193">
        <f t="shared" si="43"/>
        <v>0.61679849340866288</v>
      </c>
      <c r="O956" s="194">
        <f t="shared" si="44"/>
        <v>2.0559949780288762E-2</v>
      </c>
    </row>
    <row r="957" spans="1:15" ht="12.75" customHeight="1">
      <c r="A957" s="188" t="s">
        <v>620</v>
      </c>
      <c r="B957" s="188" t="s">
        <v>1394</v>
      </c>
      <c r="C957" s="188" t="s">
        <v>641</v>
      </c>
      <c r="D957" s="188" t="s">
        <v>2077</v>
      </c>
      <c r="E957" s="189">
        <v>39447</v>
      </c>
      <c r="F957" s="190">
        <v>0</v>
      </c>
      <c r="G957" s="190">
        <v>77.819999999999993</v>
      </c>
      <c r="H957" s="191">
        <v>826</v>
      </c>
      <c r="I957" s="191">
        <v>304</v>
      </c>
      <c r="J957" s="188" t="s">
        <v>742</v>
      </c>
      <c r="K957" s="188" t="s">
        <v>338</v>
      </c>
      <c r="L957" s="188" t="s">
        <v>1767</v>
      </c>
      <c r="M957" s="192">
        <f t="shared" si="42"/>
        <v>33</v>
      </c>
      <c r="N957" s="193">
        <f t="shared" si="43"/>
        <v>0.67927631578947367</v>
      </c>
      <c r="O957" s="194">
        <f t="shared" si="44"/>
        <v>2.0584130781499201E-2</v>
      </c>
    </row>
    <row r="958" spans="1:15" ht="12.75" customHeight="1">
      <c r="A958" s="188" t="s">
        <v>620</v>
      </c>
      <c r="B958" s="188" t="s">
        <v>1394</v>
      </c>
      <c r="C958" s="188" t="s">
        <v>641</v>
      </c>
      <c r="D958" s="188" t="s">
        <v>2078</v>
      </c>
      <c r="E958" s="189">
        <v>39289</v>
      </c>
      <c r="F958" s="190">
        <v>0</v>
      </c>
      <c r="G958" s="190">
        <v>56.83</v>
      </c>
      <c r="H958" s="191">
        <v>695.04</v>
      </c>
      <c r="I958" s="191">
        <v>222</v>
      </c>
      <c r="J958" s="188" t="s">
        <v>624</v>
      </c>
      <c r="K958" s="188" t="s">
        <v>338</v>
      </c>
      <c r="L958" s="188" t="s">
        <v>2079</v>
      </c>
      <c r="M958" s="192">
        <f t="shared" si="42"/>
        <v>38</v>
      </c>
      <c r="N958" s="193">
        <f t="shared" si="43"/>
        <v>0.7827027027027027</v>
      </c>
      <c r="O958" s="194">
        <f t="shared" si="44"/>
        <v>2.0597439544807965E-2</v>
      </c>
    </row>
    <row r="959" spans="1:15" ht="12.75" customHeight="1">
      <c r="A959" s="188" t="s">
        <v>620</v>
      </c>
      <c r="B959" s="188" t="s">
        <v>1394</v>
      </c>
      <c r="C959" s="188" t="s">
        <v>641</v>
      </c>
      <c r="D959" s="188" t="s">
        <v>2080</v>
      </c>
      <c r="E959" s="189">
        <v>39269</v>
      </c>
      <c r="F959" s="190">
        <v>0</v>
      </c>
      <c r="G959" s="190">
        <v>76.03</v>
      </c>
      <c r="H959" s="191">
        <v>833.74</v>
      </c>
      <c r="I959" s="191">
        <v>297</v>
      </c>
      <c r="J959" s="188" t="s">
        <v>639</v>
      </c>
      <c r="K959" s="188" t="s">
        <v>439</v>
      </c>
      <c r="L959" s="188" t="s">
        <v>790</v>
      </c>
      <c r="M959" s="192">
        <f t="shared" si="42"/>
        <v>34</v>
      </c>
      <c r="N959" s="193">
        <f t="shared" si="43"/>
        <v>0.70180134680134676</v>
      </c>
      <c r="O959" s="194">
        <f t="shared" si="44"/>
        <v>2.0641216082392552E-2</v>
      </c>
    </row>
    <row r="960" spans="1:15" ht="12.75" customHeight="1">
      <c r="A960" s="188" t="s">
        <v>620</v>
      </c>
      <c r="B960" s="188" t="s">
        <v>1394</v>
      </c>
      <c r="C960" s="188" t="s">
        <v>641</v>
      </c>
      <c r="D960" s="188" t="s">
        <v>2081</v>
      </c>
      <c r="E960" s="189">
        <v>39471</v>
      </c>
      <c r="F960" s="190">
        <v>0</v>
      </c>
      <c r="G960" s="190">
        <v>109.06</v>
      </c>
      <c r="H960" s="191">
        <v>950</v>
      </c>
      <c r="I960" s="191">
        <v>426</v>
      </c>
      <c r="J960" s="188" t="s">
        <v>639</v>
      </c>
      <c r="K960" s="188" t="s">
        <v>338</v>
      </c>
      <c r="L960" s="188" t="s">
        <v>2082</v>
      </c>
      <c r="M960" s="192">
        <f t="shared" si="42"/>
        <v>27</v>
      </c>
      <c r="N960" s="193">
        <f t="shared" si="43"/>
        <v>0.55751173708920188</v>
      </c>
      <c r="O960" s="194">
        <f t="shared" si="44"/>
        <v>2.0648582855155626E-2</v>
      </c>
    </row>
    <row r="961" spans="1:15" ht="12.75" customHeight="1">
      <c r="A961" s="188" t="s">
        <v>620</v>
      </c>
      <c r="B961" s="188" t="s">
        <v>1394</v>
      </c>
      <c r="C961" s="188" t="s">
        <v>641</v>
      </c>
      <c r="D961" s="188" t="s">
        <v>2083</v>
      </c>
      <c r="E961" s="189">
        <v>39353</v>
      </c>
      <c r="F961" s="190">
        <v>0</v>
      </c>
      <c r="G961" s="190">
        <v>86.91</v>
      </c>
      <c r="H961" s="191">
        <v>533</v>
      </c>
      <c r="I961" s="191">
        <v>339.5</v>
      </c>
      <c r="J961" s="188" t="s">
        <v>667</v>
      </c>
      <c r="K961" s="188" t="s">
        <v>338</v>
      </c>
      <c r="L961" s="188" t="s">
        <v>1751</v>
      </c>
      <c r="M961" s="192">
        <f t="shared" si="42"/>
        <v>19</v>
      </c>
      <c r="N961" s="193">
        <f t="shared" si="43"/>
        <v>0.39248895434462444</v>
      </c>
      <c r="O961" s="194">
        <f t="shared" si="44"/>
        <v>2.0657313386559181E-2</v>
      </c>
    </row>
    <row r="962" spans="1:15" ht="12.75" customHeight="1">
      <c r="A962" s="188" t="s">
        <v>620</v>
      </c>
      <c r="B962" s="188" t="s">
        <v>1394</v>
      </c>
      <c r="C962" s="188" t="s">
        <v>641</v>
      </c>
      <c r="D962" s="188" t="s">
        <v>2084</v>
      </c>
      <c r="E962" s="189">
        <v>39447</v>
      </c>
      <c r="F962" s="190">
        <v>0</v>
      </c>
      <c r="G962" s="190">
        <v>58.69</v>
      </c>
      <c r="H962" s="191">
        <v>360</v>
      </c>
      <c r="I962" s="191">
        <v>229.25</v>
      </c>
      <c r="J962" s="188" t="s">
        <v>667</v>
      </c>
      <c r="K962" s="188" t="s">
        <v>338</v>
      </c>
      <c r="L962" s="188" t="s">
        <v>2085</v>
      </c>
      <c r="M962" s="192">
        <f t="shared" ref="M962:M1025" si="45">K962-J962</f>
        <v>19</v>
      </c>
      <c r="N962" s="193">
        <f t="shared" ref="N962:N1025" si="46">H962/L962</f>
        <v>0.3925845147219193</v>
      </c>
      <c r="O962" s="194">
        <f t="shared" ref="O962:O1025" si="47">N962/M962</f>
        <v>2.0662342880101017E-2</v>
      </c>
    </row>
    <row r="963" spans="1:15" ht="12.75" customHeight="1">
      <c r="A963" s="188" t="s">
        <v>620</v>
      </c>
      <c r="B963" s="188" t="s">
        <v>1394</v>
      </c>
      <c r="C963" s="188" t="s">
        <v>641</v>
      </c>
      <c r="D963" s="188" t="s">
        <v>2086</v>
      </c>
      <c r="E963" s="189">
        <v>39527</v>
      </c>
      <c r="F963" s="190">
        <v>0</v>
      </c>
      <c r="G963" s="190">
        <v>44.8</v>
      </c>
      <c r="H963" s="191">
        <v>550</v>
      </c>
      <c r="I963" s="191">
        <v>175</v>
      </c>
      <c r="J963" s="188" t="s">
        <v>624</v>
      </c>
      <c r="K963" s="188" t="s">
        <v>338</v>
      </c>
      <c r="L963" s="188" t="s">
        <v>1827</v>
      </c>
      <c r="M963" s="192">
        <f t="shared" si="45"/>
        <v>38</v>
      </c>
      <c r="N963" s="193">
        <f t="shared" si="46"/>
        <v>0.7857142857142857</v>
      </c>
      <c r="O963" s="194">
        <f t="shared" si="47"/>
        <v>2.0676691729323307E-2</v>
      </c>
    </row>
    <row r="964" spans="1:15" ht="12.75" customHeight="1">
      <c r="A964" s="188" t="s">
        <v>620</v>
      </c>
      <c r="B964" s="188" t="s">
        <v>1394</v>
      </c>
      <c r="C964" s="188" t="s">
        <v>641</v>
      </c>
      <c r="D964" s="188" t="s">
        <v>2087</v>
      </c>
      <c r="E964" s="189">
        <v>39520</v>
      </c>
      <c r="F964" s="190">
        <v>0</v>
      </c>
      <c r="G964" s="190">
        <v>82.43</v>
      </c>
      <c r="H964" s="191">
        <v>506</v>
      </c>
      <c r="I964" s="191">
        <v>322</v>
      </c>
      <c r="J964" s="188" t="s">
        <v>667</v>
      </c>
      <c r="K964" s="188" t="s">
        <v>338</v>
      </c>
      <c r="L964" s="188" t="s">
        <v>2088</v>
      </c>
      <c r="M964" s="192">
        <f t="shared" si="45"/>
        <v>19</v>
      </c>
      <c r="N964" s="193">
        <f t="shared" si="46"/>
        <v>0.39285714285714285</v>
      </c>
      <c r="O964" s="194">
        <f t="shared" si="47"/>
        <v>2.0676691729323307E-2</v>
      </c>
    </row>
    <row r="965" spans="1:15" ht="12.75" customHeight="1">
      <c r="A965" s="188" t="s">
        <v>620</v>
      </c>
      <c r="B965" s="188" t="s">
        <v>1394</v>
      </c>
      <c r="C965" s="188" t="s">
        <v>641</v>
      </c>
      <c r="D965" s="188" t="s">
        <v>2089</v>
      </c>
      <c r="E965" s="189">
        <v>39429</v>
      </c>
      <c r="F965" s="190">
        <v>0</v>
      </c>
      <c r="G965" s="190">
        <v>73.22</v>
      </c>
      <c r="H965" s="191">
        <v>710</v>
      </c>
      <c r="I965" s="191">
        <v>286</v>
      </c>
      <c r="J965" s="188" t="s">
        <v>635</v>
      </c>
      <c r="K965" s="188" t="s">
        <v>338</v>
      </c>
      <c r="L965" s="188" t="s">
        <v>990</v>
      </c>
      <c r="M965" s="192">
        <f t="shared" si="45"/>
        <v>30</v>
      </c>
      <c r="N965" s="193">
        <f t="shared" si="46"/>
        <v>0.62062937062937062</v>
      </c>
      <c r="O965" s="194">
        <f t="shared" si="47"/>
        <v>2.0687645687645688E-2</v>
      </c>
    </row>
    <row r="966" spans="1:15" ht="12.75" customHeight="1">
      <c r="A966" s="188" t="s">
        <v>620</v>
      </c>
      <c r="B966" s="188" t="s">
        <v>1394</v>
      </c>
      <c r="C966" s="188" t="s">
        <v>641</v>
      </c>
      <c r="D966" s="188" t="s">
        <v>2090</v>
      </c>
      <c r="E966" s="189">
        <v>39345</v>
      </c>
      <c r="F966" s="190">
        <v>0</v>
      </c>
      <c r="G966" s="190">
        <v>104.45</v>
      </c>
      <c r="H966" s="191">
        <v>946.07</v>
      </c>
      <c r="I966" s="191">
        <v>408</v>
      </c>
      <c r="J966" s="188" t="s">
        <v>750</v>
      </c>
      <c r="K966" s="188" t="s">
        <v>338</v>
      </c>
      <c r="L966" s="188" t="s">
        <v>1732</v>
      </c>
      <c r="M966" s="192">
        <f t="shared" si="45"/>
        <v>28</v>
      </c>
      <c r="N966" s="193">
        <f t="shared" si="46"/>
        <v>0.5796997549019608</v>
      </c>
      <c r="O966" s="194">
        <f t="shared" si="47"/>
        <v>2.0703562675070029E-2</v>
      </c>
    </row>
    <row r="967" spans="1:15" ht="12.75" customHeight="1">
      <c r="A967" s="188" t="s">
        <v>620</v>
      </c>
      <c r="B967" s="188" t="s">
        <v>1394</v>
      </c>
      <c r="C967" s="188" t="s">
        <v>641</v>
      </c>
      <c r="D967" s="188" t="s">
        <v>2091</v>
      </c>
      <c r="E967" s="189">
        <v>39436</v>
      </c>
      <c r="F967" s="190">
        <v>0</v>
      </c>
      <c r="G967" s="190">
        <v>102.4</v>
      </c>
      <c r="H967" s="191">
        <v>630</v>
      </c>
      <c r="I967" s="191">
        <v>400</v>
      </c>
      <c r="J967" s="188" t="s">
        <v>667</v>
      </c>
      <c r="K967" s="188" t="s">
        <v>338</v>
      </c>
      <c r="L967" s="188" t="s">
        <v>625</v>
      </c>
      <c r="M967" s="192">
        <f t="shared" si="45"/>
        <v>19</v>
      </c>
      <c r="N967" s="193">
        <f t="shared" si="46"/>
        <v>0.39374999999999999</v>
      </c>
      <c r="O967" s="194">
        <f t="shared" si="47"/>
        <v>2.0723684210526314E-2</v>
      </c>
    </row>
    <row r="968" spans="1:15" ht="12.75" customHeight="1">
      <c r="A968" s="188" t="s">
        <v>620</v>
      </c>
      <c r="B968" s="188" t="s">
        <v>1394</v>
      </c>
      <c r="C968" s="188" t="s">
        <v>641</v>
      </c>
      <c r="D968" s="188" t="s">
        <v>2092</v>
      </c>
      <c r="E968" s="189">
        <v>39212</v>
      </c>
      <c r="F968" s="190">
        <v>0</v>
      </c>
      <c r="G968" s="190">
        <v>64</v>
      </c>
      <c r="H968" s="191">
        <v>790</v>
      </c>
      <c r="I968" s="191">
        <v>250</v>
      </c>
      <c r="J968" s="188" t="s">
        <v>624</v>
      </c>
      <c r="K968" s="188" t="s">
        <v>338</v>
      </c>
      <c r="L968" s="188" t="s">
        <v>636</v>
      </c>
      <c r="M968" s="192">
        <f t="shared" si="45"/>
        <v>38</v>
      </c>
      <c r="N968" s="193">
        <f t="shared" si="46"/>
        <v>0.79</v>
      </c>
      <c r="O968" s="194">
        <f t="shared" si="47"/>
        <v>2.0789473684210528E-2</v>
      </c>
    </row>
    <row r="969" spans="1:15" ht="12.75" customHeight="1">
      <c r="A969" s="188" t="s">
        <v>620</v>
      </c>
      <c r="B969" s="188" t="s">
        <v>1394</v>
      </c>
      <c r="C969" s="188" t="s">
        <v>641</v>
      </c>
      <c r="D969" s="188" t="s">
        <v>2093</v>
      </c>
      <c r="E969" s="189">
        <v>39261</v>
      </c>
      <c r="F969" s="190">
        <v>0</v>
      </c>
      <c r="G969" s="190">
        <v>40.380000000000003</v>
      </c>
      <c r="H969" s="191">
        <v>498.49</v>
      </c>
      <c r="I969" s="191">
        <v>157.75</v>
      </c>
      <c r="J969" s="188" t="s">
        <v>624</v>
      </c>
      <c r="K969" s="188" t="s">
        <v>338</v>
      </c>
      <c r="L969" s="188" t="s">
        <v>2094</v>
      </c>
      <c r="M969" s="192">
        <f t="shared" si="45"/>
        <v>38</v>
      </c>
      <c r="N969" s="193">
        <f t="shared" si="46"/>
        <v>0.79</v>
      </c>
      <c r="O969" s="194">
        <f t="shared" si="47"/>
        <v>2.0789473684210528E-2</v>
      </c>
    </row>
    <row r="970" spans="1:15" ht="12.75" customHeight="1">
      <c r="A970" s="188" t="s">
        <v>620</v>
      </c>
      <c r="B970" s="188" t="s">
        <v>1394</v>
      </c>
      <c r="C970" s="188" t="s">
        <v>641</v>
      </c>
      <c r="D970" s="188" t="s">
        <v>2095</v>
      </c>
      <c r="E970" s="189">
        <v>39407</v>
      </c>
      <c r="F970" s="190">
        <v>0</v>
      </c>
      <c r="G970" s="190">
        <v>68.03</v>
      </c>
      <c r="H970" s="191">
        <v>840</v>
      </c>
      <c r="I970" s="191">
        <v>265.75</v>
      </c>
      <c r="J970" s="188" t="s">
        <v>624</v>
      </c>
      <c r="K970" s="188" t="s">
        <v>338</v>
      </c>
      <c r="L970" s="188" t="s">
        <v>2096</v>
      </c>
      <c r="M970" s="192">
        <f t="shared" si="45"/>
        <v>38</v>
      </c>
      <c r="N970" s="193">
        <f t="shared" si="46"/>
        <v>0.79021636876763879</v>
      </c>
      <c r="O970" s="194">
        <f t="shared" si="47"/>
        <v>2.079516759914839E-2</v>
      </c>
    </row>
    <row r="971" spans="1:15" ht="12.75" customHeight="1">
      <c r="A971" s="188" t="s">
        <v>620</v>
      </c>
      <c r="B971" s="188" t="s">
        <v>1394</v>
      </c>
      <c r="C971" s="188" t="s">
        <v>641</v>
      </c>
      <c r="D971" s="188" t="s">
        <v>2097</v>
      </c>
      <c r="E971" s="189">
        <v>39422</v>
      </c>
      <c r="F971" s="190">
        <v>0</v>
      </c>
      <c r="G971" s="190">
        <v>68.03</v>
      </c>
      <c r="H971" s="191">
        <v>840</v>
      </c>
      <c r="I971" s="191">
        <v>265.75</v>
      </c>
      <c r="J971" s="188" t="s">
        <v>624</v>
      </c>
      <c r="K971" s="188" t="s">
        <v>338</v>
      </c>
      <c r="L971" s="188" t="s">
        <v>2096</v>
      </c>
      <c r="M971" s="192">
        <f t="shared" si="45"/>
        <v>38</v>
      </c>
      <c r="N971" s="193">
        <f t="shared" si="46"/>
        <v>0.79021636876763879</v>
      </c>
      <c r="O971" s="194">
        <f t="shared" si="47"/>
        <v>2.079516759914839E-2</v>
      </c>
    </row>
    <row r="972" spans="1:15" ht="12.75" customHeight="1">
      <c r="A972" s="188" t="s">
        <v>620</v>
      </c>
      <c r="B972" s="188" t="s">
        <v>1394</v>
      </c>
      <c r="C972" s="188" t="s">
        <v>641</v>
      </c>
      <c r="D972" s="188" t="s">
        <v>2098</v>
      </c>
      <c r="E972" s="189">
        <v>39345</v>
      </c>
      <c r="F972" s="190">
        <v>0</v>
      </c>
      <c r="G972" s="190">
        <v>47.49</v>
      </c>
      <c r="H972" s="191">
        <v>587</v>
      </c>
      <c r="I972" s="191">
        <v>185.5</v>
      </c>
      <c r="J972" s="188" t="s">
        <v>624</v>
      </c>
      <c r="K972" s="188" t="s">
        <v>338</v>
      </c>
      <c r="L972" s="188" t="s">
        <v>665</v>
      </c>
      <c r="M972" s="192">
        <f t="shared" si="45"/>
        <v>38</v>
      </c>
      <c r="N972" s="193">
        <f t="shared" si="46"/>
        <v>0.79110512129380051</v>
      </c>
      <c r="O972" s="194">
        <f t="shared" si="47"/>
        <v>2.0818555823521066E-2</v>
      </c>
    </row>
    <row r="973" spans="1:15" ht="12.75" customHeight="1">
      <c r="A973" s="188" t="s">
        <v>620</v>
      </c>
      <c r="B973" s="188" t="s">
        <v>1394</v>
      </c>
      <c r="C973" s="188" t="s">
        <v>641</v>
      </c>
      <c r="D973" s="188" t="s">
        <v>2099</v>
      </c>
      <c r="E973" s="189">
        <v>39310</v>
      </c>
      <c r="F973" s="190">
        <v>0</v>
      </c>
      <c r="G973" s="190">
        <v>64</v>
      </c>
      <c r="H973" s="191">
        <v>500</v>
      </c>
      <c r="I973" s="191">
        <v>250</v>
      </c>
      <c r="J973" s="188" t="s">
        <v>1052</v>
      </c>
      <c r="K973" s="188" t="s">
        <v>338</v>
      </c>
      <c r="L973" s="188" t="s">
        <v>636</v>
      </c>
      <c r="M973" s="192">
        <f t="shared" si="45"/>
        <v>24</v>
      </c>
      <c r="N973" s="193">
        <f t="shared" si="46"/>
        <v>0.5</v>
      </c>
      <c r="O973" s="194">
        <f t="shared" si="47"/>
        <v>2.0833333333333332E-2</v>
      </c>
    </row>
    <row r="974" spans="1:15" ht="12.75" customHeight="1">
      <c r="A974" s="188" t="s">
        <v>620</v>
      </c>
      <c r="B974" s="188" t="s">
        <v>1394</v>
      </c>
      <c r="C974" s="188" t="s">
        <v>641</v>
      </c>
      <c r="D974" s="188" t="s">
        <v>2100</v>
      </c>
      <c r="E974" s="189">
        <v>39366</v>
      </c>
      <c r="F974" s="190">
        <v>0</v>
      </c>
      <c r="G974" s="190">
        <v>79.87</v>
      </c>
      <c r="H974" s="191">
        <v>780</v>
      </c>
      <c r="I974" s="191">
        <v>312</v>
      </c>
      <c r="J974" s="188" t="s">
        <v>635</v>
      </c>
      <c r="K974" s="188" t="s">
        <v>338</v>
      </c>
      <c r="L974" s="188" t="s">
        <v>2101</v>
      </c>
      <c r="M974" s="192">
        <f t="shared" si="45"/>
        <v>30</v>
      </c>
      <c r="N974" s="193">
        <f t="shared" si="46"/>
        <v>0.625</v>
      </c>
      <c r="O974" s="194">
        <f t="shared" si="47"/>
        <v>2.0833333333333332E-2</v>
      </c>
    </row>
    <row r="975" spans="1:15" ht="12.75" customHeight="1">
      <c r="A975" s="188" t="s">
        <v>620</v>
      </c>
      <c r="B975" s="188" t="s">
        <v>1394</v>
      </c>
      <c r="C975" s="188" t="s">
        <v>641</v>
      </c>
      <c r="D975" s="188" t="s">
        <v>2102</v>
      </c>
      <c r="E975" s="189">
        <v>39401</v>
      </c>
      <c r="F975" s="190">
        <v>0</v>
      </c>
      <c r="G975" s="190">
        <v>102.4</v>
      </c>
      <c r="H975" s="191">
        <v>900</v>
      </c>
      <c r="I975" s="191">
        <v>400</v>
      </c>
      <c r="J975" s="188" t="s">
        <v>639</v>
      </c>
      <c r="K975" s="188" t="s">
        <v>338</v>
      </c>
      <c r="L975" s="188" t="s">
        <v>625</v>
      </c>
      <c r="M975" s="192">
        <f t="shared" si="45"/>
        <v>27</v>
      </c>
      <c r="N975" s="193">
        <f t="shared" si="46"/>
        <v>0.5625</v>
      </c>
      <c r="O975" s="194">
        <f t="shared" si="47"/>
        <v>2.0833333333333332E-2</v>
      </c>
    </row>
    <row r="976" spans="1:15" ht="12.75" customHeight="1">
      <c r="A976" s="188" t="s">
        <v>620</v>
      </c>
      <c r="B976" s="188" t="s">
        <v>1394</v>
      </c>
      <c r="C976" s="188" t="s">
        <v>641</v>
      </c>
      <c r="D976" s="188" t="s">
        <v>2103</v>
      </c>
      <c r="E976" s="189">
        <v>39447</v>
      </c>
      <c r="F976" s="190">
        <v>0</v>
      </c>
      <c r="G976" s="190">
        <v>76.8</v>
      </c>
      <c r="H976" s="191">
        <v>750</v>
      </c>
      <c r="I976" s="191">
        <v>300</v>
      </c>
      <c r="J976" s="188" t="s">
        <v>635</v>
      </c>
      <c r="K976" s="188" t="s">
        <v>338</v>
      </c>
      <c r="L976" s="188" t="s">
        <v>632</v>
      </c>
      <c r="M976" s="192">
        <f t="shared" si="45"/>
        <v>30</v>
      </c>
      <c r="N976" s="193">
        <f t="shared" si="46"/>
        <v>0.625</v>
      </c>
      <c r="O976" s="194">
        <f t="shared" si="47"/>
        <v>2.0833333333333332E-2</v>
      </c>
    </row>
    <row r="977" spans="1:15" ht="12.75" customHeight="1">
      <c r="A977" s="188" t="s">
        <v>620</v>
      </c>
      <c r="B977" s="188" t="s">
        <v>1394</v>
      </c>
      <c r="C977" s="188" t="s">
        <v>641</v>
      </c>
      <c r="D977" s="188" t="s">
        <v>2104</v>
      </c>
      <c r="E977" s="189">
        <v>39471</v>
      </c>
      <c r="F977" s="190">
        <v>0</v>
      </c>
      <c r="G977" s="190">
        <v>60.42</v>
      </c>
      <c r="H977" s="191">
        <v>590</v>
      </c>
      <c r="I977" s="191">
        <v>236</v>
      </c>
      <c r="J977" s="188" t="s">
        <v>635</v>
      </c>
      <c r="K977" s="188" t="s">
        <v>338</v>
      </c>
      <c r="L977" s="188" t="s">
        <v>527</v>
      </c>
      <c r="M977" s="192">
        <f t="shared" si="45"/>
        <v>30</v>
      </c>
      <c r="N977" s="193">
        <f t="shared" si="46"/>
        <v>0.625</v>
      </c>
      <c r="O977" s="194">
        <f t="shared" si="47"/>
        <v>2.0833333333333332E-2</v>
      </c>
    </row>
    <row r="978" spans="1:15" ht="12.75" customHeight="1">
      <c r="A978" s="188" t="s">
        <v>620</v>
      </c>
      <c r="B978" s="188" t="s">
        <v>1394</v>
      </c>
      <c r="C978" s="188" t="s">
        <v>641</v>
      </c>
      <c r="D978" s="188" t="s">
        <v>2105</v>
      </c>
      <c r="E978" s="189">
        <v>39576</v>
      </c>
      <c r="F978" s="190">
        <v>0</v>
      </c>
      <c r="G978" s="190">
        <v>95.62</v>
      </c>
      <c r="H978" s="191">
        <v>747</v>
      </c>
      <c r="I978" s="191">
        <v>373.5</v>
      </c>
      <c r="J978" s="188" t="s">
        <v>1052</v>
      </c>
      <c r="K978" s="188" t="s">
        <v>338</v>
      </c>
      <c r="L978" s="188" t="s">
        <v>2106</v>
      </c>
      <c r="M978" s="192">
        <f t="shared" si="45"/>
        <v>24</v>
      </c>
      <c r="N978" s="193">
        <f t="shared" si="46"/>
        <v>0.5</v>
      </c>
      <c r="O978" s="194">
        <f t="shared" si="47"/>
        <v>2.0833333333333332E-2</v>
      </c>
    </row>
    <row r="979" spans="1:15" ht="12.75" customHeight="1">
      <c r="A979" s="188" t="s">
        <v>620</v>
      </c>
      <c r="B979" s="188" t="s">
        <v>1394</v>
      </c>
      <c r="C979" s="188" t="s">
        <v>641</v>
      </c>
      <c r="D979" s="188" t="s">
        <v>2107</v>
      </c>
      <c r="E979" s="189">
        <v>39401</v>
      </c>
      <c r="F979" s="190">
        <v>0</v>
      </c>
      <c r="G979" s="190">
        <v>76.8</v>
      </c>
      <c r="H979" s="191">
        <v>650.04</v>
      </c>
      <c r="I979" s="191">
        <v>300</v>
      </c>
      <c r="J979" s="188" t="s">
        <v>361</v>
      </c>
      <c r="K979" s="188" t="s">
        <v>338</v>
      </c>
      <c r="L979" s="188" t="s">
        <v>632</v>
      </c>
      <c r="M979" s="192">
        <f t="shared" si="45"/>
        <v>26</v>
      </c>
      <c r="N979" s="193">
        <f t="shared" si="46"/>
        <v>0.54169999999999996</v>
      </c>
      <c r="O979" s="194">
        <f t="shared" si="47"/>
        <v>2.0834615384615382E-2</v>
      </c>
    </row>
    <row r="980" spans="1:15" ht="12.75" customHeight="1">
      <c r="A980" s="188" t="s">
        <v>620</v>
      </c>
      <c r="B980" s="188" t="s">
        <v>1394</v>
      </c>
      <c r="C980" s="188" t="s">
        <v>641</v>
      </c>
      <c r="D980" s="188" t="s">
        <v>2108</v>
      </c>
      <c r="E980" s="189">
        <v>39590</v>
      </c>
      <c r="F980" s="190">
        <v>0</v>
      </c>
      <c r="G980" s="190">
        <v>86.53</v>
      </c>
      <c r="H980" s="191">
        <v>648</v>
      </c>
      <c r="I980" s="191">
        <v>338</v>
      </c>
      <c r="J980" s="188" t="s">
        <v>571</v>
      </c>
      <c r="K980" s="188" t="s">
        <v>338</v>
      </c>
      <c r="L980" s="188" t="s">
        <v>927</v>
      </c>
      <c r="M980" s="192">
        <f t="shared" si="45"/>
        <v>23</v>
      </c>
      <c r="N980" s="193">
        <f t="shared" si="46"/>
        <v>0.47928994082840237</v>
      </c>
      <c r="O980" s="194">
        <f t="shared" si="47"/>
        <v>2.0838693079495756E-2</v>
      </c>
    </row>
    <row r="981" spans="1:15" ht="12.75" customHeight="1">
      <c r="A981" s="188" t="s">
        <v>620</v>
      </c>
      <c r="B981" s="188" t="s">
        <v>1394</v>
      </c>
      <c r="C981" s="188" t="s">
        <v>641</v>
      </c>
      <c r="D981" s="188" t="s">
        <v>2109</v>
      </c>
      <c r="E981" s="189">
        <v>39352</v>
      </c>
      <c r="F981" s="190">
        <v>0</v>
      </c>
      <c r="G981" s="190">
        <v>104.96</v>
      </c>
      <c r="H981" s="191">
        <v>855</v>
      </c>
      <c r="I981" s="191">
        <v>410</v>
      </c>
      <c r="J981" s="188" t="s">
        <v>652</v>
      </c>
      <c r="K981" s="188" t="s">
        <v>338</v>
      </c>
      <c r="L981" s="188" t="s">
        <v>2110</v>
      </c>
      <c r="M981" s="192">
        <f t="shared" si="45"/>
        <v>25</v>
      </c>
      <c r="N981" s="193">
        <f t="shared" si="46"/>
        <v>0.52134146341463417</v>
      </c>
      <c r="O981" s="194">
        <f t="shared" si="47"/>
        <v>2.0853658536585367E-2</v>
      </c>
    </row>
    <row r="982" spans="1:15" ht="12.75" customHeight="1">
      <c r="A982" s="188" t="s">
        <v>620</v>
      </c>
      <c r="B982" s="188" t="s">
        <v>1394</v>
      </c>
      <c r="C982" s="188" t="s">
        <v>641</v>
      </c>
      <c r="D982" s="188" t="s">
        <v>2111</v>
      </c>
      <c r="E982" s="189">
        <v>39513</v>
      </c>
      <c r="F982" s="190">
        <v>0</v>
      </c>
      <c r="G982" s="190">
        <v>106.43</v>
      </c>
      <c r="H982" s="191">
        <v>867</v>
      </c>
      <c r="I982" s="191">
        <v>415.75</v>
      </c>
      <c r="J982" s="188" t="s">
        <v>652</v>
      </c>
      <c r="K982" s="188" t="s">
        <v>338</v>
      </c>
      <c r="L982" s="188" t="s">
        <v>2112</v>
      </c>
      <c r="M982" s="192">
        <f t="shared" si="45"/>
        <v>25</v>
      </c>
      <c r="N982" s="193">
        <f t="shared" si="46"/>
        <v>0.52134696331930241</v>
      </c>
      <c r="O982" s="194">
        <f t="shared" si="47"/>
        <v>2.0853878532772097E-2</v>
      </c>
    </row>
    <row r="983" spans="1:15" ht="12.75" customHeight="1">
      <c r="A983" s="188" t="s">
        <v>620</v>
      </c>
      <c r="B983" s="188" t="s">
        <v>1394</v>
      </c>
      <c r="C983" s="188" t="s">
        <v>641</v>
      </c>
      <c r="D983" s="188" t="s">
        <v>2113</v>
      </c>
      <c r="E983" s="189">
        <v>39625</v>
      </c>
      <c r="F983" s="190">
        <v>0</v>
      </c>
      <c r="G983" s="190">
        <v>128</v>
      </c>
      <c r="H983" s="191">
        <v>1085</v>
      </c>
      <c r="I983" s="191">
        <v>500</v>
      </c>
      <c r="J983" s="188" t="s">
        <v>361</v>
      </c>
      <c r="K983" s="188" t="s">
        <v>338</v>
      </c>
      <c r="L983" s="188" t="s">
        <v>756</v>
      </c>
      <c r="M983" s="192">
        <f t="shared" si="45"/>
        <v>26</v>
      </c>
      <c r="N983" s="193">
        <f t="shared" si="46"/>
        <v>0.54249999999999998</v>
      </c>
      <c r="O983" s="194">
        <f t="shared" si="47"/>
        <v>2.0865384615384616E-2</v>
      </c>
    </row>
    <row r="984" spans="1:15" ht="12.75" customHeight="1">
      <c r="A984" s="188" t="s">
        <v>620</v>
      </c>
      <c r="B984" s="188" t="s">
        <v>1394</v>
      </c>
      <c r="C984" s="188" t="s">
        <v>641</v>
      </c>
      <c r="D984" s="188" t="s">
        <v>2114</v>
      </c>
      <c r="E984" s="189">
        <v>39513</v>
      </c>
      <c r="F984" s="190">
        <v>0</v>
      </c>
      <c r="G984" s="190">
        <v>57.66</v>
      </c>
      <c r="H984" s="191">
        <v>470</v>
      </c>
      <c r="I984" s="191">
        <v>225.25</v>
      </c>
      <c r="J984" s="188" t="s">
        <v>652</v>
      </c>
      <c r="K984" s="188" t="s">
        <v>338</v>
      </c>
      <c r="L984" s="188" t="s">
        <v>2115</v>
      </c>
      <c r="M984" s="192">
        <f t="shared" si="45"/>
        <v>25</v>
      </c>
      <c r="N984" s="193">
        <f t="shared" si="46"/>
        <v>0.52164261931187572</v>
      </c>
      <c r="O984" s="194">
        <f t="shared" si="47"/>
        <v>2.0865704772475027E-2</v>
      </c>
    </row>
    <row r="985" spans="1:15" ht="12.75" customHeight="1">
      <c r="A985" s="188" t="s">
        <v>620</v>
      </c>
      <c r="B985" s="188" t="s">
        <v>1394</v>
      </c>
      <c r="C985" s="188" t="s">
        <v>641</v>
      </c>
      <c r="D985" s="188" t="s">
        <v>2116</v>
      </c>
      <c r="E985" s="189">
        <v>39507</v>
      </c>
      <c r="F985" s="190">
        <v>0</v>
      </c>
      <c r="G985" s="190">
        <v>96.83</v>
      </c>
      <c r="H985" s="191">
        <v>1200</v>
      </c>
      <c r="I985" s="191">
        <v>378.25</v>
      </c>
      <c r="J985" s="188" t="s">
        <v>639</v>
      </c>
      <c r="K985" s="188" t="s">
        <v>648</v>
      </c>
      <c r="L985" s="188" t="s">
        <v>2117</v>
      </c>
      <c r="M985" s="192">
        <f t="shared" si="45"/>
        <v>38</v>
      </c>
      <c r="N985" s="193">
        <f t="shared" si="46"/>
        <v>0.79312623925974879</v>
      </c>
      <c r="O985" s="194">
        <f t="shared" si="47"/>
        <v>2.0871743138414441E-2</v>
      </c>
    </row>
    <row r="986" spans="1:15" ht="12.75" customHeight="1">
      <c r="A986" s="188" t="s">
        <v>620</v>
      </c>
      <c r="B986" s="188" t="s">
        <v>1394</v>
      </c>
      <c r="C986" s="188" t="s">
        <v>641</v>
      </c>
      <c r="D986" s="188" t="s">
        <v>2118</v>
      </c>
      <c r="E986" s="189">
        <v>39611</v>
      </c>
      <c r="F986" s="190">
        <v>0</v>
      </c>
      <c r="G986" s="190">
        <v>99.2</v>
      </c>
      <c r="H986" s="191">
        <v>875</v>
      </c>
      <c r="I986" s="191">
        <v>387.5</v>
      </c>
      <c r="J986" s="188" t="s">
        <v>639</v>
      </c>
      <c r="K986" s="188" t="s">
        <v>338</v>
      </c>
      <c r="L986" s="188" t="s">
        <v>1474</v>
      </c>
      <c r="M986" s="192">
        <f t="shared" si="45"/>
        <v>27</v>
      </c>
      <c r="N986" s="193">
        <f t="shared" si="46"/>
        <v>0.56451612903225812</v>
      </c>
      <c r="O986" s="194">
        <f t="shared" si="47"/>
        <v>2.0908004778972523E-2</v>
      </c>
    </row>
    <row r="987" spans="1:15" ht="12.75" customHeight="1">
      <c r="A987" s="188" t="s">
        <v>620</v>
      </c>
      <c r="B987" s="188" t="s">
        <v>1394</v>
      </c>
      <c r="C987" s="188" t="s">
        <v>641</v>
      </c>
      <c r="D987" s="188" t="s">
        <v>2119</v>
      </c>
      <c r="E987" s="189">
        <v>39310</v>
      </c>
      <c r="F987" s="190">
        <v>0</v>
      </c>
      <c r="G987" s="190">
        <v>84.61</v>
      </c>
      <c r="H987" s="191">
        <v>636.01</v>
      </c>
      <c r="I987" s="191">
        <v>330.5</v>
      </c>
      <c r="J987" s="188" t="s">
        <v>571</v>
      </c>
      <c r="K987" s="188" t="s">
        <v>338</v>
      </c>
      <c r="L987" s="188" t="s">
        <v>2120</v>
      </c>
      <c r="M987" s="192">
        <f t="shared" si="45"/>
        <v>23</v>
      </c>
      <c r="N987" s="193">
        <f t="shared" si="46"/>
        <v>0.48109682299546142</v>
      </c>
      <c r="O987" s="194">
        <f t="shared" si="47"/>
        <v>2.0917253173715712E-2</v>
      </c>
    </row>
    <row r="988" spans="1:15" ht="12.75" customHeight="1">
      <c r="A988" s="188" t="s">
        <v>620</v>
      </c>
      <c r="B988" s="188" t="s">
        <v>1394</v>
      </c>
      <c r="C988" s="188" t="s">
        <v>641</v>
      </c>
      <c r="D988" s="188" t="s">
        <v>2121</v>
      </c>
      <c r="E988" s="189">
        <v>39485</v>
      </c>
      <c r="F988" s="190">
        <v>0</v>
      </c>
      <c r="G988" s="190">
        <v>96.26</v>
      </c>
      <c r="H988" s="191">
        <v>598</v>
      </c>
      <c r="I988" s="191">
        <v>376</v>
      </c>
      <c r="J988" s="188" t="s">
        <v>667</v>
      </c>
      <c r="K988" s="188" t="s">
        <v>338</v>
      </c>
      <c r="L988" s="188" t="s">
        <v>1116</v>
      </c>
      <c r="M988" s="192">
        <f t="shared" si="45"/>
        <v>19</v>
      </c>
      <c r="N988" s="193">
        <f t="shared" si="46"/>
        <v>0.39760638297872342</v>
      </c>
      <c r="O988" s="194">
        <f t="shared" si="47"/>
        <v>2.0926651735722286E-2</v>
      </c>
    </row>
    <row r="989" spans="1:15" ht="12.75" customHeight="1">
      <c r="A989" s="188" t="s">
        <v>620</v>
      </c>
      <c r="B989" s="188" t="s">
        <v>1394</v>
      </c>
      <c r="C989" s="188" t="s">
        <v>641</v>
      </c>
      <c r="D989" s="188" t="s">
        <v>2122</v>
      </c>
      <c r="E989" s="189">
        <v>39548</v>
      </c>
      <c r="F989" s="190">
        <v>0</v>
      </c>
      <c r="G989" s="190">
        <v>91.2</v>
      </c>
      <c r="H989" s="191">
        <v>895</v>
      </c>
      <c r="I989" s="191">
        <v>356.25</v>
      </c>
      <c r="J989" s="188" t="s">
        <v>635</v>
      </c>
      <c r="K989" s="188" t="s">
        <v>338</v>
      </c>
      <c r="L989" s="188" t="s">
        <v>2123</v>
      </c>
      <c r="M989" s="192">
        <f t="shared" si="45"/>
        <v>30</v>
      </c>
      <c r="N989" s="193">
        <f t="shared" si="46"/>
        <v>0.62807017543859645</v>
      </c>
      <c r="O989" s="194">
        <f t="shared" si="47"/>
        <v>2.093567251461988E-2</v>
      </c>
    </row>
    <row r="990" spans="1:15" ht="12.75" customHeight="1">
      <c r="A990" s="188" t="s">
        <v>620</v>
      </c>
      <c r="B990" s="188" t="s">
        <v>1394</v>
      </c>
      <c r="C990" s="188" t="s">
        <v>641</v>
      </c>
      <c r="D990" s="188" t="s">
        <v>2124</v>
      </c>
      <c r="E990" s="189">
        <v>39485</v>
      </c>
      <c r="F990" s="190">
        <v>0</v>
      </c>
      <c r="G990" s="190">
        <v>142.59</v>
      </c>
      <c r="H990" s="191">
        <v>1401</v>
      </c>
      <c r="I990" s="191">
        <v>557</v>
      </c>
      <c r="J990" s="188" t="s">
        <v>635</v>
      </c>
      <c r="K990" s="188" t="s">
        <v>338</v>
      </c>
      <c r="L990" s="188" t="s">
        <v>2125</v>
      </c>
      <c r="M990" s="192">
        <f t="shared" si="45"/>
        <v>30</v>
      </c>
      <c r="N990" s="193">
        <f t="shared" si="46"/>
        <v>0.62881508078994619</v>
      </c>
      <c r="O990" s="194">
        <f t="shared" si="47"/>
        <v>2.0960502692998206E-2</v>
      </c>
    </row>
    <row r="991" spans="1:15" ht="12.75" customHeight="1">
      <c r="A991" s="188" t="s">
        <v>620</v>
      </c>
      <c r="B991" s="188" t="s">
        <v>1394</v>
      </c>
      <c r="C991" s="188" t="s">
        <v>641</v>
      </c>
      <c r="D991" s="188" t="s">
        <v>2126</v>
      </c>
      <c r="E991" s="189">
        <v>39366</v>
      </c>
      <c r="F991" s="190">
        <v>0</v>
      </c>
      <c r="G991" s="190">
        <v>120.64</v>
      </c>
      <c r="H991" s="191">
        <v>910</v>
      </c>
      <c r="I991" s="191">
        <v>471.25</v>
      </c>
      <c r="J991" s="188" t="s">
        <v>571</v>
      </c>
      <c r="K991" s="188" t="s">
        <v>338</v>
      </c>
      <c r="L991" s="188" t="s">
        <v>2127</v>
      </c>
      <c r="M991" s="192">
        <f t="shared" si="45"/>
        <v>23</v>
      </c>
      <c r="N991" s="193">
        <f t="shared" si="46"/>
        <v>0.48275862068965519</v>
      </c>
      <c r="O991" s="194">
        <f t="shared" si="47"/>
        <v>2.0989505247376312E-2</v>
      </c>
    </row>
    <row r="992" spans="1:15" ht="12.75" customHeight="1">
      <c r="A992" s="188" t="s">
        <v>620</v>
      </c>
      <c r="B992" s="188" t="s">
        <v>1394</v>
      </c>
      <c r="C992" s="188" t="s">
        <v>641</v>
      </c>
      <c r="D992" s="188" t="s">
        <v>2128</v>
      </c>
      <c r="E992" s="189">
        <v>39507</v>
      </c>
      <c r="F992" s="190">
        <v>0</v>
      </c>
      <c r="G992" s="190">
        <v>172.8</v>
      </c>
      <c r="H992" s="191">
        <v>1875</v>
      </c>
      <c r="I992" s="191">
        <v>675</v>
      </c>
      <c r="J992" s="188" t="s">
        <v>742</v>
      </c>
      <c r="K992" s="188" t="s">
        <v>338</v>
      </c>
      <c r="L992" s="188" t="s">
        <v>782</v>
      </c>
      <c r="M992" s="192">
        <f t="shared" si="45"/>
        <v>33</v>
      </c>
      <c r="N992" s="193">
        <f t="shared" si="46"/>
        <v>0.69444444444444442</v>
      </c>
      <c r="O992" s="194">
        <f t="shared" si="47"/>
        <v>2.1043771043771042E-2</v>
      </c>
    </row>
    <row r="993" spans="1:15" ht="12.75" customHeight="1">
      <c r="A993" s="188" t="s">
        <v>620</v>
      </c>
      <c r="B993" s="188" t="s">
        <v>1394</v>
      </c>
      <c r="C993" s="188" t="s">
        <v>641</v>
      </c>
      <c r="D993" s="188" t="s">
        <v>2129</v>
      </c>
      <c r="E993" s="189">
        <v>39240</v>
      </c>
      <c r="F993" s="190">
        <v>0</v>
      </c>
      <c r="G993" s="190">
        <v>64</v>
      </c>
      <c r="H993" s="191">
        <v>400</v>
      </c>
      <c r="I993" s="191">
        <v>250</v>
      </c>
      <c r="J993" s="188" t="s">
        <v>667</v>
      </c>
      <c r="K993" s="188" t="s">
        <v>338</v>
      </c>
      <c r="L993" s="188" t="s">
        <v>636</v>
      </c>
      <c r="M993" s="192">
        <f t="shared" si="45"/>
        <v>19</v>
      </c>
      <c r="N993" s="193">
        <f t="shared" si="46"/>
        <v>0.4</v>
      </c>
      <c r="O993" s="194">
        <f t="shared" si="47"/>
        <v>2.1052631578947368E-2</v>
      </c>
    </row>
    <row r="994" spans="1:15" ht="12.75" customHeight="1">
      <c r="A994" s="188" t="s">
        <v>620</v>
      </c>
      <c r="B994" s="188" t="s">
        <v>1394</v>
      </c>
      <c r="C994" s="188" t="s">
        <v>641</v>
      </c>
      <c r="D994" s="188" t="s">
        <v>2130</v>
      </c>
      <c r="E994" s="189">
        <v>39366</v>
      </c>
      <c r="F994" s="190">
        <v>0</v>
      </c>
      <c r="G994" s="190">
        <v>39.68</v>
      </c>
      <c r="H994" s="191">
        <v>248</v>
      </c>
      <c r="I994" s="191">
        <v>155</v>
      </c>
      <c r="J994" s="188" t="s">
        <v>667</v>
      </c>
      <c r="K994" s="188" t="s">
        <v>338</v>
      </c>
      <c r="L994" s="188" t="s">
        <v>256</v>
      </c>
      <c r="M994" s="192">
        <f t="shared" si="45"/>
        <v>19</v>
      </c>
      <c r="N994" s="193">
        <f t="shared" si="46"/>
        <v>0.4</v>
      </c>
      <c r="O994" s="194">
        <f t="shared" si="47"/>
        <v>2.1052631578947368E-2</v>
      </c>
    </row>
    <row r="995" spans="1:15" ht="12.75" customHeight="1">
      <c r="A995" s="188" t="s">
        <v>620</v>
      </c>
      <c r="B995" s="188" t="s">
        <v>1394</v>
      </c>
      <c r="C995" s="188" t="s">
        <v>641</v>
      </c>
      <c r="D995" s="188" t="s">
        <v>2131</v>
      </c>
      <c r="E995" s="189">
        <v>39282</v>
      </c>
      <c r="F995" s="190">
        <v>0</v>
      </c>
      <c r="G995" s="190">
        <v>44.8</v>
      </c>
      <c r="H995" s="191">
        <v>280</v>
      </c>
      <c r="I995" s="191">
        <v>175</v>
      </c>
      <c r="J995" s="188" t="s">
        <v>667</v>
      </c>
      <c r="K995" s="188" t="s">
        <v>338</v>
      </c>
      <c r="L995" s="188" t="s">
        <v>1827</v>
      </c>
      <c r="M995" s="192">
        <f t="shared" si="45"/>
        <v>19</v>
      </c>
      <c r="N995" s="193">
        <f t="shared" si="46"/>
        <v>0.4</v>
      </c>
      <c r="O995" s="194">
        <f t="shared" si="47"/>
        <v>2.1052631578947368E-2</v>
      </c>
    </row>
    <row r="996" spans="1:15" ht="12.75" customHeight="1">
      <c r="A996" s="188" t="s">
        <v>620</v>
      </c>
      <c r="B996" s="188" t="s">
        <v>1394</v>
      </c>
      <c r="C996" s="188" t="s">
        <v>641</v>
      </c>
      <c r="D996" s="188" t="s">
        <v>2132</v>
      </c>
      <c r="E996" s="189">
        <v>39447</v>
      </c>
      <c r="F996" s="190">
        <v>0</v>
      </c>
      <c r="G996" s="190">
        <v>96</v>
      </c>
      <c r="H996" s="191">
        <v>1200</v>
      </c>
      <c r="I996" s="191">
        <v>375</v>
      </c>
      <c r="J996" s="188" t="s">
        <v>624</v>
      </c>
      <c r="K996" s="188" t="s">
        <v>338</v>
      </c>
      <c r="L996" s="188" t="s">
        <v>746</v>
      </c>
      <c r="M996" s="192">
        <f t="shared" si="45"/>
        <v>38</v>
      </c>
      <c r="N996" s="193">
        <f t="shared" si="46"/>
        <v>0.8</v>
      </c>
      <c r="O996" s="194">
        <f t="shared" si="47"/>
        <v>2.1052631578947368E-2</v>
      </c>
    </row>
    <row r="997" spans="1:15" ht="12.75" customHeight="1">
      <c r="A997" s="188" t="s">
        <v>620</v>
      </c>
      <c r="B997" s="188" t="s">
        <v>1394</v>
      </c>
      <c r="C997" s="188" t="s">
        <v>641</v>
      </c>
      <c r="D997" s="188" t="s">
        <v>2133</v>
      </c>
      <c r="E997" s="189">
        <v>39373</v>
      </c>
      <c r="F997" s="190">
        <v>0</v>
      </c>
      <c r="G997" s="190">
        <v>54.66</v>
      </c>
      <c r="H997" s="191">
        <v>684</v>
      </c>
      <c r="I997" s="191">
        <v>213.5</v>
      </c>
      <c r="J997" s="188" t="s">
        <v>624</v>
      </c>
      <c r="K997" s="188" t="s">
        <v>338</v>
      </c>
      <c r="L997" s="188" t="s">
        <v>2134</v>
      </c>
      <c r="M997" s="192">
        <f t="shared" si="45"/>
        <v>38</v>
      </c>
      <c r="N997" s="193">
        <f t="shared" si="46"/>
        <v>0.80093676814988291</v>
      </c>
      <c r="O997" s="194">
        <f t="shared" si="47"/>
        <v>2.1077283372365339E-2</v>
      </c>
    </row>
    <row r="998" spans="1:15" ht="12.75" customHeight="1">
      <c r="A998" s="188" t="s">
        <v>620</v>
      </c>
      <c r="B998" s="188" t="s">
        <v>1394</v>
      </c>
      <c r="C998" s="188" t="s">
        <v>641</v>
      </c>
      <c r="D998" s="188" t="s">
        <v>2135</v>
      </c>
      <c r="E998" s="189">
        <v>39240</v>
      </c>
      <c r="F998" s="190">
        <v>0</v>
      </c>
      <c r="G998" s="190">
        <v>87.17</v>
      </c>
      <c r="H998" s="191">
        <v>776.07</v>
      </c>
      <c r="I998" s="191">
        <v>340.5</v>
      </c>
      <c r="J998" s="188" t="s">
        <v>639</v>
      </c>
      <c r="K998" s="188" t="s">
        <v>338</v>
      </c>
      <c r="L998" s="188" t="s">
        <v>2136</v>
      </c>
      <c r="M998" s="192">
        <f t="shared" si="45"/>
        <v>27</v>
      </c>
      <c r="N998" s="193">
        <f t="shared" si="46"/>
        <v>0.56980176211453748</v>
      </c>
      <c r="O998" s="194">
        <f t="shared" si="47"/>
        <v>2.1103768967205092E-2</v>
      </c>
    </row>
    <row r="999" spans="1:15" ht="12.75" customHeight="1">
      <c r="A999" s="188" t="s">
        <v>620</v>
      </c>
      <c r="B999" s="188" t="s">
        <v>1394</v>
      </c>
      <c r="C999" s="188" t="s">
        <v>641</v>
      </c>
      <c r="D999" s="188" t="s">
        <v>2137</v>
      </c>
      <c r="E999" s="189">
        <v>39492</v>
      </c>
      <c r="F999" s="190">
        <v>0</v>
      </c>
      <c r="G999" s="190">
        <v>89.34</v>
      </c>
      <c r="H999" s="191">
        <v>766</v>
      </c>
      <c r="I999" s="191">
        <v>349</v>
      </c>
      <c r="J999" s="188" t="s">
        <v>361</v>
      </c>
      <c r="K999" s="188" t="s">
        <v>338</v>
      </c>
      <c r="L999" s="188" t="s">
        <v>2138</v>
      </c>
      <c r="M999" s="192">
        <f t="shared" si="45"/>
        <v>26</v>
      </c>
      <c r="N999" s="193">
        <f t="shared" si="46"/>
        <v>0.54871060171919772</v>
      </c>
      <c r="O999" s="194">
        <f t="shared" si="47"/>
        <v>2.1104253912276834E-2</v>
      </c>
    </row>
    <row r="1000" spans="1:15" ht="12.75" customHeight="1">
      <c r="A1000" s="188" t="s">
        <v>620</v>
      </c>
      <c r="B1000" s="188" t="s">
        <v>1394</v>
      </c>
      <c r="C1000" s="188" t="s">
        <v>641</v>
      </c>
      <c r="D1000" s="188" t="s">
        <v>2139</v>
      </c>
      <c r="E1000" s="189">
        <v>39296</v>
      </c>
      <c r="F1000" s="190">
        <v>0</v>
      </c>
      <c r="G1000" s="190">
        <v>62.46</v>
      </c>
      <c r="H1000" s="191">
        <v>783.04</v>
      </c>
      <c r="I1000" s="191">
        <v>244</v>
      </c>
      <c r="J1000" s="188" t="s">
        <v>624</v>
      </c>
      <c r="K1000" s="188" t="s">
        <v>338</v>
      </c>
      <c r="L1000" s="188" t="s">
        <v>2140</v>
      </c>
      <c r="M1000" s="192">
        <f t="shared" si="45"/>
        <v>38</v>
      </c>
      <c r="N1000" s="193">
        <f t="shared" si="46"/>
        <v>0.80229508196721311</v>
      </c>
      <c r="O1000" s="194">
        <f t="shared" si="47"/>
        <v>2.1113028472821399E-2</v>
      </c>
    </row>
    <row r="1001" spans="1:15" ht="12.75" customHeight="1">
      <c r="A1001" s="188" t="s">
        <v>620</v>
      </c>
      <c r="B1001" s="188" t="s">
        <v>1394</v>
      </c>
      <c r="C1001" s="188" t="s">
        <v>641</v>
      </c>
      <c r="D1001" s="188" t="s">
        <v>2141</v>
      </c>
      <c r="E1001" s="189">
        <v>39373</v>
      </c>
      <c r="F1001" s="190">
        <v>0</v>
      </c>
      <c r="G1001" s="190">
        <v>35.840000000000003</v>
      </c>
      <c r="H1001" s="191">
        <v>450</v>
      </c>
      <c r="I1001" s="191">
        <v>140</v>
      </c>
      <c r="J1001" s="188" t="s">
        <v>624</v>
      </c>
      <c r="K1001" s="188" t="s">
        <v>338</v>
      </c>
      <c r="L1001" s="188" t="s">
        <v>2142</v>
      </c>
      <c r="M1001" s="192">
        <f t="shared" si="45"/>
        <v>38</v>
      </c>
      <c r="N1001" s="193">
        <f t="shared" si="46"/>
        <v>0.8035714285714286</v>
      </c>
      <c r="O1001" s="194">
        <f t="shared" si="47"/>
        <v>2.1146616541353386E-2</v>
      </c>
    </row>
    <row r="1002" spans="1:15" ht="12.75" customHeight="1">
      <c r="A1002" s="188" t="s">
        <v>620</v>
      </c>
      <c r="B1002" s="188" t="s">
        <v>1394</v>
      </c>
      <c r="C1002" s="188" t="s">
        <v>641</v>
      </c>
      <c r="D1002" s="188" t="s">
        <v>2143</v>
      </c>
      <c r="E1002" s="189">
        <v>39436</v>
      </c>
      <c r="F1002" s="190">
        <v>0</v>
      </c>
      <c r="G1002" s="190">
        <v>79.489999999999995</v>
      </c>
      <c r="H1002" s="191">
        <v>814.86</v>
      </c>
      <c r="I1002" s="191">
        <v>310.5</v>
      </c>
      <c r="J1002" s="188" t="s">
        <v>503</v>
      </c>
      <c r="K1002" s="188" t="s">
        <v>338</v>
      </c>
      <c r="L1002" s="188" t="s">
        <v>2144</v>
      </c>
      <c r="M1002" s="192">
        <f t="shared" si="45"/>
        <v>31</v>
      </c>
      <c r="N1002" s="193">
        <f t="shared" si="46"/>
        <v>0.6560869565217391</v>
      </c>
      <c r="O1002" s="194">
        <f t="shared" si="47"/>
        <v>2.1164095371669002E-2</v>
      </c>
    </row>
    <row r="1003" spans="1:15" ht="12.75" customHeight="1">
      <c r="A1003" s="188" t="s">
        <v>620</v>
      </c>
      <c r="B1003" s="188" t="s">
        <v>1394</v>
      </c>
      <c r="C1003" s="188" t="s">
        <v>641</v>
      </c>
      <c r="D1003" s="188" t="s">
        <v>2145</v>
      </c>
      <c r="E1003" s="189">
        <v>39380</v>
      </c>
      <c r="F1003" s="190">
        <v>0</v>
      </c>
      <c r="G1003" s="190">
        <v>89.92</v>
      </c>
      <c r="H1003" s="191">
        <v>833.31</v>
      </c>
      <c r="I1003" s="191">
        <v>351.25</v>
      </c>
      <c r="J1003" s="188" t="s">
        <v>750</v>
      </c>
      <c r="K1003" s="188" t="s">
        <v>338</v>
      </c>
      <c r="L1003" s="188" t="s">
        <v>2146</v>
      </c>
      <c r="M1003" s="192">
        <f t="shared" si="45"/>
        <v>28</v>
      </c>
      <c r="N1003" s="193">
        <f t="shared" si="46"/>
        <v>0.59310320284697504</v>
      </c>
      <c r="O1003" s="194">
        <f t="shared" si="47"/>
        <v>2.1182257244534822E-2</v>
      </c>
    </row>
    <row r="1004" spans="1:15" ht="12.75" customHeight="1">
      <c r="A1004" s="188" t="s">
        <v>620</v>
      </c>
      <c r="B1004" s="188" t="s">
        <v>1394</v>
      </c>
      <c r="C1004" s="188" t="s">
        <v>641</v>
      </c>
      <c r="D1004" s="188" t="s">
        <v>2147</v>
      </c>
      <c r="E1004" s="189">
        <v>39576</v>
      </c>
      <c r="F1004" s="190">
        <v>0</v>
      </c>
      <c r="G1004" s="190">
        <v>80</v>
      </c>
      <c r="H1004" s="191">
        <v>795</v>
      </c>
      <c r="I1004" s="191">
        <v>312.5</v>
      </c>
      <c r="J1004" s="188" t="s">
        <v>635</v>
      </c>
      <c r="K1004" s="188" t="s">
        <v>338</v>
      </c>
      <c r="L1004" s="188" t="s">
        <v>716</v>
      </c>
      <c r="M1004" s="192">
        <f t="shared" si="45"/>
        <v>30</v>
      </c>
      <c r="N1004" s="193">
        <f t="shared" si="46"/>
        <v>0.63600000000000001</v>
      </c>
      <c r="O1004" s="194">
        <f t="shared" si="47"/>
        <v>2.12E-2</v>
      </c>
    </row>
    <row r="1005" spans="1:15" ht="12.75" customHeight="1">
      <c r="A1005" s="188" t="s">
        <v>620</v>
      </c>
      <c r="B1005" s="188" t="s">
        <v>1394</v>
      </c>
      <c r="C1005" s="188" t="s">
        <v>641</v>
      </c>
      <c r="D1005" s="188" t="s">
        <v>2148</v>
      </c>
      <c r="E1005" s="189">
        <v>39471</v>
      </c>
      <c r="F1005" s="190">
        <v>0</v>
      </c>
      <c r="G1005" s="190">
        <v>120</v>
      </c>
      <c r="H1005" s="191">
        <v>995</v>
      </c>
      <c r="I1005" s="191">
        <v>468.75</v>
      </c>
      <c r="J1005" s="188" t="s">
        <v>652</v>
      </c>
      <c r="K1005" s="188" t="s">
        <v>338</v>
      </c>
      <c r="L1005" s="188" t="s">
        <v>2149</v>
      </c>
      <c r="M1005" s="192">
        <f t="shared" si="45"/>
        <v>25</v>
      </c>
      <c r="N1005" s="193">
        <f t="shared" si="46"/>
        <v>0.53066666666666662</v>
      </c>
      <c r="O1005" s="194">
        <f t="shared" si="47"/>
        <v>2.1226666666666665E-2</v>
      </c>
    </row>
    <row r="1006" spans="1:15" ht="12.75" customHeight="1">
      <c r="A1006" s="188" t="s">
        <v>620</v>
      </c>
      <c r="B1006" s="188" t="s">
        <v>1394</v>
      </c>
      <c r="C1006" s="188" t="s">
        <v>641</v>
      </c>
      <c r="D1006" s="188" t="s">
        <v>2150</v>
      </c>
      <c r="E1006" s="189">
        <v>39324</v>
      </c>
      <c r="F1006" s="190">
        <v>0</v>
      </c>
      <c r="G1006" s="190">
        <v>80.900000000000006</v>
      </c>
      <c r="H1006" s="191">
        <v>805.04</v>
      </c>
      <c r="I1006" s="191">
        <v>316</v>
      </c>
      <c r="J1006" s="188" t="s">
        <v>635</v>
      </c>
      <c r="K1006" s="188" t="s">
        <v>338</v>
      </c>
      <c r="L1006" s="188" t="s">
        <v>2151</v>
      </c>
      <c r="M1006" s="192">
        <f t="shared" si="45"/>
        <v>30</v>
      </c>
      <c r="N1006" s="193">
        <f t="shared" si="46"/>
        <v>0.63689873417721521</v>
      </c>
      <c r="O1006" s="194">
        <f t="shared" si="47"/>
        <v>2.1229957805907175E-2</v>
      </c>
    </row>
    <row r="1007" spans="1:15" ht="12.75" customHeight="1">
      <c r="A1007" s="188" t="s">
        <v>620</v>
      </c>
      <c r="B1007" s="188" t="s">
        <v>1394</v>
      </c>
      <c r="C1007" s="188" t="s">
        <v>641</v>
      </c>
      <c r="D1007" s="188" t="s">
        <v>2152</v>
      </c>
      <c r="E1007" s="189">
        <v>39492</v>
      </c>
      <c r="F1007" s="190">
        <v>0</v>
      </c>
      <c r="G1007" s="190">
        <v>68.03</v>
      </c>
      <c r="H1007" s="191">
        <v>767.76</v>
      </c>
      <c r="I1007" s="191">
        <v>265.75</v>
      </c>
      <c r="J1007" s="188" t="s">
        <v>720</v>
      </c>
      <c r="K1007" s="188" t="s">
        <v>338</v>
      </c>
      <c r="L1007" s="188" t="s">
        <v>2096</v>
      </c>
      <c r="M1007" s="192">
        <f t="shared" si="45"/>
        <v>34</v>
      </c>
      <c r="N1007" s="193">
        <f t="shared" si="46"/>
        <v>0.72225776105362183</v>
      </c>
      <c r="O1007" s="194">
        <f t="shared" si="47"/>
        <v>2.1242875325106523E-2</v>
      </c>
    </row>
    <row r="1008" spans="1:15" ht="12.75" customHeight="1">
      <c r="A1008" s="188" t="s">
        <v>620</v>
      </c>
      <c r="B1008" s="188" t="s">
        <v>1394</v>
      </c>
      <c r="C1008" s="188" t="s">
        <v>641</v>
      </c>
      <c r="D1008" s="188" t="s">
        <v>2153</v>
      </c>
      <c r="E1008" s="189">
        <v>39261</v>
      </c>
      <c r="F1008" s="190">
        <v>0</v>
      </c>
      <c r="G1008" s="190">
        <v>57.22</v>
      </c>
      <c r="H1008" s="191">
        <v>436.99</v>
      </c>
      <c r="I1008" s="191">
        <v>223.5</v>
      </c>
      <c r="J1008" s="188" t="s">
        <v>571</v>
      </c>
      <c r="K1008" s="188" t="s">
        <v>338</v>
      </c>
      <c r="L1008" s="188" t="s">
        <v>547</v>
      </c>
      <c r="M1008" s="192">
        <f t="shared" si="45"/>
        <v>23</v>
      </c>
      <c r="N1008" s="193">
        <f t="shared" si="46"/>
        <v>0.48880313199105146</v>
      </c>
      <c r="O1008" s="194">
        <f t="shared" si="47"/>
        <v>2.1252310086567455E-2</v>
      </c>
    </row>
    <row r="1009" spans="1:15" ht="12.75" customHeight="1">
      <c r="A1009" s="188" t="s">
        <v>620</v>
      </c>
      <c r="B1009" s="188" t="s">
        <v>1394</v>
      </c>
      <c r="C1009" s="188" t="s">
        <v>641</v>
      </c>
      <c r="D1009" s="188" t="s">
        <v>2154</v>
      </c>
      <c r="E1009" s="189">
        <v>39407</v>
      </c>
      <c r="F1009" s="190">
        <v>0</v>
      </c>
      <c r="G1009" s="190">
        <v>37.76</v>
      </c>
      <c r="H1009" s="191">
        <v>477</v>
      </c>
      <c r="I1009" s="191">
        <v>147.5</v>
      </c>
      <c r="J1009" s="188" t="s">
        <v>624</v>
      </c>
      <c r="K1009" s="188" t="s">
        <v>338</v>
      </c>
      <c r="L1009" s="188" t="s">
        <v>2155</v>
      </c>
      <c r="M1009" s="192">
        <f t="shared" si="45"/>
        <v>38</v>
      </c>
      <c r="N1009" s="193">
        <f t="shared" si="46"/>
        <v>0.80847457627118646</v>
      </c>
      <c r="O1009" s="194">
        <f t="shared" si="47"/>
        <v>2.1275646743978593E-2</v>
      </c>
    </row>
    <row r="1010" spans="1:15" ht="12.75" customHeight="1">
      <c r="A1010" s="188" t="s">
        <v>620</v>
      </c>
      <c r="B1010" s="188" t="s">
        <v>1394</v>
      </c>
      <c r="C1010" s="188" t="s">
        <v>641</v>
      </c>
      <c r="D1010" s="188" t="s">
        <v>2156</v>
      </c>
      <c r="E1010" s="189">
        <v>39534</v>
      </c>
      <c r="F1010" s="190">
        <v>0</v>
      </c>
      <c r="G1010" s="190">
        <v>126.72</v>
      </c>
      <c r="H1010" s="191">
        <v>970</v>
      </c>
      <c r="I1010" s="191">
        <v>495</v>
      </c>
      <c r="J1010" s="188" t="s">
        <v>571</v>
      </c>
      <c r="K1010" s="188" t="s">
        <v>338</v>
      </c>
      <c r="L1010" s="188" t="s">
        <v>2157</v>
      </c>
      <c r="M1010" s="192">
        <f t="shared" si="45"/>
        <v>23</v>
      </c>
      <c r="N1010" s="193">
        <f t="shared" si="46"/>
        <v>0.48989898989898989</v>
      </c>
      <c r="O1010" s="194">
        <f t="shared" si="47"/>
        <v>2.1299956082564776E-2</v>
      </c>
    </row>
    <row r="1011" spans="1:15" ht="12.75" customHeight="1">
      <c r="A1011" s="188" t="s">
        <v>620</v>
      </c>
      <c r="B1011" s="188" t="s">
        <v>1394</v>
      </c>
      <c r="C1011" s="188" t="s">
        <v>641</v>
      </c>
      <c r="D1011" s="188" t="s">
        <v>2158</v>
      </c>
      <c r="E1011" s="189">
        <v>39395</v>
      </c>
      <c r="F1011" s="190">
        <v>0</v>
      </c>
      <c r="G1011" s="190">
        <v>25.6</v>
      </c>
      <c r="H1011" s="191">
        <v>324</v>
      </c>
      <c r="I1011" s="191">
        <v>100</v>
      </c>
      <c r="J1011" s="188" t="s">
        <v>624</v>
      </c>
      <c r="K1011" s="188" t="s">
        <v>338</v>
      </c>
      <c r="L1011" s="188" t="s">
        <v>910</v>
      </c>
      <c r="M1011" s="192">
        <f t="shared" si="45"/>
        <v>38</v>
      </c>
      <c r="N1011" s="193">
        <f t="shared" si="46"/>
        <v>0.81</v>
      </c>
      <c r="O1011" s="194">
        <f t="shared" si="47"/>
        <v>2.1315789473684212E-2</v>
      </c>
    </row>
    <row r="1012" spans="1:15" ht="12.75" customHeight="1">
      <c r="A1012" s="188" t="s">
        <v>620</v>
      </c>
      <c r="B1012" s="188" t="s">
        <v>1394</v>
      </c>
      <c r="C1012" s="188" t="s">
        <v>641</v>
      </c>
      <c r="D1012" s="188" t="s">
        <v>2159</v>
      </c>
      <c r="E1012" s="189">
        <v>39436</v>
      </c>
      <c r="F1012" s="190">
        <v>0</v>
      </c>
      <c r="G1012" s="190">
        <v>71.23</v>
      </c>
      <c r="H1012" s="191">
        <v>546</v>
      </c>
      <c r="I1012" s="191">
        <v>278.25</v>
      </c>
      <c r="J1012" s="188" t="s">
        <v>571</v>
      </c>
      <c r="K1012" s="188" t="s">
        <v>338</v>
      </c>
      <c r="L1012" s="188" t="s">
        <v>2160</v>
      </c>
      <c r="M1012" s="192">
        <f t="shared" si="45"/>
        <v>23</v>
      </c>
      <c r="N1012" s="193">
        <f t="shared" si="46"/>
        <v>0.49056603773584906</v>
      </c>
      <c r="O1012" s="194">
        <f t="shared" si="47"/>
        <v>2.1328958162428219E-2</v>
      </c>
    </row>
    <row r="1013" spans="1:15" ht="12.75" customHeight="1">
      <c r="A1013" s="188" t="s">
        <v>620</v>
      </c>
      <c r="B1013" s="188" t="s">
        <v>1394</v>
      </c>
      <c r="C1013" s="188" t="s">
        <v>641</v>
      </c>
      <c r="D1013" s="188" t="s">
        <v>2161</v>
      </c>
      <c r="E1013" s="189">
        <v>39436</v>
      </c>
      <c r="F1013" s="190">
        <v>0</v>
      </c>
      <c r="G1013" s="190">
        <v>43.26</v>
      </c>
      <c r="H1013" s="191">
        <v>274</v>
      </c>
      <c r="I1013" s="191">
        <v>169</v>
      </c>
      <c r="J1013" s="188" t="s">
        <v>667</v>
      </c>
      <c r="K1013" s="188" t="s">
        <v>338</v>
      </c>
      <c r="L1013" s="188" t="s">
        <v>1374</v>
      </c>
      <c r="M1013" s="192">
        <f t="shared" si="45"/>
        <v>19</v>
      </c>
      <c r="N1013" s="193">
        <f t="shared" si="46"/>
        <v>0.40532544378698226</v>
      </c>
      <c r="O1013" s="194">
        <f t="shared" si="47"/>
        <v>2.13329180940517E-2</v>
      </c>
    </row>
    <row r="1014" spans="1:15" ht="12.75" customHeight="1">
      <c r="A1014" s="188" t="s">
        <v>620</v>
      </c>
      <c r="B1014" s="188" t="s">
        <v>1394</v>
      </c>
      <c r="C1014" s="188" t="s">
        <v>641</v>
      </c>
      <c r="D1014" s="188" t="s">
        <v>2162</v>
      </c>
      <c r="E1014" s="189">
        <v>39618</v>
      </c>
      <c r="F1014" s="190">
        <v>0</v>
      </c>
      <c r="G1014" s="190">
        <v>80</v>
      </c>
      <c r="H1014" s="191">
        <v>720.62</v>
      </c>
      <c r="I1014" s="191">
        <v>312.5</v>
      </c>
      <c r="J1014" s="188" t="s">
        <v>639</v>
      </c>
      <c r="K1014" s="188" t="s">
        <v>338</v>
      </c>
      <c r="L1014" s="188" t="s">
        <v>716</v>
      </c>
      <c r="M1014" s="192">
        <f t="shared" si="45"/>
        <v>27</v>
      </c>
      <c r="N1014" s="193">
        <f t="shared" si="46"/>
        <v>0.57649600000000001</v>
      </c>
      <c r="O1014" s="194">
        <f t="shared" si="47"/>
        <v>2.1351703703703703E-2</v>
      </c>
    </row>
    <row r="1015" spans="1:15" ht="12.75" customHeight="1">
      <c r="A1015" s="188" t="s">
        <v>620</v>
      </c>
      <c r="B1015" s="188" t="s">
        <v>1394</v>
      </c>
      <c r="C1015" s="188" t="s">
        <v>641</v>
      </c>
      <c r="D1015" s="188" t="s">
        <v>2163</v>
      </c>
      <c r="E1015" s="189">
        <v>39366</v>
      </c>
      <c r="F1015" s="190">
        <v>0</v>
      </c>
      <c r="G1015" s="190">
        <v>83.2</v>
      </c>
      <c r="H1015" s="191">
        <v>750</v>
      </c>
      <c r="I1015" s="191">
        <v>325</v>
      </c>
      <c r="J1015" s="188" t="s">
        <v>639</v>
      </c>
      <c r="K1015" s="188" t="s">
        <v>338</v>
      </c>
      <c r="L1015" s="188" t="s">
        <v>699</v>
      </c>
      <c r="M1015" s="192">
        <f t="shared" si="45"/>
        <v>27</v>
      </c>
      <c r="N1015" s="193">
        <f t="shared" si="46"/>
        <v>0.57692307692307687</v>
      </c>
      <c r="O1015" s="194">
        <f t="shared" si="47"/>
        <v>2.1367521367521364E-2</v>
      </c>
    </row>
    <row r="1016" spans="1:15" ht="12.75" customHeight="1">
      <c r="A1016" s="188" t="s">
        <v>620</v>
      </c>
      <c r="B1016" s="188" t="s">
        <v>1394</v>
      </c>
      <c r="C1016" s="188" t="s">
        <v>641</v>
      </c>
      <c r="D1016" s="188" t="s">
        <v>2164</v>
      </c>
      <c r="E1016" s="189">
        <v>39471</v>
      </c>
      <c r="F1016" s="190">
        <v>0</v>
      </c>
      <c r="G1016" s="190">
        <v>39.36</v>
      </c>
      <c r="H1016" s="191">
        <v>500</v>
      </c>
      <c r="I1016" s="191">
        <v>153.75</v>
      </c>
      <c r="J1016" s="188" t="s">
        <v>624</v>
      </c>
      <c r="K1016" s="188" t="s">
        <v>338</v>
      </c>
      <c r="L1016" s="188" t="s">
        <v>2165</v>
      </c>
      <c r="M1016" s="192">
        <f t="shared" si="45"/>
        <v>38</v>
      </c>
      <c r="N1016" s="193">
        <f t="shared" si="46"/>
        <v>0.81300813008130079</v>
      </c>
      <c r="O1016" s="194">
        <f t="shared" si="47"/>
        <v>2.1394950791613177E-2</v>
      </c>
    </row>
    <row r="1017" spans="1:15" ht="12.75" customHeight="1">
      <c r="A1017" s="188" t="s">
        <v>620</v>
      </c>
      <c r="B1017" s="188" t="s">
        <v>1394</v>
      </c>
      <c r="C1017" s="188" t="s">
        <v>641</v>
      </c>
      <c r="D1017" s="188" t="s">
        <v>2166</v>
      </c>
      <c r="E1017" s="189">
        <v>39598</v>
      </c>
      <c r="F1017" s="190">
        <v>0</v>
      </c>
      <c r="G1017" s="190">
        <v>49.92</v>
      </c>
      <c r="H1017" s="191">
        <v>383.95</v>
      </c>
      <c r="I1017" s="191">
        <v>195</v>
      </c>
      <c r="J1017" s="188" t="s">
        <v>571</v>
      </c>
      <c r="K1017" s="188" t="s">
        <v>338</v>
      </c>
      <c r="L1017" s="188" t="s">
        <v>656</v>
      </c>
      <c r="M1017" s="192">
        <f t="shared" si="45"/>
        <v>23</v>
      </c>
      <c r="N1017" s="193">
        <f t="shared" si="46"/>
        <v>0.49224358974358973</v>
      </c>
      <c r="O1017" s="194">
        <f t="shared" si="47"/>
        <v>2.140189520624303E-2</v>
      </c>
    </row>
    <row r="1018" spans="1:15" ht="12.75" customHeight="1">
      <c r="A1018" s="188" t="s">
        <v>620</v>
      </c>
      <c r="B1018" s="188" t="s">
        <v>1394</v>
      </c>
      <c r="C1018" s="188" t="s">
        <v>641</v>
      </c>
      <c r="D1018" s="188" t="s">
        <v>2167</v>
      </c>
      <c r="E1018" s="189">
        <v>39275</v>
      </c>
      <c r="F1018" s="190">
        <v>0</v>
      </c>
      <c r="G1018" s="190">
        <v>69.12</v>
      </c>
      <c r="H1018" s="191">
        <v>740.02</v>
      </c>
      <c r="I1018" s="191">
        <v>270</v>
      </c>
      <c r="J1018" s="188" t="s">
        <v>353</v>
      </c>
      <c r="K1018" s="188" t="s">
        <v>338</v>
      </c>
      <c r="L1018" s="188" t="s">
        <v>817</v>
      </c>
      <c r="M1018" s="192">
        <f t="shared" si="45"/>
        <v>32</v>
      </c>
      <c r="N1018" s="193">
        <f t="shared" si="46"/>
        <v>0.68520370370370365</v>
      </c>
      <c r="O1018" s="194">
        <f t="shared" si="47"/>
        <v>2.1412615740740739E-2</v>
      </c>
    </row>
    <row r="1019" spans="1:15" ht="12.75" customHeight="1">
      <c r="A1019" s="188" t="s">
        <v>620</v>
      </c>
      <c r="B1019" s="188" t="s">
        <v>1394</v>
      </c>
      <c r="C1019" s="188" t="s">
        <v>641</v>
      </c>
      <c r="D1019" s="188" t="s">
        <v>2168</v>
      </c>
      <c r="E1019" s="189">
        <v>39380</v>
      </c>
      <c r="F1019" s="190">
        <v>0</v>
      </c>
      <c r="G1019" s="190">
        <v>69.89</v>
      </c>
      <c r="H1019" s="191">
        <v>538</v>
      </c>
      <c r="I1019" s="191">
        <v>273</v>
      </c>
      <c r="J1019" s="188" t="s">
        <v>571</v>
      </c>
      <c r="K1019" s="188" t="s">
        <v>338</v>
      </c>
      <c r="L1019" s="188" t="s">
        <v>1686</v>
      </c>
      <c r="M1019" s="192">
        <f t="shared" si="45"/>
        <v>23</v>
      </c>
      <c r="N1019" s="193">
        <f t="shared" si="46"/>
        <v>0.4926739926739927</v>
      </c>
      <c r="O1019" s="194">
        <f t="shared" si="47"/>
        <v>2.1420608377130116E-2</v>
      </c>
    </row>
    <row r="1020" spans="1:15" ht="12.75" customHeight="1">
      <c r="A1020" s="188" t="s">
        <v>620</v>
      </c>
      <c r="B1020" s="188" t="s">
        <v>1394</v>
      </c>
      <c r="C1020" s="188" t="s">
        <v>641</v>
      </c>
      <c r="D1020" s="188" t="s">
        <v>2169</v>
      </c>
      <c r="E1020" s="189">
        <v>39387</v>
      </c>
      <c r="F1020" s="190">
        <v>0</v>
      </c>
      <c r="G1020" s="190">
        <v>24.32</v>
      </c>
      <c r="H1020" s="191">
        <v>228</v>
      </c>
      <c r="I1020" s="191">
        <v>95</v>
      </c>
      <c r="J1020" s="188" t="s">
        <v>750</v>
      </c>
      <c r="K1020" s="188" t="s">
        <v>338</v>
      </c>
      <c r="L1020" s="188" t="s">
        <v>2170</v>
      </c>
      <c r="M1020" s="192">
        <f t="shared" si="45"/>
        <v>28</v>
      </c>
      <c r="N1020" s="193">
        <f t="shared" si="46"/>
        <v>0.6</v>
      </c>
      <c r="O1020" s="194">
        <f t="shared" si="47"/>
        <v>2.1428571428571429E-2</v>
      </c>
    </row>
    <row r="1021" spans="1:15" ht="12.75" customHeight="1">
      <c r="A1021" s="188" t="s">
        <v>620</v>
      </c>
      <c r="B1021" s="188" t="s">
        <v>1394</v>
      </c>
      <c r="C1021" s="188" t="s">
        <v>641</v>
      </c>
      <c r="D1021" s="188" t="s">
        <v>2171</v>
      </c>
      <c r="E1021" s="189">
        <v>39395</v>
      </c>
      <c r="F1021" s="190">
        <v>0</v>
      </c>
      <c r="G1021" s="190">
        <v>115.2</v>
      </c>
      <c r="H1021" s="191">
        <v>1080</v>
      </c>
      <c r="I1021" s="191">
        <v>450</v>
      </c>
      <c r="J1021" s="188" t="s">
        <v>750</v>
      </c>
      <c r="K1021" s="188" t="s">
        <v>338</v>
      </c>
      <c r="L1021" s="188" t="s">
        <v>718</v>
      </c>
      <c r="M1021" s="192">
        <f t="shared" si="45"/>
        <v>28</v>
      </c>
      <c r="N1021" s="193">
        <f t="shared" si="46"/>
        <v>0.6</v>
      </c>
      <c r="O1021" s="194">
        <f t="shared" si="47"/>
        <v>2.1428571428571429E-2</v>
      </c>
    </row>
    <row r="1022" spans="1:15" ht="12.75" customHeight="1">
      <c r="A1022" s="188" t="s">
        <v>620</v>
      </c>
      <c r="B1022" s="188" t="s">
        <v>1394</v>
      </c>
      <c r="C1022" s="188" t="s">
        <v>641</v>
      </c>
      <c r="D1022" s="188" t="s">
        <v>2172</v>
      </c>
      <c r="E1022" s="189">
        <v>39520</v>
      </c>
      <c r="F1022" s="190">
        <v>0</v>
      </c>
      <c r="G1022" s="190">
        <v>105.28</v>
      </c>
      <c r="H1022" s="191">
        <v>987</v>
      </c>
      <c r="I1022" s="191">
        <v>411.25</v>
      </c>
      <c r="J1022" s="188" t="s">
        <v>750</v>
      </c>
      <c r="K1022" s="188" t="s">
        <v>338</v>
      </c>
      <c r="L1022" s="188" t="s">
        <v>2024</v>
      </c>
      <c r="M1022" s="192">
        <f t="shared" si="45"/>
        <v>28</v>
      </c>
      <c r="N1022" s="193">
        <f t="shared" si="46"/>
        <v>0.6</v>
      </c>
      <c r="O1022" s="194">
        <f t="shared" si="47"/>
        <v>2.1428571428571429E-2</v>
      </c>
    </row>
    <row r="1023" spans="1:15" ht="12.75" customHeight="1">
      <c r="A1023" s="188" t="s">
        <v>620</v>
      </c>
      <c r="B1023" s="188" t="s">
        <v>1394</v>
      </c>
      <c r="C1023" s="188" t="s">
        <v>641</v>
      </c>
      <c r="D1023" s="188" t="s">
        <v>2173</v>
      </c>
      <c r="E1023" s="189">
        <v>39282</v>
      </c>
      <c r="F1023" s="190">
        <v>0</v>
      </c>
      <c r="G1023" s="190">
        <v>91.52</v>
      </c>
      <c r="H1023" s="191">
        <v>613.04</v>
      </c>
      <c r="I1023" s="191">
        <v>357.5</v>
      </c>
      <c r="J1023" s="188" t="s">
        <v>560</v>
      </c>
      <c r="K1023" s="188" t="s">
        <v>338</v>
      </c>
      <c r="L1023" s="188" t="s">
        <v>1798</v>
      </c>
      <c r="M1023" s="192">
        <f t="shared" si="45"/>
        <v>20</v>
      </c>
      <c r="N1023" s="193">
        <f t="shared" si="46"/>
        <v>0.42869930069930068</v>
      </c>
      <c r="O1023" s="194">
        <f t="shared" si="47"/>
        <v>2.1434965034965035E-2</v>
      </c>
    </row>
    <row r="1024" spans="1:15" ht="12.75" customHeight="1">
      <c r="A1024" s="188" t="s">
        <v>620</v>
      </c>
      <c r="B1024" s="188" t="s">
        <v>1394</v>
      </c>
      <c r="C1024" s="188" t="s">
        <v>641</v>
      </c>
      <c r="D1024" s="188" t="s">
        <v>2174</v>
      </c>
      <c r="E1024" s="189">
        <v>39590</v>
      </c>
      <c r="F1024" s="190">
        <v>0</v>
      </c>
      <c r="G1024" s="190">
        <v>110.85</v>
      </c>
      <c r="H1024" s="191">
        <v>1003</v>
      </c>
      <c r="I1024" s="191">
        <v>433</v>
      </c>
      <c r="J1024" s="188" t="s">
        <v>639</v>
      </c>
      <c r="K1024" s="188" t="s">
        <v>338</v>
      </c>
      <c r="L1024" s="188" t="s">
        <v>2175</v>
      </c>
      <c r="M1024" s="192">
        <f t="shared" si="45"/>
        <v>27</v>
      </c>
      <c r="N1024" s="193">
        <f t="shared" si="46"/>
        <v>0.57909930715935332</v>
      </c>
      <c r="O1024" s="194">
        <f t="shared" si="47"/>
        <v>2.1448122487383457E-2</v>
      </c>
    </row>
    <row r="1025" spans="1:15" ht="12.75" customHeight="1">
      <c r="A1025" s="188" t="s">
        <v>620</v>
      </c>
      <c r="B1025" s="188" t="s">
        <v>1394</v>
      </c>
      <c r="C1025" s="188" t="s">
        <v>641</v>
      </c>
      <c r="D1025" s="188" t="s">
        <v>2176</v>
      </c>
      <c r="E1025" s="189">
        <v>39422</v>
      </c>
      <c r="F1025" s="190">
        <v>0</v>
      </c>
      <c r="G1025" s="190">
        <v>92.16</v>
      </c>
      <c r="H1025" s="191">
        <v>618</v>
      </c>
      <c r="I1025" s="191">
        <v>360</v>
      </c>
      <c r="J1025" s="188" t="s">
        <v>560</v>
      </c>
      <c r="K1025" s="188" t="s">
        <v>338</v>
      </c>
      <c r="L1025" s="188" t="s">
        <v>682</v>
      </c>
      <c r="M1025" s="192">
        <f t="shared" si="45"/>
        <v>20</v>
      </c>
      <c r="N1025" s="193">
        <f t="shared" si="46"/>
        <v>0.42916666666666664</v>
      </c>
      <c r="O1025" s="194">
        <f t="shared" si="47"/>
        <v>2.1458333333333333E-2</v>
      </c>
    </row>
    <row r="1026" spans="1:15" ht="12.75" customHeight="1">
      <c r="A1026" s="188" t="s">
        <v>620</v>
      </c>
      <c r="B1026" s="188" t="s">
        <v>1394</v>
      </c>
      <c r="C1026" s="188" t="s">
        <v>641</v>
      </c>
      <c r="D1026" s="188" t="s">
        <v>2177</v>
      </c>
      <c r="E1026" s="189">
        <v>39447</v>
      </c>
      <c r="F1026" s="190">
        <v>0</v>
      </c>
      <c r="G1026" s="190">
        <v>93.44</v>
      </c>
      <c r="H1026" s="191">
        <v>940</v>
      </c>
      <c r="I1026" s="191">
        <v>365</v>
      </c>
      <c r="J1026" s="188" t="s">
        <v>635</v>
      </c>
      <c r="K1026" s="188" t="s">
        <v>338</v>
      </c>
      <c r="L1026" s="188" t="s">
        <v>1386</v>
      </c>
      <c r="M1026" s="192">
        <f t="shared" ref="M1026:M1089" si="48">K1026-J1026</f>
        <v>30</v>
      </c>
      <c r="N1026" s="193">
        <f t="shared" ref="N1026:N1089" si="49">H1026/L1026</f>
        <v>0.64383561643835618</v>
      </c>
      <c r="O1026" s="194">
        <f t="shared" ref="O1026:O1089" si="50">N1026/M1026</f>
        <v>2.1461187214611873E-2</v>
      </c>
    </row>
    <row r="1027" spans="1:15" ht="12.75" customHeight="1">
      <c r="A1027" s="188" t="s">
        <v>620</v>
      </c>
      <c r="B1027" s="188" t="s">
        <v>1394</v>
      </c>
      <c r="C1027" s="188" t="s">
        <v>641</v>
      </c>
      <c r="D1027" s="188" t="s">
        <v>2178</v>
      </c>
      <c r="E1027" s="189">
        <v>39632</v>
      </c>
      <c r="F1027" s="190">
        <v>0</v>
      </c>
      <c r="G1027" s="190">
        <v>19.2</v>
      </c>
      <c r="H1027" s="191">
        <v>245</v>
      </c>
      <c r="I1027" s="191">
        <v>75</v>
      </c>
      <c r="J1027" s="188" t="s">
        <v>624</v>
      </c>
      <c r="K1027" s="188" t="s">
        <v>338</v>
      </c>
      <c r="L1027" s="188" t="s">
        <v>1315</v>
      </c>
      <c r="M1027" s="192">
        <f t="shared" si="48"/>
        <v>38</v>
      </c>
      <c r="N1027" s="193">
        <f t="shared" si="49"/>
        <v>0.81666666666666665</v>
      </c>
      <c r="O1027" s="194">
        <f t="shared" si="50"/>
        <v>2.1491228070175439E-2</v>
      </c>
    </row>
    <row r="1028" spans="1:15" ht="12.75" customHeight="1">
      <c r="A1028" s="188" t="s">
        <v>620</v>
      </c>
      <c r="B1028" s="188" t="s">
        <v>1394</v>
      </c>
      <c r="C1028" s="188" t="s">
        <v>641</v>
      </c>
      <c r="D1028" s="188" t="s">
        <v>2179</v>
      </c>
      <c r="E1028" s="189">
        <v>39226</v>
      </c>
      <c r="F1028" s="190">
        <v>0</v>
      </c>
      <c r="G1028" s="190">
        <v>157.12</v>
      </c>
      <c r="H1028" s="191">
        <v>1583.97</v>
      </c>
      <c r="I1028" s="191">
        <v>613.75</v>
      </c>
      <c r="J1028" s="188" t="s">
        <v>635</v>
      </c>
      <c r="K1028" s="188" t="s">
        <v>338</v>
      </c>
      <c r="L1028" s="188" t="s">
        <v>2180</v>
      </c>
      <c r="M1028" s="192">
        <f t="shared" si="48"/>
        <v>30</v>
      </c>
      <c r="N1028" s="193">
        <f t="shared" si="49"/>
        <v>0.64520162932790226</v>
      </c>
      <c r="O1028" s="194">
        <f t="shared" si="50"/>
        <v>2.1506720977596743E-2</v>
      </c>
    </row>
    <row r="1029" spans="1:15" ht="12.75" customHeight="1">
      <c r="A1029" s="188" t="s">
        <v>620</v>
      </c>
      <c r="B1029" s="188" t="s">
        <v>1394</v>
      </c>
      <c r="C1029" s="188" t="s">
        <v>641</v>
      </c>
      <c r="D1029" s="188" t="s">
        <v>2181</v>
      </c>
      <c r="E1029" s="189">
        <v>39282</v>
      </c>
      <c r="F1029" s="190">
        <v>0</v>
      </c>
      <c r="G1029" s="190">
        <v>121.6</v>
      </c>
      <c r="H1029" s="191">
        <v>1226.07</v>
      </c>
      <c r="I1029" s="191">
        <v>475</v>
      </c>
      <c r="J1029" s="188" t="s">
        <v>635</v>
      </c>
      <c r="K1029" s="188" t="s">
        <v>338</v>
      </c>
      <c r="L1029" s="188" t="s">
        <v>1673</v>
      </c>
      <c r="M1029" s="192">
        <f t="shared" si="48"/>
        <v>30</v>
      </c>
      <c r="N1029" s="193">
        <f t="shared" si="49"/>
        <v>0.64529999999999998</v>
      </c>
      <c r="O1029" s="194">
        <f t="shared" si="50"/>
        <v>2.1509999999999998E-2</v>
      </c>
    </row>
    <row r="1030" spans="1:15" ht="12.75" customHeight="1">
      <c r="A1030" s="188" t="s">
        <v>620</v>
      </c>
      <c r="B1030" s="188" t="s">
        <v>1394</v>
      </c>
      <c r="C1030" s="188" t="s">
        <v>641</v>
      </c>
      <c r="D1030" s="188" t="s">
        <v>2182</v>
      </c>
      <c r="E1030" s="189">
        <v>39492</v>
      </c>
      <c r="F1030" s="190">
        <v>0</v>
      </c>
      <c r="G1030" s="190">
        <v>76.8</v>
      </c>
      <c r="H1030" s="191">
        <v>775</v>
      </c>
      <c r="I1030" s="191">
        <v>300</v>
      </c>
      <c r="J1030" s="188" t="s">
        <v>635</v>
      </c>
      <c r="K1030" s="188" t="s">
        <v>338</v>
      </c>
      <c r="L1030" s="188" t="s">
        <v>632</v>
      </c>
      <c r="M1030" s="192">
        <f t="shared" si="48"/>
        <v>30</v>
      </c>
      <c r="N1030" s="193">
        <f t="shared" si="49"/>
        <v>0.64583333333333337</v>
      </c>
      <c r="O1030" s="194">
        <f t="shared" si="50"/>
        <v>2.1527777777777778E-2</v>
      </c>
    </row>
    <row r="1031" spans="1:15" ht="12.75" customHeight="1">
      <c r="A1031" s="188" t="s">
        <v>620</v>
      </c>
      <c r="B1031" s="188" t="s">
        <v>1394</v>
      </c>
      <c r="C1031" s="188" t="s">
        <v>641</v>
      </c>
      <c r="D1031" s="188" t="s">
        <v>2183</v>
      </c>
      <c r="E1031" s="189">
        <v>39407</v>
      </c>
      <c r="F1031" s="190">
        <v>0</v>
      </c>
      <c r="G1031" s="190">
        <v>83.2</v>
      </c>
      <c r="H1031" s="191">
        <v>840</v>
      </c>
      <c r="I1031" s="191">
        <v>325</v>
      </c>
      <c r="J1031" s="188" t="s">
        <v>635</v>
      </c>
      <c r="K1031" s="188" t="s">
        <v>338</v>
      </c>
      <c r="L1031" s="188" t="s">
        <v>699</v>
      </c>
      <c r="M1031" s="192">
        <f t="shared" si="48"/>
        <v>30</v>
      </c>
      <c r="N1031" s="193">
        <f t="shared" si="49"/>
        <v>0.64615384615384619</v>
      </c>
      <c r="O1031" s="194">
        <f t="shared" si="50"/>
        <v>2.1538461538461541E-2</v>
      </c>
    </row>
    <row r="1032" spans="1:15" ht="12.75" customHeight="1">
      <c r="A1032" s="188" t="s">
        <v>620</v>
      </c>
      <c r="B1032" s="188" t="s">
        <v>1394</v>
      </c>
      <c r="C1032" s="188" t="s">
        <v>641</v>
      </c>
      <c r="D1032" s="188" t="s">
        <v>2184</v>
      </c>
      <c r="E1032" s="189">
        <v>39345</v>
      </c>
      <c r="F1032" s="190">
        <v>0</v>
      </c>
      <c r="G1032" s="190">
        <v>97.02</v>
      </c>
      <c r="H1032" s="191">
        <v>979.94</v>
      </c>
      <c r="I1032" s="191">
        <v>379</v>
      </c>
      <c r="J1032" s="188" t="s">
        <v>635</v>
      </c>
      <c r="K1032" s="188" t="s">
        <v>338</v>
      </c>
      <c r="L1032" s="188" t="s">
        <v>2185</v>
      </c>
      <c r="M1032" s="192">
        <f t="shared" si="48"/>
        <v>30</v>
      </c>
      <c r="N1032" s="193">
        <f t="shared" si="49"/>
        <v>0.64639841688654354</v>
      </c>
      <c r="O1032" s="194">
        <f t="shared" si="50"/>
        <v>2.1546613896218116E-2</v>
      </c>
    </row>
    <row r="1033" spans="1:15" ht="12.75" customHeight="1">
      <c r="A1033" s="188" t="s">
        <v>620</v>
      </c>
      <c r="B1033" s="188" t="s">
        <v>1394</v>
      </c>
      <c r="C1033" s="188" t="s">
        <v>641</v>
      </c>
      <c r="D1033" s="188" t="s">
        <v>2186</v>
      </c>
      <c r="E1033" s="189">
        <v>39447</v>
      </c>
      <c r="F1033" s="190">
        <v>0</v>
      </c>
      <c r="G1033" s="190">
        <v>67.58</v>
      </c>
      <c r="H1033" s="191">
        <v>865</v>
      </c>
      <c r="I1033" s="191">
        <v>264</v>
      </c>
      <c r="J1033" s="188" t="s">
        <v>624</v>
      </c>
      <c r="K1033" s="188" t="s">
        <v>338</v>
      </c>
      <c r="L1033" s="188" t="s">
        <v>1354</v>
      </c>
      <c r="M1033" s="192">
        <f t="shared" si="48"/>
        <v>38</v>
      </c>
      <c r="N1033" s="193">
        <f t="shared" si="49"/>
        <v>0.81912878787878785</v>
      </c>
      <c r="O1033" s="194">
        <f t="shared" si="50"/>
        <v>2.1556020733652311E-2</v>
      </c>
    </row>
    <row r="1034" spans="1:15" ht="12.75" customHeight="1">
      <c r="A1034" s="188" t="s">
        <v>620</v>
      </c>
      <c r="B1034" s="188" t="s">
        <v>1394</v>
      </c>
      <c r="C1034" s="188" t="s">
        <v>641</v>
      </c>
      <c r="D1034" s="188" t="s">
        <v>2187</v>
      </c>
      <c r="E1034" s="189">
        <v>39471</v>
      </c>
      <c r="F1034" s="190">
        <v>0</v>
      </c>
      <c r="G1034" s="190">
        <v>46.21</v>
      </c>
      <c r="H1034" s="191">
        <v>358</v>
      </c>
      <c r="I1034" s="191">
        <v>180.5</v>
      </c>
      <c r="J1034" s="188" t="s">
        <v>571</v>
      </c>
      <c r="K1034" s="188" t="s">
        <v>338</v>
      </c>
      <c r="L1034" s="188" t="s">
        <v>2188</v>
      </c>
      <c r="M1034" s="192">
        <f t="shared" si="48"/>
        <v>23</v>
      </c>
      <c r="N1034" s="193">
        <f t="shared" si="49"/>
        <v>0.49584487534626037</v>
      </c>
      <c r="O1034" s="194">
        <f t="shared" si="50"/>
        <v>2.1558472841141756E-2</v>
      </c>
    </row>
    <row r="1035" spans="1:15" ht="12.75" customHeight="1">
      <c r="A1035" s="188" t="s">
        <v>620</v>
      </c>
      <c r="B1035" s="188" t="s">
        <v>1394</v>
      </c>
      <c r="C1035" s="188" t="s">
        <v>641</v>
      </c>
      <c r="D1035" s="188" t="s">
        <v>2189</v>
      </c>
      <c r="E1035" s="189">
        <v>39415</v>
      </c>
      <c r="F1035" s="190">
        <v>0</v>
      </c>
      <c r="G1035" s="190">
        <v>122.88</v>
      </c>
      <c r="H1035" s="191">
        <v>828</v>
      </c>
      <c r="I1035" s="191">
        <v>480</v>
      </c>
      <c r="J1035" s="188" t="s">
        <v>560</v>
      </c>
      <c r="K1035" s="188" t="s">
        <v>338</v>
      </c>
      <c r="L1035" s="188" t="s">
        <v>640</v>
      </c>
      <c r="M1035" s="192">
        <f t="shared" si="48"/>
        <v>20</v>
      </c>
      <c r="N1035" s="193">
        <f t="shared" si="49"/>
        <v>0.43125000000000002</v>
      </c>
      <c r="O1035" s="194">
        <f t="shared" si="50"/>
        <v>2.1562500000000002E-2</v>
      </c>
    </row>
    <row r="1036" spans="1:15" ht="12.75" customHeight="1">
      <c r="A1036" s="188" t="s">
        <v>620</v>
      </c>
      <c r="B1036" s="188" t="s">
        <v>1394</v>
      </c>
      <c r="C1036" s="188" t="s">
        <v>641</v>
      </c>
      <c r="D1036" s="188" t="s">
        <v>2190</v>
      </c>
      <c r="E1036" s="189">
        <v>39261</v>
      </c>
      <c r="F1036" s="190">
        <v>0</v>
      </c>
      <c r="G1036" s="190">
        <v>108.8</v>
      </c>
      <c r="H1036" s="191">
        <v>1100.07</v>
      </c>
      <c r="I1036" s="191">
        <v>425</v>
      </c>
      <c r="J1036" s="188" t="s">
        <v>635</v>
      </c>
      <c r="K1036" s="188" t="s">
        <v>338</v>
      </c>
      <c r="L1036" s="188" t="s">
        <v>833</v>
      </c>
      <c r="M1036" s="192">
        <f t="shared" si="48"/>
        <v>30</v>
      </c>
      <c r="N1036" s="193">
        <f t="shared" si="49"/>
        <v>0.64710000000000001</v>
      </c>
      <c r="O1036" s="194">
        <f t="shared" si="50"/>
        <v>2.1569999999999999E-2</v>
      </c>
    </row>
    <row r="1037" spans="1:15" ht="12.75" customHeight="1">
      <c r="A1037" s="188" t="s">
        <v>620</v>
      </c>
      <c r="B1037" s="188" t="s">
        <v>1394</v>
      </c>
      <c r="C1037" s="188" t="s">
        <v>641</v>
      </c>
      <c r="D1037" s="188" t="s">
        <v>2191</v>
      </c>
      <c r="E1037" s="189">
        <v>39212</v>
      </c>
      <c r="F1037" s="190">
        <v>0</v>
      </c>
      <c r="G1037" s="190">
        <v>92.35</v>
      </c>
      <c r="H1037" s="191">
        <v>591.63</v>
      </c>
      <c r="I1037" s="191">
        <v>360.75</v>
      </c>
      <c r="J1037" s="188" t="s">
        <v>667</v>
      </c>
      <c r="K1037" s="188" t="s">
        <v>338</v>
      </c>
      <c r="L1037" s="188" t="s">
        <v>2192</v>
      </c>
      <c r="M1037" s="192">
        <f t="shared" si="48"/>
        <v>19</v>
      </c>
      <c r="N1037" s="193">
        <f t="shared" si="49"/>
        <v>0.41</v>
      </c>
      <c r="O1037" s="194">
        <f t="shared" si="50"/>
        <v>2.1578947368421052E-2</v>
      </c>
    </row>
    <row r="1038" spans="1:15" ht="12.75" customHeight="1">
      <c r="A1038" s="188" t="s">
        <v>620</v>
      </c>
      <c r="B1038" s="188" t="s">
        <v>1394</v>
      </c>
      <c r="C1038" s="188" t="s">
        <v>641</v>
      </c>
      <c r="D1038" s="188" t="s">
        <v>2193</v>
      </c>
      <c r="E1038" s="189">
        <v>39492</v>
      </c>
      <c r="F1038" s="190">
        <v>0</v>
      </c>
      <c r="G1038" s="190">
        <v>96</v>
      </c>
      <c r="H1038" s="191">
        <v>1230</v>
      </c>
      <c r="I1038" s="191">
        <v>375</v>
      </c>
      <c r="J1038" s="188" t="s">
        <v>624</v>
      </c>
      <c r="K1038" s="188" t="s">
        <v>338</v>
      </c>
      <c r="L1038" s="188" t="s">
        <v>746</v>
      </c>
      <c r="M1038" s="192">
        <f t="shared" si="48"/>
        <v>38</v>
      </c>
      <c r="N1038" s="193">
        <f t="shared" si="49"/>
        <v>0.82</v>
      </c>
      <c r="O1038" s="194">
        <f t="shared" si="50"/>
        <v>2.1578947368421052E-2</v>
      </c>
    </row>
    <row r="1039" spans="1:15" ht="12.75" customHeight="1">
      <c r="A1039" s="188" t="s">
        <v>620</v>
      </c>
      <c r="B1039" s="188" t="s">
        <v>1394</v>
      </c>
      <c r="C1039" s="188" t="s">
        <v>641</v>
      </c>
      <c r="D1039" s="188" t="s">
        <v>2194</v>
      </c>
      <c r="E1039" s="189">
        <v>39548</v>
      </c>
      <c r="F1039" s="190">
        <v>0</v>
      </c>
      <c r="G1039" s="190">
        <v>206.53</v>
      </c>
      <c r="H1039" s="191">
        <v>2090</v>
      </c>
      <c r="I1039" s="191">
        <v>806.75</v>
      </c>
      <c r="J1039" s="188" t="s">
        <v>560</v>
      </c>
      <c r="K1039" s="188" t="s">
        <v>442</v>
      </c>
      <c r="L1039" s="188" t="s">
        <v>2195</v>
      </c>
      <c r="M1039" s="192">
        <f t="shared" si="48"/>
        <v>30</v>
      </c>
      <c r="N1039" s="193">
        <f t="shared" si="49"/>
        <v>0.64766036566470409</v>
      </c>
      <c r="O1039" s="194">
        <f t="shared" si="50"/>
        <v>2.1588678855490137E-2</v>
      </c>
    </row>
    <row r="1040" spans="1:15" ht="12.75" customHeight="1">
      <c r="A1040" s="188" t="s">
        <v>620</v>
      </c>
      <c r="B1040" s="188" t="s">
        <v>1394</v>
      </c>
      <c r="C1040" s="188" t="s">
        <v>641</v>
      </c>
      <c r="D1040" s="188" t="s">
        <v>2196</v>
      </c>
      <c r="E1040" s="189">
        <v>39219</v>
      </c>
      <c r="F1040" s="190">
        <v>0</v>
      </c>
      <c r="G1040" s="190">
        <v>92.67</v>
      </c>
      <c r="H1040" s="191">
        <v>1158.4000000000001</v>
      </c>
      <c r="I1040" s="191">
        <v>362</v>
      </c>
      <c r="J1040" s="188" t="s">
        <v>251</v>
      </c>
      <c r="K1040" s="188" t="s">
        <v>338</v>
      </c>
      <c r="L1040" s="188" t="s">
        <v>2197</v>
      </c>
      <c r="M1040" s="192">
        <f t="shared" si="48"/>
        <v>37</v>
      </c>
      <c r="N1040" s="193">
        <f t="shared" si="49"/>
        <v>0.8</v>
      </c>
      <c r="O1040" s="194">
        <f t="shared" si="50"/>
        <v>2.1621621621621623E-2</v>
      </c>
    </row>
    <row r="1041" spans="1:15" ht="12.75" customHeight="1">
      <c r="A1041" s="188" t="s">
        <v>620</v>
      </c>
      <c r="B1041" s="188" t="s">
        <v>1394</v>
      </c>
      <c r="C1041" s="188" t="s">
        <v>641</v>
      </c>
      <c r="D1041" s="188" t="s">
        <v>2198</v>
      </c>
      <c r="E1041" s="189">
        <v>39254</v>
      </c>
      <c r="F1041" s="190">
        <v>0</v>
      </c>
      <c r="G1041" s="190">
        <v>29.38</v>
      </c>
      <c r="H1041" s="191">
        <v>297.98</v>
      </c>
      <c r="I1041" s="191">
        <v>114.75</v>
      </c>
      <c r="J1041" s="188" t="s">
        <v>635</v>
      </c>
      <c r="K1041" s="188" t="s">
        <v>338</v>
      </c>
      <c r="L1041" s="188" t="s">
        <v>2199</v>
      </c>
      <c r="M1041" s="192">
        <f t="shared" si="48"/>
        <v>30</v>
      </c>
      <c r="N1041" s="193">
        <f t="shared" si="49"/>
        <v>0.64919389978213515</v>
      </c>
      <c r="O1041" s="194">
        <f t="shared" si="50"/>
        <v>2.1639796659404506E-2</v>
      </c>
    </row>
    <row r="1042" spans="1:15" ht="12.75" customHeight="1">
      <c r="A1042" s="188" t="s">
        <v>620</v>
      </c>
      <c r="B1042" s="188" t="s">
        <v>1394</v>
      </c>
      <c r="C1042" s="188" t="s">
        <v>641</v>
      </c>
      <c r="D1042" s="188" t="s">
        <v>2200</v>
      </c>
      <c r="E1042" s="189">
        <v>39436</v>
      </c>
      <c r="F1042" s="190">
        <v>0</v>
      </c>
      <c r="G1042" s="190">
        <v>134.4</v>
      </c>
      <c r="H1042" s="191">
        <v>1318</v>
      </c>
      <c r="I1042" s="191">
        <v>525</v>
      </c>
      <c r="J1042" s="188" t="s">
        <v>715</v>
      </c>
      <c r="K1042" s="188" t="s">
        <v>338</v>
      </c>
      <c r="L1042" s="188" t="s">
        <v>701</v>
      </c>
      <c r="M1042" s="192">
        <f t="shared" si="48"/>
        <v>29</v>
      </c>
      <c r="N1042" s="193">
        <f t="shared" si="49"/>
        <v>0.62761904761904763</v>
      </c>
      <c r="O1042" s="194">
        <f t="shared" si="50"/>
        <v>2.1642036124794747E-2</v>
      </c>
    </row>
    <row r="1043" spans="1:15" ht="12.75" customHeight="1">
      <c r="A1043" s="188" t="s">
        <v>620</v>
      </c>
      <c r="B1043" s="188" t="s">
        <v>1394</v>
      </c>
      <c r="C1043" s="188" t="s">
        <v>641</v>
      </c>
      <c r="D1043" s="188" t="s">
        <v>2201</v>
      </c>
      <c r="E1043" s="189">
        <v>39632</v>
      </c>
      <c r="F1043" s="190">
        <v>0</v>
      </c>
      <c r="G1043" s="190">
        <v>62.14</v>
      </c>
      <c r="H1043" s="191">
        <v>484</v>
      </c>
      <c r="I1043" s="191">
        <v>242.75</v>
      </c>
      <c r="J1043" s="188" t="s">
        <v>571</v>
      </c>
      <c r="K1043" s="188" t="s">
        <v>338</v>
      </c>
      <c r="L1043" s="188" t="s">
        <v>1926</v>
      </c>
      <c r="M1043" s="192">
        <f t="shared" si="48"/>
        <v>23</v>
      </c>
      <c r="N1043" s="193">
        <f t="shared" si="49"/>
        <v>0.49845520082389289</v>
      </c>
      <c r="O1043" s="194">
        <f t="shared" si="50"/>
        <v>2.1671965253212733E-2</v>
      </c>
    </row>
    <row r="1044" spans="1:15" ht="12.75" customHeight="1">
      <c r="A1044" s="188" t="s">
        <v>620</v>
      </c>
      <c r="B1044" s="188" t="s">
        <v>1394</v>
      </c>
      <c r="C1044" s="188" t="s">
        <v>641</v>
      </c>
      <c r="D1044" s="188" t="s">
        <v>2202</v>
      </c>
      <c r="E1044" s="189">
        <v>39296</v>
      </c>
      <c r="F1044" s="190">
        <v>0</v>
      </c>
      <c r="G1044" s="190">
        <v>55.68</v>
      </c>
      <c r="H1044" s="191">
        <v>603.35</v>
      </c>
      <c r="I1044" s="191">
        <v>217.5</v>
      </c>
      <c r="J1044" s="188" t="s">
        <v>353</v>
      </c>
      <c r="K1044" s="188" t="s">
        <v>338</v>
      </c>
      <c r="L1044" s="188" t="s">
        <v>1979</v>
      </c>
      <c r="M1044" s="192">
        <f t="shared" si="48"/>
        <v>32</v>
      </c>
      <c r="N1044" s="193">
        <f t="shared" si="49"/>
        <v>0.69350574712643676</v>
      </c>
      <c r="O1044" s="194">
        <f t="shared" si="50"/>
        <v>2.1672054597701149E-2</v>
      </c>
    </row>
    <row r="1045" spans="1:15" ht="12.75" customHeight="1">
      <c r="A1045" s="188" t="s">
        <v>620</v>
      </c>
      <c r="B1045" s="188" t="s">
        <v>1394</v>
      </c>
      <c r="C1045" s="188" t="s">
        <v>641</v>
      </c>
      <c r="D1045" s="188" t="s">
        <v>2203</v>
      </c>
      <c r="E1045" s="189">
        <v>39548</v>
      </c>
      <c r="F1045" s="190">
        <v>0</v>
      </c>
      <c r="G1045" s="190">
        <v>72.64</v>
      </c>
      <c r="H1045" s="191">
        <v>566</v>
      </c>
      <c r="I1045" s="191">
        <v>283.75</v>
      </c>
      <c r="J1045" s="188" t="s">
        <v>571</v>
      </c>
      <c r="K1045" s="188" t="s">
        <v>338</v>
      </c>
      <c r="L1045" s="188" t="s">
        <v>2204</v>
      </c>
      <c r="M1045" s="192">
        <f t="shared" si="48"/>
        <v>23</v>
      </c>
      <c r="N1045" s="193">
        <f t="shared" si="49"/>
        <v>0.49867841409691632</v>
      </c>
      <c r="O1045" s="194">
        <f t="shared" si="50"/>
        <v>2.1681670178126798E-2</v>
      </c>
    </row>
    <row r="1046" spans="1:15" ht="12.75" customHeight="1">
      <c r="A1046" s="188" t="s">
        <v>620</v>
      </c>
      <c r="B1046" s="188" t="s">
        <v>1394</v>
      </c>
      <c r="C1046" s="188" t="s">
        <v>641</v>
      </c>
      <c r="D1046" s="188" t="s">
        <v>2205</v>
      </c>
      <c r="E1046" s="189">
        <v>39226</v>
      </c>
      <c r="F1046" s="190">
        <v>0</v>
      </c>
      <c r="G1046" s="190">
        <v>53.12</v>
      </c>
      <c r="H1046" s="191">
        <v>540</v>
      </c>
      <c r="I1046" s="191">
        <v>207.5</v>
      </c>
      <c r="J1046" s="188" t="s">
        <v>635</v>
      </c>
      <c r="K1046" s="188" t="s">
        <v>338</v>
      </c>
      <c r="L1046" s="188" t="s">
        <v>1157</v>
      </c>
      <c r="M1046" s="192">
        <f t="shared" si="48"/>
        <v>30</v>
      </c>
      <c r="N1046" s="193">
        <f t="shared" si="49"/>
        <v>0.6506024096385542</v>
      </c>
      <c r="O1046" s="194">
        <f t="shared" si="50"/>
        <v>2.1686746987951807E-2</v>
      </c>
    </row>
    <row r="1047" spans="1:15" ht="12.75" customHeight="1">
      <c r="A1047" s="188" t="s">
        <v>620</v>
      </c>
      <c r="B1047" s="188" t="s">
        <v>1394</v>
      </c>
      <c r="C1047" s="188" t="s">
        <v>641</v>
      </c>
      <c r="D1047" s="188" t="s">
        <v>2206</v>
      </c>
      <c r="E1047" s="189">
        <v>39436</v>
      </c>
      <c r="F1047" s="190">
        <v>0</v>
      </c>
      <c r="G1047" s="190">
        <v>65.790000000000006</v>
      </c>
      <c r="H1047" s="191">
        <v>669</v>
      </c>
      <c r="I1047" s="191">
        <v>257</v>
      </c>
      <c r="J1047" s="188" t="s">
        <v>635</v>
      </c>
      <c r="K1047" s="188" t="s">
        <v>338</v>
      </c>
      <c r="L1047" s="188" t="s">
        <v>1959</v>
      </c>
      <c r="M1047" s="192">
        <f t="shared" si="48"/>
        <v>30</v>
      </c>
      <c r="N1047" s="193">
        <f t="shared" si="49"/>
        <v>0.65077821011673154</v>
      </c>
      <c r="O1047" s="194">
        <f t="shared" si="50"/>
        <v>2.169260700389105E-2</v>
      </c>
    </row>
    <row r="1048" spans="1:15" ht="12.75" customHeight="1">
      <c r="A1048" s="188" t="s">
        <v>620</v>
      </c>
      <c r="B1048" s="188" t="s">
        <v>1394</v>
      </c>
      <c r="C1048" s="188" t="s">
        <v>641</v>
      </c>
      <c r="D1048" s="188" t="s">
        <v>2207</v>
      </c>
      <c r="E1048" s="189">
        <v>39447</v>
      </c>
      <c r="F1048" s="190">
        <v>0</v>
      </c>
      <c r="G1048" s="190">
        <v>56.7</v>
      </c>
      <c r="H1048" s="191">
        <v>500</v>
      </c>
      <c r="I1048" s="191">
        <v>221.5</v>
      </c>
      <c r="J1048" s="188" t="s">
        <v>361</v>
      </c>
      <c r="K1048" s="188" t="s">
        <v>338</v>
      </c>
      <c r="L1048" s="188" t="s">
        <v>673</v>
      </c>
      <c r="M1048" s="192">
        <f t="shared" si="48"/>
        <v>26</v>
      </c>
      <c r="N1048" s="193">
        <f t="shared" si="49"/>
        <v>0.56433408577878108</v>
      </c>
      <c r="O1048" s="194">
        <f t="shared" si="50"/>
        <v>2.1705157145337734E-2</v>
      </c>
    </row>
    <row r="1049" spans="1:15" ht="12.75" customHeight="1">
      <c r="A1049" s="188" t="s">
        <v>620</v>
      </c>
      <c r="B1049" s="188" t="s">
        <v>1394</v>
      </c>
      <c r="C1049" s="188" t="s">
        <v>641</v>
      </c>
      <c r="D1049" s="188" t="s">
        <v>2208</v>
      </c>
      <c r="E1049" s="189">
        <v>39436</v>
      </c>
      <c r="F1049" s="190">
        <v>0</v>
      </c>
      <c r="G1049" s="190">
        <v>113.92</v>
      </c>
      <c r="H1049" s="191">
        <v>735</v>
      </c>
      <c r="I1049" s="191">
        <v>445</v>
      </c>
      <c r="J1049" s="188" t="s">
        <v>667</v>
      </c>
      <c r="K1049" s="188" t="s">
        <v>338</v>
      </c>
      <c r="L1049" s="188" t="s">
        <v>1724</v>
      </c>
      <c r="M1049" s="192">
        <f t="shared" si="48"/>
        <v>19</v>
      </c>
      <c r="N1049" s="193">
        <f t="shared" si="49"/>
        <v>0.41292134831460675</v>
      </c>
      <c r="O1049" s="194">
        <f t="shared" si="50"/>
        <v>2.173270254287404E-2</v>
      </c>
    </row>
    <row r="1050" spans="1:15" ht="12.75" customHeight="1">
      <c r="A1050" s="188" t="s">
        <v>620</v>
      </c>
      <c r="B1050" s="188" t="s">
        <v>1394</v>
      </c>
      <c r="C1050" s="188" t="s">
        <v>641</v>
      </c>
      <c r="D1050" s="188" t="s">
        <v>2209</v>
      </c>
      <c r="E1050" s="189">
        <v>39275</v>
      </c>
      <c r="F1050" s="190">
        <v>0</v>
      </c>
      <c r="G1050" s="190">
        <v>69.12</v>
      </c>
      <c r="H1050" s="191">
        <v>540</v>
      </c>
      <c r="I1050" s="191">
        <v>270</v>
      </c>
      <c r="J1050" s="188" t="s">
        <v>571</v>
      </c>
      <c r="K1050" s="188" t="s">
        <v>338</v>
      </c>
      <c r="L1050" s="188" t="s">
        <v>817</v>
      </c>
      <c r="M1050" s="192">
        <f t="shared" si="48"/>
        <v>23</v>
      </c>
      <c r="N1050" s="193">
        <f t="shared" si="49"/>
        <v>0.5</v>
      </c>
      <c r="O1050" s="194">
        <f t="shared" si="50"/>
        <v>2.1739130434782608E-2</v>
      </c>
    </row>
    <row r="1051" spans="1:15" ht="12.75" customHeight="1">
      <c r="A1051" s="188" t="s">
        <v>620</v>
      </c>
      <c r="B1051" s="188" t="s">
        <v>1394</v>
      </c>
      <c r="C1051" s="188" t="s">
        <v>641</v>
      </c>
      <c r="D1051" s="188" t="s">
        <v>2210</v>
      </c>
      <c r="E1051" s="189">
        <v>39353</v>
      </c>
      <c r="F1051" s="190">
        <v>0</v>
      </c>
      <c r="G1051" s="190">
        <v>87.81</v>
      </c>
      <c r="H1051" s="191">
        <v>808</v>
      </c>
      <c r="I1051" s="191">
        <v>343</v>
      </c>
      <c r="J1051" s="188" t="s">
        <v>639</v>
      </c>
      <c r="K1051" s="188" t="s">
        <v>338</v>
      </c>
      <c r="L1051" s="188" t="s">
        <v>1668</v>
      </c>
      <c r="M1051" s="192">
        <f t="shared" si="48"/>
        <v>27</v>
      </c>
      <c r="N1051" s="193">
        <f t="shared" si="49"/>
        <v>0.58892128279883382</v>
      </c>
      <c r="O1051" s="194">
        <f t="shared" si="50"/>
        <v>2.181189936291977E-2</v>
      </c>
    </row>
    <row r="1052" spans="1:15" ht="12.75" customHeight="1">
      <c r="A1052" s="188" t="s">
        <v>620</v>
      </c>
      <c r="B1052" s="188" t="s">
        <v>1394</v>
      </c>
      <c r="C1052" s="188" t="s">
        <v>641</v>
      </c>
      <c r="D1052" s="188" t="s">
        <v>2211</v>
      </c>
      <c r="E1052" s="189">
        <v>39395</v>
      </c>
      <c r="F1052" s="190">
        <v>0</v>
      </c>
      <c r="G1052" s="190">
        <v>64.77</v>
      </c>
      <c r="H1052" s="191">
        <v>596</v>
      </c>
      <c r="I1052" s="191">
        <v>253</v>
      </c>
      <c r="J1052" s="188" t="s">
        <v>639</v>
      </c>
      <c r="K1052" s="188" t="s">
        <v>338</v>
      </c>
      <c r="L1052" s="188" t="s">
        <v>2212</v>
      </c>
      <c r="M1052" s="192">
        <f t="shared" si="48"/>
        <v>27</v>
      </c>
      <c r="N1052" s="193">
        <f t="shared" si="49"/>
        <v>0.58893280632411071</v>
      </c>
      <c r="O1052" s="194">
        <f t="shared" si="50"/>
        <v>2.1812326160152249E-2</v>
      </c>
    </row>
    <row r="1053" spans="1:15" ht="12.75" customHeight="1">
      <c r="A1053" s="188" t="s">
        <v>620</v>
      </c>
      <c r="B1053" s="188" t="s">
        <v>1394</v>
      </c>
      <c r="C1053" s="188" t="s">
        <v>641</v>
      </c>
      <c r="D1053" s="188" t="s">
        <v>2213</v>
      </c>
      <c r="E1053" s="189">
        <v>39429</v>
      </c>
      <c r="F1053" s="190">
        <v>0</v>
      </c>
      <c r="G1053" s="190">
        <v>80</v>
      </c>
      <c r="H1053" s="191">
        <v>900</v>
      </c>
      <c r="I1053" s="191">
        <v>312.5</v>
      </c>
      <c r="J1053" s="188" t="s">
        <v>742</v>
      </c>
      <c r="K1053" s="188" t="s">
        <v>338</v>
      </c>
      <c r="L1053" s="188" t="s">
        <v>716</v>
      </c>
      <c r="M1053" s="192">
        <f t="shared" si="48"/>
        <v>33</v>
      </c>
      <c r="N1053" s="193">
        <f t="shared" si="49"/>
        <v>0.72</v>
      </c>
      <c r="O1053" s="194">
        <f t="shared" si="50"/>
        <v>2.1818181818181816E-2</v>
      </c>
    </row>
    <row r="1054" spans="1:15" ht="12.75" customHeight="1">
      <c r="A1054" s="188" t="s">
        <v>620</v>
      </c>
      <c r="B1054" s="188" t="s">
        <v>1394</v>
      </c>
      <c r="C1054" s="188" t="s">
        <v>641</v>
      </c>
      <c r="D1054" s="188" t="s">
        <v>2214</v>
      </c>
      <c r="E1054" s="189">
        <v>39247</v>
      </c>
      <c r="F1054" s="190">
        <v>0</v>
      </c>
      <c r="G1054" s="190">
        <v>100.1</v>
      </c>
      <c r="H1054" s="191">
        <v>784.97</v>
      </c>
      <c r="I1054" s="191">
        <v>391</v>
      </c>
      <c r="J1054" s="188" t="s">
        <v>571</v>
      </c>
      <c r="K1054" s="188" t="s">
        <v>338</v>
      </c>
      <c r="L1054" s="188" t="s">
        <v>1264</v>
      </c>
      <c r="M1054" s="192">
        <f t="shared" si="48"/>
        <v>23</v>
      </c>
      <c r="N1054" s="193">
        <f t="shared" si="49"/>
        <v>0.50189897698209718</v>
      </c>
      <c r="O1054" s="194">
        <f t="shared" si="50"/>
        <v>2.182169465139553E-2</v>
      </c>
    </row>
    <row r="1055" spans="1:15" ht="12.75" customHeight="1">
      <c r="A1055" s="188" t="s">
        <v>620</v>
      </c>
      <c r="B1055" s="188" t="s">
        <v>1394</v>
      </c>
      <c r="C1055" s="188" t="s">
        <v>641</v>
      </c>
      <c r="D1055" s="188" t="s">
        <v>2215</v>
      </c>
      <c r="E1055" s="189">
        <v>39240</v>
      </c>
      <c r="F1055" s="190">
        <v>0</v>
      </c>
      <c r="G1055" s="190">
        <v>83.97</v>
      </c>
      <c r="H1055" s="191">
        <v>573.34</v>
      </c>
      <c r="I1055" s="191">
        <v>328</v>
      </c>
      <c r="J1055" s="188" t="s">
        <v>560</v>
      </c>
      <c r="K1055" s="188" t="s">
        <v>338</v>
      </c>
      <c r="L1055" s="188" t="s">
        <v>2216</v>
      </c>
      <c r="M1055" s="192">
        <f t="shared" si="48"/>
        <v>20</v>
      </c>
      <c r="N1055" s="193">
        <f t="shared" si="49"/>
        <v>0.43699695121951221</v>
      </c>
      <c r="O1055" s="194">
        <f t="shared" si="50"/>
        <v>2.1849847560975612E-2</v>
      </c>
    </row>
    <row r="1056" spans="1:15" ht="12.75" customHeight="1">
      <c r="A1056" s="188" t="s">
        <v>620</v>
      </c>
      <c r="B1056" s="188" t="s">
        <v>1394</v>
      </c>
      <c r="C1056" s="188" t="s">
        <v>641</v>
      </c>
      <c r="D1056" s="188" t="s">
        <v>2217</v>
      </c>
      <c r="E1056" s="189">
        <v>39443</v>
      </c>
      <c r="F1056" s="190">
        <v>0</v>
      </c>
      <c r="G1056" s="190">
        <v>77.25</v>
      </c>
      <c r="H1056" s="191">
        <v>792</v>
      </c>
      <c r="I1056" s="191">
        <v>301.75</v>
      </c>
      <c r="J1056" s="188" t="s">
        <v>635</v>
      </c>
      <c r="K1056" s="188" t="s">
        <v>338</v>
      </c>
      <c r="L1056" s="188" t="s">
        <v>2218</v>
      </c>
      <c r="M1056" s="192">
        <f t="shared" si="48"/>
        <v>30</v>
      </c>
      <c r="N1056" s="193">
        <f t="shared" si="49"/>
        <v>0.65617232808616399</v>
      </c>
      <c r="O1056" s="194">
        <f t="shared" si="50"/>
        <v>2.1872410936205466E-2</v>
      </c>
    </row>
    <row r="1057" spans="1:15" ht="12.75" customHeight="1">
      <c r="A1057" s="188" t="s">
        <v>620</v>
      </c>
      <c r="B1057" s="188" t="s">
        <v>1394</v>
      </c>
      <c r="C1057" s="188" t="s">
        <v>641</v>
      </c>
      <c r="D1057" s="188" t="s">
        <v>2219</v>
      </c>
      <c r="E1057" s="189">
        <v>39471</v>
      </c>
      <c r="F1057" s="190">
        <v>0</v>
      </c>
      <c r="G1057" s="190">
        <v>87.74</v>
      </c>
      <c r="H1057" s="191">
        <v>959.7</v>
      </c>
      <c r="I1057" s="191">
        <v>342.75</v>
      </c>
      <c r="J1057" s="188" t="s">
        <v>353</v>
      </c>
      <c r="K1057" s="188" t="s">
        <v>338</v>
      </c>
      <c r="L1057" s="188" t="s">
        <v>2220</v>
      </c>
      <c r="M1057" s="192">
        <f t="shared" si="48"/>
        <v>32</v>
      </c>
      <c r="N1057" s="193">
        <f t="shared" si="49"/>
        <v>0.70000000000000007</v>
      </c>
      <c r="O1057" s="194">
        <f t="shared" si="50"/>
        <v>2.1875000000000002E-2</v>
      </c>
    </row>
    <row r="1058" spans="1:15" ht="12.75" customHeight="1">
      <c r="A1058" s="188" t="s">
        <v>620</v>
      </c>
      <c r="B1058" s="188" t="s">
        <v>1394</v>
      </c>
      <c r="C1058" s="188" t="s">
        <v>641</v>
      </c>
      <c r="D1058" s="188" t="s">
        <v>2221</v>
      </c>
      <c r="E1058" s="189">
        <v>39447</v>
      </c>
      <c r="F1058" s="190">
        <v>0</v>
      </c>
      <c r="G1058" s="190">
        <v>98.69</v>
      </c>
      <c r="H1058" s="191">
        <v>944.71</v>
      </c>
      <c r="I1058" s="191">
        <v>385.5</v>
      </c>
      <c r="J1058" s="188" t="s">
        <v>750</v>
      </c>
      <c r="K1058" s="188" t="s">
        <v>338</v>
      </c>
      <c r="L1058" s="188" t="s">
        <v>2222</v>
      </c>
      <c r="M1058" s="192">
        <f t="shared" si="48"/>
        <v>28</v>
      </c>
      <c r="N1058" s="193">
        <f t="shared" si="49"/>
        <v>0.61265239948119332</v>
      </c>
      <c r="O1058" s="194">
        <f t="shared" si="50"/>
        <v>2.1880442838614046E-2</v>
      </c>
    </row>
    <row r="1059" spans="1:15" ht="12.75" customHeight="1">
      <c r="A1059" s="188" t="s">
        <v>620</v>
      </c>
      <c r="B1059" s="188" t="s">
        <v>1394</v>
      </c>
      <c r="C1059" s="188" t="s">
        <v>641</v>
      </c>
      <c r="D1059" s="188" t="s">
        <v>2223</v>
      </c>
      <c r="E1059" s="189">
        <v>39317</v>
      </c>
      <c r="F1059" s="190">
        <v>0</v>
      </c>
      <c r="G1059" s="190">
        <v>67.39</v>
      </c>
      <c r="H1059" s="191">
        <v>875.99</v>
      </c>
      <c r="I1059" s="191">
        <v>263.25</v>
      </c>
      <c r="J1059" s="188" t="s">
        <v>624</v>
      </c>
      <c r="K1059" s="188" t="s">
        <v>338</v>
      </c>
      <c r="L1059" s="188" t="s">
        <v>882</v>
      </c>
      <c r="M1059" s="192">
        <f t="shared" si="48"/>
        <v>38</v>
      </c>
      <c r="N1059" s="193">
        <f t="shared" si="49"/>
        <v>0.83189933523266857</v>
      </c>
      <c r="O1059" s="194">
        <f t="shared" si="50"/>
        <v>2.1892087769280751E-2</v>
      </c>
    </row>
    <row r="1060" spans="1:15" ht="12.75" customHeight="1">
      <c r="A1060" s="188" t="s">
        <v>620</v>
      </c>
      <c r="B1060" s="188" t="s">
        <v>1394</v>
      </c>
      <c r="C1060" s="188" t="s">
        <v>641</v>
      </c>
      <c r="D1060" s="188" t="s">
        <v>2224</v>
      </c>
      <c r="E1060" s="189">
        <v>39583</v>
      </c>
      <c r="F1060" s="190">
        <v>0</v>
      </c>
      <c r="G1060" s="190">
        <v>72.319999999999993</v>
      </c>
      <c r="H1060" s="191">
        <v>494.77</v>
      </c>
      <c r="I1060" s="191">
        <v>282.5</v>
      </c>
      <c r="J1060" s="188" t="s">
        <v>560</v>
      </c>
      <c r="K1060" s="188" t="s">
        <v>338</v>
      </c>
      <c r="L1060" s="188" t="s">
        <v>1749</v>
      </c>
      <c r="M1060" s="192">
        <f t="shared" si="48"/>
        <v>20</v>
      </c>
      <c r="N1060" s="193">
        <f t="shared" si="49"/>
        <v>0.4378495575221239</v>
      </c>
      <c r="O1060" s="194">
        <f t="shared" si="50"/>
        <v>2.1892477876106195E-2</v>
      </c>
    </row>
    <row r="1061" spans="1:15" ht="12.75" customHeight="1">
      <c r="A1061" s="188" t="s">
        <v>620</v>
      </c>
      <c r="B1061" s="188" t="s">
        <v>1394</v>
      </c>
      <c r="C1061" s="188" t="s">
        <v>641</v>
      </c>
      <c r="D1061" s="188" t="s">
        <v>2225</v>
      </c>
      <c r="E1061" s="189">
        <v>39447</v>
      </c>
      <c r="F1061" s="190">
        <v>0</v>
      </c>
      <c r="G1061" s="190">
        <v>98.24</v>
      </c>
      <c r="H1061" s="191">
        <v>740</v>
      </c>
      <c r="I1061" s="191">
        <v>383.75</v>
      </c>
      <c r="J1061" s="188" t="s">
        <v>710</v>
      </c>
      <c r="K1061" s="188" t="s">
        <v>338</v>
      </c>
      <c r="L1061" s="188" t="s">
        <v>2226</v>
      </c>
      <c r="M1061" s="192">
        <f t="shared" si="48"/>
        <v>22</v>
      </c>
      <c r="N1061" s="193">
        <f t="shared" si="49"/>
        <v>0.48208469055374592</v>
      </c>
      <c r="O1061" s="194">
        <f t="shared" si="50"/>
        <v>2.1912940479715724E-2</v>
      </c>
    </row>
    <row r="1062" spans="1:15" ht="12.75" customHeight="1">
      <c r="A1062" s="188" t="s">
        <v>620</v>
      </c>
      <c r="B1062" s="188" t="s">
        <v>1394</v>
      </c>
      <c r="C1062" s="188" t="s">
        <v>641</v>
      </c>
      <c r="D1062" s="188" t="s">
        <v>2227</v>
      </c>
      <c r="E1062" s="189">
        <v>39555</v>
      </c>
      <c r="F1062" s="190">
        <v>0</v>
      </c>
      <c r="G1062" s="190">
        <v>38.4</v>
      </c>
      <c r="H1062" s="191">
        <v>500</v>
      </c>
      <c r="I1062" s="191">
        <v>150</v>
      </c>
      <c r="J1062" s="188" t="s">
        <v>624</v>
      </c>
      <c r="K1062" s="188" t="s">
        <v>338</v>
      </c>
      <c r="L1062" s="188" t="s">
        <v>677</v>
      </c>
      <c r="M1062" s="192">
        <f t="shared" si="48"/>
        <v>38</v>
      </c>
      <c r="N1062" s="193">
        <f t="shared" si="49"/>
        <v>0.83333333333333337</v>
      </c>
      <c r="O1062" s="194">
        <f t="shared" si="50"/>
        <v>2.1929824561403511E-2</v>
      </c>
    </row>
    <row r="1063" spans="1:15" ht="12.75" customHeight="1">
      <c r="A1063" s="188" t="s">
        <v>620</v>
      </c>
      <c r="B1063" s="188" t="s">
        <v>1394</v>
      </c>
      <c r="C1063" s="188" t="s">
        <v>641</v>
      </c>
      <c r="D1063" s="188" t="s">
        <v>2227</v>
      </c>
      <c r="E1063" s="189">
        <v>39618</v>
      </c>
      <c r="F1063" s="190">
        <v>0</v>
      </c>
      <c r="G1063" s="190">
        <v>-38.4</v>
      </c>
      <c r="H1063" s="191">
        <v>500</v>
      </c>
      <c r="I1063" s="191">
        <v>150</v>
      </c>
      <c r="J1063" s="188" t="s">
        <v>624</v>
      </c>
      <c r="K1063" s="188" t="s">
        <v>338</v>
      </c>
      <c r="L1063" s="188" t="s">
        <v>677</v>
      </c>
      <c r="M1063" s="192">
        <f t="shared" si="48"/>
        <v>38</v>
      </c>
      <c r="N1063" s="193">
        <f t="shared" si="49"/>
        <v>0.83333333333333337</v>
      </c>
      <c r="O1063" s="194">
        <f t="shared" si="50"/>
        <v>2.1929824561403511E-2</v>
      </c>
    </row>
    <row r="1064" spans="1:15" ht="12.75" customHeight="1">
      <c r="A1064" s="188" t="s">
        <v>620</v>
      </c>
      <c r="B1064" s="188" t="s">
        <v>1394</v>
      </c>
      <c r="C1064" s="188" t="s">
        <v>641</v>
      </c>
      <c r="D1064" s="188" t="s">
        <v>2227</v>
      </c>
      <c r="E1064" s="189">
        <v>39618</v>
      </c>
      <c r="F1064" s="190">
        <v>0</v>
      </c>
      <c r="G1064" s="190">
        <v>38.4</v>
      </c>
      <c r="H1064" s="191">
        <v>500</v>
      </c>
      <c r="I1064" s="191">
        <v>150</v>
      </c>
      <c r="J1064" s="188" t="s">
        <v>624</v>
      </c>
      <c r="K1064" s="188" t="s">
        <v>338</v>
      </c>
      <c r="L1064" s="188" t="s">
        <v>677</v>
      </c>
      <c r="M1064" s="192">
        <f t="shared" si="48"/>
        <v>38</v>
      </c>
      <c r="N1064" s="193">
        <f t="shared" si="49"/>
        <v>0.83333333333333337</v>
      </c>
      <c r="O1064" s="194">
        <f t="shared" si="50"/>
        <v>2.1929824561403511E-2</v>
      </c>
    </row>
    <row r="1065" spans="1:15" ht="12.75" customHeight="1">
      <c r="A1065" s="188" t="s">
        <v>620</v>
      </c>
      <c r="B1065" s="188" t="s">
        <v>1394</v>
      </c>
      <c r="C1065" s="188" t="s">
        <v>641</v>
      </c>
      <c r="D1065" s="188" t="s">
        <v>2228</v>
      </c>
      <c r="E1065" s="189">
        <v>39618</v>
      </c>
      <c r="F1065" s="190">
        <v>0</v>
      </c>
      <c r="G1065" s="190">
        <v>38.4</v>
      </c>
      <c r="H1065" s="191">
        <v>500</v>
      </c>
      <c r="I1065" s="191">
        <v>150</v>
      </c>
      <c r="J1065" s="188" t="s">
        <v>624</v>
      </c>
      <c r="K1065" s="188" t="s">
        <v>338</v>
      </c>
      <c r="L1065" s="188" t="s">
        <v>677</v>
      </c>
      <c r="M1065" s="192">
        <f t="shared" si="48"/>
        <v>38</v>
      </c>
      <c r="N1065" s="193">
        <f t="shared" si="49"/>
        <v>0.83333333333333337</v>
      </c>
      <c r="O1065" s="194">
        <f t="shared" si="50"/>
        <v>2.1929824561403511E-2</v>
      </c>
    </row>
    <row r="1066" spans="1:15" ht="12.75" customHeight="1">
      <c r="A1066" s="188" t="s">
        <v>620</v>
      </c>
      <c r="B1066" s="188" t="s">
        <v>1394</v>
      </c>
      <c r="C1066" s="188" t="s">
        <v>641</v>
      </c>
      <c r="D1066" s="188" t="s">
        <v>2229</v>
      </c>
      <c r="E1066" s="189">
        <v>39254</v>
      </c>
      <c r="F1066" s="190">
        <v>0</v>
      </c>
      <c r="G1066" s="190">
        <v>50.56</v>
      </c>
      <c r="H1066" s="191">
        <v>363.95</v>
      </c>
      <c r="I1066" s="191">
        <v>197.5</v>
      </c>
      <c r="J1066" s="188" t="s">
        <v>879</v>
      </c>
      <c r="K1066" s="188" t="s">
        <v>338</v>
      </c>
      <c r="L1066" s="188" t="s">
        <v>335</v>
      </c>
      <c r="M1066" s="192">
        <f t="shared" si="48"/>
        <v>21</v>
      </c>
      <c r="N1066" s="193">
        <f t="shared" si="49"/>
        <v>0.46069620253164556</v>
      </c>
      <c r="O1066" s="194">
        <f t="shared" si="50"/>
        <v>2.1937914406268837E-2</v>
      </c>
    </row>
    <row r="1067" spans="1:15" ht="12.75" customHeight="1">
      <c r="A1067" s="188" t="s">
        <v>620</v>
      </c>
      <c r="B1067" s="188" t="s">
        <v>1394</v>
      </c>
      <c r="C1067" s="188" t="s">
        <v>641</v>
      </c>
      <c r="D1067" s="188" t="s">
        <v>2230</v>
      </c>
      <c r="E1067" s="189">
        <v>39590</v>
      </c>
      <c r="F1067" s="190">
        <v>0</v>
      </c>
      <c r="G1067" s="190">
        <v>65.92</v>
      </c>
      <c r="H1067" s="191">
        <v>430</v>
      </c>
      <c r="I1067" s="191">
        <v>257.5</v>
      </c>
      <c r="J1067" s="188" t="s">
        <v>667</v>
      </c>
      <c r="K1067" s="188" t="s">
        <v>338</v>
      </c>
      <c r="L1067" s="188" t="s">
        <v>298</v>
      </c>
      <c r="M1067" s="192">
        <f t="shared" si="48"/>
        <v>19</v>
      </c>
      <c r="N1067" s="193">
        <f t="shared" si="49"/>
        <v>0.41747572815533979</v>
      </c>
      <c r="O1067" s="194">
        <f t="shared" si="50"/>
        <v>2.1972406745017884E-2</v>
      </c>
    </row>
    <row r="1068" spans="1:15" ht="12.75" customHeight="1">
      <c r="A1068" s="188" t="s">
        <v>620</v>
      </c>
      <c r="B1068" s="188" t="s">
        <v>1394</v>
      </c>
      <c r="C1068" s="188" t="s">
        <v>641</v>
      </c>
      <c r="D1068" s="188" t="s">
        <v>2231</v>
      </c>
      <c r="E1068" s="189">
        <v>39447</v>
      </c>
      <c r="F1068" s="190">
        <v>0</v>
      </c>
      <c r="G1068" s="190">
        <v>128.44999999999999</v>
      </c>
      <c r="H1068" s="191">
        <v>1323</v>
      </c>
      <c r="I1068" s="191">
        <v>501.75</v>
      </c>
      <c r="J1068" s="188" t="s">
        <v>635</v>
      </c>
      <c r="K1068" s="188" t="s">
        <v>338</v>
      </c>
      <c r="L1068" s="188" t="s">
        <v>2232</v>
      </c>
      <c r="M1068" s="192">
        <f t="shared" si="48"/>
        <v>30</v>
      </c>
      <c r="N1068" s="193">
        <f t="shared" si="49"/>
        <v>0.65919282511210764</v>
      </c>
      <c r="O1068" s="194">
        <f t="shared" si="50"/>
        <v>2.1973094170403589E-2</v>
      </c>
    </row>
    <row r="1069" spans="1:15" ht="12.75" customHeight="1">
      <c r="A1069" s="188" t="s">
        <v>620</v>
      </c>
      <c r="B1069" s="188" t="s">
        <v>1394</v>
      </c>
      <c r="C1069" s="188" t="s">
        <v>641</v>
      </c>
      <c r="D1069" s="188" t="s">
        <v>2233</v>
      </c>
      <c r="E1069" s="189">
        <v>39296</v>
      </c>
      <c r="F1069" s="190">
        <v>0</v>
      </c>
      <c r="G1069" s="190">
        <v>126.21</v>
      </c>
      <c r="H1069" s="191">
        <v>1299.94</v>
      </c>
      <c r="I1069" s="191">
        <v>493</v>
      </c>
      <c r="J1069" s="188" t="s">
        <v>635</v>
      </c>
      <c r="K1069" s="188" t="s">
        <v>338</v>
      </c>
      <c r="L1069" s="188" t="s">
        <v>2234</v>
      </c>
      <c r="M1069" s="192">
        <f t="shared" si="48"/>
        <v>30</v>
      </c>
      <c r="N1069" s="193">
        <f t="shared" si="49"/>
        <v>0.65919878296146051</v>
      </c>
      <c r="O1069" s="194">
        <f t="shared" si="50"/>
        <v>2.1973292765382017E-2</v>
      </c>
    </row>
    <row r="1070" spans="1:15" ht="12.75" customHeight="1">
      <c r="A1070" s="188" t="s">
        <v>620</v>
      </c>
      <c r="B1070" s="188" t="s">
        <v>1394</v>
      </c>
      <c r="C1070" s="188" t="s">
        <v>641</v>
      </c>
      <c r="D1070" s="188" t="s">
        <v>2235</v>
      </c>
      <c r="E1070" s="189">
        <v>39226</v>
      </c>
      <c r="F1070" s="190">
        <v>0</v>
      </c>
      <c r="G1070" s="190">
        <v>78.08</v>
      </c>
      <c r="H1070" s="191">
        <v>884.99</v>
      </c>
      <c r="I1070" s="191">
        <v>305</v>
      </c>
      <c r="J1070" s="188" t="s">
        <v>742</v>
      </c>
      <c r="K1070" s="188" t="s">
        <v>338</v>
      </c>
      <c r="L1070" s="188" t="s">
        <v>689</v>
      </c>
      <c r="M1070" s="192">
        <f t="shared" si="48"/>
        <v>33</v>
      </c>
      <c r="N1070" s="193">
        <f t="shared" si="49"/>
        <v>0.72540163934426227</v>
      </c>
      <c r="O1070" s="194">
        <f t="shared" si="50"/>
        <v>2.1981867858917037E-2</v>
      </c>
    </row>
    <row r="1071" spans="1:15" ht="12.75" customHeight="1">
      <c r="A1071" s="188" t="s">
        <v>620</v>
      </c>
      <c r="B1071" s="188" t="s">
        <v>1394</v>
      </c>
      <c r="C1071" s="188" t="s">
        <v>641</v>
      </c>
      <c r="D1071" s="188" t="s">
        <v>2236</v>
      </c>
      <c r="E1071" s="189">
        <v>39447</v>
      </c>
      <c r="F1071" s="190">
        <v>0</v>
      </c>
      <c r="G1071" s="190">
        <v>55.68</v>
      </c>
      <c r="H1071" s="191">
        <v>440</v>
      </c>
      <c r="I1071" s="191">
        <v>217.5</v>
      </c>
      <c r="J1071" s="188" t="s">
        <v>571</v>
      </c>
      <c r="K1071" s="188" t="s">
        <v>338</v>
      </c>
      <c r="L1071" s="188" t="s">
        <v>1979</v>
      </c>
      <c r="M1071" s="192">
        <f t="shared" si="48"/>
        <v>23</v>
      </c>
      <c r="N1071" s="193">
        <f t="shared" si="49"/>
        <v>0.50574712643678166</v>
      </c>
      <c r="O1071" s="194">
        <f t="shared" si="50"/>
        <v>2.1989005497251378E-2</v>
      </c>
    </row>
    <row r="1072" spans="1:15" ht="12.75" customHeight="1">
      <c r="A1072" s="188" t="s">
        <v>620</v>
      </c>
      <c r="B1072" s="188" t="s">
        <v>1394</v>
      </c>
      <c r="C1072" s="188" t="s">
        <v>641</v>
      </c>
      <c r="D1072" s="188" t="s">
        <v>2237</v>
      </c>
      <c r="E1072" s="189">
        <v>39296</v>
      </c>
      <c r="F1072" s="190">
        <v>0</v>
      </c>
      <c r="G1072" s="190">
        <v>37.380000000000003</v>
      </c>
      <c r="H1072" s="191">
        <v>256.95999999999998</v>
      </c>
      <c r="I1072" s="191">
        <v>146</v>
      </c>
      <c r="J1072" s="188" t="s">
        <v>560</v>
      </c>
      <c r="K1072" s="188" t="s">
        <v>338</v>
      </c>
      <c r="L1072" s="188" t="s">
        <v>2238</v>
      </c>
      <c r="M1072" s="192">
        <f t="shared" si="48"/>
        <v>20</v>
      </c>
      <c r="N1072" s="193">
        <f t="shared" si="49"/>
        <v>0.43999999999999995</v>
      </c>
      <c r="O1072" s="194">
        <f t="shared" si="50"/>
        <v>2.1999999999999999E-2</v>
      </c>
    </row>
    <row r="1073" spans="1:15" ht="12.75" customHeight="1">
      <c r="A1073" s="188" t="s">
        <v>620</v>
      </c>
      <c r="B1073" s="188" t="s">
        <v>1394</v>
      </c>
      <c r="C1073" s="188" t="s">
        <v>641</v>
      </c>
      <c r="D1073" s="188" t="s">
        <v>2239</v>
      </c>
      <c r="E1073" s="189">
        <v>39212</v>
      </c>
      <c r="F1073" s="190">
        <v>0</v>
      </c>
      <c r="G1073" s="190">
        <v>76.16</v>
      </c>
      <c r="H1073" s="191">
        <v>785.4</v>
      </c>
      <c r="I1073" s="191">
        <v>297.5</v>
      </c>
      <c r="J1073" s="188" t="s">
        <v>635</v>
      </c>
      <c r="K1073" s="188" t="s">
        <v>338</v>
      </c>
      <c r="L1073" s="188" t="s">
        <v>519</v>
      </c>
      <c r="M1073" s="192">
        <f t="shared" si="48"/>
        <v>30</v>
      </c>
      <c r="N1073" s="193">
        <f t="shared" si="49"/>
        <v>0.66</v>
      </c>
      <c r="O1073" s="194">
        <f t="shared" si="50"/>
        <v>2.2000000000000002E-2</v>
      </c>
    </row>
    <row r="1074" spans="1:15" ht="12.75" customHeight="1">
      <c r="A1074" s="188" t="s">
        <v>620</v>
      </c>
      <c r="B1074" s="188" t="s">
        <v>1394</v>
      </c>
      <c r="C1074" s="188" t="s">
        <v>641</v>
      </c>
      <c r="D1074" s="188" t="s">
        <v>2240</v>
      </c>
      <c r="E1074" s="189">
        <v>39429</v>
      </c>
      <c r="F1074" s="190">
        <v>0</v>
      </c>
      <c r="G1074" s="190">
        <v>83.46</v>
      </c>
      <c r="H1074" s="191">
        <v>661</v>
      </c>
      <c r="I1074" s="191">
        <v>326</v>
      </c>
      <c r="J1074" s="188" t="s">
        <v>571</v>
      </c>
      <c r="K1074" s="188" t="s">
        <v>338</v>
      </c>
      <c r="L1074" s="188" t="s">
        <v>2241</v>
      </c>
      <c r="M1074" s="192">
        <f t="shared" si="48"/>
        <v>23</v>
      </c>
      <c r="N1074" s="193">
        <f t="shared" si="49"/>
        <v>0.50690184049079756</v>
      </c>
      <c r="O1074" s="194">
        <f t="shared" si="50"/>
        <v>2.2039210456121634E-2</v>
      </c>
    </row>
    <row r="1075" spans="1:15" ht="12.75" customHeight="1">
      <c r="A1075" s="188" t="s">
        <v>620</v>
      </c>
      <c r="B1075" s="188" t="s">
        <v>1394</v>
      </c>
      <c r="C1075" s="188" t="s">
        <v>641</v>
      </c>
      <c r="D1075" s="188" t="s">
        <v>2242</v>
      </c>
      <c r="E1075" s="189">
        <v>39632</v>
      </c>
      <c r="F1075" s="190">
        <v>0</v>
      </c>
      <c r="G1075" s="190">
        <v>61.12</v>
      </c>
      <c r="H1075" s="191">
        <v>400</v>
      </c>
      <c r="I1075" s="191">
        <v>238.75</v>
      </c>
      <c r="J1075" s="188" t="s">
        <v>667</v>
      </c>
      <c r="K1075" s="188" t="s">
        <v>338</v>
      </c>
      <c r="L1075" s="188" t="s">
        <v>2243</v>
      </c>
      <c r="M1075" s="192">
        <f t="shared" si="48"/>
        <v>19</v>
      </c>
      <c r="N1075" s="193">
        <f t="shared" si="49"/>
        <v>0.41884816753926701</v>
      </c>
      <c r="O1075" s="194">
        <f t="shared" si="50"/>
        <v>2.2044640396803528E-2</v>
      </c>
    </row>
    <row r="1076" spans="1:15" ht="12.75" customHeight="1">
      <c r="A1076" s="188" t="s">
        <v>620</v>
      </c>
      <c r="B1076" s="188" t="s">
        <v>1394</v>
      </c>
      <c r="C1076" s="188" t="s">
        <v>641</v>
      </c>
      <c r="D1076" s="188" t="s">
        <v>2244</v>
      </c>
      <c r="E1076" s="189">
        <v>39401</v>
      </c>
      <c r="F1076" s="190">
        <v>0</v>
      </c>
      <c r="G1076" s="190">
        <v>22.91</v>
      </c>
      <c r="H1076" s="191">
        <v>300</v>
      </c>
      <c r="I1076" s="191">
        <v>89.5</v>
      </c>
      <c r="J1076" s="188" t="s">
        <v>624</v>
      </c>
      <c r="K1076" s="188" t="s">
        <v>338</v>
      </c>
      <c r="L1076" s="188" t="s">
        <v>2245</v>
      </c>
      <c r="M1076" s="192">
        <f t="shared" si="48"/>
        <v>38</v>
      </c>
      <c r="N1076" s="193">
        <f t="shared" si="49"/>
        <v>0.83798882681564246</v>
      </c>
      <c r="O1076" s="194">
        <f t="shared" si="50"/>
        <v>2.2052337547780066E-2</v>
      </c>
    </row>
    <row r="1077" spans="1:15" ht="12.75" customHeight="1">
      <c r="A1077" s="188" t="s">
        <v>620</v>
      </c>
      <c r="B1077" s="188" t="s">
        <v>1394</v>
      </c>
      <c r="C1077" s="188" t="s">
        <v>641</v>
      </c>
      <c r="D1077" s="188" t="s">
        <v>2246</v>
      </c>
      <c r="E1077" s="189">
        <v>39269</v>
      </c>
      <c r="F1077" s="190">
        <v>0</v>
      </c>
      <c r="G1077" s="190">
        <v>129.34</v>
      </c>
      <c r="H1077" s="191">
        <v>1694.81</v>
      </c>
      <c r="I1077" s="191">
        <v>505.25</v>
      </c>
      <c r="J1077" s="188" t="s">
        <v>624</v>
      </c>
      <c r="K1077" s="188" t="s">
        <v>338</v>
      </c>
      <c r="L1077" s="188" t="s">
        <v>2247</v>
      </c>
      <c r="M1077" s="192">
        <f t="shared" si="48"/>
        <v>38</v>
      </c>
      <c r="N1077" s="193">
        <f t="shared" si="49"/>
        <v>0.83859970311726861</v>
      </c>
      <c r="O1077" s="194">
        <f t="shared" si="50"/>
        <v>2.2068413239928121E-2</v>
      </c>
    </row>
    <row r="1078" spans="1:15" ht="12.75" customHeight="1">
      <c r="A1078" s="188" t="s">
        <v>620</v>
      </c>
      <c r="B1078" s="188" t="s">
        <v>1394</v>
      </c>
      <c r="C1078" s="188" t="s">
        <v>641</v>
      </c>
      <c r="D1078" s="188" t="s">
        <v>2248</v>
      </c>
      <c r="E1078" s="189">
        <v>39401</v>
      </c>
      <c r="F1078" s="190">
        <v>0</v>
      </c>
      <c r="G1078" s="190">
        <v>72</v>
      </c>
      <c r="H1078" s="191">
        <v>745</v>
      </c>
      <c r="I1078" s="191">
        <v>281.25</v>
      </c>
      <c r="J1078" s="188" t="s">
        <v>635</v>
      </c>
      <c r="K1078" s="188" t="s">
        <v>338</v>
      </c>
      <c r="L1078" s="188" t="s">
        <v>1520</v>
      </c>
      <c r="M1078" s="192">
        <f t="shared" si="48"/>
        <v>30</v>
      </c>
      <c r="N1078" s="193">
        <f t="shared" si="49"/>
        <v>0.66222222222222227</v>
      </c>
      <c r="O1078" s="194">
        <f t="shared" si="50"/>
        <v>2.2074074074074076E-2</v>
      </c>
    </row>
    <row r="1079" spans="1:15" ht="12.75" customHeight="1">
      <c r="A1079" s="188" t="s">
        <v>620</v>
      </c>
      <c r="B1079" s="188" t="s">
        <v>1394</v>
      </c>
      <c r="C1079" s="188" t="s">
        <v>641</v>
      </c>
      <c r="D1079" s="188" t="s">
        <v>2249</v>
      </c>
      <c r="E1079" s="189">
        <v>39443</v>
      </c>
      <c r="F1079" s="190">
        <v>0</v>
      </c>
      <c r="G1079" s="190">
        <v>71.680000000000007</v>
      </c>
      <c r="H1079" s="191">
        <v>940</v>
      </c>
      <c r="I1079" s="191">
        <v>280</v>
      </c>
      <c r="J1079" s="188" t="s">
        <v>624</v>
      </c>
      <c r="K1079" s="188" t="s">
        <v>338</v>
      </c>
      <c r="L1079" s="188" t="s">
        <v>825</v>
      </c>
      <c r="M1079" s="192">
        <f t="shared" si="48"/>
        <v>38</v>
      </c>
      <c r="N1079" s="193">
        <f t="shared" si="49"/>
        <v>0.8392857142857143</v>
      </c>
      <c r="O1079" s="194">
        <f t="shared" si="50"/>
        <v>2.2086466165413533E-2</v>
      </c>
    </row>
    <row r="1080" spans="1:15" ht="12.75" customHeight="1">
      <c r="A1080" s="188" t="s">
        <v>620</v>
      </c>
      <c r="B1080" s="188" t="s">
        <v>1394</v>
      </c>
      <c r="C1080" s="188" t="s">
        <v>641</v>
      </c>
      <c r="D1080" s="188" t="s">
        <v>2250</v>
      </c>
      <c r="E1080" s="189">
        <v>39443</v>
      </c>
      <c r="F1080" s="190">
        <v>0</v>
      </c>
      <c r="G1080" s="190">
        <v>88.7</v>
      </c>
      <c r="H1080" s="191">
        <v>796</v>
      </c>
      <c r="I1080" s="191">
        <v>346.5</v>
      </c>
      <c r="J1080" s="188" t="s">
        <v>361</v>
      </c>
      <c r="K1080" s="188" t="s">
        <v>338</v>
      </c>
      <c r="L1080" s="188" t="s">
        <v>943</v>
      </c>
      <c r="M1080" s="192">
        <f t="shared" si="48"/>
        <v>26</v>
      </c>
      <c r="N1080" s="193">
        <f t="shared" si="49"/>
        <v>0.57431457431457433</v>
      </c>
      <c r="O1080" s="194">
        <f t="shared" si="50"/>
        <v>2.2089022089022088E-2</v>
      </c>
    </row>
    <row r="1081" spans="1:15" ht="12.75" customHeight="1">
      <c r="A1081" s="188" t="s">
        <v>620</v>
      </c>
      <c r="B1081" s="188" t="s">
        <v>1394</v>
      </c>
      <c r="C1081" s="188" t="s">
        <v>641</v>
      </c>
      <c r="D1081" s="188" t="s">
        <v>2251</v>
      </c>
      <c r="E1081" s="189">
        <v>39568</v>
      </c>
      <c r="F1081" s="190">
        <v>0</v>
      </c>
      <c r="G1081" s="190">
        <v>92.22</v>
      </c>
      <c r="H1081" s="191">
        <v>955</v>
      </c>
      <c r="I1081" s="191">
        <v>360.25</v>
      </c>
      <c r="J1081" s="188" t="s">
        <v>635</v>
      </c>
      <c r="K1081" s="188" t="s">
        <v>338</v>
      </c>
      <c r="L1081" s="188" t="s">
        <v>1259</v>
      </c>
      <c r="M1081" s="192">
        <f t="shared" si="48"/>
        <v>30</v>
      </c>
      <c r="N1081" s="193">
        <f t="shared" si="49"/>
        <v>0.66273421235253294</v>
      </c>
      <c r="O1081" s="194">
        <f t="shared" si="50"/>
        <v>2.2091140411751097E-2</v>
      </c>
    </row>
    <row r="1082" spans="1:15" ht="12.75" customHeight="1">
      <c r="A1082" s="188" t="s">
        <v>620</v>
      </c>
      <c r="B1082" s="188" t="s">
        <v>1394</v>
      </c>
      <c r="C1082" s="188" t="s">
        <v>641</v>
      </c>
      <c r="D1082" s="188" t="s">
        <v>2252</v>
      </c>
      <c r="E1082" s="189">
        <v>39485</v>
      </c>
      <c r="F1082" s="190">
        <v>0</v>
      </c>
      <c r="G1082" s="190">
        <v>70.72</v>
      </c>
      <c r="H1082" s="191">
        <v>733</v>
      </c>
      <c r="I1082" s="191">
        <v>276.25</v>
      </c>
      <c r="J1082" s="188" t="s">
        <v>635</v>
      </c>
      <c r="K1082" s="188" t="s">
        <v>338</v>
      </c>
      <c r="L1082" s="188" t="s">
        <v>2253</v>
      </c>
      <c r="M1082" s="192">
        <f t="shared" si="48"/>
        <v>30</v>
      </c>
      <c r="N1082" s="193">
        <f t="shared" si="49"/>
        <v>0.66334841628959273</v>
      </c>
      <c r="O1082" s="194">
        <f t="shared" si="50"/>
        <v>2.2111613876319759E-2</v>
      </c>
    </row>
    <row r="1083" spans="1:15" ht="12.75" customHeight="1">
      <c r="A1083" s="188" t="s">
        <v>620</v>
      </c>
      <c r="B1083" s="188" t="s">
        <v>1394</v>
      </c>
      <c r="C1083" s="188" t="s">
        <v>641</v>
      </c>
      <c r="D1083" s="188" t="s">
        <v>2254</v>
      </c>
      <c r="E1083" s="189">
        <v>39373</v>
      </c>
      <c r="F1083" s="190">
        <v>0</v>
      </c>
      <c r="G1083" s="190">
        <v>40.32</v>
      </c>
      <c r="H1083" s="191">
        <v>530</v>
      </c>
      <c r="I1083" s="191">
        <v>157.5</v>
      </c>
      <c r="J1083" s="188" t="s">
        <v>624</v>
      </c>
      <c r="K1083" s="188" t="s">
        <v>338</v>
      </c>
      <c r="L1083" s="188" t="s">
        <v>972</v>
      </c>
      <c r="M1083" s="192">
        <f t="shared" si="48"/>
        <v>38</v>
      </c>
      <c r="N1083" s="193">
        <f t="shared" si="49"/>
        <v>0.84126984126984128</v>
      </c>
      <c r="O1083" s="194">
        <f t="shared" si="50"/>
        <v>2.2138680033416874E-2</v>
      </c>
    </row>
    <row r="1084" spans="1:15" ht="12.75" customHeight="1">
      <c r="A1084" s="188" t="s">
        <v>620</v>
      </c>
      <c r="B1084" s="188" t="s">
        <v>1394</v>
      </c>
      <c r="C1084" s="188" t="s">
        <v>641</v>
      </c>
      <c r="D1084" s="188" t="s">
        <v>2255</v>
      </c>
      <c r="E1084" s="189">
        <v>39513</v>
      </c>
      <c r="F1084" s="190">
        <v>0</v>
      </c>
      <c r="G1084" s="190">
        <v>38.4</v>
      </c>
      <c r="H1084" s="191">
        <v>505</v>
      </c>
      <c r="I1084" s="191">
        <v>150</v>
      </c>
      <c r="J1084" s="188" t="s">
        <v>624</v>
      </c>
      <c r="K1084" s="188" t="s">
        <v>338</v>
      </c>
      <c r="L1084" s="188" t="s">
        <v>677</v>
      </c>
      <c r="M1084" s="192">
        <f t="shared" si="48"/>
        <v>38</v>
      </c>
      <c r="N1084" s="193">
        <f t="shared" si="49"/>
        <v>0.84166666666666667</v>
      </c>
      <c r="O1084" s="194">
        <f t="shared" si="50"/>
        <v>2.2149122807017543E-2</v>
      </c>
    </row>
    <row r="1085" spans="1:15" ht="12.75" customHeight="1">
      <c r="A1085" s="188" t="s">
        <v>620</v>
      </c>
      <c r="B1085" s="188" t="s">
        <v>1394</v>
      </c>
      <c r="C1085" s="188" t="s">
        <v>641</v>
      </c>
      <c r="D1085" s="188" t="s">
        <v>2256</v>
      </c>
      <c r="E1085" s="189">
        <v>39407</v>
      </c>
      <c r="F1085" s="190">
        <v>0</v>
      </c>
      <c r="G1085" s="190">
        <v>75.2</v>
      </c>
      <c r="H1085" s="191">
        <v>495</v>
      </c>
      <c r="I1085" s="191">
        <v>293.75</v>
      </c>
      <c r="J1085" s="188" t="s">
        <v>667</v>
      </c>
      <c r="K1085" s="188" t="s">
        <v>338</v>
      </c>
      <c r="L1085" s="188" t="s">
        <v>1537</v>
      </c>
      <c r="M1085" s="192">
        <f t="shared" si="48"/>
        <v>19</v>
      </c>
      <c r="N1085" s="193">
        <f t="shared" si="49"/>
        <v>0.42127659574468085</v>
      </c>
      <c r="O1085" s="194">
        <f t="shared" si="50"/>
        <v>2.2172452407614781E-2</v>
      </c>
    </row>
    <row r="1086" spans="1:15" ht="12.75" customHeight="1">
      <c r="A1086" s="188" t="s">
        <v>620</v>
      </c>
      <c r="B1086" s="188" t="s">
        <v>1394</v>
      </c>
      <c r="C1086" s="188" t="s">
        <v>641</v>
      </c>
      <c r="D1086" s="188" t="s">
        <v>2257</v>
      </c>
      <c r="E1086" s="189">
        <v>39478</v>
      </c>
      <c r="F1086" s="190">
        <v>0</v>
      </c>
      <c r="G1086" s="190">
        <v>26.82</v>
      </c>
      <c r="H1086" s="191">
        <v>214</v>
      </c>
      <c r="I1086" s="191">
        <v>104.75</v>
      </c>
      <c r="J1086" s="188" t="s">
        <v>571</v>
      </c>
      <c r="K1086" s="188" t="s">
        <v>338</v>
      </c>
      <c r="L1086" s="188" t="s">
        <v>2258</v>
      </c>
      <c r="M1086" s="192">
        <f t="shared" si="48"/>
        <v>23</v>
      </c>
      <c r="N1086" s="193">
        <f t="shared" si="49"/>
        <v>0.51073985680190925</v>
      </c>
      <c r="O1086" s="194">
        <f t="shared" si="50"/>
        <v>2.2206080730517795E-2</v>
      </c>
    </row>
    <row r="1087" spans="1:15" ht="12.75" customHeight="1">
      <c r="A1087" s="188" t="s">
        <v>620</v>
      </c>
      <c r="B1087" s="188" t="s">
        <v>1394</v>
      </c>
      <c r="C1087" s="188" t="s">
        <v>641</v>
      </c>
      <c r="D1087" s="188" t="s">
        <v>2259</v>
      </c>
      <c r="E1087" s="189">
        <v>39436</v>
      </c>
      <c r="F1087" s="190">
        <v>0</v>
      </c>
      <c r="G1087" s="190">
        <v>43.2</v>
      </c>
      <c r="H1087" s="191">
        <v>450</v>
      </c>
      <c r="I1087" s="191">
        <v>168.75</v>
      </c>
      <c r="J1087" s="188" t="s">
        <v>635</v>
      </c>
      <c r="K1087" s="188" t="s">
        <v>338</v>
      </c>
      <c r="L1087" s="188" t="s">
        <v>2260</v>
      </c>
      <c r="M1087" s="192">
        <f t="shared" si="48"/>
        <v>30</v>
      </c>
      <c r="N1087" s="193">
        <f t="shared" si="49"/>
        <v>0.66666666666666663</v>
      </c>
      <c r="O1087" s="194">
        <f t="shared" si="50"/>
        <v>2.222222222222222E-2</v>
      </c>
    </row>
    <row r="1088" spans="1:15" ht="12.75" customHeight="1">
      <c r="A1088" s="188" t="s">
        <v>620</v>
      </c>
      <c r="B1088" s="188" t="s">
        <v>1394</v>
      </c>
      <c r="C1088" s="188" t="s">
        <v>641</v>
      </c>
      <c r="D1088" s="188" t="s">
        <v>2261</v>
      </c>
      <c r="E1088" s="189">
        <v>39485</v>
      </c>
      <c r="F1088" s="190">
        <v>0</v>
      </c>
      <c r="G1088" s="190">
        <v>32</v>
      </c>
      <c r="H1088" s="191">
        <v>300</v>
      </c>
      <c r="I1088" s="191">
        <v>125</v>
      </c>
      <c r="J1088" s="188" t="s">
        <v>639</v>
      </c>
      <c r="K1088" s="188" t="s">
        <v>338</v>
      </c>
      <c r="L1088" s="188" t="s">
        <v>858</v>
      </c>
      <c r="M1088" s="192">
        <f t="shared" si="48"/>
        <v>27</v>
      </c>
      <c r="N1088" s="193">
        <f t="shared" si="49"/>
        <v>0.6</v>
      </c>
      <c r="O1088" s="194">
        <f t="shared" si="50"/>
        <v>2.2222222222222223E-2</v>
      </c>
    </row>
    <row r="1089" spans="1:15" ht="12.75" customHeight="1">
      <c r="A1089" s="188" t="s">
        <v>620</v>
      </c>
      <c r="B1089" s="188" t="s">
        <v>1394</v>
      </c>
      <c r="C1089" s="188" t="s">
        <v>641</v>
      </c>
      <c r="D1089" s="188" t="s">
        <v>2262</v>
      </c>
      <c r="E1089" s="189">
        <v>39576</v>
      </c>
      <c r="F1089" s="190">
        <v>0</v>
      </c>
      <c r="G1089" s="190">
        <v>89.6</v>
      </c>
      <c r="H1089" s="191">
        <v>840</v>
      </c>
      <c r="I1089" s="191">
        <v>350</v>
      </c>
      <c r="J1089" s="188" t="s">
        <v>639</v>
      </c>
      <c r="K1089" s="188" t="s">
        <v>338</v>
      </c>
      <c r="L1089" s="188" t="s">
        <v>754</v>
      </c>
      <c r="M1089" s="192">
        <f t="shared" si="48"/>
        <v>27</v>
      </c>
      <c r="N1089" s="193">
        <f t="shared" si="49"/>
        <v>0.6</v>
      </c>
      <c r="O1089" s="194">
        <f t="shared" si="50"/>
        <v>2.2222222222222223E-2</v>
      </c>
    </row>
    <row r="1090" spans="1:15" ht="12.75" customHeight="1">
      <c r="A1090" s="188" t="s">
        <v>620</v>
      </c>
      <c r="B1090" s="188" t="s">
        <v>1394</v>
      </c>
      <c r="C1090" s="188" t="s">
        <v>641</v>
      </c>
      <c r="D1090" s="188" t="s">
        <v>2263</v>
      </c>
      <c r="E1090" s="189">
        <v>39618</v>
      </c>
      <c r="F1090" s="190">
        <v>0</v>
      </c>
      <c r="G1090" s="190">
        <v>112</v>
      </c>
      <c r="H1090" s="191">
        <v>1050</v>
      </c>
      <c r="I1090" s="191">
        <v>437.5</v>
      </c>
      <c r="J1090" s="188" t="s">
        <v>639</v>
      </c>
      <c r="K1090" s="188" t="s">
        <v>338</v>
      </c>
      <c r="L1090" s="188" t="s">
        <v>727</v>
      </c>
      <c r="M1090" s="192">
        <f t="shared" ref="M1090:M1153" si="51">K1090-J1090</f>
        <v>27</v>
      </c>
      <c r="N1090" s="193">
        <f t="shared" ref="N1090:N1153" si="52">H1090/L1090</f>
        <v>0.6</v>
      </c>
      <c r="O1090" s="194">
        <f t="shared" ref="O1090:O1153" si="53">N1090/M1090</f>
        <v>2.2222222222222223E-2</v>
      </c>
    </row>
    <row r="1091" spans="1:15" ht="12.75" customHeight="1">
      <c r="A1091" s="188" t="s">
        <v>620</v>
      </c>
      <c r="B1091" s="188" t="s">
        <v>1394</v>
      </c>
      <c r="C1091" s="188" t="s">
        <v>641</v>
      </c>
      <c r="D1091" s="188" t="s">
        <v>2264</v>
      </c>
      <c r="E1091" s="189">
        <v>39310</v>
      </c>
      <c r="F1091" s="190">
        <v>0</v>
      </c>
      <c r="G1091" s="190">
        <v>53.76</v>
      </c>
      <c r="H1091" s="191">
        <v>560.03</v>
      </c>
      <c r="I1091" s="191">
        <v>210</v>
      </c>
      <c r="J1091" s="188" t="s">
        <v>635</v>
      </c>
      <c r="K1091" s="188" t="s">
        <v>338</v>
      </c>
      <c r="L1091" s="188" t="s">
        <v>906</v>
      </c>
      <c r="M1091" s="192">
        <f t="shared" si="51"/>
        <v>30</v>
      </c>
      <c r="N1091" s="193">
        <f t="shared" si="52"/>
        <v>0.66670238095238088</v>
      </c>
      <c r="O1091" s="194">
        <f t="shared" si="53"/>
        <v>2.2223412698412697E-2</v>
      </c>
    </row>
    <row r="1092" spans="1:15" ht="12.75" customHeight="1">
      <c r="A1092" s="188" t="s">
        <v>620</v>
      </c>
      <c r="B1092" s="188" t="s">
        <v>1394</v>
      </c>
      <c r="C1092" s="188" t="s">
        <v>641</v>
      </c>
      <c r="D1092" s="188" t="s">
        <v>2265</v>
      </c>
      <c r="E1092" s="189">
        <v>39513</v>
      </c>
      <c r="F1092" s="190">
        <v>0</v>
      </c>
      <c r="G1092" s="190">
        <v>79.23</v>
      </c>
      <c r="H1092" s="191">
        <v>743</v>
      </c>
      <c r="I1092" s="191">
        <v>309.5</v>
      </c>
      <c r="J1092" s="188" t="s">
        <v>639</v>
      </c>
      <c r="K1092" s="188" t="s">
        <v>338</v>
      </c>
      <c r="L1092" s="188" t="s">
        <v>1550</v>
      </c>
      <c r="M1092" s="192">
        <f t="shared" si="51"/>
        <v>27</v>
      </c>
      <c r="N1092" s="193">
        <f t="shared" si="52"/>
        <v>0.60016155088852985</v>
      </c>
      <c r="O1092" s="194">
        <f t="shared" si="53"/>
        <v>2.222820558846407E-2</v>
      </c>
    </row>
    <row r="1093" spans="1:15" ht="12.75" customHeight="1">
      <c r="A1093" s="188" t="s">
        <v>620</v>
      </c>
      <c r="B1093" s="188" t="s">
        <v>1394</v>
      </c>
      <c r="C1093" s="188" t="s">
        <v>641</v>
      </c>
      <c r="D1093" s="188" t="s">
        <v>2266</v>
      </c>
      <c r="E1093" s="189">
        <v>39447</v>
      </c>
      <c r="F1093" s="190">
        <v>0</v>
      </c>
      <c r="G1093" s="190">
        <v>96</v>
      </c>
      <c r="H1093" s="191">
        <v>1002</v>
      </c>
      <c r="I1093" s="191">
        <v>375</v>
      </c>
      <c r="J1093" s="188" t="s">
        <v>635</v>
      </c>
      <c r="K1093" s="188" t="s">
        <v>338</v>
      </c>
      <c r="L1093" s="188" t="s">
        <v>746</v>
      </c>
      <c r="M1093" s="192">
        <f t="shared" si="51"/>
        <v>30</v>
      </c>
      <c r="N1093" s="193">
        <f t="shared" si="52"/>
        <v>0.66800000000000004</v>
      </c>
      <c r="O1093" s="194">
        <f t="shared" si="53"/>
        <v>2.2266666666666667E-2</v>
      </c>
    </row>
    <row r="1094" spans="1:15" ht="12.75" customHeight="1">
      <c r="A1094" s="188" t="s">
        <v>620</v>
      </c>
      <c r="B1094" s="188" t="s">
        <v>1394</v>
      </c>
      <c r="C1094" s="188" t="s">
        <v>641</v>
      </c>
      <c r="D1094" s="188" t="s">
        <v>2267</v>
      </c>
      <c r="E1094" s="189">
        <v>39562</v>
      </c>
      <c r="F1094" s="190">
        <v>0</v>
      </c>
      <c r="G1094" s="190">
        <v>89.6</v>
      </c>
      <c r="H1094" s="191">
        <v>842</v>
      </c>
      <c r="I1094" s="191">
        <v>350</v>
      </c>
      <c r="J1094" s="188" t="s">
        <v>639</v>
      </c>
      <c r="K1094" s="188" t="s">
        <v>338</v>
      </c>
      <c r="L1094" s="188" t="s">
        <v>754</v>
      </c>
      <c r="M1094" s="192">
        <f t="shared" si="51"/>
        <v>27</v>
      </c>
      <c r="N1094" s="193">
        <f t="shared" si="52"/>
        <v>0.60142857142857142</v>
      </c>
      <c r="O1094" s="194">
        <f t="shared" si="53"/>
        <v>2.2275132275132274E-2</v>
      </c>
    </row>
    <row r="1095" spans="1:15" ht="12.75" customHeight="1">
      <c r="A1095" s="188" t="s">
        <v>620</v>
      </c>
      <c r="B1095" s="188" t="s">
        <v>1394</v>
      </c>
      <c r="C1095" s="188" t="s">
        <v>641</v>
      </c>
      <c r="D1095" s="188" t="s">
        <v>2268</v>
      </c>
      <c r="E1095" s="189">
        <v>39310</v>
      </c>
      <c r="F1095" s="190">
        <v>0</v>
      </c>
      <c r="G1095" s="190">
        <v>68.22</v>
      </c>
      <c r="H1095" s="191">
        <v>475.01</v>
      </c>
      <c r="I1095" s="191">
        <v>266.5</v>
      </c>
      <c r="J1095" s="188" t="s">
        <v>560</v>
      </c>
      <c r="K1095" s="188" t="s">
        <v>338</v>
      </c>
      <c r="L1095" s="188" t="s">
        <v>2269</v>
      </c>
      <c r="M1095" s="192">
        <f t="shared" si="51"/>
        <v>20</v>
      </c>
      <c r="N1095" s="193">
        <f t="shared" si="52"/>
        <v>0.44560037523452156</v>
      </c>
      <c r="O1095" s="194">
        <f t="shared" si="53"/>
        <v>2.2280018761726077E-2</v>
      </c>
    </row>
    <row r="1096" spans="1:15" ht="12.75" customHeight="1">
      <c r="A1096" s="188" t="s">
        <v>620</v>
      </c>
      <c r="B1096" s="188" t="s">
        <v>1394</v>
      </c>
      <c r="C1096" s="188" t="s">
        <v>641</v>
      </c>
      <c r="D1096" s="188" t="s">
        <v>2270</v>
      </c>
      <c r="E1096" s="189">
        <v>39534</v>
      </c>
      <c r="F1096" s="190">
        <v>0</v>
      </c>
      <c r="G1096" s="190">
        <v>102.4</v>
      </c>
      <c r="H1096" s="191">
        <v>820</v>
      </c>
      <c r="I1096" s="191">
        <v>400</v>
      </c>
      <c r="J1096" s="188" t="s">
        <v>571</v>
      </c>
      <c r="K1096" s="188" t="s">
        <v>338</v>
      </c>
      <c r="L1096" s="188" t="s">
        <v>625</v>
      </c>
      <c r="M1096" s="192">
        <f t="shared" si="51"/>
        <v>23</v>
      </c>
      <c r="N1096" s="193">
        <f t="shared" si="52"/>
        <v>0.51249999999999996</v>
      </c>
      <c r="O1096" s="194">
        <f t="shared" si="53"/>
        <v>2.2282608695652174E-2</v>
      </c>
    </row>
    <row r="1097" spans="1:15" ht="12.75" customHeight="1">
      <c r="A1097" s="188" t="s">
        <v>620</v>
      </c>
      <c r="B1097" s="188" t="s">
        <v>1394</v>
      </c>
      <c r="C1097" s="188" t="s">
        <v>641</v>
      </c>
      <c r="D1097" s="188" t="s">
        <v>2271</v>
      </c>
      <c r="E1097" s="189">
        <v>39632</v>
      </c>
      <c r="F1097" s="190">
        <v>0</v>
      </c>
      <c r="G1097" s="190">
        <v>89.86</v>
      </c>
      <c r="H1097" s="191">
        <v>970</v>
      </c>
      <c r="I1097" s="191">
        <v>351</v>
      </c>
      <c r="J1097" s="188" t="s">
        <v>503</v>
      </c>
      <c r="K1097" s="188" t="s">
        <v>338</v>
      </c>
      <c r="L1097" s="188" t="s">
        <v>2272</v>
      </c>
      <c r="M1097" s="192">
        <f t="shared" si="51"/>
        <v>31</v>
      </c>
      <c r="N1097" s="193">
        <f t="shared" si="52"/>
        <v>0.69088319088319083</v>
      </c>
      <c r="O1097" s="194">
        <f t="shared" si="53"/>
        <v>2.2286554544619058E-2</v>
      </c>
    </row>
    <row r="1098" spans="1:15" ht="12.75" customHeight="1">
      <c r="A1098" s="188" t="s">
        <v>620</v>
      </c>
      <c r="B1098" s="188" t="s">
        <v>1394</v>
      </c>
      <c r="C1098" s="188" t="s">
        <v>641</v>
      </c>
      <c r="D1098" s="188" t="s">
        <v>2273</v>
      </c>
      <c r="E1098" s="189">
        <v>39548</v>
      </c>
      <c r="F1098" s="190">
        <v>0</v>
      </c>
      <c r="G1098" s="190">
        <v>83.52</v>
      </c>
      <c r="H1098" s="191">
        <v>670</v>
      </c>
      <c r="I1098" s="191">
        <v>326.25</v>
      </c>
      <c r="J1098" s="188" t="s">
        <v>571</v>
      </c>
      <c r="K1098" s="188" t="s">
        <v>338</v>
      </c>
      <c r="L1098" s="188" t="s">
        <v>1950</v>
      </c>
      <c r="M1098" s="192">
        <f t="shared" si="51"/>
        <v>23</v>
      </c>
      <c r="N1098" s="193">
        <f t="shared" si="52"/>
        <v>0.51340996168582376</v>
      </c>
      <c r="O1098" s="194">
        <f t="shared" si="53"/>
        <v>2.232217224720973E-2</v>
      </c>
    </row>
    <row r="1099" spans="1:15" ht="12.75" customHeight="1">
      <c r="A1099" s="188" t="s">
        <v>620</v>
      </c>
      <c r="B1099" s="188" t="s">
        <v>1394</v>
      </c>
      <c r="C1099" s="188" t="s">
        <v>641</v>
      </c>
      <c r="D1099" s="188" t="s">
        <v>2274</v>
      </c>
      <c r="E1099" s="189">
        <v>39447</v>
      </c>
      <c r="F1099" s="190">
        <v>0</v>
      </c>
      <c r="G1099" s="190">
        <v>96</v>
      </c>
      <c r="H1099" s="191">
        <v>670</v>
      </c>
      <c r="I1099" s="191">
        <v>375</v>
      </c>
      <c r="J1099" s="188" t="s">
        <v>560</v>
      </c>
      <c r="K1099" s="188" t="s">
        <v>338</v>
      </c>
      <c r="L1099" s="188" t="s">
        <v>746</v>
      </c>
      <c r="M1099" s="192">
        <f t="shared" si="51"/>
        <v>20</v>
      </c>
      <c r="N1099" s="193">
        <f t="shared" si="52"/>
        <v>0.44666666666666666</v>
      </c>
      <c r="O1099" s="194">
        <f t="shared" si="53"/>
        <v>2.2333333333333334E-2</v>
      </c>
    </row>
    <row r="1100" spans="1:15" ht="12.75" customHeight="1">
      <c r="A1100" s="188" t="s">
        <v>620</v>
      </c>
      <c r="B1100" s="188" t="s">
        <v>1394</v>
      </c>
      <c r="C1100" s="188" t="s">
        <v>641</v>
      </c>
      <c r="D1100" s="188" t="s">
        <v>2275</v>
      </c>
      <c r="E1100" s="189">
        <v>39562</v>
      </c>
      <c r="F1100" s="190">
        <v>0</v>
      </c>
      <c r="G1100" s="190">
        <v>76.8</v>
      </c>
      <c r="H1100" s="191">
        <v>1019.33</v>
      </c>
      <c r="I1100" s="191">
        <v>300</v>
      </c>
      <c r="J1100" s="188" t="s">
        <v>624</v>
      </c>
      <c r="K1100" s="188" t="s">
        <v>338</v>
      </c>
      <c r="L1100" s="188" t="s">
        <v>632</v>
      </c>
      <c r="M1100" s="192">
        <f t="shared" si="51"/>
        <v>38</v>
      </c>
      <c r="N1100" s="193">
        <f t="shared" si="52"/>
        <v>0.84944166666666665</v>
      </c>
      <c r="O1100" s="194">
        <f t="shared" si="53"/>
        <v>2.2353728070175438E-2</v>
      </c>
    </row>
    <row r="1101" spans="1:15" ht="12.75" customHeight="1">
      <c r="A1101" s="188" t="s">
        <v>620</v>
      </c>
      <c r="B1101" s="188" t="s">
        <v>1394</v>
      </c>
      <c r="C1101" s="188" t="s">
        <v>641</v>
      </c>
      <c r="D1101" s="188" t="s">
        <v>2276</v>
      </c>
      <c r="E1101" s="189">
        <v>39507</v>
      </c>
      <c r="F1101" s="190">
        <v>0</v>
      </c>
      <c r="G1101" s="190">
        <v>66.56</v>
      </c>
      <c r="H1101" s="191">
        <v>465</v>
      </c>
      <c r="I1101" s="191">
        <v>260</v>
      </c>
      <c r="J1101" s="188" t="s">
        <v>560</v>
      </c>
      <c r="K1101" s="188" t="s">
        <v>338</v>
      </c>
      <c r="L1101" s="188" t="s">
        <v>808</v>
      </c>
      <c r="M1101" s="192">
        <f t="shared" si="51"/>
        <v>20</v>
      </c>
      <c r="N1101" s="193">
        <f t="shared" si="52"/>
        <v>0.44711538461538464</v>
      </c>
      <c r="O1101" s="194">
        <f t="shared" si="53"/>
        <v>2.2355769230769231E-2</v>
      </c>
    </row>
    <row r="1102" spans="1:15" ht="12.75" customHeight="1">
      <c r="A1102" s="188" t="s">
        <v>620</v>
      </c>
      <c r="B1102" s="188" t="s">
        <v>1394</v>
      </c>
      <c r="C1102" s="188" t="s">
        <v>641</v>
      </c>
      <c r="D1102" s="188" t="s">
        <v>2277</v>
      </c>
      <c r="E1102" s="189">
        <v>39492</v>
      </c>
      <c r="F1102" s="190">
        <v>0</v>
      </c>
      <c r="G1102" s="190">
        <v>0.06</v>
      </c>
      <c r="H1102" s="191">
        <v>850</v>
      </c>
      <c r="I1102" s="191">
        <v>250</v>
      </c>
      <c r="J1102" s="188" t="s">
        <v>624</v>
      </c>
      <c r="K1102" s="188" t="s">
        <v>338</v>
      </c>
      <c r="L1102" s="188" t="s">
        <v>636</v>
      </c>
      <c r="M1102" s="192">
        <f t="shared" si="51"/>
        <v>38</v>
      </c>
      <c r="N1102" s="193">
        <f t="shared" si="52"/>
        <v>0.85</v>
      </c>
      <c r="O1102" s="194">
        <f t="shared" si="53"/>
        <v>2.2368421052631579E-2</v>
      </c>
    </row>
    <row r="1103" spans="1:15" ht="12.75" customHeight="1">
      <c r="A1103" s="188" t="s">
        <v>620</v>
      </c>
      <c r="B1103" s="188" t="s">
        <v>1394</v>
      </c>
      <c r="C1103" s="188" t="s">
        <v>641</v>
      </c>
      <c r="D1103" s="188" t="s">
        <v>2278</v>
      </c>
      <c r="E1103" s="189">
        <v>39464</v>
      </c>
      <c r="F1103" s="190">
        <v>0</v>
      </c>
      <c r="G1103" s="190">
        <v>28.8</v>
      </c>
      <c r="H1103" s="191">
        <v>533.58000000000004</v>
      </c>
      <c r="I1103" s="191">
        <v>112.5</v>
      </c>
      <c r="J1103" s="188" t="s">
        <v>624</v>
      </c>
      <c r="K1103" s="188" t="s">
        <v>410</v>
      </c>
      <c r="L1103" s="188" t="s">
        <v>2279</v>
      </c>
      <c r="M1103" s="192">
        <f t="shared" si="51"/>
        <v>53</v>
      </c>
      <c r="N1103" s="193">
        <f t="shared" si="52"/>
        <v>1.1857333333333335</v>
      </c>
      <c r="O1103" s="194">
        <f t="shared" si="53"/>
        <v>2.2372327044025159E-2</v>
      </c>
    </row>
    <row r="1104" spans="1:15" ht="12.75" customHeight="1">
      <c r="A1104" s="188" t="s">
        <v>620</v>
      </c>
      <c r="B1104" s="188" t="s">
        <v>1394</v>
      </c>
      <c r="C1104" s="188" t="s">
        <v>641</v>
      </c>
      <c r="D1104" s="188" t="s">
        <v>2280</v>
      </c>
      <c r="E1104" s="189">
        <v>39275</v>
      </c>
      <c r="F1104" s="190">
        <v>0</v>
      </c>
      <c r="G1104" s="190">
        <v>117.31</v>
      </c>
      <c r="H1104" s="191">
        <v>1558.97</v>
      </c>
      <c r="I1104" s="191">
        <v>458.25</v>
      </c>
      <c r="J1104" s="188" t="s">
        <v>624</v>
      </c>
      <c r="K1104" s="188" t="s">
        <v>338</v>
      </c>
      <c r="L1104" s="188" t="s">
        <v>2281</v>
      </c>
      <c r="M1104" s="192">
        <f t="shared" si="51"/>
        <v>38</v>
      </c>
      <c r="N1104" s="193">
        <f t="shared" si="52"/>
        <v>0.85050190943807968</v>
      </c>
      <c r="O1104" s="194">
        <f t="shared" si="53"/>
        <v>2.2381629195738939E-2</v>
      </c>
    </row>
    <row r="1105" spans="1:15" ht="12.75" customHeight="1">
      <c r="A1105" s="188" t="s">
        <v>620</v>
      </c>
      <c r="B1105" s="188" t="s">
        <v>1394</v>
      </c>
      <c r="C1105" s="188" t="s">
        <v>641</v>
      </c>
      <c r="D1105" s="188" t="s">
        <v>2282</v>
      </c>
      <c r="E1105" s="189">
        <v>39527</v>
      </c>
      <c r="F1105" s="190">
        <v>0</v>
      </c>
      <c r="G1105" s="190">
        <v>24</v>
      </c>
      <c r="H1105" s="191">
        <v>319</v>
      </c>
      <c r="I1105" s="191">
        <v>93.75</v>
      </c>
      <c r="J1105" s="188" t="s">
        <v>639</v>
      </c>
      <c r="K1105" s="188" t="s">
        <v>648</v>
      </c>
      <c r="L1105" s="188" t="s">
        <v>2283</v>
      </c>
      <c r="M1105" s="192">
        <f t="shared" si="51"/>
        <v>38</v>
      </c>
      <c r="N1105" s="193">
        <f t="shared" si="52"/>
        <v>0.85066666666666668</v>
      </c>
      <c r="O1105" s="194">
        <f t="shared" si="53"/>
        <v>2.2385964912280704E-2</v>
      </c>
    </row>
    <row r="1106" spans="1:15" ht="12.75" customHeight="1">
      <c r="A1106" s="188" t="s">
        <v>620</v>
      </c>
      <c r="B1106" s="188" t="s">
        <v>1394</v>
      </c>
      <c r="C1106" s="188" t="s">
        <v>641</v>
      </c>
      <c r="D1106" s="188" t="s">
        <v>2284</v>
      </c>
      <c r="E1106" s="189">
        <v>39352</v>
      </c>
      <c r="F1106" s="190">
        <v>0</v>
      </c>
      <c r="G1106" s="190">
        <v>84.48</v>
      </c>
      <c r="H1106" s="191">
        <v>1005.05</v>
      </c>
      <c r="I1106" s="191">
        <v>330</v>
      </c>
      <c r="J1106" s="188" t="s">
        <v>720</v>
      </c>
      <c r="K1106" s="188" t="s">
        <v>338</v>
      </c>
      <c r="L1106" s="188" t="s">
        <v>1050</v>
      </c>
      <c r="M1106" s="192">
        <f t="shared" si="51"/>
        <v>34</v>
      </c>
      <c r="N1106" s="193">
        <f t="shared" si="52"/>
        <v>0.76140151515151511</v>
      </c>
      <c r="O1106" s="194">
        <f t="shared" si="53"/>
        <v>2.2394162210338679E-2</v>
      </c>
    </row>
    <row r="1107" spans="1:15" ht="12.75" customHeight="1">
      <c r="A1107" s="188" t="s">
        <v>620</v>
      </c>
      <c r="B1107" s="188" t="s">
        <v>1394</v>
      </c>
      <c r="C1107" s="188" t="s">
        <v>641</v>
      </c>
      <c r="D1107" s="188" t="s">
        <v>2285</v>
      </c>
      <c r="E1107" s="189">
        <v>39429</v>
      </c>
      <c r="F1107" s="190">
        <v>0</v>
      </c>
      <c r="G1107" s="190">
        <v>128</v>
      </c>
      <c r="H1107" s="191">
        <v>1210</v>
      </c>
      <c r="I1107" s="191">
        <v>500</v>
      </c>
      <c r="J1107" s="188" t="s">
        <v>639</v>
      </c>
      <c r="K1107" s="188" t="s">
        <v>338</v>
      </c>
      <c r="L1107" s="188" t="s">
        <v>756</v>
      </c>
      <c r="M1107" s="192">
        <f t="shared" si="51"/>
        <v>27</v>
      </c>
      <c r="N1107" s="193">
        <f t="shared" si="52"/>
        <v>0.60499999999999998</v>
      </c>
      <c r="O1107" s="194">
        <f t="shared" si="53"/>
        <v>2.2407407407407407E-2</v>
      </c>
    </row>
    <row r="1108" spans="1:15" ht="12.75" customHeight="1">
      <c r="A1108" s="188" t="s">
        <v>620</v>
      </c>
      <c r="B1108" s="188" t="s">
        <v>1394</v>
      </c>
      <c r="C1108" s="188" t="s">
        <v>641</v>
      </c>
      <c r="D1108" s="188" t="s">
        <v>2286</v>
      </c>
      <c r="E1108" s="189">
        <v>39492</v>
      </c>
      <c r="F1108" s="190">
        <v>0</v>
      </c>
      <c r="G1108" s="190">
        <v>74.75</v>
      </c>
      <c r="H1108" s="191">
        <v>995</v>
      </c>
      <c r="I1108" s="191">
        <v>292</v>
      </c>
      <c r="J1108" s="188" t="s">
        <v>624</v>
      </c>
      <c r="K1108" s="188" t="s">
        <v>338</v>
      </c>
      <c r="L1108" s="188" t="s">
        <v>1974</v>
      </c>
      <c r="M1108" s="192">
        <f t="shared" si="51"/>
        <v>38</v>
      </c>
      <c r="N1108" s="193">
        <f t="shared" si="52"/>
        <v>0.85188356164383561</v>
      </c>
      <c r="O1108" s="194">
        <f t="shared" si="53"/>
        <v>2.2417988464311464E-2</v>
      </c>
    </row>
    <row r="1109" spans="1:15" ht="12.75" customHeight="1">
      <c r="A1109" s="188" t="s">
        <v>620</v>
      </c>
      <c r="B1109" s="188" t="s">
        <v>1394</v>
      </c>
      <c r="C1109" s="188" t="s">
        <v>641</v>
      </c>
      <c r="D1109" s="188" t="s">
        <v>2287</v>
      </c>
      <c r="E1109" s="189">
        <v>39436</v>
      </c>
      <c r="F1109" s="190">
        <v>0</v>
      </c>
      <c r="G1109" s="190">
        <v>52.48</v>
      </c>
      <c r="H1109" s="191">
        <v>699</v>
      </c>
      <c r="I1109" s="191">
        <v>205</v>
      </c>
      <c r="J1109" s="188" t="s">
        <v>624</v>
      </c>
      <c r="K1109" s="188" t="s">
        <v>338</v>
      </c>
      <c r="L1109" s="188" t="s">
        <v>1003</v>
      </c>
      <c r="M1109" s="192">
        <f t="shared" si="51"/>
        <v>38</v>
      </c>
      <c r="N1109" s="193">
        <f t="shared" si="52"/>
        <v>0.85243902439024388</v>
      </c>
      <c r="O1109" s="194">
        <f t="shared" si="53"/>
        <v>2.2432605905006418E-2</v>
      </c>
    </row>
    <row r="1110" spans="1:15" ht="12.75" customHeight="1">
      <c r="A1110" s="188" t="s">
        <v>620</v>
      </c>
      <c r="B1110" s="188" t="s">
        <v>1394</v>
      </c>
      <c r="C1110" s="188" t="s">
        <v>641</v>
      </c>
      <c r="D1110" s="188" t="s">
        <v>2288</v>
      </c>
      <c r="E1110" s="189">
        <v>39254</v>
      </c>
      <c r="F1110" s="190">
        <v>0</v>
      </c>
      <c r="G1110" s="190">
        <v>92.16</v>
      </c>
      <c r="H1110" s="191">
        <v>615.02</v>
      </c>
      <c r="I1110" s="191">
        <v>360</v>
      </c>
      <c r="J1110" s="188" t="s">
        <v>667</v>
      </c>
      <c r="K1110" s="188" t="s">
        <v>338</v>
      </c>
      <c r="L1110" s="188" t="s">
        <v>682</v>
      </c>
      <c r="M1110" s="192">
        <f t="shared" si="51"/>
        <v>19</v>
      </c>
      <c r="N1110" s="193">
        <f t="shared" si="52"/>
        <v>0.42709722222222218</v>
      </c>
      <c r="O1110" s="194">
        <f t="shared" si="53"/>
        <v>2.247880116959064E-2</v>
      </c>
    </row>
    <row r="1111" spans="1:15" ht="12.75" customHeight="1">
      <c r="A1111" s="188" t="s">
        <v>620</v>
      </c>
      <c r="B1111" s="188" t="s">
        <v>1394</v>
      </c>
      <c r="C1111" s="188" t="s">
        <v>641</v>
      </c>
      <c r="D1111" s="188" t="s">
        <v>2289</v>
      </c>
      <c r="E1111" s="189">
        <v>39415</v>
      </c>
      <c r="F1111" s="190">
        <v>0</v>
      </c>
      <c r="G1111" s="190">
        <v>60.03</v>
      </c>
      <c r="H1111" s="191">
        <v>632.70000000000005</v>
      </c>
      <c r="I1111" s="191">
        <v>234.5</v>
      </c>
      <c r="J1111" s="188" t="s">
        <v>361</v>
      </c>
      <c r="K1111" s="188" t="s">
        <v>1092</v>
      </c>
      <c r="L1111" s="188" t="s">
        <v>2290</v>
      </c>
      <c r="M1111" s="192">
        <f t="shared" si="51"/>
        <v>30</v>
      </c>
      <c r="N1111" s="193">
        <f t="shared" si="52"/>
        <v>0.67452025586353948</v>
      </c>
      <c r="O1111" s="194">
        <f t="shared" si="53"/>
        <v>2.2484008528784648E-2</v>
      </c>
    </row>
    <row r="1112" spans="1:15" ht="12.75" customHeight="1">
      <c r="A1112" s="188" t="s">
        <v>620</v>
      </c>
      <c r="B1112" s="188" t="s">
        <v>1394</v>
      </c>
      <c r="C1112" s="188" t="s">
        <v>641</v>
      </c>
      <c r="D1112" s="188" t="s">
        <v>2291</v>
      </c>
      <c r="E1112" s="189">
        <v>39352</v>
      </c>
      <c r="F1112" s="190">
        <v>0</v>
      </c>
      <c r="G1112" s="190">
        <v>71.680000000000007</v>
      </c>
      <c r="H1112" s="191">
        <v>680</v>
      </c>
      <c r="I1112" s="191">
        <v>280</v>
      </c>
      <c r="J1112" s="188" t="s">
        <v>639</v>
      </c>
      <c r="K1112" s="188" t="s">
        <v>338</v>
      </c>
      <c r="L1112" s="188" t="s">
        <v>825</v>
      </c>
      <c r="M1112" s="192">
        <f t="shared" si="51"/>
        <v>27</v>
      </c>
      <c r="N1112" s="193">
        <f t="shared" si="52"/>
        <v>0.6071428571428571</v>
      </c>
      <c r="O1112" s="194">
        <f t="shared" si="53"/>
        <v>2.2486772486772486E-2</v>
      </c>
    </row>
    <row r="1113" spans="1:15" ht="12.75" customHeight="1">
      <c r="A1113" s="188" t="s">
        <v>620</v>
      </c>
      <c r="B1113" s="188" t="s">
        <v>1394</v>
      </c>
      <c r="C1113" s="188" t="s">
        <v>641</v>
      </c>
      <c r="D1113" s="188" t="s">
        <v>2292</v>
      </c>
      <c r="E1113" s="189">
        <v>39289</v>
      </c>
      <c r="F1113" s="190">
        <v>0</v>
      </c>
      <c r="G1113" s="190">
        <v>84.8</v>
      </c>
      <c r="H1113" s="191">
        <v>595.98</v>
      </c>
      <c r="I1113" s="191">
        <v>331.25</v>
      </c>
      <c r="J1113" s="188" t="s">
        <v>560</v>
      </c>
      <c r="K1113" s="188" t="s">
        <v>338</v>
      </c>
      <c r="L1113" s="188" t="s">
        <v>1691</v>
      </c>
      <c r="M1113" s="192">
        <f t="shared" si="51"/>
        <v>20</v>
      </c>
      <c r="N1113" s="193">
        <f t="shared" si="52"/>
        <v>0.44979622641509437</v>
      </c>
      <c r="O1113" s="194">
        <f t="shared" si="53"/>
        <v>2.248981132075472E-2</v>
      </c>
    </row>
    <row r="1114" spans="1:15" ht="12.75" customHeight="1">
      <c r="A1114" s="188" t="s">
        <v>620</v>
      </c>
      <c r="B1114" s="188" t="s">
        <v>1394</v>
      </c>
      <c r="C1114" s="188" t="s">
        <v>641</v>
      </c>
      <c r="D1114" s="188" t="s">
        <v>2293</v>
      </c>
      <c r="E1114" s="189">
        <v>39492</v>
      </c>
      <c r="F1114" s="190">
        <v>0</v>
      </c>
      <c r="G1114" s="190">
        <v>115.2</v>
      </c>
      <c r="H1114" s="191">
        <v>1540</v>
      </c>
      <c r="I1114" s="191">
        <v>450</v>
      </c>
      <c r="J1114" s="188" t="s">
        <v>624</v>
      </c>
      <c r="K1114" s="188" t="s">
        <v>338</v>
      </c>
      <c r="L1114" s="188" t="s">
        <v>718</v>
      </c>
      <c r="M1114" s="192">
        <f t="shared" si="51"/>
        <v>38</v>
      </c>
      <c r="N1114" s="193">
        <f t="shared" si="52"/>
        <v>0.85555555555555551</v>
      </c>
      <c r="O1114" s="194">
        <f t="shared" si="53"/>
        <v>2.2514619883040935E-2</v>
      </c>
    </row>
    <row r="1115" spans="1:15" ht="12.75" customHeight="1">
      <c r="A1115" s="188" t="s">
        <v>620</v>
      </c>
      <c r="B1115" s="188" t="s">
        <v>1394</v>
      </c>
      <c r="C1115" s="188" t="s">
        <v>641</v>
      </c>
      <c r="D1115" s="188" t="s">
        <v>2294</v>
      </c>
      <c r="E1115" s="189">
        <v>39380</v>
      </c>
      <c r="F1115" s="190">
        <v>0</v>
      </c>
      <c r="G1115" s="190">
        <v>35.840000000000003</v>
      </c>
      <c r="H1115" s="191">
        <v>290</v>
      </c>
      <c r="I1115" s="191">
        <v>140</v>
      </c>
      <c r="J1115" s="188" t="s">
        <v>571</v>
      </c>
      <c r="K1115" s="188" t="s">
        <v>338</v>
      </c>
      <c r="L1115" s="188" t="s">
        <v>2142</v>
      </c>
      <c r="M1115" s="192">
        <f t="shared" si="51"/>
        <v>23</v>
      </c>
      <c r="N1115" s="193">
        <f t="shared" si="52"/>
        <v>0.5178571428571429</v>
      </c>
      <c r="O1115" s="194">
        <f t="shared" si="53"/>
        <v>2.251552795031056E-2</v>
      </c>
    </row>
    <row r="1116" spans="1:15" ht="12.75" customHeight="1">
      <c r="A1116" s="188" t="s">
        <v>620</v>
      </c>
      <c r="B1116" s="188" t="s">
        <v>1394</v>
      </c>
      <c r="C1116" s="188" t="s">
        <v>641</v>
      </c>
      <c r="D1116" s="188" t="s">
        <v>2295</v>
      </c>
      <c r="E1116" s="189">
        <v>39407</v>
      </c>
      <c r="F1116" s="190">
        <v>0</v>
      </c>
      <c r="G1116" s="190">
        <v>81.92</v>
      </c>
      <c r="H1116" s="191">
        <v>866</v>
      </c>
      <c r="I1116" s="191">
        <v>320</v>
      </c>
      <c r="J1116" s="188" t="s">
        <v>635</v>
      </c>
      <c r="K1116" s="188" t="s">
        <v>338</v>
      </c>
      <c r="L1116" s="188" t="s">
        <v>994</v>
      </c>
      <c r="M1116" s="192">
        <f t="shared" si="51"/>
        <v>30</v>
      </c>
      <c r="N1116" s="193">
        <f t="shared" si="52"/>
        <v>0.67656249999999996</v>
      </c>
      <c r="O1116" s="194">
        <f t="shared" si="53"/>
        <v>2.255208333333333E-2</v>
      </c>
    </row>
    <row r="1117" spans="1:15" ht="12.75" customHeight="1">
      <c r="A1117" s="188" t="s">
        <v>620</v>
      </c>
      <c r="B1117" s="188" t="s">
        <v>1394</v>
      </c>
      <c r="C1117" s="188" t="s">
        <v>641</v>
      </c>
      <c r="D1117" s="188" t="s">
        <v>2296</v>
      </c>
      <c r="E1117" s="189">
        <v>39269</v>
      </c>
      <c r="F1117" s="190">
        <v>0</v>
      </c>
      <c r="G1117" s="190">
        <v>44.8</v>
      </c>
      <c r="H1117" s="191">
        <v>599.97</v>
      </c>
      <c r="I1117" s="191">
        <v>175</v>
      </c>
      <c r="J1117" s="188" t="s">
        <v>624</v>
      </c>
      <c r="K1117" s="188" t="s">
        <v>338</v>
      </c>
      <c r="L1117" s="188" t="s">
        <v>1827</v>
      </c>
      <c r="M1117" s="192">
        <f t="shared" si="51"/>
        <v>38</v>
      </c>
      <c r="N1117" s="193">
        <f t="shared" si="52"/>
        <v>0.85710000000000008</v>
      </c>
      <c r="O1117" s="194">
        <f t="shared" si="53"/>
        <v>2.2555263157894738E-2</v>
      </c>
    </row>
    <row r="1118" spans="1:15" ht="12.75" customHeight="1">
      <c r="A1118" s="188" t="s">
        <v>620</v>
      </c>
      <c r="B1118" s="188" t="s">
        <v>1394</v>
      </c>
      <c r="C1118" s="188" t="s">
        <v>641</v>
      </c>
      <c r="D1118" s="188" t="s">
        <v>2297</v>
      </c>
      <c r="E1118" s="189">
        <v>39478</v>
      </c>
      <c r="F1118" s="190">
        <v>0</v>
      </c>
      <c r="G1118" s="190">
        <v>64.77</v>
      </c>
      <c r="H1118" s="191">
        <v>525</v>
      </c>
      <c r="I1118" s="191">
        <v>253</v>
      </c>
      <c r="J1118" s="188" t="s">
        <v>571</v>
      </c>
      <c r="K1118" s="188" t="s">
        <v>338</v>
      </c>
      <c r="L1118" s="188" t="s">
        <v>2212</v>
      </c>
      <c r="M1118" s="192">
        <f t="shared" si="51"/>
        <v>23</v>
      </c>
      <c r="N1118" s="193">
        <f t="shared" si="52"/>
        <v>0.51877470355731226</v>
      </c>
      <c r="O1118" s="194">
        <f t="shared" si="53"/>
        <v>2.2555421893796185E-2</v>
      </c>
    </row>
    <row r="1119" spans="1:15" ht="12.75" customHeight="1">
      <c r="A1119" s="188" t="s">
        <v>620</v>
      </c>
      <c r="B1119" s="188" t="s">
        <v>1394</v>
      </c>
      <c r="C1119" s="188" t="s">
        <v>641</v>
      </c>
      <c r="D1119" s="188" t="s">
        <v>2298</v>
      </c>
      <c r="E1119" s="189">
        <v>39269</v>
      </c>
      <c r="F1119" s="190">
        <v>0</v>
      </c>
      <c r="G1119" s="190">
        <v>52.29</v>
      </c>
      <c r="H1119" s="191">
        <v>424.02</v>
      </c>
      <c r="I1119" s="191">
        <v>204.25</v>
      </c>
      <c r="J1119" s="188" t="s">
        <v>571</v>
      </c>
      <c r="K1119" s="188" t="s">
        <v>338</v>
      </c>
      <c r="L1119" s="188" t="s">
        <v>2299</v>
      </c>
      <c r="M1119" s="192">
        <f t="shared" si="51"/>
        <v>23</v>
      </c>
      <c r="N1119" s="193">
        <f t="shared" si="52"/>
        <v>0.51899632802937579</v>
      </c>
      <c r="O1119" s="194">
        <f t="shared" si="53"/>
        <v>2.2565057740407644E-2</v>
      </c>
    </row>
    <row r="1120" spans="1:15" ht="12.75" customHeight="1">
      <c r="A1120" s="188" t="s">
        <v>620</v>
      </c>
      <c r="B1120" s="188" t="s">
        <v>1394</v>
      </c>
      <c r="C1120" s="188" t="s">
        <v>641</v>
      </c>
      <c r="D1120" s="188" t="s">
        <v>2300</v>
      </c>
      <c r="E1120" s="189">
        <v>39513</v>
      </c>
      <c r="F1120" s="190">
        <v>0</v>
      </c>
      <c r="G1120" s="190">
        <v>90.88</v>
      </c>
      <c r="H1120" s="191">
        <v>1220</v>
      </c>
      <c r="I1120" s="191">
        <v>355</v>
      </c>
      <c r="J1120" s="188" t="s">
        <v>639</v>
      </c>
      <c r="K1120" s="188" t="s">
        <v>648</v>
      </c>
      <c r="L1120" s="188" t="s">
        <v>2301</v>
      </c>
      <c r="M1120" s="192">
        <f t="shared" si="51"/>
        <v>38</v>
      </c>
      <c r="N1120" s="193">
        <f t="shared" si="52"/>
        <v>0.85915492957746475</v>
      </c>
      <c r="O1120" s="194">
        <f t="shared" si="53"/>
        <v>2.2609340252038545E-2</v>
      </c>
    </row>
    <row r="1121" spans="1:15" ht="12.75" customHeight="1">
      <c r="A1121" s="188" t="s">
        <v>620</v>
      </c>
      <c r="B1121" s="188" t="s">
        <v>1394</v>
      </c>
      <c r="C1121" s="188" t="s">
        <v>641</v>
      </c>
      <c r="D1121" s="188" t="s">
        <v>2302</v>
      </c>
      <c r="E1121" s="189">
        <v>39289</v>
      </c>
      <c r="F1121" s="190">
        <v>0</v>
      </c>
      <c r="G1121" s="190">
        <v>76.8</v>
      </c>
      <c r="H1121" s="191">
        <v>732.6</v>
      </c>
      <c r="I1121" s="191">
        <v>300</v>
      </c>
      <c r="J1121" s="188" t="s">
        <v>639</v>
      </c>
      <c r="K1121" s="188" t="s">
        <v>338</v>
      </c>
      <c r="L1121" s="188" t="s">
        <v>632</v>
      </c>
      <c r="M1121" s="192">
        <f t="shared" si="51"/>
        <v>27</v>
      </c>
      <c r="N1121" s="193">
        <f t="shared" si="52"/>
        <v>0.61050000000000004</v>
      </c>
      <c r="O1121" s="194">
        <f t="shared" si="53"/>
        <v>2.2611111111111113E-2</v>
      </c>
    </row>
    <row r="1122" spans="1:15" ht="12.75" customHeight="1">
      <c r="A1122" s="188" t="s">
        <v>620</v>
      </c>
      <c r="B1122" s="188" t="s">
        <v>1394</v>
      </c>
      <c r="C1122" s="188" t="s">
        <v>641</v>
      </c>
      <c r="D1122" s="188" t="s">
        <v>2303</v>
      </c>
      <c r="E1122" s="189">
        <v>39590</v>
      </c>
      <c r="F1122" s="190">
        <v>0</v>
      </c>
      <c r="G1122" s="190">
        <v>89.6</v>
      </c>
      <c r="H1122" s="191">
        <v>950</v>
      </c>
      <c r="I1122" s="191">
        <v>350</v>
      </c>
      <c r="J1122" s="188" t="s">
        <v>639</v>
      </c>
      <c r="K1122" s="188" t="s">
        <v>733</v>
      </c>
      <c r="L1122" s="188" t="s">
        <v>754</v>
      </c>
      <c r="M1122" s="192">
        <f t="shared" si="51"/>
        <v>30</v>
      </c>
      <c r="N1122" s="193">
        <f t="shared" si="52"/>
        <v>0.6785714285714286</v>
      </c>
      <c r="O1122" s="194">
        <f t="shared" si="53"/>
        <v>2.2619047619047618E-2</v>
      </c>
    </row>
    <row r="1123" spans="1:15" ht="12.75" customHeight="1">
      <c r="A1123" s="188" t="s">
        <v>620</v>
      </c>
      <c r="B1123" s="188" t="s">
        <v>1394</v>
      </c>
      <c r="C1123" s="188" t="s">
        <v>641</v>
      </c>
      <c r="D1123" s="188" t="s">
        <v>2304</v>
      </c>
      <c r="E1123" s="189">
        <v>39429</v>
      </c>
      <c r="F1123" s="190">
        <v>0</v>
      </c>
      <c r="G1123" s="190">
        <v>51.84</v>
      </c>
      <c r="H1123" s="191">
        <v>550</v>
      </c>
      <c r="I1123" s="191">
        <v>202.5</v>
      </c>
      <c r="J1123" s="188" t="s">
        <v>635</v>
      </c>
      <c r="K1123" s="188" t="s">
        <v>338</v>
      </c>
      <c r="L1123" s="188" t="s">
        <v>1883</v>
      </c>
      <c r="M1123" s="192">
        <f t="shared" si="51"/>
        <v>30</v>
      </c>
      <c r="N1123" s="193">
        <f t="shared" si="52"/>
        <v>0.67901234567901236</v>
      </c>
      <c r="O1123" s="194">
        <f t="shared" si="53"/>
        <v>2.2633744855967079E-2</v>
      </c>
    </row>
    <row r="1124" spans="1:15" ht="12.75" customHeight="1">
      <c r="A1124" s="188" t="s">
        <v>620</v>
      </c>
      <c r="B1124" s="188" t="s">
        <v>1394</v>
      </c>
      <c r="C1124" s="188" t="s">
        <v>641</v>
      </c>
      <c r="D1124" s="188" t="s">
        <v>2305</v>
      </c>
      <c r="E1124" s="189">
        <v>39527</v>
      </c>
      <c r="F1124" s="190">
        <v>0</v>
      </c>
      <c r="G1124" s="190">
        <v>70.53</v>
      </c>
      <c r="H1124" s="191">
        <v>750</v>
      </c>
      <c r="I1124" s="191">
        <v>275.5</v>
      </c>
      <c r="J1124" s="188" t="s">
        <v>635</v>
      </c>
      <c r="K1124" s="188" t="s">
        <v>338</v>
      </c>
      <c r="L1124" s="188" t="s">
        <v>2306</v>
      </c>
      <c r="M1124" s="192">
        <f t="shared" si="51"/>
        <v>30</v>
      </c>
      <c r="N1124" s="193">
        <f t="shared" si="52"/>
        <v>0.68058076225045372</v>
      </c>
      <c r="O1124" s="194">
        <f t="shared" si="53"/>
        <v>2.2686025408348458E-2</v>
      </c>
    </row>
    <row r="1125" spans="1:15" ht="12.75" customHeight="1">
      <c r="A1125" s="188" t="s">
        <v>620</v>
      </c>
      <c r="B1125" s="188" t="s">
        <v>1394</v>
      </c>
      <c r="C1125" s="188" t="s">
        <v>641</v>
      </c>
      <c r="D1125" s="188" t="s">
        <v>2307</v>
      </c>
      <c r="E1125" s="189">
        <v>39447</v>
      </c>
      <c r="F1125" s="190">
        <v>0</v>
      </c>
      <c r="G1125" s="190">
        <v>89.6</v>
      </c>
      <c r="H1125" s="191">
        <v>637</v>
      </c>
      <c r="I1125" s="191">
        <v>350</v>
      </c>
      <c r="J1125" s="188" t="s">
        <v>560</v>
      </c>
      <c r="K1125" s="188" t="s">
        <v>338</v>
      </c>
      <c r="L1125" s="188" t="s">
        <v>754</v>
      </c>
      <c r="M1125" s="192">
        <f t="shared" si="51"/>
        <v>20</v>
      </c>
      <c r="N1125" s="193">
        <f t="shared" si="52"/>
        <v>0.45500000000000002</v>
      </c>
      <c r="O1125" s="194">
        <f t="shared" si="53"/>
        <v>2.2749999999999999E-2</v>
      </c>
    </row>
    <row r="1126" spans="1:15" ht="12.75" customHeight="1">
      <c r="A1126" s="188" t="s">
        <v>620</v>
      </c>
      <c r="B1126" s="188" t="s">
        <v>1394</v>
      </c>
      <c r="C1126" s="188" t="s">
        <v>641</v>
      </c>
      <c r="D1126" s="188" t="s">
        <v>2308</v>
      </c>
      <c r="E1126" s="189">
        <v>39429</v>
      </c>
      <c r="F1126" s="190">
        <v>0</v>
      </c>
      <c r="G1126" s="190">
        <v>75.52</v>
      </c>
      <c r="H1126" s="191">
        <v>725</v>
      </c>
      <c r="I1126" s="191">
        <v>295</v>
      </c>
      <c r="J1126" s="188" t="s">
        <v>639</v>
      </c>
      <c r="K1126" s="188" t="s">
        <v>338</v>
      </c>
      <c r="L1126" s="188" t="s">
        <v>447</v>
      </c>
      <c r="M1126" s="192">
        <f t="shared" si="51"/>
        <v>27</v>
      </c>
      <c r="N1126" s="193">
        <f t="shared" si="52"/>
        <v>0.61440677966101698</v>
      </c>
      <c r="O1126" s="194">
        <f t="shared" si="53"/>
        <v>2.275580665411174E-2</v>
      </c>
    </row>
    <row r="1127" spans="1:15" ht="12.75" customHeight="1">
      <c r="A1127" s="188" t="s">
        <v>620</v>
      </c>
      <c r="B1127" s="188" t="s">
        <v>1394</v>
      </c>
      <c r="C1127" s="188" t="s">
        <v>641</v>
      </c>
      <c r="D1127" s="188" t="s">
        <v>2309</v>
      </c>
      <c r="E1127" s="189">
        <v>39534</v>
      </c>
      <c r="F1127" s="190">
        <v>0</v>
      </c>
      <c r="G1127" s="190">
        <v>132.80000000000001</v>
      </c>
      <c r="H1127" s="191">
        <v>1275</v>
      </c>
      <c r="I1127" s="191">
        <v>518.75</v>
      </c>
      <c r="J1127" s="188" t="s">
        <v>639</v>
      </c>
      <c r="K1127" s="188" t="s">
        <v>338</v>
      </c>
      <c r="L1127" s="188" t="s">
        <v>1607</v>
      </c>
      <c r="M1127" s="192">
        <f t="shared" si="51"/>
        <v>27</v>
      </c>
      <c r="N1127" s="193">
        <f t="shared" si="52"/>
        <v>0.61445783132530118</v>
      </c>
      <c r="O1127" s="194">
        <f t="shared" si="53"/>
        <v>2.2757697456492636E-2</v>
      </c>
    </row>
    <row r="1128" spans="1:15" ht="12.75" customHeight="1">
      <c r="A1128" s="188" t="s">
        <v>620</v>
      </c>
      <c r="B1128" s="188" t="s">
        <v>1394</v>
      </c>
      <c r="C1128" s="188" t="s">
        <v>641</v>
      </c>
      <c r="D1128" s="188" t="s">
        <v>2310</v>
      </c>
      <c r="E1128" s="189">
        <v>39541</v>
      </c>
      <c r="F1128" s="190">
        <v>0</v>
      </c>
      <c r="G1128" s="190">
        <v>56.83</v>
      </c>
      <c r="H1128" s="191">
        <v>546</v>
      </c>
      <c r="I1128" s="191">
        <v>222</v>
      </c>
      <c r="J1128" s="188" t="s">
        <v>639</v>
      </c>
      <c r="K1128" s="188" t="s">
        <v>338</v>
      </c>
      <c r="L1128" s="188" t="s">
        <v>2079</v>
      </c>
      <c r="M1128" s="192">
        <f t="shared" si="51"/>
        <v>27</v>
      </c>
      <c r="N1128" s="193">
        <f t="shared" si="52"/>
        <v>0.61486486486486491</v>
      </c>
      <c r="O1128" s="194">
        <f t="shared" si="53"/>
        <v>2.2772772772772773E-2</v>
      </c>
    </row>
    <row r="1129" spans="1:15" ht="12.75" customHeight="1">
      <c r="A1129" s="188" t="s">
        <v>620</v>
      </c>
      <c r="B1129" s="188" t="s">
        <v>1394</v>
      </c>
      <c r="C1129" s="188" t="s">
        <v>641</v>
      </c>
      <c r="D1129" s="188" t="s">
        <v>2311</v>
      </c>
      <c r="E1129" s="189">
        <v>39303</v>
      </c>
      <c r="F1129" s="190">
        <v>0</v>
      </c>
      <c r="G1129" s="190">
        <v>101.38</v>
      </c>
      <c r="H1129" s="191">
        <v>721.51</v>
      </c>
      <c r="I1129" s="191">
        <v>396</v>
      </c>
      <c r="J1129" s="188" t="s">
        <v>560</v>
      </c>
      <c r="K1129" s="188" t="s">
        <v>338</v>
      </c>
      <c r="L1129" s="188" t="s">
        <v>2312</v>
      </c>
      <c r="M1129" s="192">
        <f t="shared" si="51"/>
        <v>20</v>
      </c>
      <c r="N1129" s="193">
        <f t="shared" si="52"/>
        <v>0.45549873737373736</v>
      </c>
      <c r="O1129" s="194">
        <f t="shared" si="53"/>
        <v>2.2774936868686868E-2</v>
      </c>
    </row>
    <row r="1130" spans="1:15" ht="12.75" customHeight="1">
      <c r="A1130" s="188" t="s">
        <v>620</v>
      </c>
      <c r="B1130" s="188" t="s">
        <v>1394</v>
      </c>
      <c r="C1130" s="188" t="s">
        <v>641</v>
      </c>
      <c r="D1130" s="188" t="s">
        <v>2313</v>
      </c>
      <c r="E1130" s="189">
        <v>39429</v>
      </c>
      <c r="F1130" s="190">
        <v>0</v>
      </c>
      <c r="G1130" s="190">
        <v>96</v>
      </c>
      <c r="H1130" s="191">
        <v>650</v>
      </c>
      <c r="I1130" s="191">
        <v>375</v>
      </c>
      <c r="J1130" s="188" t="s">
        <v>667</v>
      </c>
      <c r="K1130" s="188" t="s">
        <v>338</v>
      </c>
      <c r="L1130" s="188" t="s">
        <v>746</v>
      </c>
      <c r="M1130" s="192">
        <f t="shared" si="51"/>
        <v>19</v>
      </c>
      <c r="N1130" s="193">
        <f t="shared" si="52"/>
        <v>0.43333333333333335</v>
      </c>
      <c r="O1130" s="194">
        <f t="shared" si="53"/>
        <v>2.2807017543859651E-2</v>
      </c>
    </row>
    <row r="1131" spans="1:15" ht="12.75" customHeight="1">
      <c r="A1131" s="188" t="s">
        <v>620</v>
      </c>
      <c r="B1131" s="188" t="s">
        <v>1394</v>
      </c>
      <c r="C1131" s="188" t="s">
        <v>641</v>
      </c>
      <c r="D1131" s="188" t="s">
        <v>2314</v>
      </c>
      <c r="E1131" s="189">
        <v>39520</v>
      </c>
      <c r="F1131" s="190">
        <v>0</v>
      </c>
      <c r="G1131" s="190">
        <v>87.87</v>
      </c>
      <c r="H1131" s="191">
        <v>1098</v>
      </c>
      <c r="I1131" s="191">
        <v>343.25</v>
      </c>
      <c r="J1131" s="188" t="s">
        <v>829</v>
      </c>
      <c r="K1131" s="188" t="s">
        <v>338</v>
      </c>
      <c r="L1131" s="188" t="s">
        <v>2315</v>
      </c>
      <c r="M1131" s="192">
        <f t="shared" si="51"/>
        <v>35</v>
      </c>
      <c r="N1131" s="193">
        <f t="shared" si="52"/>
        <v>0.79970866715222144</v>
      </c>
      <c r="O1131" s="194">
        <f t="shared" si="53"/>
        <v>2.284881906149204E-2</v>
      </c>
    </row>
    <row r="1132" spans="1:15" ht="12.75" customHeight="1">
      <c r="A1132" s="188" t="s">
        <v>620</v>
      </c>
      <c r="B1132" s="188" t="s">
        <v>1394</v>
      </c>
      <c r="C1132" s="188" t="s">
        <v>641</v>
      </c>
      <c r="D1132" s="188" t="s">
        <v>2316</v>
      </c>
      <c r="E1132" s="189">
        <v>39555</v>
      </c>
      <c r="F1132" s="190">
        <v>0</v>
      </c>
      <c r="G1132" s="190">
        <v>103.94</v>
      </c>
      <c r="H1132" s="191">
        <v>1187.97</v>
      </c>
      <c r="I1132" s="191">
        <v>406</v>
      </c>
      <c r="J1132" s="188" t="s">
        <v>879</v>
      </c>
      <c r="K1132" s="188" t="s">
        <v>648</v>
      </c>
      <c r="L1132" s="188" t="s">
        <v>786</v>
      </c>
      <c r="M1132" s="192">
        <f t="shared" si="51"/>
        <v>32</v>
      </c>
      <c r="N1132" s="193">
        <f t="shared" si="52"/>
        <v>0.73150862068965516</v>
      </c>
      <c r="O1132" s="194">
        <f t="shared" si="53"/>
        <v>2.2859644396551724E-2</v>
      </c>
    </row>
    <row r="1133" spans="1:15" ht="12.75" customHeight="1">
      <c r="A1133" s="188" t="s">
        <v>620</v>
      </c>
      <c r="B1133" s="188" t="s">
        <v>1394</v>
      </c>
      <c r="C1133" s="188" t="s">
        <v>641</v>
      </c>
      <c r="D1133" s="188" t="s">
        <v>2317</v>
      </c>
      <c r="E1133" s="189">
        <v>39527</v>
      </c>
      <c r="F1133" s="190">
        <v>0</v>
      </c>
      <c r="G1133" s="190">
        <v>98.69</v>
      </c>
      <c r="H1133" s="191">
        <v>917</v>
      </c>
      <c r="I1133" s="191">
        <v>385.5</v>
      </c>
      <c r="J1133" s="188" t="s">
        <v>361</v>
      </c>
      <c r="K1133" s="188" t="s">
        <v>338</v>
      </c>
      <c r="L1133" s="188" t="s">
        <v>2222</v>
      </c>
      <c r="M1133" s="192">
        <f t="shared" si="51"/>
        <v>26</v>
      </c>
      <c r="N1133" s="193">
        <f t="shared" si="52"/>
        <v>0.59468223086900129</v>
      </c>
      <c r="O1133" s="194">
        <f t="shared" si="53"/>
        <v>2.2872393494961587E-2</v>
      </c>
    </row>
    <row r="1134" spans="1:15" ht="12.75" customHeight="1">
      <c r="A1134" s="188" t="s">
        <v>620</v>
      </c>
      <c r="B1134" s="188" t="s">
        <v>1394</v>
      </c>
      <c r="C1134" s="188" t="s">
        <v>641</v>
      </c>
      <c r="D1134" s="188" t="s">
        <v>2318</v>
      </c>
      <c r="E1134" s="189">
        <v>39485</v>
      </c>
      <c r="F1134" s="190">
        <v>0</v>
      </c>
      <c r="G1134" s="190">
        <v>83.2</v>
      </c>
      <c r="H1134" s="191">
        <v>804</v>
      </c>
      <c r="I1134" s="191">
        <v>325</v>
      </c>
      <c r="J1134" s="188" t="s">
        <v>639</v>
      </c>
      <c r="K1134" s="188" t="s">
        <v>338</v>
      </c>
      <c r="L1134" s="188" t="s">
        <v>699</v>
      </c>
      <c r="M1134" s="192">
        <f t="shared" si="51"/>
        <v>27</v>
      </c>
      <c r="N1134" s="193">
        <f t="shared" si="52"/>
        <v>0.61846153846153851</v>
      </c>
      <c r="O1134" s="194">
        <f t="shared" si="53"/>
        <v>2.2905982905982909E-2</v>
      </c>
    </row>
    <row r="1135" spans="1:15" ht="12.75" customHeight="1">
      <c r="A1135" s="188" t="s">
        <v>620</v>
      </c>
      <c r="B1135" s="188" t="s">
        <v>1394</v>
      </c>
      <c r="C1135" s="188" t="s">
        <v>641</v>
      </c>
      <c r="D1135" s="188" t="s">
        <v>2319</v>
      </c>
      <c r="E1135" s="189">
        <v>39520</v>
      </c>
      <c r="F1135" s="190">
        <v>0</v>
      </c>
      <c r="G1135" s="190">
        <v>70.400000000000006</v>
      </c>
      <c r="H1135" s="191">
        <v>681</v>
      </c>
      <c r="I1135" s="191">
        <v>275</v>
      </c>
      <c r="J1135" s="188" t="s">
        <v>639</v>
      </c>
      <c r="K1135" s="188" t="s">
        <v>338</v>
      </c>
      <c r="L1135" s="188" t="s">
        <v>557</v>
      </c>
      <c r="M1135" s="192">
        <f t="shared" si="51"/>
        <v>27</v>
      </c>
      <c r="N1135" s="193">
        <f t="shared" si="52"/>
        <v>0.61909090909090914</v>
      </c>
      <c r="O1135" s="194">
        <f t="shared" si="53"/>
        <v>2.2929292929292931E-2</v>
      </c>
    </row>
    <row r="1136" spans="1:15" ht="12.75" customHeight="1">
      <c r="A1136" s="188" t="s">
        <v>620</v>
      </c>
      <c r="B1136" s="188" t="s">
        <v>1394</v>
      </c>
      <c r="C1136" s="188" t="s">
        <v>641</v>
      </c>
      <c r="D1136" s="188" t="s">
        <v>2320</v>
      </c>
      <c r="E1136" s="189">
        <v>39380</v>
      </c>
      <c r="F1136" s="190">
        <v>0</v>
      </c>
      <c r="G1136" s="190">
        <v>78.34</v>
      </c>
      <c r="H1136" s="191">
        <v>842</v>
      </c>
      <c r="I1136" s="191">
        <v>306</v>
      </c>
      <c r="J1136" s="188" t="s">
        <v>635</v>
      </c>
      <c r="K1136" s="188" t="s">
        <v>338</v>
      </c>
      <c r="L1136" s="188" t="s">
        <v>1781</v>
      </c>
      <c r="M1136" s="192">
        <f t="shared" si="51"/>
        <v>30</v>
      </c>
      <c r="N1136" s="193">
        <f t="shared" si="52"/>
        <v>0.68790849673202614</v>
      </c>
      <c r="O1136" s="194">
        <f t="shared" si="53"/>
        <v>2.2930283224400872E-2</v>
      </c>
    </row>
    <row r="1137" spans="1:15" ht="12.75" customHeight="1">
      <c r="A1137" s="188" t="s">
        <v>620</v>
      </c>
      <c r="B1137" s="188" t="s">
        <v>1394</v>
      </c>
      <c r="C1137" s="188" t="s">
        <v>641</v>
      </c>
      <c r="D1137" s="188" t="s">
        <v>2321</v>
      </c>
      <c r="E1137" s="189">
        <v>39429</v>
      </c>
      <c r="F1137" s="190">
        <v>0</v>
      </c>
      <c r="G1137" s="190">
        <v>27.52</v>
      </c>
      <c r="H1137" s="191">
        <v>375</v>
      </c>
      <c r="I1137" s="191">
        <v>107.5</v>
      </c>
      <c r="J1137" s="188" t="s">
        <v>624</v>
      </c>
      <c r="K1137" s="188" t="s">
        <v>338</v>
      </c>
      <c r="L1137" s="188" t="s">
        <v>1366</v>
      </c>
      <c r="M1137" s="192">
        <f t="shared" si="51"/>
        <v>38</v>
      </c>
      <c r="N1137" s="193">
        <f t="shared" si="52"/>
        <v>0.87209302325581395</v>
      </c>
      <c r="O1137" s="194">
        <f t="shared" si="53"/>
        <v>2.2949816401468787E-2</v>
      </c>
    </row>
    <row r="1138" spans="1:15" ht="12.75" customHeight="1">
      <c r="A1138" s="188" t="s">
        <v>620</v>
      </c>
      <c r="B1138" s="188" t="s">
        <v>1394</v>
      </c>
      <c r="C1138" s="188" t="s">
        <v>641</v>
      </c>
      <c r="D1138" s="188" t="s">
        <v>2322</v>
      </c>
      <c r="E1138" s="189">
        <v>39548</v>
      </c>
      <c r="F1138" s="190">
        <v>0</v>
      </c>
      <c r="G1138" s="190">
        <v>46.08</v>
      </c>
      <c r="H1138" s="191">
        <v>314.02</v>
      </c>
      <c r="I1138" s="191">
        <v>180</v>
      </c>
      <c r="J1138" s="188" t="s">
        <v>667</v>
      </c>
      <c r="K1138" s="188" t="s">
        <v>338</v>
      </c>
      <c r="L1138" s="188" t="s">
        <v>313</v>
      </c>
      <c r="M1138" s="192">
        <f t="shared" si="51"/>
        <v>19</v>
      </c>
      <c r="N1138" s="193">
        <f t="shared" si="52"/>
        <v>0.43613888888888885</v>
      </c>
      <c r="O1138" s="194">
        <f t="shared" si="53"/>
        <v>2.2954678362573099E-2</v>
      </c>
    </row>
    <row r="1139" spans="1:15" ht="12.75" customHeight="1">
      <c r="A1139" s="188" t="s">
        <v>620</v>
      </c>
      <c r="B1139" s="188" t="s">
        <v>1394</v>
      </c>
      <c r="C1139" s="188" t="s">
        <v>641</v>
      </c>
      <c r="D1139" s="188" t="s">
        <v>2323</v>
      </c>
      <c r="E1139" s="189">
        <v>39401</v>
      </c>
      <c r="F1139" s="190">
        <v>0</v>
      </c>
      <c r="G1139" s="190">
        <v>89.6</v>
      </c>
      <c r="H1139" s="191">
        <v>964.97</v>
      </c>
      <c r="I1139" s="191">
        <v>350</v>
      </c>
      <c r="J1139" s="188" t="s">
        <v>750</v>
      </c>
      <c r="K1139" s="188" t="s">
        <v>327</v>
      </c>
      <c r="L1139" s="188" t="s">
        <v>754</v>
      </c>
      <c r="M1139" s="192">
        <f t="shared" si="51"/>
        <v>30</v>
      </c>
      <c r="N1139" s="193">
        <f t="shared" si="52"/>
        <v>0.68926428571428577</v>
      </c>
      <c r="O1139" s="194">
        <f t="shared" si="53"/>
        <v>2.2975476190476192E-2</v>
      </c>
    </row>
    <row r="1140" spans="1:15" ht="12.75" customHeight="1">
      <c r="A1140" s="188" t="s">
        <v>620</v>
      </c>
      <c r="B1140" s="188" t="s">
        <v>1394</v>
      </c>
      <c r="C1140" s="188" t="s">
        <v>641</v>
      </c>
      <c r="D1140" s="188" t="s">
        <v>2324</v>
      </c>
      <c r="E1140" s="189">
        <v>39639</v>
      </c>
      <c r="F1140" s="190">
        <v>0</v>
      </c>
      <c r="G1140" s="190">
        <v>107.52</v>
      </c>
      <c r="H1140" s="191">
        <v>1045</v>
      </c>
      <c r="I1140" s="191">
        <v>420</v>
      </c>
      <c r="J1140" s="188" t="s">
        <v>639</v>
      </c>
      <c r="K1140" s="188" t="s">
        <v>338</v>
      </c>
      <c r="L1140" s="188" t="s">
        <v>2325</v>
      </c>
      <c r="M1140" s="192">
        <f t="shared" si="51"/>
        <v>27</v>
      </c>
      <c r="N1140" s="193">
        <f t="shared" si="52"/>
        <v>0.62202380952380953</v>
      </c>
      <c r="O1140" s="194">
        <f t="shared" si="53"/>
        <v>2.3037918871252203E-2</v>
      </c>
    </row>
    <row r="1141" spans="1:15" ht="12.75" customHeight="1">
      <c r="A1141" s="188" t="s">
        <v>620</v>
      </c>
      <c r="B1141" s="188" t="s">
        <v>1394</v>
      </c>
      <c r="C1141" s="188" t="s">
        <v>641</v>
      </c>
      <c r="D1141" s="188" t="s">
        <v>2326</v>
      </c>
      <c r="E1141" s="189">
        <v>39289</v>
      </c>
      <c r="F1141" s="190">
        <v>0</v>
      </c>
      <c r="G1141" s="190">
        <v>65.28</v>
      </c>
      <c r="H1141" s="191">
        <v>706.04</v>
      </c>
      <c r="I1141" s="191">
        <v>255</v>
      </c>
      <c r="J1141" s="188" t="s">
        <v>635</v>
      </c>
      <c r="K1141" s="188" t="s">
        <v>338</v>
      </c>
      <c r="L1141" s="188" t="s">
        <v>658</v>
      </c>
      <c r="M1141" s="192">
        <f t="shared" si="51"/>
        <v>30</v>
      </c>
      <c r="N1141" s="193">
        <f t="shared" si="52"/>
        <v>0.69219607843137254</v>
      </c>
      <c r="O1141" s="194">
        <f t="shared" si="53"/>
        <v>2.3073202614379083E-2</v>
      </c>
    </row>
    <row r="1142" spans="1:15" ht="12.75" customHeight="1">
      <c r="A1142" s="188" t="s">
        <v>620</v>
      </c>
      <c r="B1142" s="188" t="s">
        <v>1394</v>
      </c>
      <c r="C1142" s="188" t="s">
        <v>641</v>
      </c>
      <c r="D1142" s="188" t="s">
        <v>2327</v>
      </c>
      <c r="E1142" s="189">
        <v>39261</v>
      </c>
      <c r="F1142" s="190">
        <v>0</v>
      </c>
      <c r="G1142" s="190">
        <v>166.4</v>
      </c>
      <c r="H1142" s="191">
        <v>1139.8399999999999</v>
      </c>
      <c r="I1142" s="191">
        <v>650</v>
      </c>
      <c r="J1142" s="188" t="s">
        <v>667</v>
      </c>
      <c r="K1142" s="188" t="s">
        <v>338</v>
      </c>
      <c r="L1142" s="188" t="s">
        <v>2328</v>
      </c>
      <c r="M1142" s="192">
        <f t="shared" si="51"/>
        <v>19</v>
      </c>
      <c r="N1142" s="193">
        <f t="shared" si="52"/>
        <v>0.43839999999999996</v>
      </c>
      <c r="O1142" s="194">
        <f t="shared" si="53"/>
        <v>2.3073684210526312E-2</v>
      </c>
    </row>
    <row r="1143" spans="1:15" ht="12.75" customHeight="1">
      <c r="A1143" s="188" t="s">
        <v>620</v>
      </c>
      <c r="B1143" s="188" t="s">
        <v>1394</v>
      </c>
      <c r="C1143" s="188" t="s">
        <v>641</v>
      </c>
      <c r="D1143" s="188" t="s">
        <v>2329</v>
      </c>
      <c r="E1143" s="189">
        <v>39507</v>
      </c>
      <c r="F1143" s="190">
        <v>0</v>
      </c>
      <c r="G1143" s="190">
        <v>86.72</v>
      </c>
      <c r="H1143" s="191">
        <v>844.25</v>
      </c>
      <c r="I1143" s="191">
        <v>338.75</v>
      </c>
      <c r="J1143" s="188" t="s">
        <v>639</v>
      </c>
      <c r="K1143" s="188" t="s">
        <v>338</v>
      </c>
      <c r="L1143" s="188" t="s">
        <v>1586</v>
      </c>
      <c r="M1143" s="192">
        <f t="shared" si="51"/>
        <v>27</v>
      </c>
      <c r="N1143" s="193">
        <f t="shared" si="52"/>
        <v>0.62306273062730633</v>
      </c>
      <c r="O1143" s="194">
        <f t="shared" si="53"/>
        <v>2.3076397430640976E-2</v>
      </c>
    </row>
    <row r="1144" spans="1:15" ht="12.75" customHeight="1">
      <c r="A1144" s="188" t="s">
        <v>620</v>
      </c>
      <c r="B1144" s="188" t="s">
        <v>1394</v>
      </c>
      <c r="C1144" s="188" t="s">
        <v>641</v>
      </c>
      <c r="D1144" s="188" t="s">
        <v>2330</v>
      </c>
      <c r="E1144" s="189">
        <v>39447</v>
      </c>
      <c r="F1144" s="190">
        <v>0</v>
      </c>
      <c r="G1144" s="190">
        <v>83.2</v>
      </c>
      <c r="H1144" s="191">
        <v>900</v>
      </c>
      <c r="I1144" s="191">
        <v>325</v>
      </c>
      <c r="J1144" s="188" t="s">
        <v>635</v>
      </c>
      <c r="K1144" s="188" t="s">
        <v>338</v>
      </c>
      <c r="L1144" s="188" t="s">
        <v>699</v>
      </c>
      <c r="M1144" s="192">
        <f t="shared" si="51"/>
        <v>30</v>
      </c>
      <c r="N1144" s="193">
        <f t="shared" si="52"/>
        <v>0.69230769230769229</v>
      </c>
      <c r="O1144" s="194">
        <f t="shared" si="53"/>
        <v>2.3076923076923075E-2</v>
      </c>
    </row>
    <row r="1145" spans="1:15" ht="12.75" customHeight="1">
      <c r="A1145" s="188" t="s">
        <v>620</v>
      </c>
      <c r="B1145" s="188" t="s">
        <v>1394</v>
      </c>
      <c r="C1145" s="188" t="s">
        <v>641</v>
      </c>
      <c r="D1145" s="188" t="s">
        <v>2331</v>
      </c>
      <c r="E1145" s="189">
        <v>39269</v>
      </c>
      <c r="F1145" s="190">
        <v>0</v>
      </c>
      <c r="G1145" s="190">
        <v>58.37</v>
      </c>
      <c r="H1145" s="191">
        <v>800.46</v>
      </c>
      <c r="I1145" s="191">
        <v>228</v>
      </c>
      <c r="J1145" s="188" t="s">
        <v>624</v>
      </c>
      <c r="K1145" s="188" t="s">
        <v>338</v>
      </c>
      <c r="L1145" s="188" t="s">
        <v>1808</v>
      </c>
      <c r="M1145" s="192">
        <f t="shared" si="51"/>
        <v>38</v>
      </c>
      <c r="N1145" s="193">
        <f t="shared" si="52"/>
        <v>0.87769736842105273</v>
      </c>
      <c r="O1145" s="194">
        <f t="shared" si="53"/>
        <v>2.3097299168975072E-2</v>
      </c>
    </row>
    <row r="1146" spans="1:15" ht="12.75" customHeight="1">
      <c r="A1146" s="188" t="s">
        <v>620</v>
      </c>
      <c r="B1146" s="188" t="s">
        <v>1394</v>
      </c>
      <c r="C1146" s="188" t="s">
        <v>641</v>
      </c>
      <c r="D1146" s="188" t="s">
        <v>2332</v>
      </c>
      <c r="E1146" s="189">
        <v>39261</v>
      </c>
      <c r="F1146" s="190">
        <v>0</v>
      </c>
      <c r="G1146" s="190">
        <v>108.16</v>
      </c>
      <c r="H1146" s="191">
        <v>742.92</v>
      </c>
      <c r="I1146" s="191">
        <v>422.5</v>
      </c>
      <c r="J1146" s="188" t="s">
        <v>667</v>
      </c>
      <c r="K1146" s="188" t="s">
        <v>338</v>
      </c>
      <c r="L1146" s="188" t="s">
        <v>2333</v>
      </c>
      <c r="M1146" s="192">
        <f t="shared" si="51"/>
        <v>19</v>
      </c>
      <c r="N1146" s="193">
        <f t="shared" si="52"/>
        <v>0.43959763313609462</v>
      </c>
      <c r="O1146" s="194">
        <f t="shared" si="53"/>
        <v>2.3136717533478665E-2</v>
      </c>
    </row>
    <row r="1147" spans="1:15" ht="12.75" customHeight="1">
      <c r="A1147" s="188" t="s">
        <v>620</v>
      </c>
      <c r="B1147" s="188" t="s">
        <v>1394</v>
      </c>
      <c r="C1147" s="188" t="s">
        <v>641</v>
      </c>
      <c r="D1147" s="188" t="s">
        <v>2334</v>
      </c>
      <c r="E1147" s="189">
        <v>39422</v>
      </c>
      <c r="F1147" s="190">
        <v>0</v>
      </c>
      <c r="G1147" s="190">
        <v>102.4</v>
      </c>
      <c r="H1147" s="191">
        <v>1000</v>
      </c>
      <c r="I1147" s="191">
        <v>400</v>
      </c>
      <c r="J1147" s="188" t="s">
        <v>639</v>
      </c>
      <c r="K1147" s="188" t="s">
        <v>338</v>
      </c>
      <c r="L1147" s="188" t="s">
        <v>625</v>
      </c>
      <c r="M1147" s="192">
        <f t="shared" si="51"/>
        <v>27</v>
      </c>
      <c r="N1147" s="193">
        <f t="shared" si="52"/>
        <v>0.625</v>
      </c>
      <c r="O1147" s="194">
        <f t="shared" si="53"/>
        <v>2.3148148148148147E-2</v>
      </c>
    </row>
    <row r="1148" spans="1:15" ht="12.75" customHeight="1">
      <c r="A1148" s="188" t="s">
        <v>620</v>
      </c>
      <c r="B1148" s="188" t="s">
        <v>1394</v>
      </c>
      <c r="C1148" s="188" t="s">
        <v>641</v>
      </c>
      <c r="D1148" s="188" t="s">
        <v>2335</v>
      </c>
      <c r="E1148" s="189">
        <v>39269</v>
      </c>
      <c r="F1148" s="190">
        <v>0</v>
      </c>
      <c r="G1148" s="190">
        <v>78.459999999999994</v>
      </c>
      <c r="H1148" s="191">
        <v>910.06</v>
      </c>
      <c r="I1148" s="191">
        <v>306.5</v>
      </c>
      <c r="J1148" s="188" t="s">
        <v>353</v>
      </c>
      <c r="K1148" s="188" t="s">
        <v>338</v>
      </c>
      <c r="L1148" s="188" t="s">
        <v>2336</v>
      </c>
      <c r="M1148" s="192">
        <f t="shared" si="51"/>
        <v>32</v>
      </c>
      <c r="N1148" s="193">
        <f t="shared" si="52"/>
        <v>0.74230016313213698</v>
      </c>
      <c r="O1148" s="194">
        <f t="shared" si="53"/>
        <v>2.3196880097879281E-2</v>
      </c>
    </row>
    <row r="1149" spans="1:15" ht="12.75" customHeight="1">
      <c r="A1149" s="188" t="s">
        <v>620</v>
      </c>
      <c r="B1149" s="188" t="s">
        <v>1394</v>
      </c>
      <c r="C1149" s="188" t="s">
        <v>641</v>
      </c>
      <c r="D1149" s="188" t="s">
        <v>2337</v>
      </c>
      <c r="E1149" s="189">
        <v>39541</v>
      </c>
      <c r="F1149" s="190">
        <v>0</v>
      </c>
      <c r="G1149" s="190">
        <v>87.42</v>
      </c>
      <c r="H1149" s="191">
        <v>604</v>
      </c>
      <c r="I1149" s="191">
        <v>341.5</v>
      </c>
      <c r="J1149" s="188" t="s">
        <v>667</v>
      </c>
      <c r="K1149" s="188" t="s">
        <v>338</v>
      </c>
      <c r="L1149" s="188" t="s">
        <v>961</v>
      </c>
      <c r="M1149" s="192">
        <f t="shared" si="51"/>
        <v>19</v>
      </c>
      <c r="N1149" s="193">
        <f t="shared" si="52"/>
        <v>0.44216691068814057</v>
      </c>
      <c r="O1149" s="194">
        <f t="shared" si="53"/>
        <v>2.3271942667796874E-2</v>
      </c>
    </row>
    <row r="1150" spans="1:15" ht="12.75" customHeight="1">
      <c r="A1150" s="188" t="s">
        <v>620</v>
      </c>
      <c r="B1150" s="188" t="s">
        <v>1394</v>
      </c>
      <c r="C1150" s="188" t="s">
        <v>641</v>
      </c>
      <c r="D1150" s="188" t="s">
        <v>2338</v>
      </c>
      <c r="E1150" s="189">
        <v>39269</v>
      </c>
      <c r="F1150" s="190">
        <v>0</v>
      </c>
      <c r="G1150" s="190">
        <v>96</v>
      </c>
      <c r="H1150" s="191">
        <v>1050</v>
      </c>
      <c r="I1150" s="191">
        <v>375</v>
      </c>
      <c r="J1150" s="188" t="s">
        <v>635</v>
      </c>
      <c r="K1150" s="188" t="s">
        <v>338</v>
      </c>
      <c r="L1150" s="188" t="s">
        <v>746</v>
      </c>
      <c r="M1150" s="192">
        <f t="shared" si="51"/>
        <v>30</v>
      </c>
      <c r="N1150" s="193">
        <f t="shared" si="52"/>
        <v>0.7</v>
      </c>
      <c r="O1150" s="194">
        <f t="shared" si="53"/>
        <v>2.3333333333333331E-2</v>
      </c>
    </row>
    <row r="1151" spans="1:15" ht="12.75" customHeight="1">
      <c r="A1151" s="188" t="s">
        <v>620</v>
      </c>
      <c r="B1151" s="188" t="s">
        <v>1394</v>
      </c>
      <c r="C1151" s="188" t="s">
        <v>641</v>
      </c>
      <c r="D1151" s="188" t="s">
        <v>2339</v>
      </c>
      <c r="E1151" s="189">
        <v>39429</v>
      </c>
      <c r="F1151" s="190">
        <v>0</v>
      </c>
      <c r="G1151" s="190">
        <v>117.76</v>
      </c>
      <c r="H1151" s="191">
        <v>1288</v>
      </c>
      <c r="I1151" s="191">
        <v>460</v>
      </c>
      <c r="J1151" s="188" t="s">
        <v>635</v>
      </c>
      <c r="K1151" s="188" t="s">
        <v>338</v>
      </c>
      <c r="L1151" s="188" t="s">
        <v>2069</v>
      </c>
      <c r="M1151" s="192">
        <f t="shared" si="51"/>
        <v>30</v>
      </c>
      <c r="N1151" s="193">
        <f t="shared" si="52"/>
        <v>0.7</v>
      </c>
      <c r="O1151" s="194">
        <f t="shared" si="53"/>
        <v>2.3333333333333331E-2</v>
      </c>
    </row>
    <row r="1152" spans="1:15" ht="12.75" customHeight="1">
      <c r="A1152" s="188" t="s">
        <v>620</v>
      </c>
      <c r="B1152" s="188" t="s">
        <v>1394</v>
      </c>
      <c r="C1152" s="188" t="s">
        <v>641</v>
      </c>
      <c r="D1152" s="188" t="s">
        <v>2340</v>
      </c>
      <c r="E1152" s="189">
        <v>39513</v>
      </c>
      <c r="F1152" s="190">
        <v>0</v>
      </c>
      <c r="G1152" s="190">
        <v>89.6</v>
      </c>
      <c r="H1152" s="191">
        <v>980</v>
      </c>
      <c r="I1152" s="191">
        <v>350</v>
      </c>
      <c r="J1152" s="188" t="s">
        <v>635</v>
      </c>
      <c r="K1152" s="188" t="s">
        <v>338</v>
      </c>
      <c r="L1152" s="188" t="s">
        <v>754</v>
      </c>
      <c r="M1152" s="192">
        <f t="shared" si="51"/>
        <v>30</v>
      </c>
      <c r="N1152" s="193">
        <f t="shared" si="52"/>
        <v>0.7</v>
      </c>
      <c r="O1152" s="194">
        <f t="shared" si="53"/>
        <v>2.3333333333333331E-2</v>
      </c>
    </row>
    <row r="1153" spans="1:15" ht="12.75" customHeight="1">
      <c r="A1153" s="188" t="s">
        <v>620</v>
      </c>
      <c r="B1153" s="188" t="s">
        <v>1394</v>
      </c>
      <c r="C1153" s="188" t="s">
        <v>641</v>
      </c>
      <c r="D1153" s="188" t="s">
        <v>2341</v>
      </c>
      <c r="E1153" s="189">
        <v>39576</v>
      </c>
      <c r="F1153" s="190">
        <v>0</v>
      </c>
      <c r="G1153" s="190">
        <v>128</v>
      </c>
      <c r="H1153" s="191">
        <v>1260</v>
      </c>
      <c r="I1153" s="191">
        <v>500</v>
      </c>
      <c r="J1153" s="188" t="s">
        <v>639</v>
      </c>
      <c r="K1153" s="188" t="s">
        <v>338</v>
      </c>
      <c r="L1153" s="188" t="s">
        <v>756</v>
      </c>
      <c r="M1153" s="192">
        <f t="shared" si="51"/>
        <v>27</v>
      </c>
      <c r="N1153" s="193">
        <f t="shared" si="52"/>
        <v>0.63</v>
      </c>
      <c r="O1153" s="194">
        <f t="shared" si="53"/>
        <v>2.3333333333333334E-2</v>
      </c>
    </row>
    <row r="1154" spans="1:15" ht="12.75" customHeight="1">
      <c r="A1154" s="188" t="s">
        <v>620</v>
      </c>
      <c r="B1154" s="188" t="s">
        <v>1394</v>
      </c>
      <c r="C1154" s="188" t="s">
        <v>641</v>
      </c>
      <c r="D1154" s="188" t="s">
        <v>2342</v>
      </c>
      <c r="E1154" s="189">
        <v>39240</v>
      </c>
      <c r="F1154" s="190">
        <v>0</v>
      </c>
      <c r="G1154" s="190">
        <v>69.12</v>
      </c>
      <c r="H1154" s="191">
        <v>957.96</v>
      </c>
      <c r="I1154" s="191">
        <v>270</v>
      </c>
      <c r="J1154" s="188" t="s">
        <v>624</v>
      </c>
      <c r="K1154" s="188" t="s">
        <v>338</v>
      </c>
      <c r="L1154" s="188" t="s">
        <v>817</v>
      </c>
      <c r="M1154" s="192">
        <f t="shared" ref="M1154:M1217" si="54">K1154-J1154</f>
        <v>38</v>
      </c>
      <c r="N1154" s="193">
        <f t="shared" ref="N1154:N1217" si="55">H1154/L1154</f>
        <v>0.88700000000000001</v>
      </c>
      <c r="O1154" s="194">
        <f t="shared" ref="O1154:O1217" si="56">N1154/M1154</f>
        <v>2.3342105263157897E-2</v>
      </c>
    </row>
    <row r="1155" spans="1:15" ht="12.75" customHeight="1">
      <c r="A1155" s="188" t="s">
        <v>620</v>
      </c>
      <c r="B1155" s="188" t="s">
        <v>1394</v>
      </c>
      <c r="C1155" s="188" t="s">
        <v>641</v>
      </c>
      <c r="D1155" s="188" t="s">
        <v>2343</v>
      </c>
      <c r="E1155" s="189">
        <v>39590</v>
      </c>
      <c r="F1155" s="190">
        <v>0</v>
      </c>
      <c r="G1155" s="190">
        <v>90.88</v>
      </c>
      <c r="H1155" s="191">
        <v>995</v>
      </c>
      <c r="I1155" s="191">
        <v>355</v>
      </c>
      <c r="J1155" s="188" t="s">
        <v>635</v>
      </c>
      <c r="K1155" s="188" t="s">
        <v>338</v>
      </c>
      <c r="L1155" s="188" t="s">
        <v>2301</v>
      </c>
      <c r="M1155" s="192">
        <f t="shared" si="54"/>
        <v>30</v>
      </c>
      <c r="N1155" s="193">
        <f t="shared" si="55"/>
        <v>0.70070422535211263</v>
      </c>
      <c r="O1155" s="194">
        <f t="shared" si="56"/>
        <v>2.3356807511737087E-2</v>
      </c>
    </row>
    <row r="1156" spans="1:15" ht="12.75" customHeight="1">
      <c r="A1156" s="188" t="s">
        <v>620</v>
      </c>
      <c r="B1156" s="188" t="s">
        <v>1394</v>
      </c>
      <c r="C1156" s="188" t="s">
        <v>641</v>
      </c>
      <c r="D1156" s="188" t="s">
        <v>2344</v>
      </c>
      <c r="E1156" s="189">
        <v>39345</v>
      </c>
      <c r="F1156" s="190">
        <v>0</v>
      </c>
      <c r="G1156" s="190">
        <v>81.150000000000006</v>
      </c>
      <c r="H1156" s="191">
        <v>799.98</v>
      </c>
      <c r="I1156" s="191">
        <v>317</v>
      </c>
      <c r="J1156" s="188" t="s">
        <v>639</v>
      </c>
      <c r="K1156" s="188" t="s">
        <v>338</v>
      </c>
      <c r="L1156" s="188" t="s">
        <v>999</v>
      </c>
      <c r="M1156" s="192">
        <f t="shared" si="54"/>
        <v>27</v>
      </c>
      <c r="N1156" s="193">
        <f t="shared" si="55"/>
        <v>0.63089905362776022</v>
      </c>
      <c r="O1156" s="194">
        <f t="shared" si="56"/>
        <v>2.3366631615842973E-2</v>
      </c>
    </row>
    <row r="1157" spans="1:15" ht="12.75" customHeight="1">
      <c r="A1157" s="188" t="s">
        <v>620</v>
      </c>
      <c r="B1157" s="188" t="s">
        <v>1394</v>
      </c>
      <c r="C1157" s="188" t="s">
        <v>641</v>
      </c>
      <c r="D1157" s="188" t="s">
        <v>2345</v>
      </c>
      <c r="E1157" s="189">
        <v>39513</v>
      </c>
      <c r="F1157" s="190">
        <v>0</v>
      </c>
      <c r="G1157" s="190">
        <v>80.64</v>
      </c>
      <c r="H1157" s="191">
        <v>1120</v>
      </c>
      <c r="I1157" s="191">
        <v>315</v>
      </c>
      <c r="J1157" s="188" t="s">
        <v>624</v>
      </c>
      <c r="K1157" s="188" t="s">
        <v>338</v>
      </c>
      <c r="L1157" s="188" t="s">
        <v>680</v>
      </c>
      <c r="M1157" s="192">
        <f t="shared" si="54"/>
        <v>38</v>
      </c>
      <c r="N1157" s="193">
        <f t="shared" si="55"/>
        <v>0.88888888888888884</v>
      </c>
      <c r="O1157" s="194">
        <f t="shared" si="56"/>
        <v>2.3391812865497075E-2</v>
      </c>
    </row>
    <row r="1158" spans="1:15" ht="12.75" customHeight="1">
      <c r="A1158" s="188" t="s">
        <v>620</v>
      </c>
      <c r="B1158" s="188" t="s">
        <v>1394</v>
      </c>
      <c r="C1158" s="188" t="s">
        <v>641</v>
      </c>
      <c r="D1158" s="188" t="s">
        <v>2346</v>
      </c>
      <c r="E1158" s="189">
        <v>39464</v>
      </c>
      <c r="F1158" s="190">
        <v>0</v>
      </c>
      <c r="G1158" s="190">
        <v>72.959999999999994</v>
      </c>
      <c r="H1158" s="191">
        <v>774</v>
      </c>
      <c r="I1158" s="191">
        <v>285</v>
      </c>
      <c r="J1158" s="188" t="s">
        <v>715</v>
      </c>
      <c r="K1158" s="188" t="s">
        <v>338</v>
      </c>
      <c r="L1158" s="188" t="s">
        <v>2347</v>
      </c>
      <c r="M1158" s="192">
        <f t="shared" si="54"/>
        <v>29</v>
      </c>
      <c r="N1158" s="193">
        <f t="shared" si="55"/>
        <v>0.67894736842105263</v>
      </c>
      <c r="O1158" s="194">
        <f t="shared" si="56"/>
        <v>2.3411978221415608E-2</v>
      </c>
    </row>
    <row r="1159" spans="1:15" ht="12.75" customHeight="1">
      <c r="A1159" s="188" t="s">
        <v>620</v>
      </c>
      <c r="B1159" s="188" t="s">
        <v>1394</v>
      </c>
      <c r="C1159" s="188" t="s">
        <v>641</v>
      </c>
      <c r="D1159" s="188" t="s">
        <v>2348</v>
      </c>
      <c r="E1159" s="189">
        <v>39269</v>
      </c>
      <c r="F1159" s="190">
        <v>0</v>
      </c>
      <c r="G1159" s="190">
        <v>99.71</v>
      </c>
      <c r="H1159" s="191">
        <v>838.98</v>
      </c>
      <c r="I1159" s="191">
        <v>389.5</v>
      </c>
      <c r="J1159" s="188" t="s">
        <v>571</v>
      </c>
      <c r="K1159" s="188" t="s">
        <v>338</v>
      </c>
      <c r="L1159" s="188" t="s">
        <v>2349</v>
      </c>
      <c r="M1159" s="192">
        <f t="shared" si="54"/>
        <v>23</v>
      </c>
      <c r="N1159" s="193">
        <f t="shared" si="55"/>
        <v>0.53849807445442877</v>
      </c>
      <c r="O1159" s="194">
        <f t="shared" si="56"/>
        <v>2.3412959758888206E-2</v>
      </c>
    </row>
    <row r="1160" spans="1:15" ht="12.75" customHeight="1">
      <c r="A1160" s="188" t="s">
        <v>620</v>
      </c>
      <c r="B1160" s="188" t="s">
        <v>1394</v>
      </c>
      <c r="C1160" s="188" t="s">
        <v>641</v>
      </c>
      <c r="D1160" s="188" t="s">
        <v>2350</v>
      </c>
      <c r="E1160" s="189">
        <v>39395</v>
      </c>
      <c r="F1160" s="190">
        <v>0</v>
      </c>
      <c r="G1160" s="190">
        <v>102.4</v>
      </c>
      <c r="H1160" s="191">
        <v>937</v>
      </c>
      <c r="I1160" s="191">
        <v>400</v>
      </c>
      <c r="J1160" s="188" t="s">
        <v>652</v>
      </c>
      <c r="K1160" s="188" t="s">
        <v>338</v>
      </c>
      <c r="L1160" s="188" t="s">
        <v>625</v>
      </c>
      <c r="M1160" s="192">
        <f t="shared" si="54"/>
        <v>25</v>
      </c>
      <c r="N1160" s="193">
        <f t="shared" si="55"/>
        <v>0.58562499999999995</v>
      </c>
      <c r="O1160" s="194">
        <f t="shared" si="56"/>
        <v>2.3424999999999998E-2</v>
      </c>
    </row>
    <row r="1161" spans="1:15" ht="12.75" customHeight="1">
      <c r="A1161" s="188" t="s">
        <v>620</v>
      </c>
      <c r="B1161" s="188" t="s">
        <v>1394</v>
      </c>
      <c r="C1161" s="188" t="s">
        <v>641</v>
      </c>
      <c r="D1161" s="188" t="s">
        <v>2351</v>
      </c>
      <c r="E1161" s="189">
        <v>39485</v>
      </c>
      <c r="F1161" s="190">
        <v>0</v>
      </c>
      <c r="G1161" s="190">
        <v>92.42</v>
      </c>
      <c r="H1161" s="191">
        <v>779</v>
      </c>
      <c r="I1161" s="191">
        <v>361</v>
      </c>
      <c r="J1161" s="188" t="s">
        <v>571</v>
      </c>
      <c r="K1161" s="188" t="s">
        <v>338</v>
      </c>
      <c r="L1161" s="188" t="s">
        <v>2352</v>
      </c>
      <c r="M1161" s="192">
        <f t="shared" si="54"/>
        <v>23</v>
      </c>
      <c r="N1161" s="193">
        <f t="shared" si="55"/>
        <v>0.53947368421052633</v>
      </c>
      <c r="O1161" s="194">
        <f t="shared" si="56"/>
        <v>2.345537757437071E-2</v>
      </c>
    </row>
    <row r="1162" spans="1:15" ht="12.75" customHeight="1">
      <c r="A1162" s="188" t="s">
        <v>620</v>
      </c>
      <c r="B1162" s="188" t="s">
        <v>1394</v>
      </c>
      <c r="C1162" s="188" t="s">
        <v>641</v>
      </c>
      <c r="D1162" s="188" t="s">
        <v>2353</v>
      </c>
      <c r="E1162" s="189">
        <v>39639</v>
      </c>
      <c r="F1162" s="190">
        <v>0</v>
      </c>
      <c r="G1162" s="190">
        <v>79.099999999999994</v>
      </c>
      <c r="H1162" s="191">
        <v>899.58</v>
      </c>
      <c r="I1162" s="191">
        <v>309</v>
      </c>
      <c r="J1162" s="188" t="s">
        <v>503</v>
      </c>
      <c r="K1162" s="188" t="s">
        <v>338</v>
      </c>
      <c r="L1162" s="188" t="s">
        <v>2354</v>
      </c>
      <c r="M1162" s="192">
        <f t="shared" si="54"/>
        <v>31</v>
      </c>
      <c r="N1162" s="193">
        <f t="shared" si="55"/>
        <v>0.72781553398058252</v>
      </c>
      <c r="O1162" s="194">
        <f t="shared" si="56"/>
        <v>2.3477920450986532E-2</v>
      </c>
    </row>
    <row r="1163" spans="1:15" ht="12.75" customHeight="1">
      <c r="A1163" s="188" t="s">
        <v>620</v>
      </c>
      <c r="B1163" s="188" t="s">
        <v>1394</v>
      </c>
      <c r="C1163" s="188" t="s">
        <v>641</v>
      </c>
      <c r="D1163" s="188" t="s">
        <v>2355</v>
      </c>
      <c r="E1163" s="189">
        <v>39555</v>
      </c>
      <c r="F1163" s="190">
        <v>0</v>
      </c>
      <c r="G1163" s="190">
        <v>89.6</v>
      </c>
      <c r="H1163" s="191">
        <v>625</v>
      </c>
      <c r="I1163" s="191">
        <v>350</v>
      </c>
      <c r="J1163" s="188" t="s">
        <v>667</v>
      </c>
      <c r="K1163" s="188" t="s">
        <v>338</v>
      </c>
      <c r="L1163" s="188" t="s">
        <v>754</v>
      </c>
      <c r="M1163" s="192">
        <f t="shared" si="54"/>
        <v>19</v>
      </c>
      <c r="N1163" s="193">
        <f t="shared" si="55"/>
        <v>0.44642857142857145</v>
      </c>
      <c r="O1163" s="194">
        <f t="shared" si="56"/>
        <v>2.3496240601503762E-2</v>
      </c>
    </row>
    <row r="1164" spans="1:15" ht="12.75" customHeight="1">
      <c r="A1164" s="188" t="s">
        <v>620</v>
      </c>
      <c r="B1164" s="188" t="s">
        <v>1394</v>
      </c>
      <c r="C1164" s="188" t="s">
        <v>641</v>
      </c>
      <c r="D1164" s="188" t="s">
        <v>2356</v>
      </c>
      <c r="E1164" s="189">
        <v>39387</v>
      </c>
      <c r="F1164" s="190">
        <v>0</v>
      </c>
      <c r="G1164" s="190">
        <v>66.180000000000007</v>
      </c>
      <c r="H1164" s="191">
        <v>656</v>
      </c>
      <c r="I1164" s="191">
        <v>258.5</v>
      </c>
      <c r="J1164" s="188" t="s">
        <v>639</v>
      </c>
      <c r="K1164" s="188" t="s">
        <v>338</v>
      </c>
      <c r="L1164" s="188" t="s">
        <v>1881</v>
      </c>
      <c r="M1164" s="192">
        <f t="shared" si="54"/>
        <v>27</v>
      </c>
      <c r="N1164" s="193">
        <f t="shared" si="55"/>
        <v>0.63442940038684714</v>
      </c>
      <c r="O1164" s="194">
        <f t="shared" si="56"/>
        <v>2.3497385199512857E-2</v>
      </c>
    </row>
    <row r="1165" spans="1:15" ht="12.75" customHeight="1">
      <c r="A1165" s="188" t="s">
        <v>620</v>
      </c>
      <c r="B1165" s="188" t="s">
        <v>1394</v>
      </c>
      <c r="C1165" s="188" t="s">
        <v>641</v>
      </c>
      <c r="D1165" s="188" t="s">
        <v>2357</v>
      </c>
      <c r="E1165" s="189">
        <v>39310</v>
      </c>
      <c r="F1165" s="190">
        <v>0</v>
      </c>
      <c r="G1165" s="190">
        <v>99.2</v>
      </c>
      <c r="H1165" s="191">
        <v>1204.97</v>
      </c>
      <c r="I1165" s="191">
        <v>387.5</v>
      </c>
      <c r="J1165" s="188" t="s">
        <v>742</v>
      </c>
      <c r="K1165" s="188" t="s">
        <v>338</v>
      </c>
      <c r="L1165" s="188" t="s">
        <v>1474</v>
      </c>
      <c r="M1165" s="192">
        <f t="shared" si="54"/>
        <v>33</v>
      </c>
      <c r="N1165" s="193">
        <f t="shared" si="55"/>
        <v>0.77739999999999998</v>
      </c>
      <c r="O1165" s="194">
        <f t="shared" si="56"/>
        <v>2.3557575757575756E-2</v>
      </c>
    </row>
    <row r="1166" spans="1:15" ht="12.75" customHeight="1">
      <c r="A1166" s="188" t="s">
        <v>620</v>
      </c>
      <c r="B1166" s="188" t="s">
        <v>1394</v>
      </c>
      <c r="C1166" s="188" t="s">
        <v>641</v>
      </c>
      <c r="D1166" s="188" t="s">
        <v>2358</v>
      </c>
      <c r="E1166" s="189">
        <v>39401</v>
      </c>
      <c r="F1166" s="190">
        <v>0</v>
      </c>
      <c r="G1166" s="190">
        <v>53.76</v>
      </c>
      <c r="H1166" s="191">
        <v>376</v>
      </c>
      <c r="I1166" s="191">
        <v>210</v>
      </c>
      <c r="J1166" s="188" t="s">
        <v>667</v>
      </c>
      <c r="K1166" s="188" t="s">
        <v>338</v>
      </c>
      <c r="L1166" s="188" t="s">
        <v>906</v>
      </c>
      <c r="M1166" s="192">
        <f t="shared" si="54"/>
        <v>19</v>
      </c>
      <c r="N1166" s="193">
        <f t="shared" si="55"/>
        <v>0.44761904761904764</v>
      </c>
      <c r="O1166" s="194">
        <f t="shared" si="56"/>
        <v>2.3558897243107769E-2</v>
      </c>
    </row>
    <row r="1167" spans="1:15" ht="12.75" customHeight="1">
      <c r="A1167" s="188" t="s">
        <v>620</v>
      </c>
      <c r="B1167" s="188" t="s">
        <v>1394</v>
      </c>
      <c r="C1167" s="188" t="s">
        <v>641</v>
      </c>
      <c r="D1167" s="188" t="s">
        <v>2359</v>
      </c>
      <c r="E1167" s="189">
        <v>39507</v>
      </c>
      <c r="F1167" s="190">
        <v>0</v>
      </c>
      <c r="G1167" s="190">
        <v>153.91999999999999</v>
      </c>
      <c r="H1167" s="191">
        <v>1077</v>
      </c>
      <c r="I1167" s="191">
        <v>601.25</v>
      </c>
      <c r="J1167" s="188" t="s">
        <v>667</v>
      </c>
      <c r="K1167" s="188" t="s">
        <v>338</v>
      </c>
      <c r="L1167" s="188" t="s">
        <v>2360</v>
      </c>
      <c r="M1167" s="192">
        <f t="shared" si="54"/>
        <v>19</v>
      </c>
      <c r="N1167" s="193">
        <f t="shared" si="55"/>
        <v>0.44781704781704784</v>
      </c>
      <c r="O1167" s="194">
        <f t="shared" si="56"/>
        <v>2.3569318306160412E-2</v>
      </c>
    </row>
    <row r="1168" spans="1:15" ht="12.75" customHeight="1">
      <c r="A1168" s="188" t="s">
        <v>620</v>
      </c>
      <c r="B1168" s="188" t="s">
        <v>1394</v>
      </c>
      <c r="C1168" s="188" t="s">
        <v>641</v>
      </c>
      <c r="D1168" s="188" t="s">
        <v>2361</v>
      </c>
      <c r="E1168" s="189">
        <v>39583</v>
      </c>
      <c r="F1168" s="190">
        <v>0</v>
      </c>
      <c r="G1168" s="190">
        <v>53.12</v>
      </c>
      <c r="H1168" s="191">
        <v>450</v>
      </c>
      <c r="I1168" s="191">
        <v>207.5</v>
      </c>
      <c r="J1168" s="188" t="s">
        <v>571</v>
      </c>
      <c r="K1168" s="188" t="s">
        <v>338</v>
      </c>
      <c r="L1168" s="188" t="s">
        <v>1157</v>
      </c>
      <c r="M1168" s="192">
        <f t="shared" si="54"/>
        <v>23</v>
      </c>
      <c r="N1168" s="193">
        <f t="shared" si="55"/>
        <v>0.54216867469879515</v>
      </c>
      <c r="O1168" s="194">
        <f t="shared" si="56"/>
        <v>2.3572551073860658E-2</v>
      </c>
    </row>
    <row r="1169" spans="1:15" ht="12.75" customHeight="1">
      <c r="A1169" s="188" t="s">
        <v>620</v>
      </c>
      <c r="B1169" s="188" t="s">
        <v>1394</v>
      </c>
      <c r="C1169" s="188" t="s">
        <v>641</v>
      </c>
      <c r="D1169" s="188" t="s">
        <v>2362</v>
      </c>
      <c r="E1169" s="189">
        <v>39219</v>
      </c>
      <c r="F1169" s="190">
        <v>0</v>
      </c>
      <c r="G1169" s="190">
        <v>53.76</v>
      </c>
      <c r="H1169" s="191">
        <v>495.6</v>
      </c>
      <c r="I1169" s="191">
        <v>210</v>
      </c>
      <c r="J1169" s="188" t="s">
        <v>652</v>
      </c>
      <c r="K1169" s="188" t="s">
        <v>338</v>
      </c>
      <c r="L1169" s="188" t="s">
        <v>906</v>
      </c>
      <c r="M1169" s="192">
        <f t="shared" si="54"/>
        <v>25</v>
      </c>
      <c r="N1169" s="193">
        <f t="shared" si="55"/>
        <v>0.59000000000000008</v>
      </c>
      <c r="O1169" s="194">
        <f t="shared" si="56"/>
        <v>2.3600000000000003E-2</v>
      </c>
    </row>
    <row r="1170" spans="1:15" ht="12.75" customHeight="1">
      <c r="A1170" s="188" t="s">
        <v>620</v>
      </c>
      <c r="B1170" s="188" t="s">
        <v>1394</v>
      </c>
      <c r="C1170" s="188" t="s">
        <v>641</v>
      </c>
      <c r="D1170" s="188" t="s">
        <v>2363</v>
      </c>
      <c r="E1170" s="189">
        <v>39436</v>
      </c>
      <c r="F1170" s="190">
        <v>0</v>
      </c>
      <c r="G1170" s="190">
        <v>104.45</v>
      </c>
      <c r="H1170" s="191">
        <v>810</v>
      </c>
      <c r="I1170" s="191">
        <v>408</v>
      </c>
      <c r="J1170" s="188" t="s">
        <v>879</v>
      </c>
      <c r="K1170" s="188" t="s">
        <v>338</v>
      </c>
      <c r="L1170" s="188" t="s">
        <v>1732</v>
      </c>
      <c r="M1170" s="192">
        <f t="shared" si="54"/>
        <v>21</v>
      </c>
      <c r="N1170" s="193">
        <f t="shared" si="55"/>
        <v>0.49632352941176472</v>
      </c>
      <c r="O1170" s="194">
        <f t="shared" si="56"/>
        <v>2.3634453781512604E-2</v>
      </c>
    </row>
    <row r="1171" spans="1:15" ht="12.75" customHeight="1">
      <c r="A1171" s="188" t="s">
        <v>620</v>
      </c>
      <c r="B1171" s="188" t="s">
        <v>1394</v>
      </c>
      <c r="C1171" s="188" t="s">
        <v>641</v>
      </c>
      <c r="D1171" s="188" t="s">
        <v>2364</v>
      </c>
      <c r="E1171" s="189">
        <v>39576</v>
      </c>
      <c r="F1171" s="190">
        <v>0</v>
      </c>
      <c r="G1171" s="190">
        <v>112.51</v>
      </c>
      <c r="H1171" s="191">
        <v>831</v>
      </c>
      <c r="I1171" s="191">
        <v>439.5</v>
      </c>
      <c r="J1171" s="188" t="s">
        <v>560</v>
      </c>
      <c r="K1171" s="188" t="s">
        <v>338</v>
      </c>
      <c r="L1171" s="188" t="s">
        <v>2365</v>
      </c>
      <c r="M1171" s="192">
        <f t="shared" si="54"/>
        <v>20</v>
      </c>
      <c r="N1171" s="193">
        <f t="shared" si="55"/>
        <v>0.47269624573378838</v>
      </c>
      <c r="O1171" s="194">
        <f t="shared" si="56"/>
        <v>2.363481228668942E-2</v>
      </c>
    </row>
    <row r="1172" spans="1:15" ht="12.75" customHeight="1">
      <c r="A1172" s="188" t="s">
        <v>620</v>
      </c>
      <c r="B1172" s="188" t="s">
        <v>1394</v>
      </c>
      <c r="C1172" s="188" t="s">
        <v>641</v>
      </c>
      <c r="D1172" s="188" t="s">
        <v>2366</v>
      </c>
      <c r="E1172" s="189">
        <v>39282</v>
      </c>
      <c r="F1172" s="190">
        <v>0</v>
      </c>
      <c r="G1172" s="190">
        <v>106.88</v>
      </c>
      <c r="H1172" s="191">
        <v>1185.03</v>
      </c>
      <c r="I1172" s="191">
        <v>417.5</v>
      </c>
      <c r="J1172" s="188" t="s">
        <v>635</v>
      </c>
      <c r="K1172" s="188" t="s">
        <v>338</v>
      </c>
      <c r="L1172" s="188" t="s">
        <v>1015</v>
      </c>
      <c r="M1172" s="192">
        <f t="shared" si="54"/>
        <v>30</v>
      </c>
      <c r="N1172" s="193">
        <f t="shared" si="55"/>
        <v>0.70959880239520956</v>
      </c>
      <c r="O1172" s="194">
        <f t="shared" si="56"/>
        <v>2.365329341317365E-2</v>
      </c>
    </row>
    <row r="1173" spans="1:15" ht="12.75" customHeight="1">
      <c r="A1173" s="188" t="s">
        <v>620</v>
      </c>
      <c r="B1173" s="188" t="s">
        <v>1394</v>
      </c>
      <c r="C1173" s="188" t="s">
        <v>641</v>
      </c>
      <c r="D1173" s="188" t="s">
        <v>2367</v>
      </c>
      <c r="E1173" s="189">
        <v>39576</v>
      </c>
      <c r="F1173" s="190">
        <v>0</v>
      </c>
      <c r="G1173" s="190">
        <v>112.64</v>
      </c>
      <c r="H1173" s="191">
        <v>1087.23</v>
      </c>
      <c r="I1173" s="191">
        <v>440</v>
      </c>
      <c r="J1173" s="188" t="s">
        <v>361</v>
      </c>
      <c r="K1173" s="188" t="s">
        <v>338</v>
      </c>
      <c r="L1173" s="188" t="s">
        <v>1496</v>
      </c>
      <c r="M1173" s="192">
        <f t="shared" si="54"/>
        <v>26</v>
      </c>
      <c r="N1173" s="193">
        <f t="shared" si="55"/>
        <v>0.61774431818181819</v>
      </c>
      <c r="O1173" s="194">
        <f t="shared" si="56"/>
        <v>2.3759396853146854E-2</v>
      </c>
    </row>
    <row r="1174" spans="1:15" ht="12.75" customHeight="1">
      <c r="A1174" s="188" t="s">
        <v>620</v>
      </c>
      <c r="B1174" s="188" t="s">
        <v>1394</v>
      </c>
      <c r="C1174" s="188" t="s">
        <v>641</v>
      </c>
      <c r="D1174" s="188" t="s">
        <v>2368</v>
      </c>
      <c r="E1174" s="189">
        <v>39345</v>
      </c>
      <c r="F1174" s="190">
        <v>0</v>
      </c>
      <c r="G1174" s="190">
        <v>102.4</v>
      </c>
      <c r="H1174" s="191">
        <v>800</v>
      </c>
      <c r="I1174" s="191">
        <v>400</v>
      </c>
      <c r="J1174" s="188" t="s">
        <v>879</v>
      </c>
      <c r="K1174" s="188" t="s">
        <v>338</v>
      </c>
      <c r="L1174" s="188" t="s">
        <v>625</v>
      </c>
      <c r="M1174" s="192">
        <f t="shared" si="54"/>
        <v>21</v>
      </c>
      <c r="N1174" s="193">
        <f t="shared" si="55"/>
        <v>0.5</v>
      </c>
      <c r="O1174" s="194">
        <f t="shared" si="56"/>
        <v>2.3809523809523808E-2</v>
      </c>
    </row>
    <row r="1175" spans="1:15" ht="12.75" customHeight="1">
      <c r="A1175" s="188" t="s">
        <v>620</v>
      </c>
      <c r="B1175" s="188" t="s">
        <v>1394</v>
      </c>
      <c r="C1175" s="188" t="s">
        <v>641</v>
      </c>
      <c r="D1175" s="188" t="s">
        <v>2369</v>
      </c>
      <c r="E1175" s="189">
        <v>39407</v>
      </c>
      <c r="F1175" s="190">
        <v>0</v>
      </c>
      <c r="G1175" s="190">
        <v>80.64</v>
      </c>
      <c r="H1175" s="191">
        <v>750</v>
      </c>
      <c r="I1175" s="191">
        <v>315</v>
      </c>
      <c r="J1175" s="188" t="s">
        <v>652</v>
      </c>
      <c r="K1175" s="188" t="s">
        <v>338</v>
      </c>
      <c r="L1175" s="188" t="s">
        <v>680</v>
      </c>
      <c r="M1175" s="192">
        <f t="shared" si="54"/>
        <v>25</v>
      </c>
      <c r="N1175" s="193">
        <f t="shared" si="55"/>
        <v>0.59523809523809523</v>
      </c>
      <c r="O1175" s="194">
        <f t="shared" si="56"/>
        <v>2.3809523809523808E-2</v>
      </c>
    </row>
    <row r="1176" spans="1:15" ht="12.75" customHeight="1">
      <c r="A1176" s="188" t="s">
        <v>620</v>
      </c>
      <c r="B1176" s="188" t="s">
        <v>1394</v>
      </c>
      <c r="C1176" s="188" t="s">
        <v>641</v>
      </c>
      <c r="D1176" s="188" t="s">
        <v>2370</v>
      </c>
      <c r="E1176" s="189">
        <v>39443</v>
      </c>
      <c r="F1176" s="190">
        <v>0</v>
      </c>
      <c r="G1176" s="190">
        <v>34.56</v>
      </c>
      <c r="H1176" s="191">
        <v>450</v>
      </c>
      <c r="I1176" s="191">
        <v>135</v>
      </c>
      <c r="J1176" s="188" t="s">
        <v>829</v>
      </c>
      <c r="K1176" s="188" t="s">
        <v>338</v>
      </c>
      <c r="L1176" s="188" t="s">
        <v>1081</v>
      </c>
      <c r="M1176" s="192">
        <f t="shared" si="54"/>
        <v>35</v>
      </c>
      <c r="N1176" s="193">
        <f t="shared" si="55"/>
        <v>0.83333333333333337</v>
      </c>
      <c r="O1176" s="194">
        <f t="shared" si="56"/>
        <v>2.3809523809523812E-2</v>
      </c>
    </row>
    <row r="1177" spans="1:15" ht="12.75" customHeight="1">
      <c r="A1177" s="188" t="s">
        <v>620</v>
      </c>
      <c r="B1177" s="188" t="s">
        <v>1394</v>
      </c>
      <c r="C1177" s="188" t="s">
        <v>641</v>
      </c>
      <c r="D1177" s="188" t="s">
        <v>2371</v>
      </c>
      <c r="E1177" s="189">
        <v>39625</v>
      </c>
      <c r="F1177" s="190">
        <v>0</v>
      </c>
      <c r="G1177" s="190">
        <v>48</v>
      </c>
      <c r="H1177" s="191">
        <v>679</v>
      </c>
      <c r="I1177" s="191">
        <v>187.5</v>
      </c>
      <c r="J1177" s="188" t="s">
        <v>624</v>
      </c>
      <c r="K1177" s="188" t="s">
        <v>338</v>
      </c>
      <c r="L1177" s="188" t="s">
        <v>1058</v>
      </c>
      <c r="M1177" s="192">
        <f t="shared" si="54"/>
        <v>38</v>
      </c>
      <c r="N1177" s="193">
        <f t="shared" si="55"/>
        <v>0.90533333333333332</v>
      </c>
      <c r="O1177" s="194">
        <f t="shared" si="56"/>
        <v>2.3824561403508773E-2</v>
      </c>
    </row>
    <row r="1178" spans="1:15" ht="12.75" customHeight="1">
      <c r="A1178" s="188" t="s">
        <v>620</v>
      </c>
      <c r="B1178" s="188" t="s">
        <v>1394</v>
      </c>
      <c r="C1178" s="188" t="s">
        <v>641</v>
      </c>
      <c r="D1178" s="188" t="s">
        <v>2372</v>
      </c>
      <c r="E1178" s="189">
        <v>39443</v>
      </c>
      <c r="F1178" s="190">
        <v>0</v>
      </c>
      <c r="G1178" s="190">
        <v>78.72</v>
      </c>
      <c r="H1178" s="191">
        <v>645</v>
      </c>
      <c r="I1178" s="191">
        <v>307.5</v>
      </c>
      <c r="J1178" s="188" t="s">
        <v>710</v>
      </c>
      <c r="K1178" s="188" t="s">
        <v>338</v>
      </c>
      <c r="L1178" s="188" t="s">
        <v>475</v>
      </c>
      <c r="M1178" s="192">
        <f t="shared" si="54"/>
        <v>22</v>
      </c>
      <c r="N1178" s="193">
        <f t="shared" si="55"/>
        <v>0.52439024390243905</v>
      </c>
      <c r="O1178" s="194">
        <f t="shared" si="56"/>
        <v>2.3835920177383594E-2</v>
      </c>
    </row>
    <row r="1179" spans="1:15" ht="12.75" customHeight="1">
      <c r="A1179" s="188" t="s">
        <v>620</v>
      </c>
      <c r="B1179" s="188" t="s">
        <v>1394</v>
      </c>
      <c r="C1179" s="188" t="s">
        <v>641</v>
      </c>
      <c r="D1179" s="188" t="s">
        <v>2373</v>
      </c>
      <c r="E1179" s="189">
        <v>39447</v>
      </c>
      <c r="F1179" s="190">
        <v>0</v>
      </c>
      <c r="G1179" s="190">
        <v>62.21</v>
      </c>
      <c r="H1179" s="191">
        <v>626</v>
      </c>
      <c r="I1179" s="191">
        <v>243</v>
      </c>
      <c r="J1179" s="188" t="s">
        <v>639</v>
      </c>
      <c r="K1179" s="188" t="s">
        <v>338</v>
      </c>
      <c r="L1179" s="188" t="s">
        <v>365</v>
      </c>
      <c r="M1179" s="192">
        <f t="shared" si="54"/>
        <v>27</v>
      </c>
      <c r="N1179" s="193">
        <f t="shared" si="55"/>
        <v>0.6440329218106996</v>
      </c>
      <c r="O1179" s="194">
        <f t="shared" si="56"/>
        <v>2.3853071178174059E-2</v>
      </c>
    </row>
    <row r="1180" spans="1:15" ht="12.75" customHeight="1">
      <c r="A1180" s="188" t="s">
        <v>620</v>
      </c>
      <c r="B1180" s="188" t="s">
        <v>1394</v>
      </c>
      <c r="C1180" s="188" t="s">
        <v>641</v>
      </c>
      <c r="D1180" s="188" t="s">
        <v>2374</v>
      </c>
      <c r="E1180" s="189">
        <v>39345</v>
      </c>
      <c r="F1180" s="190">
        <v>0</v>
      </c>
      <c r="G1180" s="190">
        <v>85.57</v>
      </c>
      <c r="H1180" s="191">
        <v>734</v>
      </c>
      <c r="I1180" s="191">
        <v>334.25</v>
      </c>
      <c r="J1180" s="188" t="s">
        <v>571</v>
      </c>
      <c r="K1180" s="188" t="s">
        <v>338</v>
      </c>
      <c r="L1180" s="188" t="s">
        <v>1573</v>
      </c>
      <c r="M1180" s="192">
        <f t="shared" si="54"/>
        <v>23</v>
      </c>
      <c r="N1180" s="193">
        <f t="shared" si="55"/>
        <v>0.54899027673896783</v>
      </c>
      <c r="O1180" s="194">
        <f t="shared" si="56"/>
        <v>2.3869142466911644E-2</v>
      </c>
    </row>
    <row r="1181" spans="1:15" ht="12.75" customHeight="1">
      <c r="A1181" s="188" t="s">
        <v>620</v>
      </c>
      <c r="B1181" s="188" t="s">
        <v>1394</v>
      </c>
      <c r="C1181" s="188" t="s">
        <v>641</v>
      </c>
      <c r="D1181" s="188" t="s">
        <v>2375</v>
      </c>
      <c r="E1181" s="189">
        <v>39247</v>
      </c>
      <c r="F1181" s="190">
        <v>0</v>
      </c>
      <c r="G1181" s="190">
        <v>31.87</v>
      </c>
      <c r="H1181" s="191">
        <v>451.98</v>
      </c>
      <c r="I1181" s="191">
        <v>124.5</v>
      </c>
      <c r="J1181" s="188" t="s">
        <v>624</v>
      </c>
      <c r="K1181" s="188" t="s">
        <v>338</v>
      </c>
      <c r="L1181" s="188" t="s">
        <v>2376</v>
      </c>
      <c r="M1181" s="192">
        <f t="shared" si="54"/>
        <v>38</v>
      </c>
      <c r="N1181" s="193">
        <f t="shared" si="55"/>
        <v>0.9075903614457832</v>
      </c>
      <c r="O1181" s="194">
        <f t="shared" si="56"/>
        <v>2.3883956880152189E-2</v>
      </c>
    </row>
    <row r="1182" spans="1:15" ht="12.75" customHeight="1">
      <c r="A1182" s="188" t="s">
        <v>620</v>
      </c>
      <c r="B1182" s="188" t="s">
        <v>1394</v>
      </c>
      <c r="C1182" s="188" t="s">
        <v>641</v>
      </c>
      <c r="D1182" s="188" t="s">
        <v>2377</v>
      </c>
      <c r="E1182" s="189">
        <v>39226</v>
      </c>
      <c r="F1182" s="190">
        <v>0</v>
      </c>
      <c r="G1182" s="190">
        <v>99.84</v>
      </c>
      <c r="H1182" s="191">
        <v>707.93</v>
      </c>
      <c r="I1182" s="191">
        <v>390</v>
      </c>
      <c r="J1182" s="188" t="s">
        <v>667</v>
      </c>
      <c r="K1182" s="188" t="s">
        <v>338</v>
      </c>
      <c r="L1182" s="188" t="s">
        <v>797</v>
      </c>
      <c r="M1182" s="192">
        <f t="shared" si="54"/>
        <v>19</v>
      </c>
      <c r="N1182" s="193">
        <f t="shared" si="55"/>
        <v>0.45380128205128201</v>
      </c>
      <c r="O1182" s="194">
        <f t="shared" si="56"/>
        <v>2.3884278002699055E-2</v>
      </c>
    </row>
    <row r="1183" spans="1:15" ht="12.75" customHeight="1">
      <c r="A1183" s="188" t="s">
        <v>620</v>
      </c>
      <c r="B1183" s="188" t="s">
        <v>1394</v>
      </c>
      <c r="C1183" s="188" t="s">
        <v>641</v>
      </c>
      <c r="D1183" s="188" t="s">
        <v>2378</v>
      </c>
      <c r="E1183" s="189">
        <v>39317</v>
      </c>
      <c r="F1183" s="190">
        <v>0</v>
      </c>
      <c r="G1183" s="190">
        <v>60.8</v>
      </c>
      <c r="H1183" s="191">
        <v>454.01</v>
      </c>
      <c r="I1183" s="191">
        <v>237.5</v>
      </c>
      <c r="J1183" s="188" t="s">
        <v>560</v>
      </c>
      <c r="K1183" s="188" t="s">
        <v>338</v>
      </c>
      <c r="L1183" s="188" t="s">
        <v>1164</v>
      </c>
      <c r="M1183" s="192">
        <f t="shared" si="54"/>
        <v>20</v>
      </c>
      <c r="N1183" s="193">
        <f t="shared" si="55"/>
        <v>0.47790526315789472</v>
      </c>
      <c r="O1183" s="194">
        <f t="shared" si="56"/>
        <v>2.3895263157894735E-2</v>
      </c>
    </row>
    <row r="1184" spans="1:15" ht="12.75" customHeight="1">
      <c r="A1184" s="188" t="s">
        <v>620</v>
      </c>
      <c r="B1184" s="188" t="s">
        <v>1394</v>
      </c>
      <c r="C1184" s="188" t="s">
        <v>641</v>
      </c>
      <c r="D1184" s="188" t="s">
        <v>2379</v>
      </c>
      <c r="E1184" s="189">
        <v>39310</v>
      </c>
      <c r="F1184" s="190">
        <v>0</v>
      </c>
      <c r="G1184" s="190">
        <v>70.400000000000006</v>
      </c>
      <c r="H1184" s="191">
        <v>1000.01</v>
      </c>
      <c r="I1184" s="191">
        <v>275</v>
      </c>
      <c r="J1184" s="188" t="s">
        <v>624</v>
      </c>
      <c r="K1184" s="188" t="s">
        <v>338</v>
      </c>
      <c r="L1184" s="188" t="s">
        <v>557</v>
      </c>
      <c r="M1184" s="192">
        <f t="shared" si="54"/>
        <v>38</v>
      </c>
      <c r="N1184" s="193">
        <f t="shared" si="55"/>
        <v>0.90910000000000002</v>
      </c>
      <c r="O1184" s="194">
        <f t="shared" si="56"/>
        <v>2.3923684210526316E-2</v>
      </c>
    </row>
    <row r="1185" spans="1:15" ht="12.75" customHeight="1">
      <c r="A1185" s="188" t="s">
        <v>620</v>
      </c>
      <c r="B1185" s="188" t="s">
        <v>1394</v>
      </c>
      <c r="C1185" s="188" t="s">
        <v>641</v>
      </c>
      <c r="D1185" s="188" t="s">
        <v>2380</v>
      </c>
      <c r="E1185" s="189">
        <v>39590</v>
      </c>
      <c r="F1185" s="190">
        <v>0</v>
      </c>
      <c r="G1185" s="190">
        <v>62.72</v>
      </c>
      <c r="H1185" s="191">
        <v>468.99</v>
      </c>
      <c r="I1185" s="191">
        <v>245</v>
      </c>
      <c r="J1185" s="188" t="s">
        <v>560</v>
      </c>
      <c r="K1185" s="188" t="s">
        <v>338</v>
      </c>
      <c r="L1185" s="188" t="s">
        <v>1487</v>
      </c>
      <c r="M1185" s="192">
        <f t="shared" si="54"/>
        <v>20</v>
      </c>
      <c r="N1185" s="193">
        <f t="shared" si="55"/>
        <v>0.47856122448979593</v>
      </c>
      <c r="O1185" s="194">
        <f t="shared" si="56"/>
        <v>2.3928061224489795E-2</v>
      </c>
    </row>
    <row r="1186" spans="1:15" ht="12.75" customHeight="1">
      <c r="A1186" s="188" t="s">
        <v>620</v>
      </c>
      <c r="B1186" s="188" t="s">
        <v>1394</v>
      </c>
      <c r="C1186" s="188" t="s">
        <v>641</v>
      </c>
      <c r="D1186" s="188" t="s">
        <v>2381</v>
      </c>
      <c r="E1186" s="189">
        <v>39527</v>
      </c>
      <c r="F1186" s="190">
        <v>0</v>
      </c>
      <c r="G1186" s="190">
        <v>83.2</v>
      </c>
      <c r="H1186" s="191">
        <v>1182.94</v>
      </c>
      <c r="I1186" s="191">
        <v>325</v>
      </c>
      <c r="J1186" s="188" t="s">
        <v>624</v>
      </c>
      <c r="K1186" s="188" t="s">
        <v>338</v>
      </c>
      <c r="L1186" s="188" t="s">
        <v>699</v>
      </c>
      <c r="M1186" s="192">
        <f t="shared" si="54"/>
        <v>38</v>
      </c>
      <c r="N1186" s="193">
        <f t="shared" si="55"/>
        <v>0.90995384615384622</v>
      </c>
      <c r="O1186" s="194">
        <f t="shared" si="56"/>
        <v>2.394615384615385E-2</v>
      </c>
    </row>
    <row r="1187" spans="1:15" ht="12.75" customHeight="1">
      <c r="A1187" s="188" t="s">
        <v>620</v>
      </c>
      <c r="B1187" s="188" t="s">
        <v>1394</v>
      </c>
      <c r="C1187" s="188" t="s">
        <v>641</v>
      </c>
      <c r="D1187" s="188" t="s">
        <v>2382</v>
      </c>
      <c r="E1187" s="189">
        <v>39219</v>
      </c>
      <c r="F1187" s="190">
        <v>0</v>
      </c>
      <c r="G1187" s="190">
        <v>134.08000000000001</v>
      </c>
      <c r="H1187" s="191">
        <v>1906.45</v>
      </c>
      <c r="I1187" s="191">
        <v>523.75</v>
      </c>
      <c r="J1187" s="188" t="s">
        <v>624</v>
      </c>
      <c r="K1187" s="188" t="s">
        <v>338</v>
      </c>
      <c r="L1187" s="188" t="s">
        <v>2383</v>
      </c>
      <c r="M1187" s="192">
        <f t="shared" si="54"/>
        <v>38</v>
      </c>
      <c r="N1187" s="193">
        <f t="shared" si="55"/>
        <v>0.91</v>
      </c>
      <c r="O1187" s="194">
        <f t="shared" si="56"/>
        <v>2.3947368421052634E-2</v>
      </c>
    </row>
    <row r="1188" spans="1:15" ht="12.75" customHeight="1">
      <c r="A1188" s="188" t="s">
        <v>620</v>
      </c>
      <c r="B1188" s="188" t="s">
        <v>1394</v>
      </c>
      <c r="C1188" s="188" t="s">
        <v>641</v>
      </c>
      <c r="D1188" s="188" t="s">
        <v>2384</v>
      </c>
      <c r="E1188" s="189">
        <v>39618</v>
      </c>
      <c r="F1188" s="190">
        <v>0</v>
      </c>
      <c r="G1188" s="190">
        <v>97.79</v>
      </c>
      <c r="H1188" s="191">
        <v>990</v>
      </c>
      <c r="I1188" s="191">
        <v>382</v>
      </c>
      <c r="J1188" s="188" t="s">
        <v>639</v>
      </c>
      <c r="K1188" s="188" t="s">
        <v>338</v>
      </c>
      <c r="L1188" s="188" t="s">
        <v>417</v>
      </c>
      <c r="M1188" s="192">
        <f t="shared" si="54"/>
        <v>27</v>
      </c>
      <c r="N1188" s="193">
        <f t="shared" si="55"/>
        <v>0.64790575916230364</v>
      </c>
      <c r="O1188" s="194">
        <f t="shared" si="56"/>
        <v>2.3996509598603839E-2</v>
      </c>
    </row>
    <row r="1189" spans="1:15" ht="12.75" customHeight="1">
      <c r="A1189" s="188" t="s">
        <v>620</v>
      </c>
      <c r="B1189" s="188" t="s">
        <v>1394</v>
      </c>
      <c r="C1189" s="188" t="s">
        <v>641</v>
      </c>
      <c r="D1189" s="188" t="s">
        <v>2385</v>
      </c>
      <c r="E1189" s="189">
        <v>39324</v>
      </c>
      <c r="F1189" s="190">
        <v>0</v>
      </c>
      <c r="G1189" s="190">
        <v>64</v>
      </c>
      <c r="H1189" s="191">
        <v>600</v>
      </c>
      <c r="I1189" s="191">
        <v>250</v>
      </c>
      <c r="J1189" s="188" t="s">
        <v>652</v>
      </c>
      <c r="K1189" s="188" t="s">
        <v>338</v>
      </c>
      <c r="L1189" s="188" t="s">
        <v>636</v>
      </c>
      <c r="M1189" s="192">
        <f t="shared" si="54"/>
        <v>25</v>
      </c>
      <c r="N1189" s="193">
        <f t="shared" si="55"/>
        <v>0.6</v>
      </c>
      <c r="O1189" s="194">
        <f t="shared" si="56"/>
        <v>2.4E-2</v>
      </c>
    </row>
    <row r="1190" spans="1:15" ht="12.75" customHeight="1">
      <c r="A1190" s="188" t="s">
        <v>620</v>
      </c>
      <c r="B1190" s="188" t="s">
        <v>1394</v>
      </c>
      <c r="C1190" s="188" t="s">
        <v>641</v>
      </c>
      <c r="D1190" s="188" t="s">
        <v>2386</v>
      </c>
      <c r="E1190" s="189">
        <v>39632</v>
      </c>
      <c r="F1190" s="190">
        <v>0</v>
      </c>
      <c r="G1190" s="190">
        <v>16</v>
      </c>
      <c r="H1190" s="191">
        <v>150</v>
      </c>
      <c r="I1190" s="191">
        <v>62.5</v>
      </c>
      <c r="J1190" s="188" t="s">
        <v>1052</v>
      </c>
      <c r="K1190" s="188" t="s">
        <v>333</v>
      </c>
      <c r="L1190" s="188" t="s">
        <v>2387</v>
      </c>
      <c r="M1190" s="192">
        <f t="shared" si="54"/>
        <v>25</v>
      </c>
      <c r="N1190" s="193">
        <f t="shared" si="55"/>
        <v>0.6</v>
      </c>
      <c r="O1190" s="194">
        <f t="shared" si="56"/>
        <v>2.4E-2</v>
      </c>
    </row>
    <row r="1191" spans="1:15" ht="12.75" customHeight="1">
      <c r="A1191" s="188" t="s">
        <v>620</v>
      </c>
      <c r="B1191" s="188" t="s">
        <v>1394</v>
      </c>
      <c r="C1191" s="188" t="s">
        <v>641</v>
      </c>
      <c r="D1191" s="188" t="s">
        <v>2388</v>
      </c>
      <c r="E1191" s="189">
        <v>39471</v>
      </c>
      <c r="F1191" s="190">
        <v>0</v>
      </c>
      <c r="G1191" s="190">
        <v>69.63</v>
      </c>
      <c r="H1191" s="191">
        <v>993</v>
      </c>
      <c r="I1191" s="191">
        <v>272</v>
      </c>
      <c r="J1191" s="188" t="s">
        <v>624</v>
      </c>
      <c r="K1191" s="188" t="s">
        <v>338</v>
      </c>
      <c r="L1191" s="188" t="s">
        <v>2389</v>
      </c>
      <c r="M1191" s="192">
        <f t="shared" si="54"/>
        <v>38</v>
      </c>
      <c r="N1191" s="193">
        <f t="shared" si="55"/>
        <v>0.9126838235294118</v>
      </c>
      <c r="O1191" s="194">
        <f t="shared" si="56"/>
        <v>2.4017995356037151E-2</v>
      </c>
    </row>
    <row r="1192" spans="1:15" ht="12.75" customHeight="1">
      <c r="A1192" s="188" t="s">
        <v>620</v>
      </c>
      <c r="B1192" s="188" t="s">
        <v>1394</v>
      </c>
      <c r="C1192" s="188" t="s">
        <v>641</v>
      </c>
      <c r="D1192" s="188" t="s">
        <v>2390</v>
      </c>
      <c r="E1192" s="189">
        <v>39447</v>
      </c>
      <c r="F1192" s="190">
        <v>0</v>
      </c>
      <c r="G1192" s="190">
        <v>76.349999999999994</v>
      </c>
      <c r="H1192" s="191">
        <v>660</v>
      </c>
      <c r="I1192" s="191">
        <v>298.25</v>
      </c>
      <c r="J1192" s="188" t="s">
        <v>571</v>
      </c>
      <c r="K1192" s="188" t="s">
        <v>338</v>
      </c>
      <c r="L1192" s="188" t="s">
        <v>902</v>
      </c>
      <c r="M1192" s="192">
        <f t="shared" si="54"/>
        <v>23</v>
      </c>
      <c r="N1192" s="193">
        <f t="shared" si="55"/>
        <v>0.55322715842414083</v>
      </c>
      <c r="O1192" s="194">
        <f t="shared" si="56"/>
        <v>2.4053354714093079E-2</v>
      </c>
    </row>
    <row r="1193" spans="1:15" ht="12.75" customHeight="1">
      <c r="A1193" s="188" t="s">
        <v>620</v>
      </c>
      <c r="B1193" s="188" t="s">
        <v>1394</v>
      </c>
      <c r="C1193" s="188" t="s">
        <v>641</v>
      </c>
      <c r="D1193" s="188" t="s">
        <v>2391</v>
      </c>
      <c r="E1193" s="189">
        <v>39269</v>
      </c>
      <c r="F1193" s="190">
        <v>0</v>
      </c>
      <c r="G1193" s="190">
        <v>89.6</v>
      </c>
      <c r="H1193" s="191">
        <v>639.94000000000005</v>
      </c>
      <c r="I1193" s="191">
        <v>350</v>
      </c>
      <c r="J1193" s="188" t="s">
        <v>667</v>
      </c>
      <c r="K1193" s="188" t="s">
        <v>338</v>
      </c>
      <c r="L1193" s="188" t="s">
        <v>754</v>
      </c>
      <c r="M1193" s="192">
        <f t="shared" si="54"/>
        <v>19</v>
      </c>
      <c r="N1193" s="193">
        <f t="shared" si="55"/>
        <v>0.45710000000000006</v>
      </c>
      <c r="O1193" s="194">
        <f t="shared" si="56"/>
        <v>2.4057894736842108E-2</v>
      </c>
    </row>
    <row r="1194" spans="1:15" ht="12.75" customHeight="1">
      <c r="A1194" s="188" t="s">
        <v>620</v>
      </c>
      <c r="B1194" s="188" t="s">
        <v>1394</v>
      </c>
      <c r="C1194" s="188" t="s">
        <v>641</v>
      </c>
      <c r="D1194" s="188" t="s">
        <v>2392</v>
      </c>
      <c r="E1194" s="189">
        <v>39590</v>
      </c>
      <c r="F1194" s="190">
        <v>0</v>
      </c>
      <c r="G1194" s="190">
        <v>80.959999999999994</v>
      </c>
      <c r="H1194" s="191">
        <v>700</v>
      </c>
      <c r="I1194" s="191">
        <v>316.25</v>
      </c>
      <c r="J1194" s="188" t="s">
        <v>571</v>
      </c>
      <c r="K1194" s="188" t="s">
        <v>338</v>
      </c>
      <c r="L1194" s="188" t="s">
        <v>1753</v>
      </c>
      <c r="M1194" s="192">
        <f t="shared" si="54"/>
        <v>23</v>
      </c>
      <c r="N1194" s="193">
        <f t="shared" si="55"/>
        <v>0.55335968379446643</v>
      </c>
      <c r="O1194" s="194">
        <f t="shared" si="56"/>
        <v>2.4059116686715933E-2</v>
      </c>
    </row>
    <row r="1195" spans="1:15" ht="12.75" customHeight="1">
      <c r="A1195" s="188" t="s">
        <v>620</v>
      </c>
      <c r="B1195" s="188" t="s">
        <v>1394</v>
      </c>
      <c r="C1195" s="188" t="s">
        <v>641</v>
      </c>
      <c r="D1195" s="188" t="s">
        <v>2393</v>
      </c>
      <c r="E1195" s="189">
        <v>39415</v>
      </c>
      <c r="F1195" s="190">
        <v>0</v>
      </c>
      <c r="G1195" s="190">
        <v>102.4</v>
      </c>
      <c r="H1195" s="191">
        <v>1078.02</v>
      </c>
      <c r="I1195" s="191">
        <v>400</v>
      </c>
      <c r="J1195" s="188" t="s">
        <v>750</v>
      </c>
      <c r="K1195" s="188" t="s">
        <v>338</v>
      </c>
      <c r="L1195" s="188" t="s">
        <v>625</v>
      </c>
      <c r="M1195" s="192">
        <f t="shared" si="54"/>
        <v>28</v>
      </c>
      <c r="N1195" s="193">
        <f t="shared" si="55"/>
        <v>0.67376250000000004</v>
      </c>
      <c r="O1195" s="194">
        <f t="shared" si="56"/>
        <v>2.406294642857143E-2</v>
      </c>
    </row>
    <row r="1196" spans="1:15" ht="12.75" customHeight="1">
      <c r="A1196" s="188" t="s">
        <v>620</v>
      </c>
      <c r="B1196" s="188" t="s">
        <v>1394</v>
      </c>
      <c r="C1196" s="188" t="s">
        <v>641</v>
      </c>
      <c r="D1196" s="188" t="s">
        <v>2394</v>
      </c>
      <c r="E1196" s="189">
        <v>39416</v>
      </c>
      <c r="F1196" s="190">
        <v>0</v>
      </c>
      <c r="G1196" s="190">
        <v>57.6</v>
      </c>
      <c r="H1196" s="191">
        <v>823</v>
      </c>
      <c r="I1196" s="191">
        <v>225</v>
      </c>
      <c r="J1196" s="188" t="s">
        <v>624</v>
      </c>
      <c r="K1196" s="188" t="s">
        <v>338</v>
      </c>
      <c r="L1196" s="188" t="s">
        <v>740</v>
      </c>
      <c r="M1196" s="192">
        <f t="shared" si="54"/>
        <v>38</v>
      </c>
      <c r="N1196" s="193">
        <f t="shared" si="55"/>
        <v>0.91444444444444439</v>
      </c>
      <c r="O1196" s="194">
        <f t="shared" si="56"/>
        <v>2.4064327485380115E-2</v>
      </c>
    </row>
    <row r="1197" spans="1:15" ht="12.75" customHeight="1">
      <c r="A1197" s="188" t="s">
        <v>620</v>
      </c>
      <c r="B1197" s="188" t="s">
        <v>1394</v>
      </c>
      <c r="C1197" s="188" t="s">
        <v>641</v>
      </c>
      <c r="D1197" s="188" t="s">
        <v>2395</v>
      </c>
      <c r="E1197" s="189">
        <v>39339</v>
      </c>
      <c r="F1197" s="190">
        <v>0</v>
      </c>
      <c r="G1197" s="190">
        <v>102.4</v>
      </c>
      <c r="H1197" s="191">
        <v>1040</v>
      </c>
      <c r="I1197" s="191">
        <v>400</v>
      </c>
      <c r="J1197" s="188" t="s">
        <v>639</v>
      </c>
      <c r="K1197" s="188" t="s">
        <v>338</v>
      </c>
      <c r="L1197" s="188" t="s">
        <v>625</v>
      </c>
      <c r="M1197" s="192">
        <f t="shared" si="54"/>
        <v>27</v>
      </c>
      <c r="N1197" s="193">
        <f t="shared" si="55"/>
        <v>0.65</v>
      </c>
      <c r="O1197" s="194">
        <f t="shared" si="56"/>
        <v>2.4074074074074074E-2</v>
      </c>
    </row>
    <row r="1198" spans="1:15" ht="12.75" customHeight="1">
      <c r="A1198" s="188" t="s">
        <v>620</v>
      </c>
      <c r="B1198" s="188" t="s">
        <v>1394</v>
      </c>
      <c r="C1198" s="188" t="s">
        <v>641</v>
      </c>
      <c r="D1198" s="188" t="s">
        <v>2396</v>
      </c>
      <c r="E1198" s="189">
        <v>39429</v>
      </c>
      <c r="F1198" s="190">
        <v>0</v>
      </c>
      <c r="G1198" s="190">
        <v>96</v>
      </c>
      <c r="H1198" s="191">
        <v>975</v>
      </c>
      <c r="I1198" s="191">
        <v>375</v>
      </c>
      <c r="J1198" s="188" t="s">
        <v>639</v>
      </c>
      <c r="K1198" s="188" t="s">
        <v>338</v>
      </c>
      <c r="L1198" s="188" t="s">
        <v>746</v>
      </c>
      <c r="M1198" s="192">
        <f t="shared" si="54"/>
        <v>27</v>
      </c>
      <c r="N1198" s="193">
        <f t="shared" si="55"/>
        <v>0.65</v>
      </c>
      <c r="O1198" s="194">
        <f t="shared" si="56"/>
        <v>2.4074074074074074E-2</v>
      </c>
    </row>
    <row r="1199" spans="1:15" ht="12.75" customHeight="1">
      <c r="A1199" s="188" t="s">
        <v>620</v>
      </c>
      <c r="B1199" s="188" t="s">
        <v>1394</v>
      </c>
      <c r="C1199" s="188" t="s">
        <v>641</v>
      </c>
      <c r="D1199" s="188" t="s">
        <v>2397</v>
      </c>
      <c r="E1199" s="189">
        <v>39447</v>
      </c>
      <c r="F1199" s="190">
        <v>0</v>
      </c>
      <c r="G1199" s="190">
        <v>89.6</v>
      </c>
      <c r="H1199" s="191">
        <v>910</v>
      </c>
      <c r="I1199" s="191">
        <v>350</v>
      </c>
      <c r="J1199" s="188" t="s">
        <v>639</v>
      </c>
      <c r="K1199" s="188" t="s">
        <v>338</v>
      </c>
      <c r="L1199" s="188" t="s">
        <v>754</v>
      </c>
      <c r="M1199" s="192">
        <f t="shared" si="54"/>
        <v>27</v>
      </c>
      <c r="N1199" s="193">
        <f t="shared" si="55"/>
        <v>0.65</v>
      </c>
      <c r="O1199" s="194">
        <f t="shared" si="56"/>
        <v>2.4074074074074074E-2</v>
      </c>
    </row>
    <row r="1200" spans="1:15" ht="12.75" customHeight="1">
      <c r="A1200" s="188" t="s">
        <v>620</v>
      </c>
      <c r="B1200" s="188" t="s">
        <v>1394</v>
      </c>
      <c r="C1200" s="188" t="s">
        <v>641</v>
      </c>
      <c r="D1200" s="188" t="s">
        <v>2398</v>
      </c>
      <c r="E1200" s="189">
        <v>39541</v>
      </c>
      <c r="F1200" s="190">
        <v>0</v>
      </c>
      <c r="G1200" s="190">
        <v>102.21</v>
      </c>
      <c r="H1200" s="191">
        <v>1040</v>
      </c>
      <c r="I1200" s="191">
        <v>399.25</v>
      </c>
      <c r="J1200" s="188" t="s">
        <v>639</v>
      </c>
      <c r="K1200" s="188" t="s">
        <v>338</v>
      </c>
      <c r="L1200" s="188" t="s">
        <v>2399</v>
      </c>
      <c r="M1200" s="192">
        <f t="shared" si="54"/>
        <v>27</v>
      </c>
      <c r="N1200" s="193">
        <f t="shared" si="55"/>
        <v>0.65122103944896681</v>
      </c>
      <c r="O1200" s="194">
        <f t="shared" si="56"/>
        <v>2.4119297757369141E-2</v>
      </c>
    </row>
    <row r="1201" spans="1:15" ht="12.75" customHeight="1">
      <c r="A1201" s="188" t="s">
        <v>620</v>
      </c>
      <c r="B1201" s="188" t="s">
        <v>1394</v>
      </c>
      <c r="C1201" s="188" t="s">
        <v>641</v>
      </c>
      <c r="D1201" s="188" t="s">
        <v>2400</v>
      </c>
      <c r="E1201" s="189">
        <v>39541</v>
      </c>
      <c r="F1201" s="190">
        <v>0</v>
      </c>
      <c r="G1201" s="190">
        <v>140.80000000000001</v>
      </c>
      <c r="H1201" s="191">
        <v>1700</v>
      </c>
      <c r="I1201" s="191">
        <v>550</v>
      </c>
      <c r="J1201" s="188" t="s">
        <v>353</v>
      </c>
      <c r="K1201" s="188" t="s">
        <v>338</v>
      </c>
      <c r="L1201" s="188" t="s">
        <v>938</v>
      </c>
      <c r="M1201" s="192">
        <f t="shared" si="54"/>
        <v>32</v>
      </c>
      <c r="N1201" s="193">
        <f t="shared" si="55"/>
        <v>0.77272727272727271</v>
      </c>
      <c r="O1201" s="194">
        <f t="shared" si="56"/>
        <v>2.4147727272727272E-2</v>
      </c>
    </row>
    <row r="1202" spans="1:15" ht="12.75" customHeight="1">
      <c r="A1202" s="188" t="s">
        <v>620</v>
      </c>
      <c r="B1202" s="188" t="s">
        <v>1394</v>
      </c>
      <c r="C1202" s="188" t="s">
        <v>641</v>
      </c>
      <c r="D1202" s="188" t="s">
        <v>2401</v>
      </c>
      <c r="E1202" s="189">
        <v>39527</v>
      </c>
      <c r="F1202" s="190">
        <v>0</v>
      </c>
      <c r="G1202" s="190">
        <v>75.260000000000005</v>
      </c>
      <c r="H1202" s="191">
        <v>1081</v>
      </c>
      <c r="I1202" s="191">
        <v>294</v>
      </c>
      <c r="J1202" s="188" t="s">
        <v>624</v>
      </c>
      <c r="K1202" s="188" t="s">
        <v>338</v>
      </c>
      <c r="L1202" s="188" t="s">
        <v>1190</v>
      </c>
      <c r="M1202" s="192">
        <f t="shared" si="54"/>
        <v>38</v>
      </c>
      <c r="N1202" s="193">
        <f t="shared" si="55"/>
        <v>0.91921768707482998</v>
      </c>
      <c r="O1202" s="194">
        <f t="shared" si="56"/>
        <v>2.4189939133548156E-2</v>
      </c>
    </row>
    <row r="1203" spans="1:15" ht="12.75" customHeight="1">
      <c r="A1203" s="188" t="s">
        <v>620</v>
      </c>
      <c r="B1203" s="188" t="s">
        <v>1394</v>
      </c>
      <c r="C1203" s="188" t="s">
        <v>641</v>
      </c>
      <c r="D1203" s="188" t="s">
        <v>2402</v>
      </c>
      <c r="E1203" s="189">
        <v>39233</v>
      </c>
      <c r="F1203" s="190">
        <v>0</v>
      </c>
      <c r="G1203" s="190">
        <v>105.66</v>
      </c>
      <c r="H1203" s="191">
        <v>1079.92</v>
      </c>
      <c r="I1203" s="191">
        <v>412.75</v>
      </c>
      <c r="J1203" s="188" t="s">
        <v>639</v>
      </c>
      <c r="K1203" s="188" t="s">
        <v>338</v>
      </c>
      <c r="L1203" s="188" t="s">
        <v>2403</v>
      </c>
      <c r="M1203" s="192">
        <f t="shared" si="54"/>
        <v>27</v>
      </c>
      <c r="N1203" s="193">
        <f t="shared" si="55"/>
        <v>0.65410054512416727</v>
      </c>
      <c r="O1203" s="194">
        <f t="shared" si="56"/>
        <v>2.4225946115709898E-2</v>
      </c>
    </row>
    <row r="1204" spans="1:15" ht="12.75" customHeight="1">
      <c r="A1204" s="188" t="s">
        <v>620</v>
      </c>
      <c r="B1204" s="188" t="s">
        <v>1394</v>
      </c>
      <c r="C1204" s="188" t="s">
        <v>641</v>
      </c>
      <c r="D1204" s="188" t="s">
        <v>2404</v>
      </c>
      <c r="E1204" s="189">
        <v>39387</v>
      </c>
      <c r="F1204" s="190">
        <v>0</v>
      </c>
      <c r="G1204" s="190">
        <v>83.2</v>
      </c>
      <c r="H1204" s="191">
        <v>945</v>
      </c>
      <c r="I1204" s="191">
        <v>325</v>
      </c>
      <c r="J1204" s="188" t="s">
        <v>635</v>
      </c>
      <c r="K1204" s="188" t="s">
        <v>338</v>
      </c>
      <c r="L1204" s="188" t="s">
        <v>699</v>
      </c>
      <c r="M1204" s="192">
        <f t="shared" si="54"/>
        <v>30</v>
      </c>
      <c r="N1204" s="193">
        <f t="shared" si="55"/>
        <v>0.72692307692307689</v>
      </c>
      <c r="O1204" s="194">
        <f t="shared" si="56"/>
        <v>2.4230769230769229E-2</v>
      </c>
    </row>
    <row r="1205" spans="1:15" ht="12.75" customHeight="1">
      <c r="A1205" s="188" t="s">
        <v>620</v>
      </c>
      <c r="B1205" s="188" t="s">
        <v>1394</v>
      </c>
      <c r="C1205" s="188" t="s">
        <v>641</v>
      </c>
      <c r="D1205" s="188" t="s">
        <v>2405</v>
      </c>
      <c r="E1205" s="189">
        <v>39447</v>
      </c>
      <c r="F1205" s="190">
        <v>0</v>
      </c>
      <c r="G1205" s="190">
        <v>149.12</v>
      </c>
      <c r="H1205" s="191">
        <v>1694</v>
      </c>
      <c r="I1205" s="191">
        <v>582.5</v>
      </c>
      <c r="J1205" s="188" t="s">
        <v>635</v>
      </c>
      <c r="K1205" s="188" t="s">
        <v>338</v>
      </c>
      <c r="L1205" s="188" t="s">
        <v>2406</v>
      </c>
      <c r="M1205" s="192">
        <f t="shared" si="54"/>
        <v>30</v>
      </c>
      <c r="N1205" s="193">
        <f t="shared" si="55"/>
        <v>0.72703862660944207</v>
      </c>
      <c r="O1205" s="194">
        <f t="shared" si="56"/>
        <v>2.4234620886981403E-2</v>
      </c>
    </row>
    <row r="1206" spans="1:15" ht="12.75" customHeight="1">
      <c r="A1206" s="188" t="s">
        <v>620</v>
      </c>
      <c r="B1206" s="188" t="s">
        <v>1394</v>
      </c>
      <c r="C1206" s="188" t="s">
        <v>641</v>
      </c>
      <c r="D1206" s="188" t="s">
        <v>2407</v>
      </c>
      <c r="E1206" s="189">
        <v>39527</v>
      </c>
      <c r="F1206" s="190">
        <v>0</v>
      </c>
      <c r="G1206" s="190">
        <v>64</v>
      </c>
      <c r="H1206" s="191">
        <v>800</v>
      </c>
      <c r="I1206" s="191">
        <v>250</v>
      </c>
      <c r="J1206" s="188" t="s">
        <v>742</v>
      </c>
      <c r="K1206" s="188" t="s">
        <v>338</v>
      </c>
      <c r="L1206" s="188" t="s">
        <v>636</v>
      </c>
      <c r="M1206" s="192">
        <f t="shared" si="54"/>
        <v>33</v>
      </c>
      <c r="N1206" s="193">
        <f t="shared" si="55"/>
        <v>0.8</v>
      </c>
      <c r="O1206" s="194">
        <f t="shared" si="56"/>
        <v>2.4242424242424242E-2</v>
      </c>
    </row>
    <row r="1207" spans="1:15" ht="12.75" customHeight="1">
      <c r="A1207" s="188" t="s">
        <v>620</v>
      </c>
      <c r="B1207" s="188" t="s">
        <v>1394</v>
      </c>
      <c r="C1207" s="188" t="s">
        <v>641</v>
      </c>
      <c r="D1207" s="188" t="s">
        <v>2408</v>
      </c>
      <c r="E1207" s="189">
        <v>39541</v>
      </c>
      <c r="F1207" s="190">
        <v>0</v>
      </c>
      <c r="G1207" s="190">
        <v>42.56</v>
      </c>
      <c r="H1207" s="191">
        <v>612.62</v>
      </c>
      <c r="I1207" s="191">
        <v>166.25</v>
      </c>
      <c r="J1207" s="188" t="s">
        <v>624</v>
      </c>
      <c r="K1207" s="188" t="s">
        <v>338</v>
      </c>
      <c r="L1207" s="188" t="s">
        <v>2409</v>
      </c>
      <c r="M1207" s="192">
        <f t="shared" si="54"/>
        <v>38</v>
      </c>
      <c r="N1207" s="193">
        <f t="shared" si="55"/>
        <v>0.92123308270676696</v>
      </c>
      <c r="O1207" s="194">
        <f t="shared" si="56"/>
        <v>2.4242975860704393E-2</v>
      </c>
    </row>
    <row r="1208" spans="1:15" ht="12.75" customHeight="1">
      <c r="A1208" s="188" t="s">
        <v>620</v>
      </c>
      <c r="B1208" s="188" t="s">
        <v>1394</v>
      </c>
      <c r="C1208" s="188" t="s">
        <v>641</v>
      </c>
      <c r="D1208" s="188" t="s">
        <v>2410</v>
      </c>
      <c r="E1208" s="189">
        <v>39541</v>
      </c>
      <c r="F1208" s="190">
        <v>0</v>
      </c>
      <c r="G1208" s="190">
        <v>58.88</v>
      </c>
      <c r="H1208" s="191">
        <v>580</v>
      </c>
      <c r="I1208" s="191">
        <v>230</v>
      </c>
      <c r="J1208" s="188" t="s">
        <v>361</v>
      </c>
      <c r="K1208" s="188" t="s">
        <v>338</v>
      </c>
      <c r="L1208" s="188" t="s">
        <v>2411</v>
      </c>
      <c r="M1208" s="192">
        <f t="shared" si="54"/>
        <v>26</v>
      </c>
      <c r="N1208" s="193">
        <f t="shared" si="55"/>
        <v>0.63043478260869568</v>
      </c>
      <c r="O1208" s="194">
        <f t="shared" si="56"/>
        <v>2.4247491638795988E-2</v>
      </c>
    </row>
    <row r="1209" spans="1:15" ht="12.75" customHeight="1">
      <c r="A1209" s="188" t="s">
        <v>620</v>
      </c>
      <c r="B1209" s="188" t="s">
        <v>1394</v>
      </c>
      <c r="C1209" s="188" t="s">
        <v>641</v>
      </c>
      <c r="D1209" s="188" t="s">
        <v>2412</v>
      </c>
      <c r="E1209" s="189">
        <v>39436</v>
      </c>
      <c r="F1209" s="190">
        <v>0</v>
      </c>
      <c r="G1209" s="190">
        <v>64</v>
      </c>
      <c r="H1209" s="191">
        <v>875</v>
      </c>
      <c r="I1209" s="191">
        <v>250</v>
      </c>
      <c r="J1209" s="188" t="s">
        <v>387</v>
      </c>
      <c r="K1209" s="188" t="s">
        <v>338</v>
      </c>
      <c r="L1209" s="188" t="s">
        <v>636</v>
      </c>
      <c r="M1209" s="192">
        <f t="shared" si="54"/>
        <v>36</v>
      </c>
      <c r="N1209" s="193">
        <f t="shared" si="55"/>
        <v>0.875</v>
      </c>
      <c r="O1209" s="194">
        <f t="shared" si="56"/>
        <v>2.4305555555555556E-2</v>
      </c>
    </row>
    <row r="1210" spans="1:15" ht="12.75" customHeight="1">
      <c r="A1210" s="188" t="s">
        <v>620</v>
      </c>
      <c r="B1210" s="188" t="s">
        <v>1394</v>
      </c>
      <c r="C1210" s="188" t="s">
        <v>641</v>
      </c>
      <c r="D1210" s="188" t="s">
        <v>2413</v>
      </c>
      <c r="E1210" s="189">
        <v>39443</v>
      </c>
      <c r="F1210" s="190">
        <v>0</v>
      </c>
      <c r="G1210" s="190">
        <v>64.510000000000005</v>
      </c>
      <c r="H1210" s="191">
        <v>735</v>
      </c>
      <c r="I1210" s="191">
        <v>252</v>
      </c>
      <c r="J1210" s="188" t="s">
        <v>635</v>
      </c>
      <c r="K1210" s="188" t="s">
        <v>338</v>
      </c>
      <c r="L1210" s="188" t="s">
        <v>736</v>
      </c>
      <c r="M1210" s="192">
        <f t="shared" si="54"/>
        <v>30</v>
      </c>
      <c r="N1210" s="193">
        <f t="shared" si="55"/>
        <v>0.72916666666666663</v>
      </c>
      <c r="O1210" s="194">
        <f t="shared" si="56"/>
        <v>2.4305555555555556E-2</v>
      </c>
    </row>
    <row r="1211" spans="1:15" ht="12.75" customHeight="1">
      <c r="A1211" s="188" t="s">
        <v>620</v>
      </c>
      <c r="B1211" s="188" t="s">
        <v>1394</v>
      </c>
      <c r="C1211" s="188" t="s">
        <v>641</v>
      </c>
      <c r="D1211" s="188" t="s">
        <v>2414</v>
      </c>
      <c r="E1211" s="189">
        <v>39447</v>
      </c>
      <c r="F1211" s="190">
        <v>0</v>
      </c>
      <c r="G1211" s="190">
        <v>71.680000000000007</v>
      </c>
      <c r="H1211" s="191">
        <v>817.6</v>
      </c>
      <c r="I1211" s="191">
        <v>280</v>
      </c>
      <c r="J1211" s="188" t="s">
        <v>560</v>
      </c>
      <c r="K1211" s="188" t="s">
        <v>442</v>
      </c>
      <c r="L1211" s="188" t="s">
        <v>825</v>
      </c>
      <c r="M1211" s="192">
        <f t="shared" si="54"/>
        <v>30</v>
      </c>
      <c r="N1211" s="193">
        <f t="shared" si="55"/>
        <v>0.73</v>
      </c>
      <c r="O1211" s="194">
        <f t="shared" si="56"/>
        <v>2.4333333333333332E-2</v>
      </c>
    </row>
    <row r="1212" spans="1:15" ht="12.75" customHeight="1">
      <c r="A1212" s="188" t="s">
        <v>620</v>
      </c>
      <c r="B1212" s="188" t="s">
        <v>1394</v>
      </c>
      <c r="C1212" s="188" t="s">
        <v>641</v>
      </c>
      <c r="D1212" s="188" t="s">
        <v>2415</v>
      </c>
      <c r="E1212" s="189">
        <v>39562</v>
      </c>
      <c r="F1212" s="190">
        <v>0</v>
      </c>
      <c r="G1212" s="190">
        <v>40.96</v>
      </c>
      <c r="H1212" s="191">
        <v>467.2</v>
      </c>
      <c r="I1212" s="191">
        <v>160</v>
      </c>
      <c r="J1212" s="188" t="s">
        <v>667</v>
      </c>
      <c r="K1212" s="188" t="s">
        <v>648</v>
      </c>
      <c r="L1212" s="188" t="s">
        <v>1849</v>
      </c>
      <c r="M1212" s="192">
        <f t="shared" si="54"/>
        <v>30</v>
      </c>
      <c r="N1212" s="193">
        <f t="shared" si="55"/>
        <v>0.73</v>
      </c>
      <c r="O1212" s="194">
        <f t="shared" si="56"/>
        <v>2.4333333333333332E-2</v>
      </c>
    </row>
    <row r="1213" spans="1:15" ht="12.75" customHeight="1">
      <c r="A1213" s="188" t="s">
        <v>620</v>
      </c>
      <c r="B1213" s="188" t="s">
        <v>1394</v>
      </c>
      <c r="C1213" s="188" t="s">
        <v>641</v>
      </c>
      <c r="D1213" s="188" t="s">
        <v>2416</v>
      </c>
      <c r="E1213" s="189">
        <v>39534</v>
      </c>
      <c r="F1213" s="190">
        <v>0</v>
      </c>
      <c r="G1213" s="190">
        <v>126.4</v>
      </c>
      <c r="H1213" s="191">
        <v>1250</v>
      </c>
      <c r="I1213" s="191">
        <v>493.75</v>
      </c>
      <c r="J1213" s="188" t="s">
        <v>361</v>
      </c>
      <c r="K1213" s="188" t="s">
        <v>338</v>
      </c>
      <c r="L1213" s="188" t="s">
        <v>2417</v>
      </c>
      <c r="M1213" s="192">
        <f t="shared" si="54"/>
        <v>26</v>
      </c>
      <c r="N1213" s="193">
        <f t="shared" si="55"/>
        <v>0.63291139240506333</v>
      </c>
      <c r="O1213" s="194">
        <f t="shared" si="56"/>
        <v>2.4342745861733205E-2</v>
      </c>
    </row>
    <row r="1214" spans="1:15" ht="12.75" customHeight="1">
      <c r="A1214" s="188" t="s">
        <v>620</v>
      </c>
      <c r="B1214" s="188" t="s">
        <v>1394</v>
      </c>
      <c r="C1214" s="188" t="s">
        <v>641</v>
      </c>
      <c r="D1214" s="188" t="s">
        <v>2418</v>
      </c>
      <c r="E1214" s="189">
        <v>39407</v>
      </c>
      <c r="F1214" s="190">
        <v>0</v>
      </c>
      <c r="G1214" s="190">
        <v>66.88</v>
      </c>
      <c r="H1214" s="191">
        <v>967</v>
      </c>
      <c r="I1214" s="191">
        <v>261.25</v>
      </c>
      <c r="J1214" s="188" t="s">
        <v>624</v>
      </c>
      <c r="K1214" s="188" t="s">
        <v>338</v>
      </c>
      <c r="L1214" s="188" t="s">
        <v>2419</v>
      </c>
      <c r="M1214" s="192">
        <f t="shared" si="54"/>
        <v>38</v>
      </c>
      <c r="N1214" s="193">
        <f t="shared" si="55"/>
        <v>0.92535885167464116</v>
      </c>
      <c r="O1214" s="194">
        <f t="shared" si="56"/>
        <v>2.4351548728280031E-2</v>
      </c>
    </row>
    <row r="1215" spans="1:15" ht="12.75" customHeight="1">
      <c r="A1215" s="188" t="s">
        <v>620</v>
      </c>
      <c r="B1215" s="188" t="s">
        <v>1394</v>
      </c>
      <c r="C1215" s="188" t="s">
        <v>641</v>
      </c>
      <c r="D1215" s="188" t="s">
        <v>2420</v>
      </c>
      <c r="E1215" s="189">
        <v>39576</v>
      </c>
      <c r="F1215" s="190">
        <v>0</v>
      </c>
      <c r="G1215" s="190">
        <v>44.8</v>
      </c>
      <c r="H1215" s="191">
        <v>511.6</v>
      </c>
      <c r="I1215" s="191">
        <v>175</v>
      </c>
      <c r="J1215" s="188" t="s">
        <v>750</v>
      </c>
      <c r="K1215" s="188" t="s">
        <v>327</v>
      </c>
      <c r="L1215" s="188" t="s">
        <v>1827</v>
      </c>
      <c r="M1215" s="192">
        <f t="shared" si="54"/>
        <v>30</v>
      </c>
      <c r="N1215" s="193">
        <f t="shared" si="55"/>
        <v>0.73085714285714287</v>
      </c>
      <c r="O1215" s="194">
        <f t="shared" si="56"/>
        <v>2.4361904761904762E-2</v>
      </c>
    </row>
    <row r="1216" spans="1:15" ht="12.75" customHeight="1">
      <c r="A1216" s="188" t="s">
        <v>620</v>
      </c>
      <c r="B1216" s="188" t="s">
        <v>1394</v>
      </c>
      <c r="C1216" s="188" t="s">
        <v>641</v>
      </c>
      <c r="D1216" s="188" t="s">
        <v>2421</v>
      </c>
      <c r="E1216" s="189">
        <v>39568</v>
      </c>
      <c r="F1216" s="190">
        <v>0</v>
      </c>
      <c r="G1216" s="190">
        <v>104.58</v>
      </c>
      <c r="H1216" s="191">
        <v>930</v>
      </c>
      <c r="I1216" s="191">
        <v>408.5</v>
      </c>
      <c r="J1216" s="188" t="s">
        <v>635</v>
      </c>
      <c r="K1216" s="188" t="s">
        <v>648</v>
      </c>
      <c r="L1216" s="188" t="s">
        <v>2422</v>
      </c>
      <c r="M1216" s="192">
        <f t="shared" si="54"/>
        <v>41</v>
      </c>
      <c r="N1216" s="193">
        <f t="shared" si="55"/>
        <v>1</v>
      </c>
      <c r="O1216" s="194">
        <f t="shared" si="56"/>
        <v>2.4390243902439025E-2</v>
      </c>
    </row>
    <row r="1217" spans="1:15" ht="12.75" customHeight="1">
      <c r="A1217" s="188" t="s">
        <v>620</v>
      </c>
      <c r="B1217" s="188" t="s">
        <v>1394</v>
      </c>
      <c r="C1217" s="188" t="s">
        <v>641</v>
      </c>
      <c r="D1217" s="188" t="s">
        <v>2423</v>
      </c>
      <c r="E1217" s="189">
        <v>39212</v>
      </c>
      <c r="F1217" s="190">
        <v>0</v>
      </c>
      <c r="G1217" s="190">
        <v>73.73</v>
      </c>
      <c r="H1217" s="191">
        <v>702.72</v>
      </c>
      <c r="I1217" s="191">
        <v>288</v>
      </c>
      <c r="J1217" s="188" t="s">
        <v>652</v>
      </c>
      <c r="K1217" s="188" t="s">
        <v>338</v>
      </c>
      <c r="L1217" s="188" t="s">
        <v>952</v>
      </c>
      <c r="M1217" s="192">
        <f t="shared" si="54"/>
        <v>25</v>
      </c>
      <c r="N1217" s="193">
        <f t="shared" si="55"/>
        <v>0.61</v>
      </c>
      <c r="O1217" s="194">
        <f t="shared" si="56"/>
        <v>2.4399999999999998E-2</v>
      </c>
    </row>
    <row r="1218" spans="1:15" ht="12.75" customHeight="1">
      <c r="A1218" s="188" t="s">
        <v>620</v>
      </c>
      <c r="B1218" s="188" t="s">
        <v>1394</v>
      </c>
      <c r="C1218" s="188" t="s">
        <v>641</v>
      </c>
      <c r="D1218" s="188" t="s">
        <v>2424</v>
      </c>
      <c r="E1218" s="189">
        <v>39395</v>
      </c>
      <c r="F1218" s="190">
        <v>0</v>
      </c>
      <c r="G1218" s="190">
        <v>54.53</v>
      </c>
      <c r="H1218" s="191">
        <v>790</v>
      </c>
      <c r="I1218" s="191">
        <v>213</v>
      </c>
      <c r="J1218" s="188" t="s">
        <v>624</v>
      </c>
      <c r="K1218" s="188" t="s">
        <v>338</v>
      </c>
      <c r="L1218" s="188" t="s">
        <v>2425</v>
      </c>
      <c r="M1218" s="192">
        <f t="shared" ref="M1218:M1281" si="57">K1218-J1218</f>
        <v>38</v>
      </c>
      <c r="N1218" s="193">
        <f t="shared" ref="N1218:N1281" si="58">H1218/L1218</f>
        <v>0.92723004694835676</v>
      </c>
      <c r="O1218" s="194">
        <f t="shared" ref="O1218:O1281" si="59">N1218/M1218</f>
        <v>2.4400790709167283E-2</v>
      </c>
    </row>
    <row r="1219" spans="1:15" ht="12.75" customHeight="1">
      <c r="A1219" s="188" t="s">
        <v>620</v>
      </c>
      <c r="B1219" s="188" t="s">
        <v>1394</v>
      </c>
      <c r="C1219" s="188" t="s">
        <v>641</v>
      </c>
      <c r="D1219" s="188" t="s">
        <v>2426</v>
      </c>
      <c r="E1219" s="189">
        <v>39366</v>
      </c>
      <c r="F1219" s="190">
        <v>0</v>
      </c>
      <c r="G1219" s="190">
        <v>89.6</v>
      </c>
      <c r="H1219" s="191">
        <v>1300</v>
      </c>
      <c r="I1219" s="191">
        <v>350</v>
      </c>
      <c r="J1219" s="188" t="s">
        <v>624</v>
      </c>
      <c r="K1219" s="188" t="s">
        <v>338</v>
      </c>
      <c r="L1219" s="188" t="s">
        <v>754</v>
      </c>
      <c r="M1219" s="192">
        <f t="shared" si="57"/>
        <v>38</v>
      </c>
      <c r="N1219" s="193">
        <f t="shared" si="58"/>
        <v>0.9285714285714286</v>
      </c>
      <c r="O1219" s="194">
        <f t="shared" si="59"/>
        <v>2.4436090225563912E-2</v>
      </c>
    </row>
    <row r="1220" spans="1:15" ht="12.75" customHeight="1">
      <c r="A1220" s="188" t="s">
        <v>620</v>
      </c>
      <c r="B1220" s="188" t="s">
        <v>1394</v>
      </c>
      <c r="C1220" s="188" t="s">
        <v>641</v>
      </c>
      <c r="D1220" s="188" t="s">
        <v>2427</v>
      </c>
      <c r="E1220" s="189">
        <v>39436</v>
      </c>
      <c r="F1220" s="190">
        <v>0</v>
      </c>
      <c r="G1220" s="190">
        <v>53.25</v>
      </c>
      <c r="H1220" s="191">
        <v>550</v>
      </c>
      <c r="I1220" s="191">
        <v>208</v>
      </c>
      <c r="J1220" s="188" t="s">
        <v>639</v>
      </c>
      <c r="K1220" s="188" t="s">
        <v>338</v>
      </c>
      <c r="L1220" s="188" t="s">
        <v>734</v>
      </c>
      <c r="M1220" s="192">
        <f t="shared" si="57"/>
        <v>27</v>
      </c>
      <c r="N1220" s="193">
        <f t="shared" si="58"/>
        <v>0.66105769230769229</v>
      </c>
      <c r="O1220" s="194">
        <f t="shared" si="59"/>
        <v>2.4483618233618235E-2</v>
      </c>
    </row>
    <row r="1221" spans="1:15" ht="12.75" customHeight="1">
      <c r="A1221" s="188" t="s">
        <v>620</v>
      </c>
      <c r="B1221" s="188" t="s">
        <v>1394</v>
      </c>
      <c r="C1221" s="188" t="s">
        <v>641</v>
      </c>
      <c r="D1221" s="188" t="s">
        <v>2428</v>
      </c>
      <c r="E1221" s="189">
        <v>39625</v>
      </c>
      <c r="F1221" s="190">
        <v>0</v>
      </c>
      <c r="G1221" s="190">
        <v>67.2</v>
      </c>
      <c r="H1221" s="191">
        <v>695</v>
      </c>
      <c r="I1221" s="191">
        <v>262.5</v>
      </c>
      <c r="J1221" s="188" t="s">
        <v>639</v>
      </c>
      <c r="K1221" s="188" t="s">
        <v>338</v>
      </c>
      <c r="L1221" s="188" t="s">
        <v>1139</v>
      </c>
      <c r="M1221" s="192">
        <f t="shared" si="57"/>
        <v>27</v>
      </c>
      <c r="N1221" s="193">
        <f t="shared" si="58"/>
        <v>0.66190476190476188</v>
      </c>
      <c r="O1221" s="194">
        <f t="shared" si="59"/>
        <v>2.4514991181657848E-2</v>
      </c>
    </row>
    <row r="1222" spans="1:15" ht="12.75" customHeight="1">
      <c r="A1222" s="188" t="s">
        <v>620</v>
      </c>
      <c r="B1222" s="188" t="s">
        <v>1394</v>
      </c>
      <c r="C1222" s="188" t="s">
        <v>641</v>
      </c>
      <c r="D1222" s="188" t="s">
        <v>2429</v>
      </c>
      <c r="E1222" s="189">
        <v>39269</v>
      </c>
      <c r="F1222" s="190">
        <v>0</v>
      </c>
      <c r="G1222" s="190">
        <v>74.88</v>
      </c>
      <c r="H1222" s="191">
        <v>718.03</v>
      </c>
      <c r="I1222" s="191">
        <v>292.5</v>
      </c>
      <c r="J1222" s="188" t="s">
        <v>652</v>
      </c>
      <c r="K1222" s="188" t="s">
        <v>338</v>
      </c>
      <c r="L1222" s="188" t="s">
        <v>1261</v>
      </c>
      <c r="M1222" s="192">
        <f t="shared" si="57"/>
        <v>25</v>
      </c>
      <c r="N1222" s="193">
        <f t="shared" si="58"/>
        <v>0.61370085470085467</v>
      </c>
      <c r="O1222" s="194">
        <f t="shared" si="59"/>
        <v>2.4548034188034185E-2</v>
      </c>
    </row>
    <row r="1223" spans="1:15" ht="12.75" customHeight="1">
      <c r="A1223" s="188" t="s">
        <v>620</v>
      </c>
      <c r="B1223" s="188" t="s">
        <v>1394</v>
      </c>
      <c r="C1223" s="188" t="s">
        <v>641</v>
      </c>
      <c r="D1223" s="188" t="s">
        <v>2430</v>
      </c>
      <c r="E1223" s="189">
        <v>39447</v>
      </c>
      <c r="F1223" s="190">
        <v>0</v>
      </c>
      <c r="G1223" s="190">
        <v>55.3</v>
      </c>
      <c r="H1223" s="191">
        <v>488</v>
      </c>
      <c r="I1223" s="191">
        <v>216</v>
      </c>
      <c r="J1223" s="188" t="s">
        <v>571</v>
      </c>
      <c r="K1223" s="188" t="s">
        <v>338</v>
      </c>
      <c r="L1223" s="188" t="s">
        <v>1342</v>
      </c>
      <c r="M1223" s="192">
        <f t="shared" si="57"/>
        <v>23</v>
      </c>
      <c r="N1223" s="193">
        <f t="shared" si="58"/>
        <v>0.56481481481481477</v>
      </c>
      <c r="O1223" s="194">
        <f t="shared" si="59"/>
        <v>2.4557165861513686E-2</v>
      </c>
    </row>
    <row r="1224" spans="1:15" ht="12.75" customHeight="1">
      <c r="A1224" s="188" t="s">
        <v>620</v>
      </c>
      <c r="B1224" s="188" t="s">
        <v>1394</v>
      </c>
      <c r="C1224" s="188" t="s">
        <v>641</v>
      </c>
      <c r="D1224" s="188" t="s">
        <v>2431</v>
      </c>
      <c r="E1224" s="189">
        <v>39625</v>
      </c>
      <c r="F1224" s="190">
        <v>0</v>
      </c>
      <c r="G1224" s="190">
        <v>96</v>
      </c>
      <c r="H1224" s="191">
        <v>775</v>
      </c>
      <c r="I1224" s="191">
        <v>375</v>
      </c>
      <c r="J1224" s="188" t="s">
        <v>879</v>
      </c>
      <c r="K1224" s="188" t="s">
        <v>338</v>
      </c>
      <c r="L1224" s="188" t="s">
        <v>746</v>
      </c>
      <c r="M1224" s="192">
        <f t="shared" si="57"/>
        <v>21</v>
      </c>
      <c r="N1224" s="193">
        <f t="shared" si="58"/>
        <v>0.51666666666666672</v>
      </c>
      <c r="O1224" s="194">
        <f t="shared" si="59"/>
        <v>2.4603174603174606E-2</v>
      </c>
    </row>
    <row r="1225" spans="1:15" ht="12.75" customHeight="1">
      <c r="A1225" s="188" t="s">
        <v>620</v>
      </c>
      <c r="B1225" s="188" t="s">
        <v>1394</v>
      </c>
      <c r="C1225" s="188" t="s">
        <v>641</v>
      </c>
      <c r="D1225" s="188" t="s">
        <v>2432</v>
      </c>
      <c r="E1225" s="189">
        <v>39366</v>
      </c>
      <c r="F1225" s="190">
        <v>0</v>
      </c>
      <c r="G1225" s="190">
        <v>48</v>
      </c>
      <c r="H1225" s="191">
        <v>351.54</v>
      </c>
      <c r="I1225" s="191">
        <v>187.5</v>
      </c>
      <c r="J1225" s="188" t="s">
        <v>361</v>
      </c>
      <c r="K1225" s="188" t="s">
        <v>330</v>
      </c>
      <c r="L1225" s="188" t="s">
        <v>1058</v>
      </c>
      <c r="M1225" s="192">
        <f t="shared" si="57"/>
        <v>19</v>
      </c>
      <c r="N1225" s="193">
        <f t="shared" si="58"/>
        <v>0.46872000000000003</v>
      </c>
      <c r="O1225" s="194">
        <f t="shared" si="59"/>
        <v>2.4669473684210529E-2</v>
      </c>
    </row>
    <row r="1226" spans="1:15" ht="12.75" customHeight="1">
      <c r="A1226" s="188" t="s">
        <v>620</v>
      </c>
      <c r="B1226" s="188" t="s">
        <v>1394</v>
      </c>
      <c r="C1226" s="188" t="s">
        <v>641</v>
      </c>
      <c r="D1226" s="188" t="s">
        <v>2433</v>
      </c>
      <c r="E1226" s="189">
        <v>39534</v>
      </c>
      <c r="F1226" s="190">
        <v>0</v>
      </c>
      <c r="G1226" s="190">
        <v>74.239999999999995</v>
      </c>
      <c r="H1226" s="191">
        <v>544</v>
      </c>
      <c r="I1226" s="191">
        <v>290</v>
      </c>
      <c r="J1226" s="188" t="s">
        <v>667</v>
      </c>
      <c r="K1226" s="188" t="s">
        <v>338</v>
      </c>
      <c r="L1226" s="188" t="s">
        <v>1001</v>
      </c>
      <c r="M1226" s="192">
        <f t="shared" si="57"/>
        <v>19</v>
      </c>
      <c r="N1226" s="193">
        <f t="shared" si="58"/>
        <v>0.4689655172413793</v>
      </c>
      <c r="O1226" s="194">
        <f t="shared" si="59"/>
        <v>2.4682395644283123E-2</v>
      </c>
    </row>
    <row r="1227" spans="1:15" ht="12.75" customHeight="1">
      <c r="A1227" s="188" t="s">
        <v>620</v>
      </c>
      <c r="B1227" s="188" t="s">
        <v>1394</v>
      </c>
      <c r="C1227" s="188" t="s">
        <v>641</v>
      </c>
      <c r="D1227" s="188" t="s">
        <v>2434</v>
      </c>
      <c r="E1227" s="189">
        <v>39447</v>
      </c>
      <c r="F1227" s="190">
        <v>0</v>
      </c>
      <c r="G1227" s="190">
        <v>76.8</v>
      </c>
      <c r="H1227" s="191">
        <v>800</v>
      </c>
      <c r="I1227" s="191">
        <v>300</v>
      </c>
      <c r="J1227" s="188" t="s">
        <v>639</v>
      </c>
      <c r="K1227" s="188" t="s">
        <v>338</v>
      </c>
      <c r="L1227" s="188" t="s">
        <v>632</v>
      </c>
      <c r="M1227" s="192">
        <f t="shared" si="57"/>
        <v>27</v>
      </c>
      <c r="N1227" s="193">
        <f t="shared" si="58"/>
        <v>0.66666666666666663</v>
      </c>
      <c r="O1227" s="194">
        <f t="shared" si="59"/>
        <v>2.4691358024691357E-2</v>
      </c>
    </row>
    <row r="1228" spans="1:15" ht="12.75" customHeight="1">
      <c r="A1228" s="188" t="s">
        <v>620</v>
      </c>
      <c r="B1228" s="188" t="s">
        <v>1394</v>
      </c>
      <c r="C1228" s="188" t="s">
        <v>641</v>
      </c>
      <c r="D1228" s="188" t="s">
        <v>2435</v>
      </c>
      <c r="E1228" s="189">
        <v>39471</v>
      </c>
      <c r="F1228" s="190">
        <v>0</v>
      </c>
      <c r="G1228" s="190">
        <v>88.32</v>
      </c>
      <c r="H1228" s="191">
        <v>920</v>
      </c>
      <c r="I1228" s="191">
        <v>345</v>
      </c>
      <c r="J1228" s="188" t="s">
        <v>639</v>
      </c>
      <c r="K1228" s="188" t="s">
        <v>338</v>
      </c>
      <c r="L1228" s="188" t="s">
        <v>1364</v>
      </c>
      <c r="M1228" s="192">
        <f t="shared" si="57"/>
        <v>27</v>
      </c>
      <c r="N1228" s="193">
        <f t="shared" si="58"/>
        <v>0.66666666666666663</v>
      </c>
      <c r="O1228" s="194">
        <f t="shared" si="59"/>
        <v>2.4691358024691357E-2</v>
      </c>
    </row>
    <row r="1229" spans="1:15" ht="12.75" customHeight="1">
      <c r="A1229" s="188" t="s">
        <v>620</v>
      </c>
      <c r="B1229" s="188" t="s">
        <v>1394</v>
      </c>
      <c r="C1229" s="188" t="s">
        <v>641</v>
      </c>
      <c r="D1229" s="188" t="s">
        <v>2436</v>
      </c>
      <c r="E1229" s="189">
        <v>39618</v>
      </c>
      <c r="F1229" s="190">
        <v>0</v>
      </c>
      <c r="G1229" s="190">
        <v>96</v>
      </c>
      <c r="H1229" s="191">
        <v>1000</v>
      </c>
      <c r="I1229" s="191">
        <v>375</v>
      </c>
      <c r="J1229" s="188" t="s">
        <v>639</v>
      </c>
      <c r="K1229" s="188" t="s">
        <v>338</v>
      </c>
      <c r="L1229" s="188" t="s">
        <v>746</v>
      </c>
      <c r="M1229" s="192">
        <f t="shared" si="57"/>
        <v>27</v>
      </c>
      <c r="N1229" s="193">
        <f t="shared" si="58"/>
        <v>0.66666666666666663</v>
      </c>
      <c r="O1229" s="194">
        <f t="shared" si="59"/>
        <v>2.4691358024691357E-2</v>
      </c>
    </row>
    <row r="1230" spans="1:15" ht="12.75" customHeight="1">
      <c r="A1230" s="188" t="s">
        <v>620</v>
      </c>
      <c r="B1230" s="188" t="s">
        <v>1394</v>
      </c>
      <c r="C1230" s="188" t="s">
        <v>641</v>
      </c>
      <c r="D1230" s="188" t="s">
        <v>2437</v>
      </c>
      <c r="E1230" s="189">
        <v>39269</v>
      </c>
      <c r="F1230" s="190">
        <v>0</v>
      </c>
      <c r="G1230" s="190">
        <v>179.2</v>
      </c>
      <c r="H1230" s="191">
        <v>2628.08</v>
      </c>
      <c r="I1230" s="191">
        <v>700</v>
      </c>
      <c r="J1230" s="188" t="s">
        <v>624</v>
      </c>
      <c r="K1230" s="188" t="s">
        <v>338</v>
      </c>
      <c r="L1230" s="188" t="s">
        <v>2438</v>
      </c>
      <c r="M1230" s="192">
        <f t="shared" si="57"/>
        <v>38</v>
      </c>
      <c r="N1230" s="193">
        <f t="shared" si="58"/>
        <v>0.93859999999999999</v>
      </c>
      <c r="O1230" s="194">
        <f t="shared" si="59"/>
        <v>2.47E-2</v>
      </c>
    </row>
    <row r="1231" spans="1:15" ht="12.75" customHeight="1">
      <c r="A1231" s="188" t="s">
        <v>620</v>
      </c>
      <c r="B1231" s="188" t="s">
        <v>1394</v>
      </c>
      <c r="C1231" s="188" t="s">
        <v>641</v>
      </c>
      <c r="D1231" s="188" t="s">
        <v>2439</v>
      </c>
      <c r="E1231" s="189">
        <v>39447</v>
      </c>
      <c r="F1231" s="190">
        <v>0</v>
      </c>
      <c r="G1231" s="190">
        <v>76.8</v>
      </c>
      <c r="H1231" s="191">
        <v>711.38</v>
      </c>
      <c r="I1231" s="191">
        <v>300</v>
      </c>
      <c r="J1231" s="188" t="s">
        <v>1052</v>
      </c>
      <c r="K1231" s="188" t="s">
        <v>338</v>
      </c>
      <c r="L1231" s="188" t="s">
        <v>632</v>
      </c>
      <c r="M1231" s="192">
        <f t="shared" si="57"/>
        <v>24</v>
      </c>
      <c r="N1231" s="193">
        <f t="shared" si="58"/>
        <v>0.59281666666666666</v>
      </c>
      <c r="O1231" s="194">
        <f t="shared" si="59"/>
        <v>2.4700694444444445E-2</v>
      </c>
    </row>
    <row r="1232" spans="1:15" ht="12.75" customHeight="1">
      <c r="A1232" s="188" t="s">
        <v>620</v>
      </c>
      <c r="B1232" s="188" t="s">
        <v>1394</v>
      </c>
      <c r="C1232" s="188" t="s">
        <v>641</v>
      </c>
      <c r="D1232" s="188" t="s">
        <v>2440</v>
      </c>
      <c r="E1232" s="189">
        <v>39395</v>
      </c>
      <c r="F1232" s="190">
        <v>0</v>
      </c>
      <c r="G1232" s="190">
        <v>77.44</v>
      </c>
      <c r="H1232" s="191">
        <v>957</v>
      </c>
      <c r="I1232" s="191">
        <v>302.5</v>
      </c>
      <c r="J1232" s="188" t="s">
        <v>353</v>
      </c>
      <c r="K1232" s="188" t="s">
        <v>338</v>
      </c>
      <c r="L1232" s="188" t="s">
        <v>2441</v>
      </c>
      <c r="M1232" s="192">
        <f t="shared" si="57"/>
        <v>32</v>
      </c>
      <c r="N1232" s="193">
        <f t="shared" si="58"/>
        <v>0.79090909090909089</v>
      </c>
      <c r="O1232" s="194">
        <f t="shared" si="59"/>
        <v>2.471590909090909E-2</v>
      </c>
    </row>
    <row r="1233" spans="1:15" ht="12.75" customHeight="1">
      <c r="A1233" s="188" t="s">
        <v>620</v>
      </c>
      <c r="B1233" s="188" t="s">
        <v>1394</v>
      </c>
      <c r="C1233" s="188" t="s">
        <v>641</v>
      </c>
      <c r="D1233" s="188" t="s">
        <v>2442</v>
      </c>
      <c r="E1233" s="189">
        <v>39429</v>
      </c>
      <c r="F1233" s="190">
        <v>0</v>
      </c>
      <c r="G1233" s="190">
        <v>100.42</v>
      </c>
      <c r="H1233" s="191">
        <v>1475</v>
      </c>
      <c r="I1233" s="191">
        <v>392.25</v>
      </c>
      <c r="J1233" s="188" t="s">
        <v>624</v>
      </c>
      <c r="K1233" s="188" t="s">
        <v>338</v>
      </c>
      <c r="L1233" s="188" t="s">
        <v>2443</v>
      </c>
      <c r="M1233" s="192">
        <f t="shared" si="57"/>
        <v>38</v>
      </c>
      <c r="N1233" s="193">
        <f t="shared" si="58"/>
        <v>0.94008922880815804</v>
      </c>
      <c r="O1233" s="194">
        <f t="shared" si="59"/>
        <v>2.4739190231793634E-2</v>
      </c>
    </row>
    <row r="1234" spans="1:15" ht="12.75" customHeight="1">
      <c r="A1234" s="188" t="s">
        <v>620</v>
      </c>
      <c r="B1234" s="188" t="s">
        <v>1394</v>
      </c>
      <c r="C1234" s="188" t="s">
        <v>641</v>
      </c>
      <c r="D1234" s="188" t="s">
        <v>2444</v>
      </c>
      <c r="E1234" s="189">
        <v>39507</v>
      </c>
      <c r="F1234" s="190">
        <v>0</v>
      </c>
      <c r="G1234" s="190">
        <v>66.56</v>
      </c>
      <c r="H1234" s="191">
        <v>695</v>
      </c>
      <c r="I1234" s="191">
        <v>260</v>
      </c>
      <c r="J1234" s="188" t="s">
        <v>639</v>
      </c>
      <c r="K1234" s="188" t="s">
        <v>338</v>
      </c>
      <c r="L1234" s="188" t="s">
        <v>808</v>
      </c>
      <c r="M1234" s="192">
        <f t="shared" si="57"/>
        <v>27</v>
      </c>
      <c r="N1234" s="193">
        <f t="shared" si="58"/>
        <v>0.66826923076923073</v>
      </c>
      <c r="O1234" s="194">
        <f t="shared" si="59"/>
        <v>2.4750712250712251E-2</v>
      </c>
    </row>
    <row r="1235" spans="1:15" ht="12.75" customHeight="1">
      <c r="A1235" s="188" t="s">
        <v>620</v>
      </c>
      <c r="B1235" s="188" t="s">
        <v>1394</v>
      </c>
      <c r="C1235" s="188" t="s">
        <v>641</v>
      </c>
      <c r="D1235" s="188" t="s">
        <v>2445</v>
      </c>
      <c r="E1235" s="189">
        <v>39507</v>
      </c>
      <c r="F1235" s="190">
        <v>0</v>
      </c>
      <c r="G1235" s="190">
        <v>72.45</v>
      </c>
      <c r="H1235" s="191">
        <v>590</v>
      </c>
      <c r="I1235" s="191">
        <v>283</v>
      </c>
      <c r="J1235" s="188" t="s">
        <v>879</v>
      </c>
      <c r="K1235" s="188" t="s">
        <v>338</v>
      </c>
      <c r="L1235" s="188" t="s">
        <v>2446</v>
      </c>
      <c r="M1235" s="192">
        <f t="shared" si="57"/>
        <v>21</v>
      </c>
      <c r="N1235" s="193">
        <f t="shared" si="58"/>
        <v>0.52120141342756188</v>
      </c>
      <c r="O1235" s="194">
        <f t="shared" si="59"/>
        <v>2.4819114925121993E-2</v>
      </c>
    </row>
    <row r="1236" spans="1:15" ht="12.75" customHeight="1">
      <c r="A1236" s="188" t="s">
        <v>620</v>
      </c>
      <c r="B1236" s="188" t="s">
        <v>1394</v>
      </c>
      <c r="C1236" s="188" t="s">
        <v>641</v>
      </c>
      <c r="D1236" s="188" t="s">
        <v>2447</v>
      </c>
      <c r="E1236" s="189">
        <v>39555</v>
      </c>
      <c r="F1236" s="190">
        <v>0</v>
      </c>
      <c r="G1236" s="190">
        <v>113.6</v>
      </c>
      <c r="H1236" s="191">
        <v>1193.8599999999999</v>
      </c>
      <c r="I1236" s="191">
        <v>443.75</v>
      </c>
      <c r="J1236" s="188" t="s">
        <v>639</v>
      </c>
      <c r="K1236" s="188" t="s">
        <v>338</v>
      </c>
      <c r="L1236" s="188" t="s">
        <v>1403</v>
      </c>
      <c r="M1236" s="192">
        <f t="shared" si="57"/>
        <v>27</v>
      </c>
      <c r="N1236" s="193">
        <f t="shared" si="58"/>
        <v>0.67259718309859151</v>
      </c>
      <c r="O1236" s="194">
        <f t="shared" si="59"/>
        <v>2.4911006781429317E-2</v>
      </c>
    </row>
    <row r="1237" spans="1:15" ht="12.75" customHeight="1">
      <c r="A1237" s="188" t="s">
        <v>620</v>
      </c>
      <c r="B1237" s="188" t="s">
        <v>1394</v>
      </c>
      <c r="C1237" s="188" t="s">
        <v>641</v>
      </c>
      <c r="D1237" s="188" t="s">
        <v>2448</v>
      </c>
      <c r="E1237" s="189">
        <v>39345</v>
      </c>
      <c r="F1237" s="190">
        <v>0</v>
      </c>
      <c r="G1237" s="190">
        <v>33.79</v>
      </c>
      <c r="H1237" s="191">
        <v>250.01</v>
      </c>
      <c r="I1237" s="191">
        <v>132</v>
      </c>
      <c r="J1237" s="188" t="s">
        <v>667</v>
      </c>
      <c r="K1237" s="188" t="s">
        <v>338</v>
      </c>
      <c r="L1237" s="188" t="s">
        <v>1162</v>
      </c>
      <c r="M1237" s="192">
        <f t="shared" si="57"/>
        <v>19</v>
      </c>
      <c r="N1237" s="193">
        <f t="shared" si="58"/>
        <v>0.47350378787878789</v>
      </c>
      <c r="O1237" s="194">
        <f t="shared" si="59"/>
        <v>2.4921251993620414E-2</v>
      </c>
    </row>
    <row r="1238" spans="1:15" ht="12.75" customHeight="1">
      <c r="A1238" s="188" t="s">
        <v>620</v>
      </c>
      <c r="B1238" s="188" t="s">
        <v>1394</v>
      </c>
      <c r="C1238" s="188" t="s">
        <v>641</v>
      </c>
      <c r="D1238" s="188" t="s">
        <v>2449</v>
      </c>
      <c r="E1238" s="189">
        <v>39447</v>
      </c>
      <c r="F1238" s="190">
        <v>0</v>
      </c>
      <c r="G1238" s="190">
        <v>86.4</v>
      </c>
      <c r="H1238" s="191">
        <v>774</v>
      </c>
      <c r="I1238" s="191">
        <v>337.5</v>
      </c>
      <c r="J1238" s="188" t="s">
        <v>571</v>
      </c>
      <c r="K1238" s="188" t="s">
        <v>338</v>
      </c>
      <c r="L1238" s="188" t="s">
        <v>707</v>
      </c>
      <c r="M1238" s="192">
        <f t="shared" si="57"/>
        <v>23</v>
      </c>
      <c r="N1238" s="193">
        <f t="shared" si="58"/>
        <v>0.57333333333333336</v>
      </c>
      <c r="O1238" s="194">
        <f t="shared" si="59"/>
        <v>2.4927536231884061E-2</v>
      </c>
    </row>
    <row r="1239" spans="1:15" ht="12.75" customHeight="1">
      <c r="A1239" s="188" t="s">
        <v>620</v>
      </c>
      <c r="B1239" s="188" t="s">
        <v>1394</v>
      </c>
      <c r="C1239" s="188" t="s">
        <v>641</v>
      </c>
      <c r="D1239" s="188" t="s">
        <v>2450</v>
      </c>
      <c r="E1239" s="189">
        <v>39632</v>
      </c>
      <c r="F1239" s="190">
        <v>0</v>
      </c>
      <c r="G1239" s="190">
        <v>110.08</v>
      </c>
      <c r="H1239" s="191">
        <v>1073</v>
      </c>
      <c r="I1239" s="191">
        <v>430</v>
      </c>
      <c r="J1239" s="188" t="s">
        <v>652</v>
      </c>
      <c r="K1239" s="188" t="s">
        <v>338</v>
      </c>
      <c r="L1239" s="188" t="s">
        <v>2451</v>
      </c>
      <c r="M1239" s="192">
        <f t="shared" si="57"/>
        <v>25</v>
      </c>
      <c r="N1239" s="193">
        <f t="shared" si="58"/>
        <v>0.62383720930232556</v>
      </c>
      <c r="O1239" s="194">
        <f t="shared" si="59"/>
        <v>2.4953488372093022E-2</v>
      </c>
    </row>
    <row r="1240" spans="1:15" ht="12.75" customHeight="1">
      <c r="A1240" s="188" t="s">
        <v>620</v>
      </c>
      <c r="B1240" s="188" t="s">
        <v>1394</v>
      </c>
      <c r="C1240" s="188" t="s">
        <v>641</v>
      </c>
      <c r="D1240" s="188" t="s">
        <v>2452</v>
      </c>
      <c r="E1240" s="189">
        <v>39464</v>
      </c>
      <c r="F1240" s="190">
        <v>0</v>
      </c>
      <c r="G1240" s="190">
        <v>49.79</v>
      </c>
      <c r="H1240" s="191">
        <v>582.66999999999996</v>
      </c>
      <c r="I1240" s="191">
        <v>194.5</v>
      </c>
      <c r="J1240" s="188" t="s">
        <v>571</v>
      </c>
      <c r="K1240" s="188" t="s">
        <v>439</v>
      </c>
      <c r="L1240" s="188" t="s">
        <v>2453</v>
      </c>
      <c r="M1240" s="192">
        <f t="shared" si="57"/>
        <v>30</v>
      </c>
      <c r="N1240" s="193">
        <f t="shared" si="58"/>
        <v>0.7489331619537275</v>
      </c>
      <c r="O1240" s="194">
        <f t="shared" si="59"/>
        <v>2.4964438731790918E-2</v>
      </c>
    </row>
    <row r="1241" spans="1:15" ht="12.75" customHeight="1">
      <c r="A1241" s="188" t="s">
        <v>620</v>
      </c>
      <c r="B1241" s="188" t="s">
        <v>1394</v>
      </c>
      <c r="C1241" s="188" t="s">
        <v>641</v>
      </c>
      <c r="D1241" s="188" t="s">
        <v>2454</v>
      </c>
      <c r="E1241" s="189">
        <v>39310</v>
      </c>
      <c r="F1241" s="190">
        <v>0</v>
      </c>
      <c r="G1241" s="190">
        <v>87.74</v>
      </c>
      <c r="H1241" s="191">
        <v>1197.98</v>
      </c>
      <c r="I1241" s="191">
        <v>342.75</v>
      </c>
      <c r="J1241" s="188" t="s">
        <v>829</v>
      </c>
      <c r="K1241" s="188" t="s">
        <v>338</v>
      </c>
      <c r="L1241" s="188" t="s">
        <v>2220</v>
      </c>
      <c r="M1241" s="192">
        <f t="shared" si="57"/>
        <v>35</v>
      </c>
      <c r="N1241" s="193">
        <f t="shared" si="58"/>
        <v>0.87380014587892052</v>
      </c>
      <c r="O1241" s="194">
        <f t="shared" si="59"/>
        <v>2.4965718453683443E-2</v>
      </c>
    </row>
    <row r="1242" spans="1:15" ht="12.75" customHeight="1">
      <c r="A1242" s="188" t="s">
        <v>620</v>
      </c>
      <c r="B1242" s="188" t="s">
        <v>1394</v>
      </c>
      <c r="C1242" s="188" t="s">
        <v>641</v>
      </c>
      <c r="D1242" s="188" t="s">
        <v>2455</v>
      </c>
      <c r="E1242" s="189">
        <v>39289</v>
      </c>
      <c r="F1242" s="190">
        <v>0</v>
      </c>
      <c r="G1242" s="190">
        <v>32</v>
      </c>
      <c r="H1242" s="191">
        <v>374.85</v>
      </c>
      <c r="I1242" s="191">
        <v>125</v>
      </c>
      <c r="J1242" s="188" t="s">
        <v>635</v>
      </c>
      <c r="K1242" s="188" t="s">
        <v>338</v>
      </c>
      <c r="L1242" s="188" t="s">
        <v>858</v>
      </c>
      <c r="M1242" s="192">
        <f t="shared" si="57"/>
        <v>30</v>
      </c>
      <c r="N1242" s="193">
        <f t="shared" si="58"/>
        <v>0.74970000000000003</v>
      </c>
      <c r="O1242" s="194">
        <f t="shared" si="59"/>
        <v>2.4990000000000002E-2</v>
      </c>
    </row>
    <row r="1243" spans="1:15" ht="12.75" customHeight="1">
      <c r="A1243" s="188" t="s">
        <v>620</v>
      </c>
      <c r="B1243" s="188" t="s">
        <v>1394</v>
      </c>
      <c r="C1243" s="188" t="s">
        <v>641</v>
      </c>
      <c r="D1243" s="188" t="s">
        <v>2456</v>
      </c>
      <c r="E1243" s="189">
        <v>39429</v>
      </c>
      <c r="F1243" s="190">
        <v>0</v>
      </c>
      <c r="G1243" s="190">
        <v>44.8</v>
      </c>
      <c r="H1243" s="191">
        <v>420</v>
      </c>
      <c r="I1243" s="191">
        <v>175</v>
      </c>
      <c r="J1243" s="188" t="s">
        <v>1052</v>
      </c>
      <c r="K1243" s="188" t="s">
        <v>338</v>
      </c>
      <c r="L1243" s="188" t="s">
        <v>1827</v>
      </c>
      <c r="M1243" s="192">
        <f t="shared" si="57"/>
        <v>24</v>
      </c>
      <c r="N1243" s="193">
        <f t="shared" si="58"/>
        <v>0.6</v>
      </c>
      <c r="O1243" s="194">
        <f t="shared" si="59"/>
        <v>2.4999999999999998E-2</v>
      </c>
    </row>
    <row r="1244" spans="1:15" ht="12.75" customHeight="1">
      <c r="A1244" s="188" t="s">
        <v>620</v>
      </c>
      <c r="B1244" s="188" t="s">
        <v>1394</v>
      </c>
      <c r="C1244" s="188" t="s">
        <v>641</v>
      </c>
      <c r="D1244" s="188" t="s">
        <v>2457</v>
      </c>
      <c r="E1244" s="189">
        <v>39247</v>
      </c>
      <c r="F1244" s="190">
        <v>0</v>
      </c>
      <c r="G1244" s="190">
        <v>25.6</v>
      </c>
      <c r="H1244" s="191">
        <v>220</v>
      </c>
      <c r="I1244" s="191">
        <v>100</v>
      </c>
      <c r="J1244" s="188" t="s">
        <v>710</v>
      </c>
      <c r="K1244" s="188" t="s">
        <v>338</v>
      </c>
      <c r="L1244" s="188" t="s">
        <v>910</v>
      </c>
      <c r="M1244" s="192">
        <f t="shared" si="57"/>
        <v>22</v>
      </c>
      <c r="N1244" s="193">
        <f t="shared" si="58"/>
        <v>0.55000000000000004</v>
      </c>
      <c r="O1244" s="194">
        <f t="shared" si="59"/>
        <v>2.5000000000000001E-2</v>
      </c>
    </row>
    <row r="1245" spans="1:15" ht="12.75" customHeight="1">
      <c r="A1245" s="188" t="s">
        <v>620</v>
      </c>
      <c r="B1245" s="188" t="s">
        <v>1394</v>
      </c>
      <c r="C1245" s="188" t="s">
        <v>641</v>
      </c>
      <c r="D1245" s="188" t="s">
        <v>2458</v>
      </c>
      <c r="E1245" s="189">
        <v>39345</v>
      </c>
      <c r="F1245" s="190">
        <v>0</v>
      </c>
      <c r="G1245" s="190">
        <v>64</v>
      </c>
      <c r="H1245" s="191">
        <v>750</v>
      </c>
      <c r="I1245" s="191">
        <v>250</v>
      </c>
      <c r="J1245" s="188" t="s">
        <v>635</v>
      </c>
      <c r="K1245" s="188" t="s">
        <v>338</v>
      </c>
      <c r="L1245" s="188" t="s">
        <v>636</v>
      </c>
      <c r="M1245" s="192">
        <f t="shared" si="57"/>
        <v>30</v>
      </c>
      <c r="N1245" s="193">
        <f t="shared" si="58"/>
        <v>0.75</v>
      </c>
      <c r="O1245" s="194">
        <f t="shared" si="59"/>
        <v>2.5000000000000001E-2</v>
      </c>
    </row>
    <row r="1246" spans="1:15" ht="12.75" customHeight="1">
      <c r="A1246" s="188" t="s">
        <v>620</v>
      </c>
      <c r="B1246" s="188" t="s">
        <v>1394</v>
      </c>
      <c r="C1246" s="188" t="s">
        <v>641</v>
      </c>
      <c r="D1246" s="188" t="s">
        <v>2459</v>
      </c>
      <c r="E1246" s="189">
        <v>39353</v>
      </c>
      <c r="F1246" s="190">
        <v>0</v>
      </c>
      <c r="G1246" s="190">
        <v>51.2</v>
      </c>
      <c r="H1246" s="191">
        <v>540</v>
      </c>
      <c r="I1246" s="191">
        <v>200</v>
      </c>
      <c r="J1246" s="188" t="s">
        <v>639</v>
      </c>
      <c r="K1246" s="188" t="s">
        <v>338</v>
      </c>
      <c r="L1246" s="188" t="s">
        <v>752</v>
      </c>
      <c r="M1246" s="192">
        <f t="shared" si="57"/>
        <v>27</v>
      </c>
      <c r="N1246" s="193">
        <f t="shared" si="58"/>
        <v>0.67500000000000004</v>
      </c>
      <c r="O1246" s="194">
        <f t="shared" si="59"/>
        <v>2.5000000000000001E-2</v>
      </c>
    </row>
    <row r="1247" spans="1:15" ht="12.75" customHeight="1">
      <c r="A1247" s="188" t="s">
        <v>620</v>
      </c>
      <c r="B1247" s="188" t="s">
        <v>1394</v>
      </c>
      <c r="C1247" s="188" t="s">
        <v>641</v>
      </c>
      <c r="D1247" s="188" t="s">
        <v>2460</v>
      </c>
      <c r="E1247" s="189">
        <v>39436</v>
      </c>
      <c r="F1247" s="190">
        <v>0</v>
      </c>
      <c r="G1247" s="190">
        <v>96</v>
      </c>
      <c r="H1247" s="191">
        <v>1125</v>
      </c>
      <c r="I1247" s="191">
        <v>375</v>
      </c>
      <c r="J1247" s="188" t="s">
        <v>635</v>
      </c>
      <c r="K1247" s="188" t="s">
        <v>338</v>
      </c>
      <c r="L1247" s="188" t="s">
        <v>746</v>
      </c>
      <c r="M1247" s="192">
        <f t="shared" si="57"/>
        <v>30</v>
      </c>
      <c r="N1247" s="193">
        <f t="shared" si="58"/>
        <v>0.75</v>
      </c>
      <c r="O1247" s="194">
        <f t="shared" si="59"/>
        <v>2.5000000000000001E-2</v>
      </c>
    </row>
    <row r="1248" spans="1:15" ht="12.75" customHeight="1">
      <c r="A1248" s="188" t="s">
        <v>620</v>
      </c>
      <c r="B1248" s="188" t="s">
        <v>1394</v>
      </c>
      <c r="C1248" s="188" t="s">
        <v>641</v>
      </c>
      <c r="D1248" s="188" t="s">
        <v>2461</v>
      </c>
      <c r="E1248" s="189">
        <v>39513</v>
      </c>
      <c r="F1248" s="190">
        <v>0</v>
      </c>
      <c r="G1248" s="190">
        <v>76.8</v>
      </c>
      <c r="H1248" s="191">
        <v>900</v>
      </c>
      <c r="I1248" s="191">
        <v>300</v>
      </c>
      <c r="J1248" s="188" t="s">
        <v>635</v>
      </c>
      <c r="K1248" s="188" t="s">
        <v>338</v>
      </c>
      <c r="L1248" s="188" t="s">
        <v>632</v>
      </c>
      <c r="M1248" s="192">
        <f t="shared" si="57"/>
        <v>30</v>
      </c>
      <c r="N1248" s="193">
        <f t="shared" si="58"/>
        <v>0.75</v>
      </c>
      <c r="O1248" s="194">
        <f t="shared" si="59"/>
        <v>2.5000000000000001E-2</v>
      </c>
    </row>
    <row r="1249" spans="1:15" ht="12.75" customHeight="1">
      <c r="A1249" s="188" t="s">
        <v>620</v>
      </c>
      <c r="B1249" s="188" t="s">
        <v>1394</v>
      </c>
      <c r="C1249" s="188" t="s">
        <v>641</v>
      </c>
      <c r="D1249" s="188" t="s">
        <v>2462</v>
      </c>
      <c r="E1249" s="189">
        <v>39568</v>
      </c>
      <c r="F1249" s="190">
        <v>0</v>
      </c>
      <c r="G1249" s="190">
        <v>51.2</v>
      </c>
      <c r="H1249" s="191">
        <v>700</v>
      </c>
      <c r="I1249" s="191">
        <v>200</v>
      </c>
      <c r="J1249" s="188" t="s">
        <v>829</v>
      </c>
      <c r="K1249" s="188" t="s">
        <v>338</v>
      </c>
      <c r="L1249" s="188" t="s">
        <v>752</v>
      </c>
      <c r="M1249" s="192">
        <f t="shared" si="57"/>
        <v>35</v>
      </c>
      <c r="N1249" s="193">
        <f t="shared" si="58"/>
        <v>0.875</v>
      </c>
      <c r="O1249" s="194">
        <f t="shared" si="59"/>
        <v>2.5000000000000001E-2</v>
      </c>
    </row>
    <row r="1250" spans="1:15" ht="12.75" customHeight="1">
      <c r="A1250" s="188" t="s">
        <v>620</v>
      </c>
      <c r="B1250" s="188" t="s">
        <v>1394</v>
      </c>
      <c r="C1250" s="188" t="s">
        <v>641</v>
      </c>
      <c r="D1250" s="188" t="s">
        <v>2463</v>
      </c>
      <c r="E1250" s="189">
        <v>39583</v>
      </c>
      <c r="F1250" s="190">
        <v>0</v>
      </c>
      <c r="G1250" s="190">
        <v>79.36</v>
      </c>
      <c r="H1250" s="191">
        <v>930</v>
      </c>
      <c r="I1250" s="191">
        <v>310</v>
      </c>
      <c r="J1250" s="188" t="s">
        <v>635</v>
      </c>
      <c r="K1250" s="188" t="s">
        <v>338</v>
      </c>
      <c r="L1250" s="188" t="s">
        <v>1449</v>
      </c>
      <c r="M1250" s="192">
        <f t="shared" si="57"/>
        <v>30</v>
      </c>
      <c r="N1250" s="193">
        <f t="shared" si="58"/>
        <v>0.75</v>
      </c>
      <c r="O1250" s="194">
        <f t="shared" si="59"/>
        <v>2.5000000000000001E-2</v>
      </c>
    </row>
    <row r="1251" spans="1:15" ht="12.75" customHeight="1">
      <c r="A1251" s="188" t="s">
        <v>620</v>
      </c>
      <c r="B1251" s="188" t="s">
        <v>1394</v>
      </c>
      <c r="C1251" s="188" t="s">
        <v>641</v>
      </c>
      <c r="D1251" s="188" t="s">
        <v>2464</v>
      </c>
      <c r="E1251" s="189">
        <v>39395</v>
      </c>
      <c r="F1251" s="190">
        <v>0</v>
      </c>
      <c r="G1251" s="190">
        <v>68.22</v>
      </c>
      <c r="H1251" s="191">
        <v>800</v>
      </c>
      <c r="I1251" s="191">
        <v>266.5</v>
      </c>
      <c r="J1251" s="188" t="s">
        <v>635</v>
      </c>
      <c r="K1251" s="188" t="s">
        <v>338</v>
      </c>
      <c r="L1251" s="188" t="s">
        <v>2269</v>
      </c>
      <c r="M1251" s="192">
        <f t="shared" si="57"/>
        <v>30</v>
      </c>
      <c r="N1251" s="193">
        <f t="shared" si="58"/>
        <v>0.75046904315196994</v>
      </c>
      <c r="O1251" s="194">
        <f t="shared" si="59"/>
        <v>2.5015634771732333E-2</v>
      </c>
    </row>
    <row r="1252" spans="1:15" ht="12.75" customHeight="1">
      <c r="A1252" s="188" t="s">
        <v>620</v>
      </c>
      <c r="B1252" s="188" t="s">
        <v>1394</v>
      </c>
      <c r="C1252" s="188" t="s">
        <v>641</v>
      </c>
      <c r="D1252" s="188" t="s">
        <v>2465</v>
      </c>
      <c r="E1252" s="189">
        <v>39366</v>
      </c>
      <c r="F1252" s="190">
        <v>0</v>
      </c>
      <c r="G1252" s="190">
        <v>55.62</v>
      </c>
      <c r="H1252" s="191">
        <v>652.82000000000005</v>
      </c>
      <c r="I1252" s="191">
        <v>217.25</v>
      </c>
      <c r="J1252" s="188" t="s">
        <v>635</v>
      </c>
      <c r="K1252" s="188" t="s">
        <v>338</v>
      </c>
      <c r="L1252" s="188" t="s">
        <v>1376</v>
      </c>
      <c r="M1252" s="192">
        <f t="shared" si="57"/>
        <v>30</v>
      </c>
      <c r="N1252" s="193">
        <f t="shared" si="58"/>
        <v>0.75123130034522445</v>
      </c>
      <c r="O1252" s="194">
        <f t="shared" si="59"/>
        <v>2.5041043344840815E-2</v>
      </c>
    </row>
    <row r="1253" spans="1:15" ht="12.75" customHeight="1">
      <c r="A1253" s="188" t="s">
        <v>620</v>
      </c>
      <c r="B1253" s="188" t="s">
        <v>1394</v>
      </c>
      <c r="C1253" s="188" t="s">
        <v>641</v>
      </c>
      <c r="D1253" s="188" t="s">
        <v>2466</v>
      </c>
      <c r="E1253" s="189">
        <v>39625</v>
      </c>
      <c r="F1253" s="190">
        <v>0</v>
      </c>
      <c r="G1253" s="190">
        <v>20.16</v>
      </c>
      <c r="H1253" s="191">
        <v>300</v>
      </c>
      <c r="I1253" s="191">
        <v>78.75</v>
      </c>
      <c r="J1253" s="188" t="s">
        <v>624</v>
      </c>
      <c r="K1253" s="188" t="s">
        <v>338</v>
      </c>
      <c r="L1253" s="188" t="s">
        <v>2467</v>
      </c>
      <c r="M1253" s="192">
        <f t="shared" si="57"/>
        <v>38</v>
      </c>
      <c r="N1253" s="193">
        <f t="shared" si="58"/>
        <v>0.95238095238095233</v>
      </c>
      <c r="O1253" s="194">
        <f t="shared" si="59"/>
        <v>2.5062656641604009E-2</v>
      </c>
    </row>
    <row r="1254" spans="1:15" ht="12.75" customHeight="1">
      <c r="A1254" s="188" t="s">
        <v>620</v>
      </c>
      <c r="B1254" s="188" t="s">
        <v>1394</v>
      </c>
      <c r="C1254" s="188" t="s">
        <v>641</v>
      </c>
      <c r="D1254" s="188" t="s">
        <v>2468</v>
      </c>
      <c r="E1254" s="189">
        <v>39520</v>
      </c>
      <c r="F1254" s="190">
        <v>0</v>
      </c>
      <c r="G1254" s="190">
        <v>96</v>
      </c>
      <c r="H1254" s="191">
        <v>1055</v>
      </c>
      <c r="I1254" s="191">
        <v>375</v>
      </c>
      <c r="J1254" s="188" t="s">
        <v>750</v>
      </c>
      <c r="K1254" s="188" t="s">
        <v>338</v>
      </c>
      <c r="L1254" s="188" t="s">
        <v>746</v>
      </c>
      <c r="M1254" s="192">
        <f t="shared" si="57"/>
        <v>28</v>
      </c>
      <c r="N1254" s="193">
        <f t="shared" si="58"/>
        <v>0.70333333333333337</v>
      </c>
      <c r="O1254" s="194">
        <f t="shared" si="59"/>
        <v>2.5119047619047621E-2</v>
      </c>
    </row>
    <row r="1255" spans="1:15" ht="12.75" customHeight="1">
      <c r="A1255" s="188" t="s">
        <v>620</v>
      </c>
      <c r="B1255" s="188" t="s">
        <v>1394</v>
      </c>
      <c r="C1255" s="188" t="s">
        <v>641</v>
      </c>
      <c r="D1255" s="188" t="s">
        <v>2469</v>
      </c>
      <c r="E1255" s="189">
        <v>39407</v>
      </c>
      <c r="F1255" s="190">
        <v>0</v>
      </c>
      <c r="G1255" s="190">
        <v>83.2</v>
      </c>
      <c r="H1255" s="191">
        <v>980</v>
      </c>
      <c r="I1255" s="191">
        <v>325</v>
      </c>
      <c r="J1255" s="188" t="s">
        <v>635</v>
      </c>
      <c r="K1255" s="188" t="s">
        <v>338</v>
      </c>
      <c r="L1255" s="188" t="s">
        <v>699</v>
      </c>
      <c r="M1255" s="192">
        <f t="shared" si="57"/>
        <v>30</v>
      </c>
      <c r="N1255" s="193">
        <f t="shared" si="58"/>
        <v>0.75384615384615383</v>
      </c>
      <c r="O1255" s="194">
        <f t="shared" si="59"/>
        <v>2.5128205128205128E-2</v>
      </c>
    </row>
    <row r="1256" spans="1:15" ht="12.75" customHeight="1">
      <c r="A1256" s="188" t="s">
        <v>620</v>
      </c>
      <c r="B1256" s="188" t="s">
        <v>1394</v>
      </c>
      <c r="C1256" s="188" t="s">
        <v>641</v>
      </c>
      <c r="D1256" s="188" t="s">
        <v>2470</v>
      </c>
      <c r="E1256" s="189">
        <v>39590</v>
      </c>
      <c r="F1256" s="190">
        <v>0</v>
      </c>
      <c r="G1256" s="190">
        <v>52.86</v>
      </c>
      <c r="H1256" s="191">
        <v>685</v>
      </c>
      <c r="I1256" s="191">
        <v>206.5</v>
      </c>
      <c r="J1256" s="188" t="s">
        <v>742</v>
      </c>
      <c r="K1256" s="188" t="s">
        <v>338</v>
      </c>
      <c r="L1256" s="188" t="s">
        <v>2471</v>
      </c>
      <c r="M1256" s="192">
        <f t="shared" si="57"/>
        <v>33</v>
      </c>
      <c r="N1256" s="193">
        <f t="shared" si="58"/>
        <v>0.82929782082324455</v>
      </c>
      <c r="O1256" s="194">
        <f t="shared" si="59"/>
        <v>2.5130236994643774E-2</v>
      </c>
    </row>
    <row r="1257" spans="1:15" ht="12.75" customHeight="1">
      <c r="A1257" s="188" t="s">
        <v>620</v>
      </c>
      <c r="B1257" s="188" t="s">
        <v>1394</v>
      </c>
      <c r="C1257" s="188" t="s">
        <v>641</v>
      </c>
      <c r="D1257" s="188" t="s">
        <v>2472</v>
      </c>
      <c r="E1257" s="189">
        <v>39527</v>
      </c>
      <c r="F1257" s="190">
        <v>0</v>
      </c>
      <c r="G1257" s="190">
        <v>81.92</v>
      </c>
      <c r="H1257" s="191">
        <v>772.94</v>
      </c>
      <c r="I1257" s="191">
        <v>320</v>
      </c>
      <c r="J1257" s="188" t="s">
        <v>1052</v>
      </c>
      <c r="K1257" s="188" t="s">
        <v>338</v>
      </c>
      <c r="L1257" s="188" t="s">
        <v>994</v>
      </c>
      <c r="M1257" s="192">
        <f t="shared" si="57"/>
        <v>24</v>
      </c>
      <c r="N1257" s="193">
        <f t="shared" si="58"/>
        <v>0.60385937500000009</v>
      </c>
      <c r="O1257" s="194">
        <f t="shared" si="59"/>
        <v>2.516080729166667E-2</v>
      </c>
    </row>
    <row r="1258" spans="1:15" ht="12.75" customHeight="1">
      <c r="A1258" s="188" t="s">
        <v>620</v>
      </c>
      <c r="B1258" s="188" t="s">
        <v>1394</v>
      </c>
      <c r="C1258" s="188" t="s">
        <v>641</v>
      </c>
      <c r="D1258" s="188" t="s">
        <v>2473</v>
      </c>
      <c r="E1258" s="189">
        <v>39422</v>
      </c>
      <c r="F1258" s="190">
        <v>0</v>
      </c>
      <c r="G1258" s="190">
        <v>128</v>
      </c>
      <c r="H1258" s="191">
        <v>1510</v>
      </c>
      <c r="I1258" s="191">
        <v>500</v>
      </c>
      <c r="J1258" s="188" t="s">
        <v>635</v>
      </c>
      <c r="K1258" s="188" t="s">
        <v>338</v>
      </c>
      <c r="L1258" s="188" t="s">
        <v>756</v>
      </c>
      <c r="M1258" s="192">
        <f t="shared" si="57"/>
        <v>30</v>
      </c>
      <c r="N1258" s="193">
        <f t="shared" si="58"/>
        <v>0.755</v>
      </c>
      <c r="O1258" s="194">
        <f t="shared" si="59"/>
        <v>2.5166666666666667E-2</v>
      </c>
    </row>
    <row r="1259" spans="1:15" ht="12.75" customHeight="1">
      <c r="A1259" s="188" t="s">
        <v>620</v>
      </c>
      <c r="B1259" s="188" t="s">
        <v>1394</v>
      </c>
      <c r="C1259" s="188" t="s">
        <v>641</v>
      </c>
      <c r="D1259" s="188" t="s">
        <v>2474</v>
      </c>
      <c r="E1259" s="189">
        <v>39359</v>
      </c>
      <c r="F1259" s="190">
        <v>0</v>
      </c>
      <c r="G1259" s="190">
        <v>64.510000000000005</v>
      </c>
      <c r="H1259" s="191">
        <v>482.63</v>
      </c>
      <c r="I1259" s="191">
        <v>252</v>
      </c>
      <c r="J1259" s="188" t="s">
        <v>667</v>
      </c>
      <c r="K1259" s="188" t="s">
        <v>338</v>
      </c>
      <c r="L1259" s="188" t="s">
        <v>736</v>
      </c>
      <c r="M1259" s="192">
        <f t="shared" si="57"/>
        <v>19</v>
      </c>
      <c r="N1259" s="193">
        <f t="shared" si="58"/>
        <v>0.47879960317460318</v>
      </c>
      <c r="O1259" s="194">
        <f t="shared" si="59"/>
        <v>2.5199979114452799E-2</v>
      </c>
    </row>
    <row r="1260" spans="1:15" ht="12.75" customHeight="1">
      <c r="A1260" s="188" t="s">
        <v>620</v>
      </c>
      <c r="B1260" s="188" t="s">
        <v>1394</v>
      </c>
      <c r="C1260" s="188" t="s">
        <v>641</v>
      </c>
      <c r="D1260" s="188" t="s">
        <v>2475</v>
      </c>
      <c r="E1260" s="189">
        <v>39359</v>
      </c>
      <c r="F1260" s="190">
        <v>0</v>
      </c>
      <c r="G1260" s="190">
        <v>89.86</v>
      </c>
      <c r="H1260" s="191">
        <v>1348</v>
      </c>
      <c r="I1260" s="191">
        <v>351</v>
      </c>
      <c r="J1260" s="188" t="s">
        <v>624</v>
      </c>
      <c r="K1260" s="188" t="s">
        <v>338</v>
      </c>
      <c r="L1260" s="188" t="s">
        <v>2272</v>
      </c>
      <c r="M1260" s="192">
        <f t="shared" si="57"/>
        <v>38</v>
      </c>
      <c r="N1260" s="193">
        <f t="shared" si="58"/>
        <v>0.96011396011396011</v>
      </c>
      <c r="O1260" s="194">
        <f t="shared" si="59"/>
        <v>2.5266156845104214E-2</v>
      </c>
    </row>
    <row r="1261" spans="1:15" ht="12.75" customHeight="1">
      <c r="A1261" s="188" t="s">
        <v>620</v>
      </c>
      <c r="B1261" s="188" t="s">
        <v>1394</v>
      </c>
      <c r="C1261" s="188" t="s">
        <v>641</v>
      </c>
      <c r="D1261" s="188" t="s">
        <v>2476</v>
      </c>
      <c r="E1261" s="189">
        <v>39541</v>
      </c>
      <c r="F1261" s="190">
        <v>0</v>
      </c>
      <c r="G1261" s="190">
        <v>59.14</v>
      </c>
      <c r="H1261" s="191">
        <v>700.8</v>
      </c>
      <c r="I1261" s="191">
        <v>231</v>
      </c>
      <c r="J1261" s="188" t="s">
        <v>560</v>
      </c>
      <c r="K1261" s="188" t="s">
        <v>442</v>
      </c>
      <c r="L1261" s="188" t="s">
        <v>1976</v>
      </c>
      <c r="M1261" s="192">
        <f t="shared" si="57"/>
        <v>30</v>
      </c>
      <c r="N1261" s="193">
        <f t="shared" si="58"/>
        <v>0.75844155844155836</v>
      </c>
      <c r="O1261" s="194">
        <f t="shared" si="59"/>
        <v>2.528138528138528E-2</v>
      </c>
    </row>
    <row r="1262" spans="1:15" ht="12.75" customHeight="1">
      <c r="A1262" s="188" t="s">
        <v>620</v>
      </c>
      <c r="B1262" s="188" t="s">
        <v>1394</v>
      </c>
      <c r="C1262" s="188" t="s">
        <v>641</v>
      </c>
      <c r="D1262" s="188" t="s">
        <v>2477</v>
      </c>
      <c r="E1262" s="189">
        <v>39380</v>
      </c>
      <c r="F1262" s="190">
        <v>0</v>
      </c>
      <c r="G1262" s="190">
        <v>118.53</v>
      </c>
      <c r="H1262" s="191">
        <v>1265</v>
      </c>
      <c r="I1262" s="191">
        <v>463</v>
      </c>
      <c r="J1262" s="188" t="s">
        <v>639</v>
      </c>
      <c r="K1262" s="188" t="s">
        <v>338</v>
      </c>
      <c r="L1262" s="188" t="s">
        <v>2478</v>
      </c>
      <c r="M1262" s="192">
        <f t="shared" si="57"/>
        <v>27</v>
      </c>
      <c r="N1262" s="193">
        <f t="shared" si="58"/>
        <v>0.68304535637149033</v>
      </c>
      <c r="O1262" s="194">
        <f t="shared" si="59"/>
        <v>2.529797616190705E-2</v>
      </c>
    </row>
    <row r="1263" spans="1:15" ht="12.75" customHeight="1">
      <c r="A1263" s="188" t="s">
        <v>620</v>
      </c>
      <c r="B1263" s="188" t="s">
        <v>1394</v>
      </c>
      <c r="C1263" s="188" t="s">
        <v>641</v>
      </c>
      <c r="D1263" s="188" t="s">
        <v>2479</v>
      </c>
      <c r="E1263" s="189">
        <v>39353</v>
      </c>
      <c r="F1263" s="190">
        <v>0</v>
      </c>
      <c r="G1263" s="190">
        <v>79.23</v>
      </c>
      <c r="H1263" s="191">
        <v>626.42999999999995</v>
      </c>
      <c r="I1263" s="191">
        <v>309.5</v>
      </c>
      <c r="J1263" s="188" t="s">
        <v>560</v>
      </c>
      <c r="K1263" s="188" t="s">
        <v>338</v>
      </c>
      <c r="L1263" s="188" t="s">
        <v>1550</v>
      </c>
      <c r="M1263" s="192">
        <f t="shared" si="57"/>
        <v>20</v>
      </c>
      <c r="N1263" s="193">
        <f t="shared" si="58"/>
        <v>0.50600161550888523</v>
      </c>
      <c r="O1263" s="194">
        <f t="shared" si="59"/>
        <v>2.530008077544426E-2</v>
      </c>
    </row>
    <row r="1264" spans="1:15" ht="12.75" customHeight="1">
      <c r="A1264" s="188" t="s">
        <v>620</v>
      </c>
      <c r="B1264" s="188" t="s">
        <v>1394</v>
      </c>
      <c r="C1264" s="188" t="s">
        <v>641</v>
      </c>
      <c r="D1264" s="188" t="s">
        <v>2480</v>
      </c>
      <c r="E1264" s="189">
        <v>39366</v>
      </c>
      <c r="F1264" s="190">
        <v>0</v>
      </c>
      <c r="G1264" s="190">
        <v>96</v>
      </c>
      <c r="H1264" s="191">
        <v>1519.8</v>
      </c>
      <c r="I1264" s="191">
        <v>375</v>
      </c>
      <c r="J1264" s="188" t="s">
        <v>715</v>
      </c>
      <c r="K1264" s="188" t="s">
        <v>648</v>
      </c>
      <c r="L1264" s="188" t="s">
        <v>746</v>
      </c>
      <c r="M1264" s="192">
        <f t="shared" si="57"/>
        <v>40</v>
      </c>
      <c r="N1264" s="193">
        <f t="shared" si="58"/>
        <v>1.0131999999999999</v>
      </c>
      <c r="O1264" s="194">
        <f t="shared" si="59"/>
        <v>2.5329999999999998E-2</v>
      </c>
    </row>
    <row r="1265" spans="1:15" ht="12.75" customHeight="1">
      <c r="A1265" s="188" t="s">
        <v>620</v>
      </c>
      <c r="B1265" s="188" t="s">
        <v>1394</v>
      </c>
      <c r="C1265" s="188" t="s">
        <v>641</v>
      </c>
      <c r="D1265" s="188" t="s">
        <v>2481</v>
      </c>
      <c r="E1265" s="189">
        <v>39240</v>
      </c>
      <c r="F1265" s="190">
        <v>0</v>
      </c>
      <c r="G1265" s="190">
        <v>48.64</v>
      </c>
      <c r="H1265" s="191">
        <v>519.99</v>
      </c>
      <c r="I1265" s="191">
        <v>190</v>
      </c>
      <c r="J1265" s="188" t="s">
        <v>639</v>
      </c>
      <c r="K1265" s="188" t="s">
        <v>338</v>
      </c>
      <c r="L1265" s="188" t="s">
        <v>759</v>
      </c>
      <c r="M1265" s="192">
        <f t="shared" si="57"/>
        <v>27</v>
      </c>
      <c r="N1265" s="193">
        <f t="shared" si="58"/>
        <v>0.68419736842105261</v>
      </c>
      <c r="O1265" s="194">
        <f t="shared" si="59"/>
        <v>2.5340643274853799E-2</v>
      </c>
    </row>
    <row r="1266" spans="1:15" ht="12.75" customHeight="1">
      <c r="A1266" s="188" t="s">
        <v>620</v>
      </c>
      <c r="B1266" s="188" t="s">
        <v>1394</v>
      </c>
      <c r="C1266" s="188" t="s">
        <v>641</v>
      </c>
      <c r="D1266" s="188" t="s">
        <v>2482</v>
      </c>
      <c r="E1266" s="189">
        <v>39303</v>
      </c>
      <c r="F1266" s="190">
        <v>0</v>
      </c>
      <c r="G1266" s="190">
        <v>106.88</v>
      </c>
      <c r="H1266" s="191">
        <v>1185.53</v>
      </c>
      <c r="I1266" s="191">
        <v>417.5</v>
      </c>
      <c r="J1266" s="188" t="s">
        <v>750</v>
      </c>
      <c r="K1266" s="188" t="s">
        <v>338</v>
      </c>
      <c r="L1266" s="188" t="s">
        <v>1015</v>
      </c>
      <c r="M1266" s="192">
        <f t="shared" si="57"/>
        <v>28</v>
      </c>
      <c r="N1266" s="193">
        <f t="shared" si="58"/>
        <v>0.7098982035928143</v>
      </c>
      <c r="O1266" s="194">
        <f t="shared" si="59"/>
        <v>2.535350727117194E-2</v>
      </c>
    </row>
    <row r="1267" spans="1:15" ht="12.75" customHeight="1">
      <c r="A1267" s="188" t="s">
        <v>620</v>
      </c>
      <c r="B1267" s="188" t="s">
        <v>1394</v>
      </c>
      <c r="C1267" s="188" t="s">
        <v>641</v>
      </c>
      <c r="D1267" s="188" t="s">
        <v>2483</v>
      </c>
      <c r="E1267" s="189">
        <v>39499</v>
      </c>
      <c r="F1267" s="190">
        <v>0</v>
      </c>
      <c r="G1267" s="190">
        <v>101.44</v>
      </c>
      <c r="H1267" s="191">
        <v>964.59</v>
      </c>
      <c r="I1267" s="191">
        <v>396.25</v>
      </c>
      <c r="J1267" s="188" t="s">
        <v>1052</v>
      </c>
      <c r="K1267" s="188" t="s">
        <v>338</v>
      </c>
      <c r="L1267" s="188" t="s">
        <v>2484</v>
      </c>
      <c r="M1267" s="192">
        <f t="shared" si="57"/>
        <v>24</v>
      </c>
      <c r="N1267" s="193">
        <f t="shared" si="58"/>
        <v>0.60857413249211356</v>
      </c>
      <c r="O1267" s="194">
        <f t="shared" si="59"/>
        <v>2.5357255520504732E-2</v>
      </c>
    </row>
    <row r="1268" spans="1:15" ht="12.75" customHeight="1">
      <c r="A1268" s="188" t="s">
        <v>620</v>
      </c>
      <c r="B1268" s="188" t="s">
        <v>1394</v>
      </c>
      <c r="C1268" s="188" t="s">
        <v>641</v>
      </c>
      <c r="D1268" s="188" t="s">
        <v>2485</v>
      </c>
      <c r="E1268" s="189">
        <v>39507</v>
      </c>
      <c r="F1268" s="190">
        <v>0</v>
      </c>
      <c r="G1268" s="190">
        <v>101.18</v>
      </c>
      <c r="H1268" s="191">
        <v>1083</v>
      </c>
      <c r="I1268" s="191">
        <v>395.25</v>
      </c>
      <c r="J1268" s="188" t="s">
        <v>639</v>
      </c>
      <c r="K1268" s="188" t="s">
        <v>338</v>
      </c>
      <c r="L1268" s="188" t="s">
        <v>2486</v>
      </c>
      <c r="M1268" s="192">
        <f t="shared" si="57"/>
        <v>27</v>
      </c>
      <c r="N1268" s="193">
        <f t="shared" si="58"/>
        <v>0.6850094876660342</v>
      </c>
      <c r="O1268" s="194">
        <f t="shared" si="59"/>
        <v>2.5370721765408673E-2</v>
      </c>
    </row>
    <row r="1269" spans="1:15" ht="12.75" customHeight="1">
      <c r="A1269" s="188" t="s">
        <v>620</v>
      </c>
      <c r="B1269" s="188" t="s">
        <v>1394</v>
      </c>
      <c r="C1269" s="188" t="s">
        <v>641</v>
      </c>
      <c r="D1269" s="188" t="s">
        <v>2487</v>
      </c>
      <c r="E1269" s="189">
        <v>39471</v>
      </c>
      <c r="F1269" s="190">
        <v>0</v>
      </c>
      <c r="G1269" s="190">
        <v>36.61</v>
      </c>
      <c r="H1269" s="191">
        <v>436</v>
      </c>
      <c r="I1269" s="191">
        <v>143</v>
      </c>
      <c r="J1269" s="188" t="s">
        <v>635</v>
      </c>
      <c r="K1269" s="188" t="s">
        <v>338</v>
      </c>
      <c r="L1269" s="188" t="s">
        <v>841</v>
      </c>
      <c r="M1269" s="192">
        <f t="shared" si="57"/>
        <v>30</v>
      </c>
      <c r="N1269" s="193">
        <f t="shared" si="58"/>
        <v>0.76223776223776218</v>
      </c>
      <c r="O1269" s="194">
        <f t="shared" si="59"/>
        <v>2.5407925407925407E-2</v>
      </c>
    </row>
    <row r="1270" spans="1:15" ht="12.75" customHeight="1">
      <c r="A1270" s="188" t="s">
        <v>620</v>
      </c>
      <c r="B1270" s="188" t="s">
        <v>1394</v>
      </c>
      <c r="C1270" s="188" t="s">
        <v>641</v>
      </c>
      <c r="D1270" s="188" t="s">
        <v>2488</v>
      </c>
      <c r="E1270" s="189">
        <v>39520</v>
      </c>
      <c r="F1270" s="190">
        <v>0</v>
      </c>
      <c r="G1270" s="190">
        <v>108.8</v>
      </c>
      <c r="H1270" s="191">
        <v>865</v>
      </c>
      <c r="I1270" s="191">
        <v>425</v>
      </c>
      <c r="J1270" s="188" t="s">
        <v>560</v>
      </c>
      <c r="K1270" s="188" t="s">
        <v>338</v>
      </c>
      <c r="L1270" s="188" t="s">
        <v>833</v>
      </c>
      <c r="M1270" s="192">
        <f t="shared" si="57"/>
        <v>20</v>
      </c>
      <c r="N1270" s="193">
        <f t="shared" si="58"/>
        <v>0.50882352941176467</v>
      </c>
      <c r="O1270" s="194">
        <f t="shared" si="59"/>
        <v>2.5441176470588234E-2</v>
      </c>
    </row>
    <row r="1271" spans="1:15" ht="12.75" customHeight="1">
      <c r="A1271" s="188" t="s">
        <v>620</v>
      </c>
      <c r="B1271" s="188" t="s">
        <v>1394</v>
      </c>
      <c r="C1271" s="188" t="s">
        <v>641</v>
      </c>
      <c r="D1271" s="188" t="s">
        <v>2489</v>
      </c>
      <c r="E1271" s="189">
        <v>39447</v>
      </c>
      <c r="F1271" s="190">
        <v>0</v>
      </c>
      <c r="G1271" s="190">
        <v>60.67</v>
      </c>
      <c r="H1271" s="191">
        <v>701.01</v>
      </c>
      <c r="I1271" s="191">
        <v>237</v>
      </c>
      <c r="J1271" s="188" t="s">
        <v>715</v>
      </c>
      <c r="K1271" s="188" t="s">
        <v>338</v>
      </c>
      <c r="L1271" s="188" t="s">
        <v>2490</v>
      </c>
      <c r="M1271" s="192">
        <f t="shared" si="57"/>
        <v>29</v>
      </c>
      <c r="N1271" s="193">
        <f t="shared" si="58"/>
        <v>0.73946202531645566</v>
      </c>
      <c r="O1271" s="194">
        <f t="shared" si="59"/>
        <v>2.5498690528153643E-2</v>
      </c>
    </row>
    <row r="1272" spans="1:15" ht="12.75" customHeight="1">
      <c r="A1272" s="188" t="s">
        <v>620</v>
      </c>
      <c r="B1272" s="188" t="s">
        <v>1394</v>
      </c>
      <c r="C1272" s="188" t="s">
        <v>641</v>
      </c>
      <c r="D1272" s="188" t="s">
        <v>2491</v>
      </c>
      <c r="E1272" s="189">
        <v>39513</v>
      </c>
      <c r="F1272" s="190">
        <v>0</v>
      </c>
      <c r="G1272" s="190">
        <v>70.08</v>
      </c>
      <c r="H1272" s="191">
        <v>1145</v>
      </c>
      <c r="I1272" s="191">
        <v>273.75</v>
      </c>
      <c r="J1272" s="188" t="s">
        <v>635</v>
      </c>
      <c r="K1272" s="188" t="s">
        <v>648</v>
      </c>
      <c r="L1272" s="188" t="s">
        <v>2492</v>
      </c>
      <c r="M1272" s="192">
        <f t="shared" si="57"/>
        <v>41</v>
      </c>
      <c r="N1272" s="193">
        <f t="shared" si="58"/>
        <v>1.0456621004566211</v>
      </c>
      <c r="O1272" s="194">
        <f t="shared" si="59"/>
        <v>2.5503953669673687E-2</v>
      </c>
    </row>
    <row r="1273" spans="1:15" ht="12.75" customHeight="1">
      <c r="A1273" s="188" t="s">
        <v>620</v>
      </c>
      <c r="B1273" s="188" t="s">
        <v>1394</v>
      </c>
      <c r="C1273" s="188" t="s">
        <v>641</v>
      </c>
      <c r="D1273" s="188" t="s">
        <v>2493</v>
      </c>
      <c r="E1273" s="189">
        <v>39339</v>
      </c>
      <c r="F1273" s="190">
        <v>0</v>
      </c>
      <c r="G1273" s="190">
        <v>78.66</v>
      </c>
      <c r="H1273" s="191">
        <v>783.98</v>
      </c>
      <c r="I1273" s="191">
        <v>307.25</v>
      </c>
      <c r="J1273" s="188" t="s">
        <v>652</v>
      </c>
      <c r="K1273" s="188" t="s">
        <v>338</v>
      </c>
      <c r="L1273" s="188" t="s">
        <v>423</v>
      </c>
      <c r="M1273" s="192">
        <f t="shared" si="57"/>
        <v>25</v>
      </c>
      <c r="N1273" s="193">
        <f t="shared" si="58"/>
        <v>0.63790073230268507</v>
      </c>
      <c r="O1273" s="194">
        <f t="shared" si="59"/>
        <v>2.5516029292107403E-2</v>
      </c>
    </row>
    <row r="1274" spans="1:15" ht="12.75" customHeight="1">
      <c r="A1274" s="188" t="s">
        <v>620</v>
      </c>
      <c r="B1274" s="188" t="s">
        <v>1394</v>
      </c>
      <c r="C1274" s="188" t="s">
        <v>641</v>
      </c>
      <c r="D1274" s="188" t="s">
        <v>2494</v>
      </c>
      <c r="E1274" s="189">
        <v>39436</v>
      </c>
      <c r="F1274" s="190">
        <v>0</v>
      </c>
      <c r="G1274" s="190">
        <v>42.69</v>
      </c>
      <c r="H1274" s="191">
        <v>460</v>
      </c>
      <c r="I1274" s="191">
        <v>166.75</v>
      </c>
      <c r="J1274" s="188" t="s">
        <v>639</v>
      </c>
      <c r="K1274" s="188" t="s">
        <v>338</v>
      </c>
      <c r="L1274" s="188" t="s">
        <v>2495</v>
      </c>
      <c r="M1274" s="192">
        <f t="shared" si="57"/>
        <v>27</v>
      </c>
      <c r="N1274" s="193">
        <f t="shared" si="58"/>
        <v>0.68965517241379315</v>
      </c>
      <c r="O1274" s="194">
        <f t="shared" si="59"/>
        <v>2.554278416347382E-2</v>
      </c>
    </row>
    <row r="1275" spans="1:15" ht="12.75" customHeight="1">
      <c r="A1275" s="188" t="s">
        <v>620</v>
      </c>
      <c r="B1275" s="188" t="s">
        <v>1394</v>
      </c>
      <c r="C1275" s="188" t="s">
        <v>641</v>
      </c>
      <c r="D1275" s="188" t="s">
        <v>2496</v>
      </c>
      <c r="E1275" s="189">
        <v>39310</v>
      </c>
      <c r="F1275" s="190">
        <v>0</v>
      </c>
      <c r="G1275" s="190">
        <v>192</v>
      </c>
      <c r="H1275" s="191">
        <v>1839.9</v>
      </c>
      <c r="I1275" s="191">
        <v>750</v>
      </c>
      <c r="J1275" s="188" t="s">
        <v>1052</v>
      </c>
      <c r="K1275" s="188" t="s">
        <v>338</v>
      </c>
      <c r="L1275" s="188" t="s">
        <v>925</v>
      </c>
      <c r="M1275" s="192">
        <f t="shared" si="57"/>
        <v>24</v>
      </c>
      <c r="N1275" s="193">
        <f t="shared" si="58"/>
        <v>0.61330000000000007</v>
      </c>
      <c r="O1275" s="194">
        <f t="shared" si="59"/>
        <v>2.5554166666666669E-2</v>
      </c>
    </row>
    <row r="1276" spans="1:15" ht="12.75" customHeight="1">
      <c r="A1276" s="188" t="s">
        <v>620</v>
      </c>
      <c r="B1276" s="188" t="s">
        <v>1394</v>
      </c>
      <c r="C1276" s="188" t="s">
        <v>641</v>
      </c>
      <c r="D1276" s="188" t="s">
        <v>2497</v>
      </c>
      <c r="E1276" s="189">
        <v>39568</v>
      </c>
      <c r="F1276" s="190">
        <v>0</v>
      </c>
      <c r="G1276" s="190">
        <v>37.119999999999997</v>
      </c>
      <c r="H1276" s="191">
        <v>460</v>
      </c>
      <c r="I1276" s="191">
        <v>145</v>
      </c>
      <c r="J1276" s="188" t="s">
        <v>560</v>
      </c>
      <c r="K1276" s="188" t="s">
        <v>648</v>
      </c>
      <c r="L1276" s="188" t="s">
        <v>517</v>
      </c>
      <c r="M1276" s="192">
        <f t="shared" si="57"/>
        <v>31</v>
      </c>
      <c r="N1276" s="193">
        <f t="shared" si="58"/>
        <v>0.7931034482758621</v>
      </c>
      <c r="O1276" s="194">
        <f t="shared" si="59"/>
        <v>2.5583982202447165E-2</v>
      </c>
    </row>
    <row r="1277" spans="1:15" ht="12.75" customHeight="1">
      <c r="A1277" s="188" t="s">
        <v>620</v>
      </c>
      <c r="B1277" s="188" t="s">
        <v>1394</v>
      </c>
      <c r="C1277" s="188" t="s">
        <v>641</v>
      </c>
      <c r="D1277" s="188" t="s">
        <v>2498</v>
      </c>
      <c r="E1277" s="189">
        <v>39247</v>
      </c>
      <c r="F1277" s="190">
        <v>0</v>
      </c>
      <c r="G1277" s="190">
        <v>136.96</v>
      </c>
      <c r="H1277" s="191">
        <v>1643.09</v>
      </c>
      <c r="I1277" s="191">
        <v>535</v>
      </c>
      <c r="J1277" s="188" t="s">
        <v>635</v>
      </c>
      <c r="K1277" s="188" t="s">
        <v>338</v>
      </c>
      <c r="L1277" s="188" t="s">
        <v>414</v>
      </c>
      <c r="M1277" s="192">
        <f t="shared" si="57"/>
        <v>30</v>
      </c>
      <c r="N1277" s="193">
        <f t="shared" si="58"/>
        <v>0.76779906542056076</v>
      </c>
      <c r="O1277" s="194">
        <f t="shared" si="59"/>
        <v>2.5593302180685357E-2</v>
      </c>
    </row>
    <row r="1278" spans="1:15" ht="12.75" customHeight="1">
      <c r="A1278" s="188" t="s">
        <v>620</v>
      </c>
      <c r="B1278" s="188" t="s">
        <v>1394</v>
      </c>
      <c r="C1278" s="188" t="s">
        <v>641</v>
      </c>
      <c r="D1278" s="188" t="s">
        <v>2499</v>
      </c>
      <c r="E1278" s="189">
        <v>39548</v>
      </c>
      <c r="F1278" s="190">
        <v>0</v>
      </c>
      <c r="G1278" s="190">
        <v>83.2</v>
      </c>
      <c r="H1278" s="191">
        <v>1000.13</v>
      </c>
      <c r="I1278" s="191">
        <v>325</v>
      </c>
      <c r="J1278" s="188" t="s">
        <v>635</v>
      </c>
      <c r="K1278" s="188" t="s">
        <v>338</v>
      </c>
      <c r="L1278" s="188" t="s">
        <v>699</v>
      </c>
      <c r="M1278" s="192">
        <f t="shared" si="57"/>
        <v>30</v>
      </c>
      <c r="N1278" s="193">
        <f t="shared" si="58"/>
        <v>0.76933076923076926</v>
      </c>
      <c r="O1278" s="194">
        <f t="shared" si="59"/>
        <v>2.5644358974358974E-2</v>
      </c>
    </row>
    <row r="1279" spans="1:15" ht="12.75" customHeight="1">
      <c r="A1279" s="188" t="s">
        <v>620</v>
      </c>
      <c r="B1279" s="188" t="s">
        <v>1394</v>
      </c>
      <c r="C1279" s="188" t="s">
        <v>641</v>
      </c>
      <c r="D1279" s="188" t="s">
        <v>2500</v>
      </c>
      <c r="E1279" s="189">
        <v>39485</v>
      </c>
      <c r="F1279" s="190">
        <v>0</v>
      </c>
      <c r="G1279" s="190">
        <v>46.08</v>
      </c>
      <c r="H1279" s="191">
        <v>702</v>
      </c>
      <c r="I1279" s="191">
        <v>180</v>
      </c>
      <c r="J1279" s="188" t="s">
        <v>624</v>
      </c>
      <c r="K1279" s="188" t="s">
        <v>338</v>
      </c>
      <c r="L1279" s="188" t="s">
        <v>313</v>
      </c>
      <c r="M1279" s="192">
        <f t="shared" si="57"/>
        <v>38</v>
      </c>
      <c r="N1279" s="193">
        <f t="shared" si="58"/>
        <v>0.97499999999999998</v>
      </c>
      <c r="O1279" s="194">
        <f t="shared" si="59"/>
        <v>2.5657894736842105E-2</v>
      </c>
    </row>
    <row r="1280" spans="1:15" ht="12.75" customHeight="1">
      <c r="A1280" s="188" t="s">
        <v>620</v>
      </c>
      <c r="B1280" s="188" t="s">
        <v>1394</v>
      </c>
      <c r="C1280" s="188" t="s">
        <v>641</v>
      </c>
      <c r="D1280" s="188" t="s">
        <v>2501</v>
      </c>
      <c r="E1280" s="189">
        <v>39380</v>
      </c>
      <c r="F1280" s="190">
        <v>0</v>
      </c>
      <c r="G1280" s="190">
        <v>78.209999999999994</v>
      </c>
      <c r="H1280" s="191">
        <v>1067.1600000000001</v>
      </c>
      <c r="I1280" s="191">
        <v>305.5</v>
      </c>
      <c r="J1280" s="188" t="s">
        <v>720</v>
      </c>
      <c r="K1280" s="188" t="s">
        <v>338</v>
      </c>
      <c r="L1280" s="188" t="s">
        <v>2502</v>
      </c>
      <c r="M1280" s="192">
        <f t="shared" si="57"/>
        <v>34</v>
      </c>
      <c r="N1280" s="193">
        <f t="shared" si="58"/>
        <v>0.87328968903436999</v>
      </c>
      <c r="O1280" s="194">
        <f t="shared" si="59"/>
        <v>2.568499085395206E-2</v>
      </c>
    </row>
    <row r="1281" spans="1:15" ht="12.75" customHeight="1">
      <c r="A1281" s="188" t="s">
        <v>620</v>
      </c>
      <c r="B1281" s="188" t="s">
        <v>1394</v>
      </c>
      <c r="C1281" s="188" t="s">
        <v>641</v>
      </c>
      <c r="D1281" s="188" t="s">
        <v>2503</v>
      </c>
      <c r="E1281" s="189">
        <v>39576</v>
      </c>
      <c r="F1281" s="190">
        <v>0</v>
      </c>
      <c r="G1281" s="190">
        <v>115.9</v>
      </c>
      <c r="H1281" s="191">
        <v>1256.6199999999999</v>
      </c>
      <c r="I1281" s="191">
        <v>452.75</v>
      </c>
      <c r="J1281" s="188" t="s">
        <v>639</v>
      </c>
      <c r="K1281" s="188" t="s">
        <v>338</v>
      </c>
      <c r="L1281" s="188" t="s">
        <v>2504</v>
      </c>
      <c r="M1281" s="192">
        <f t="shared" si="57"/>
        <v>27</v>
      </c>
      <c r="N1281" s="193">
        <f t="shared" si="58"/>
        <v>0.69388183324130304</v>
      </c>
      <c r="O1281" s="194">
        <f t="shared" si="59"/>
        <v>2.5699327157085297E-2</v>
      </c>
    </row>
    <row r="1282" spans="1:15" ht="12.75" customHeight="1">
      <c r="A1282" s="188" t="s">
        <v>620</v>
      </c>
      <c r="B1282" s="188" t="s">
        <v>1394</v>
      </c>
      <c r="C1282" s="188" t="s">
        <v>641</v>
      </c>
      <c r="D1282" s="188" t="s">
        <v>2505</v>
      </c>
      <c r="E1282" s="189">
        <v>39478</v>
      </c>
      <c r="F1282" s="190">
        <v>0</v>
      </c>
      <c r="G1282" s="190">
        <v>96.64</v>
      </c>
      <c r="H1282" s="191">
        <v>1167</v>
      </c>
      <c r="I1282" s="191">
        <v>377.5</v>
      </c>
      <c r="J1282" s="188" t="s">
        <v>635</v>
      </c>
      <c r="K1282" s="188" t="s">
        <v>338</v>
      </c>
      <c r="L1282" s="188" t="s">
        <v>2506</v>
      </c>
      <c r="M1282" s="192">
        <f t="shared" ref="M1282:M1345" si="60">K1282-J1282</f>
        <v>30</v>
      </c>
      <c r="N1282" s="193">
        <f t="shared" ref="N1282:N1345" si="61">H1282/L1282</f>
        <v>0.77284768211920529</v>
      </c>
      <c r="O1282" s="194">
        <f t="shared" ref="O1282:O1345" si="62">N1282/M1282</f>
        <v>2.5761589403973509E-2</v>
      </c>
    </row>
    <row r="1283" spans="1:15" ht="12.75" customHeight="1">
      <c r="A1283" s="188" t="s">
        <v>620</v>
      </c>
      <c r="B1283" s="188" t="s">
        <v>1394</v>
      </c>
      <c r="C1283" s="188" t="s">
        <v>641</v>
      </c>
      <c r="D1283" s="188" t="s">
        <v>2507</v>
      </c>
      <c r="E1283" s="189">
        <v>39345</v>
      </c>
      <c r="F1283" s="190">
        <v>0</v>
      </c>
      <c r="G1283" s="190">
        <v>104.96</v>
      </c>
      <c r="H1283" s="191">
        <v>1141.93</v>
      </c>
      <c r="I1283" s="191">
        <v>410</v>
      </c>
      <c r="J1283" s="188" t="s">
        <v>639</v>
      </c>
      <c r="K1283" s="188" t="s">
        <v>338</v>
      </c>
      <c r="L1283" s="188" t="s">
        <v>2110</v>
      </c>
      <c r="M1283" s="192">
        <f t="shared" si="60"/>
        <v>27</v>
      </c>
      <c r="N1283" s="193">
        <f t="shared" si="61"/>
        <v>0.69629878048780491</v>
      </c>
      <c r="O1283" s="194">
        <f t="shared" si="62"/>
        <v>2.5788843721770552E-2</v>
      </c>
    </row>
    <row r="1284" spans="1:15" ht="12.75" customHeight="1">
      <c r="A1284" s="188" t="s">
        <v>620</v>
      </c>
      <c r="B1284" s="188" t="s">
        <v>1394</v>
      </c>
      <c r="C1284" s="188" t="s">
        <v>641</v>
      </c>
      <c r="D1284" s="188" t="s">
        <v>2508</v>
      </c>
      <c r="E1284" s="189">
        <v>39380</v>
      </c>
      <c r="F1284" s="190">
        <v>0</v>
      </c>
      <c r="G1284" s="190">
        <v>87.04</v>
      </c>
      <c r="H1284" s="191">
        <v>947</v>
      </c>
      <c r="I1284" s="191">
        <v>340</v>
      </c>
      <c r="J1284" s="188" t="s">
        <v>639</v>
      </c>
      <c r="K1284" s="188" t="s">
        <v>338</v>
      </c>
      <c r="L1284" s="188" t="s">
        <v>774</v>
      </c>
      <c r="M1284" s="192">
        <f t="shared" si="60"/>
        <v>27</v>
      </c>
      <c r="N1284" s="193">
        <f t="shared" si="61"/>
        <v>0.69632352941176467</v>
      </c>
      <c r="O1284" s="194">
        <f t="shared" si="62"/>
        <v>2.5789760348583875E-2</v>
      </c>
    </row>
    <row r="1285" spans="1:15" ht="12.75" customHeight="1">
      <c r="A1285" s="188" t="s">
        <v>620</v>
      </c>
      <c r="B1285" s="188" t="s">
        <v>1394</v>
      </c>
      <c r="C1285" s="188" t="s">
        <v>641</v>
      </c>
      <c r="D1285" s="188" t="s">
        <v>2509</v>
      </c>
      <c r="E1285" s="189">
        <v>39415</v>
      </c>
      <c r="F1285" s="190">
        <v>0</v>
      </c>
      <c r="G1285" s="190">
        <v>128.58000000000001</v>
      </c>
      <c r="H1285" s="191">
        <v>1297</v>
      </c>
      <c r="I1285" s="191">
        <v>502.25</v>
      </c>
      <c r="J1285" s="188" t="s">
        <v>652</v>
      </c>
      <c r="K1285" s="188" t="s">
        <v>338</v>
      </c>
      <c r="L1285" s="188" t="s">
        <v>2510</v>
      </c>
      <c r="M1285" s="192">
        <f t="shared" si="60"/>
        <v>25</v>
      </c>
      <c r="N1285" s="193">
        <f t="shared" si="61"/>
        <v>0.6455948232951717</v>
      </c>
      <c r="O1285" s="194">
        <f t="shared" si="62"/>
        <v>2.5823792931806869E-2</v>
      </c>
    </row>
    <row r="1286" spans="1:15" ht="12.75" customHeight="1">
      <c r="A1286" s="188" t="s">
        <v>620</v>
      </c>
      <c r="B1286" s="188" t="s">
        <v>1394</v>
      </c>
      <c r="C1286" s="188" t="s">
        <v>641</v>
      </c>
      <c r="D1286" s="188" t="s">
        <v>2511</v>
      </c>
      <c r="E1286" s="189">
        <v>39639</v>
      </c>
      <c r="F1286" s="190">
        <v>0</v>
      </c>
      <c r="G1286" s="190">
        <v>46.34</v>
      </c>
      <c r="H1286" s="191">
        <v>561</v>
      </c>
      <c r="I1286" s="191">
        <v>181</v>
      </c>
      <c r="J1286" s="188" t="s">
        <v>635</v>
      </c>
      <c r="K1286" s="188" t="s">
        <v>338</v>
      </c>
      <c r="L1286" s="188" t="s">
        <v>2512</v>
      </c>
      <c r="M1286" s="192">
        <f t="shared" si="60"/>
        <v>30</v>
      </c>
      <c r="N1286" s="193">
        <f t="shared" si="61"/>
        <v>0.77486187845303867</v>
      </c>
      <c r="O1286" s="194">
        <f t="shared" si="62"/>
        <v>2.5828729281767954E-2</v>
      </c>
    </row>
    <row r="1287" spans="1:15" ht="12.75" customHeight="1">
      <c r="A1287" s="188" t="s">
        <v>620</v>
      </c>
      <c r="B1287" s="188" t="s">
        <v>1394</v>
      </c>
      <c r="C1287" s="188" t="s">
        <v>641</v>
      </c>
      <c r="D1287" s="188" t="s">
        <v>2513</v>
      </c>
      <c r="E1287" s="189">
        <v>39247</v>
      </c>
      <c r="F1287" s="190">
        <v>0</v>
      </c>
      <c r="G1287" s="190">
        <v>67.709999999999994</v>
      </c>
      <c r="H1287" s="191">
        <v>737.96</v>
      </c>
      <c r="I1287" s="191">
        <v>264.5</v>
      </c>
      <c r="J1287" s="188" t="s">
        <v>639</v>
      </c>
      <c r="K1287" s="188" t="s">
        <v>338</v>
      </c>
      <c r="L1287" s="188" t="s">
        <v>862</v>
      </c>
      <c r="M1287" s="192">
        <f t="shared" si="60"/>
        <v>27</v>
      </c>
      <c r="N1287" s="193">
        <f t="shared" si="61"/>
        <v>0.69750472589792067</v>
      </c>
      <c r="O1287" s="194">
        <f t="shared" si="62"/>
        <v>2.5833508366589656E-2</v>
      </c>
    </row>
    <row r="1288" spans="1:15" ht="12.75" customHeight="1">
      <c r="A1288" s="188" t="s">
        <v>620</v>
      </c>
      <c r="B1288" s="188" t="s">
        <v>1394</v>
      </c>
      <c r="C1288" s="188" t="s">
        <v>641</v>
      </c>
      <c r="D1288" s="188" t="s">
        <v>2514</v>
      </c>
      <c r="E1288" s="189">
        <v>39289</v>
      </c>
      <c r="F1288" s="190">
        <v>0</v>
      </c>
      <c r="G1288" s="190">
        <v>156.80000000000001</v>
      </c>
      <c r="H1288" s="191">
        <v>1899</v>
      </c>
      <c r="I1288" s="191">
        <v>612.5</v>
      </c>
      <c r="J1288" s="188" t="s">
        <v>635</v>
      </c>
      <c r="K1288" s="188" t="s">
        <v>338</v>
      </c>
      <c r="L1288" s="188" t="s">
        <v>2026</v>
      </c>
      <c r="M1288" s="192">
        <f t="shared" si="60"/>
        <v>30</v>
      </c>
      <c r="N1288" s="193">
        <f t="shared" si="61"/>
        <v>0.7751020408163265</v>
      </c>
      <c r="O1288" s="194">
        <f t="shared" si="62"/>
        <v>2.5836734693877549E-2</v>
      </c>
    </row>
    <row r="1289" spans="1:15" ht="12.75" customHeight="1">
      <c r="A1289" s="188" t="s">
        <v>620</v>
      </c>
      <c r="B1289" s="188" t="s">
        <v>1394</v>
      </c>
      <c r="C1289" s="188" t="s">
        <v>641</v>
      </c>
      <c r="D1289" s="188" t="s">
        <v>2515</v>
      </c>
      <c r="E1289" s="189">
        <v>39447</v>
      </c>
      <c r="F1289" s="190">
        <v>0</v>
      </c>
      <c r="G1289" s="190">
        <v>82.37</v>
      </c>
      <c r="H1289" s="191">
        <v>1265</v>
      </c>
      <c r="I1289" s="191">
        <v>321.75</v>
      </c>
      <c r="J1289" s="188" t="s">
        <v>624</v>
      </c>
      <c r="K1289" s="188" t="s">
        <v>338</v>
      </c>
      <c r="L1289" s="188" t="s">
        <v>2516</v>
      </c>
      <c r="M1289" s="192">
        <f t="shared" si="60"/>
        <v>38</v>
      </c>
      <c r="N1289" s="193">
        <f t="shared" si="61"/>
        <v>0.98290598290598286</v>
      </c>
      <c r="O1289" s="194">
        <f t="shared" si="62"/>
        <v>2.5865946918578495E-2</v>
      </c>
    </row>
    <row r="1290" spans="1:15" ht="12.75" customHeight="1">
      <c r="A1290" s="188" t="s">
        <v>620</v>
      </c>
      <c r="B1290" s="188" t="s">
        <v>1394</v>
      </c>
      <c r="C1290" s="188" t="s">
        <v>641</v>
      </c>
      <c r="D1290" s="188" t="s">
        <v>2517</v>
      </c>
      <c r="E1290" s="189">
        <v>39240</v>
      </c>
      <c r="F1290" s="190">
        <v>0</v>
      </c>
      <c r="G1290" s="190">
        <v>84.48</v>
      </c>
      <c r="H1290" s="191">
        <v>649.97</v>
      </c>
      <c r="I1290" s="191">
        <v>330</v>
      </c>
      <c r="J1290" s="188" t="s">
        <v>667</v>
      </c>
      <c r="K1290" s="188" t="s">
        <v>338</v>
      </c>
      <c r="L1290" s="188" t="s">
        <v>1050</v>
      </c>
      <c r="M1290" s="192">
        <f t="shared" si="60"/>
        <v>19</v>
      </c>
      <c r="N1290" s="193">
        <f t="shared" si="61"/>
        <v>0.49240151515151515</v>
      </c>
      <c r="O1290" s="194">
        <f t="shared" si="62"/>
        <v>2.5915869218500798E-2</v>
      </c>
    </row>
    <row r="1291" spans="1:15" ht="12.75" customHeight="1">
      <c r="A1291" s="188" t="s">
        <v>620</v>
      </c>
      <c r="B1291" s="188" t="s">
        <v>1394</v>
      </c>
      <c r="C1291" s="188" t="s">
        <v>641</v>
      </c>
      <c r="D1291" s="188" t="s">
        <v>2518</v>
      </c>
      <c r="E1291" s="189">
        <v>39562</v>
      </c>
      <c r="F1291" s="190">
        <v>0</v>
      </c>
      <c r="G1291" s="190">
        <v>53.5</v>
      </c>
      <c r="H1291" s="191">
        <v>650</v>
      </c>
      <c r="I1291" s="191">
        <v>209</v>
      </c>
      <c r="J1291" s="188" t="s">
        <v>635</v>
      </c>
      <c r="K1291" s="188" t="s">
        <v>338</v>
      </c>
      <c r="L1291" s="188" t="s">
        <v>1040</v>
      </c>
      <c r="M1291" s="192">
        <f t="shared" si="60"/>
        <v>30</v>
      </c>
      <c r="N1291" s="193">
        <f t="shared" si="61"/>
        <v>0.77751196172248804</v>
      </c>
      <c r="O1291" s="194">
        <f t="shared" si="62"/>
        <v>2.5917065390749602E-2</v>
      </c>
    </row>
    <row r="1292" spans="1:15" ht="12.75" customHeight="1">
      <c r="A1292" s="188" t="s">
        <v>620</v>
      </c>
      <c r="B1292" s="188" t="s">
        <v>1394</v>
      </c>
      <c r="C1292" s="188" t="s">
        <v>641</v>
      </c>
      <c r="D1292" s="188" t="s">
        <v>2519</v>
      </c>
      <c r="E1292" s="189">
        <v>39219</v>
      </c>
      <c r="F1292" s="190">
        <v>0</v>
      </c>
      <c r="G1292" s="190">
        <v>89.73</v>
      </c>
      <c r="H1292" s="191">
        <v>981.4</v>
      </c>
      <c r="I1292" s="191">
        <v>350.5</v>
      </c>
      <c r="J1292" s="188" t="s">
        <v>639</v>
      </c>
      <c r="K1292" s="188" t="s">
        <v>338</v>
      </c>
      <c r="L1292" s="188" t="s">
        <v>2520</v>
      </c>
      <c r="M1292" s="192">
        <f t="shared" si="60"/>
        <v>27</v>
      </c>
      <c r="N1292" s="193">
        <f t="shared" si="61"/>
        <v>0.7</v>
      </c>
      <c r="O1292" s="194">
        <f t="shared" si="62"/>
        <v>2.5925925925925925E-2</v>
      </c>
    </row>
    <row r="1293" spans="1:15" ht="12.75" customHeight="1">
      <c r="A1293" s="188" t="s">
        <v>620</v>
      </c>
      <c r="B1293" s="188" t="s">
        <v>1394</v>
      </c>
      <c r="C1293" s="188" t="s">
        <v>641</v>
      </c>
      <c r="D1293" s="188" t="s">
        <v>2521</v>
      </c>
      <c r="E1293" s="189">
        <v>39226</v>
      </c>
      <c r="F1293" s="190">
        <v>0</v>
      </c>
      <c r="G1293" s="190">
        <v>71.040000000000006</v>
      </c>
      <c r="H1293" s="191">
        <v>749.03</v>
      </c>
      <c r="I1293" s="191">
        <v>277.5</v>
      </c>
      <c r="J1293" s="188" t="s">
        <v>361</v>
      </c>
      <c r="K1293" s="188" t="s">
        <v>338</v>
      </c>
      <c r="L1293" s="188" t="s">
        <v>923</v>
      </c>
      <c r="M1293" s="192">
        <f t="shared" si="60"/>
        <v>26</v>
      </c>
      <c r="N1293" s="193">
        <f t="shared" si="61"/>
        <v>0.67480180180180183</v>
      </c>
      <c r="O1293" s="194">
        <f t="shared" si="62"/>
        <v>2.5953915453915455E-2</v>
      </c>
    </row>
    <row r="1294" spans="1:15" ht="12.75" customHeight="1">
      <c r="A1294" s="188" t="s">
        <v>620</v>
      </c>
      <c r="B1294" s="188" t="s">
        <v>1394</v>
      </c>
      <c r="C1294" s="188" t="s">
        <v>641</v>
      </c>
      <c r="D1294" s="188" t="s">
        <v>2522</v>
      </c>
      <c r="E1294" s="189">
        <v>39590</v>
      </c>
      <c r="F1294" s="190">
        <v>0</v>
      </c>
      <c r="G1294" s="190">
        <v>40</v>
      </c>
      <c r="H1294" s="191">
        <v>438</v>
      </c>
      <c r="I1294" s="191">
        <v>156.25</v>
      </c>
      <c r="J1294" s="188" t="s">
        <v>639</v>
      </c>
      <c r="K1294" s="188" t="s">
        <v>338</v>
      </c>
      <c r="L1294" s="188" t="s">
        <v>1823</v>
      </c>
      <c r="M1294" s="192">
        <f t="shared" si="60"/>
        <v>27</v>
      </c>
      <c r="N1294" s="193">
        <f t="shared" si="61"/>
        <v>0.70079999999999998</v>
      </c>
      <c r="O1294" s="194">
        <f t="shared" si="62"/>
        <v>2.5955555555555555E-2</v>
      </c>
    </row>
    <row r="1295" spans="1:15" ht="12.75" customHeight="1">
      <c r="A1295" s="188" t="s">
        <v>620</v>
      </c>
      <c r="B1295" s="188" t="s">
        <v>1394</v>
      </c>
      <c r="C1295" s="188" t="s">
        <v>641</v>
      </c>
      <c r="D1295" s="188" t="s">
        <v>2523</v>
      </c>
      <c r="E1295" s="189">
        <v>39447</v>
      </c>
      <c r="F1295" s="190">
        <v>0</v>
      </c>
      <c r="G1295" s="190">
        <v>113.86</v>
      </c>
      <c r="H1295" s="191">
        <v>1247</v>
      </c>
      <c r="I1295" s="191">
        <v>444.75</v>
      </c>
      <c r="J1295" s="188" t="s">
        <v>639</v>
      </c>
      <c r="K1295" s="188" t="s">
        <v>338</v>
      </c>
      <c r="L1295" s="188" t="s">
        <v>2524</v>
      </c>
      <c r="M1295" s="192">
        <f t="shared" si="60"/>
        <v>27</v>
      </c>
      <c r="N1295" s="193">
        <f t="shared" si="61"/>
        <v>0.70095559302979205</v>
      </c>
      <c r="O1295" s="194">
        <f t="shared" si="62"/>
        <v>2.596131826036267E-2</v>
      </c>
    </row>
    <row r="1296" spans="1:15" ht="12.75" customHeight="1">
      <c r="A1296" s="188" t="s">
        <v>620</v>
      </c>
      <c r="B1296" s="188" t="s">
        <v>1394</v>
      </c>
      <c r="C1296" s="188" t="s">
        <v>641</v>
      </c>
      <c r="D1296" s="188" t="s">
        <v>2525</v>
      </c>
      <c r="E1296" s="189">
        <v>39485</v>
      </c>
      <c r="F1296" s="190">
        <v>0</v>
      </c>
      <c r="G1296" s="190">
        <v>60.8</v>
      </c>
      <c r="H1296" s="191">
        <v>493.68</v>
      </c>
      <c r="I1296" s="191">
        <v>237.5</v>
      </c>
      <c r="J1296" s="188" t="s">
        <v>560</v>
      </c>
      <c r="K1296" s="188" t="s">
        <v>338</v>
      </c>
      <c r="L1296" s="188" t="s">
        <v>1164</v>
      </c>
      <c r="M1296" s="192">
        <f t="shared" si="60"/>
        <v>20</v>
      </c>
      <c r="N1296" s="193">
        <f t="shared" si="61"/>
        <v>0.51966315789473683</v>
      </c>
      <c r="O1296" s="194">
        <f t="shared" si="62"/>
        <v>2.598315789473684E-2</v>
      </c>
    </row>
    <row r="1297" spans="1:15" ht="12.75" customHeight="1">
      <c r="A1297" s="188" t="s">
        <v>620</v>
      </c>
      <c r="B1297" s="188" t="s">
        <v>1394</v>
      </c>
      <c r="C1297" s="188" t="s">
        <v>641</v>
      </c>
      <c r="D1297" s="188" t="s">
        <v>2526</v>
      </c>
      <c r="E1297" s="189">
        <v>39548</v>
      </c>
      <c r="F1297" s="190">
        <v>0</v>
      </c>
      <c r="G1297" s="190">
        <v>92.8</v>
      </c>
      <c r="H1297" s="191">
        <v>980</v>
      </c>
      <c r="I1297" s="191">
        <v>362.5</v>
      </c>
      <c r="J1297" s="188" t="s">
        <v>361</v>
      </c>
      <c r="K1297" s="188" t="s">
        <v>338</v>
      </c>
      <c r="L1297" s="188" t="s">
        <v>920</v>
      </c>
      <c r="M1297" s="192">
        <f t="shared" si="60"/>
        <v>26</v>
      </c>
      <c r="N1297" s="193">
        <f t="shared" si="61"/>
        <v>0.67586206896551726</v>
      </c>
      <c r="O1297" s="194">
        <f t="shared" si="62"/>
        <v>2.5994694960212204E-2</v>
      </c>
    </row>
    <row r="1298" spans="1:15" ht="12.75" customHeight="1">
      <c r="A1298" s="188" t="s">
        <v>620</v>
      </c>
      <c r="B1298" s="188" t="s">
        <v>1394</v>
      </c>
      <c r="C1298" s="188" t="s">
        <v>641</v>
      </c>
      <c r="D1298" s="188" t="s">
        <v>2527</v>
      </c>
      <c r="E1298" s="189">
        <v>39212</v>
      </c>
      <c r="F1298" s="190">
        <v>0</v>
      </c>
      <c r="G1298" s="190">
        <v>89.6</v>
      </c>
      <c r="H1298" s="191">
        <v>910</v>
      </c>
      <c r="I1298" s="191">
        <v>350</v>
      </c>
      <c r="J1298" s="188" t="s">
        <v>652</v>
      </c>
      <c r="K1298" s="188" t="s">
        <v>338</v>
      </c>
      <c r="L1298" s="188" t="s">
        <v>754</v>
      </c>
      <c r="M1298" s="192">
        <f t="shared" si="60"/>
        <v>25</v>
      </c>
      <c r="N1298" s="193">
        <f t="shared" si="61"/>
        <v>0.65</v>
      </c>
      <c r="O1298" s="194">
        <f t="shared" si="62"/>
        <v>2.6000000000000002E-2</v>
      </c>
    </row>
    <row r="1299" spans="1:15" ht="12.75" customHeight="1">
      <c r="A1299" s="188" t="s">
        <v>620</v>
      </c>
      <c r="B1299" s="188" t="s">
        <v>1394</v>
      </c>
      <c r="C1299" s="188" t="s">
        <v>641</v>
      </c>
      <c r="D1299" s="188" t="s">
        <v>2528</v>
      </c>
      <c r="E1299" s="189">
        <v>39436</v>
      </c>
      <c r="F1299" s="190">
        <v>0</v>
      </c>
      <c r="G1299" s="190">
        <v>52.22</v>
      </c>
      <c r="H1299" s="191">
        <v>659</v>
      </c>
      <c r="I1299" s="191">
        <v>204</v>
      </c>
      <c r="J1299" s="188" t="s">
        <v>560</v>
      </c>
      <c r="K1299" s="188" t="s">
        <v>648</v>
      </c>
      <c r="L1299" s="188" t="s">
        <v>1490</v>
      </c>
      <c r="M1299" s="192">
        <f t="shared" si="60"/>
        <v>31</v>
      </c>
      <c r="N1299" s="193">
        <f t="shared" si="61"/>
        <v>0.80759803921568629</v>
      </c>
      <c r="O1299" s="194">
        <f t="shared" si="62"/>
        <v>2.6051549652118911E-2</v>
      </c>
    </row>
    <row r="1300" spans="1:15" ht="12.75" customHeight="1">
      <c r="A1300" s="188" t="s">
        <v>620</v>
      </c>
      <c r="B1300" s="188" t="s">
        <v>1394</v>
      </c>
      <c r="C1300" s="188" t="s">
        <v>641</v>
      </c>
      <c r="D1300" s="188" t="s">
        <v>2529</v>
      </c>
      <c r="E1300" s="189">
        <v>39555</v>
      </c>
      <c r="F1300" s="190">
        <v>0</v>
      </c>
      <c r="G1300" s="190">
        <v>67.2</v>
      </c>
      <c r="H1300" s="191">
        <v>520</v>
      </c>
      <c r="I1300" s="191">
        <v>262.5</v>
      </c>
      <c r="J1300" s="188" t="s">
        <v>667</v>
      </c>
      <c r="K1300" s="188" t="s">
        <v>338</v>
      </c>
      <c r="L1300" s="188" t="s">
        <v>1139</v>
      </c>
      <c r="M1300" s="192">
        <f t="shared" si="60"/>
        <v>19</v>
      </c>
      <c r="N1300" s="193">
        <f t="shared" si="61"/>
        <v>0.49523809523809526</v>
      </c>
      <c r="O1300" s="194">
        <f t="shared" si="62"/>
        <v>2.606516290726817E-2</v>
      </c>
    </row>
    <row r="1301" spans="1:15" ht="12.75" customHeight="1">
      <c r="A1301" s="188" t="s">
        <v>620</v>
      </c>
      <c r="B1301" s="188" t="s">
        <v>1394</v>
      </c>
      <c r="C1301" s="188" t="s">
        <v>641</v>
      </c>
      <c r="D1301" s="188" t="s">
        <v>2530</v>
      </c>
      <c r="E1301" s="189">
        <v>39247</v>
      </c>
      <c r="F1301" s="190">
        <v>0</v>
      </c>
      <c r="G1301" s="190">
        <v>30.46</v>
      </c>
      <c r="H1301" s="191">
        <v>335.01</v>
      </c>
      <c r="I1301" s="191">
        <v>119</v>
      </c>
      <c r="J1301" s="188" t="s">
        <v>639</v>
      </c>
      <c r="K1301" s="188" t="s">
        <v>338</v>
      </c>
      <c r="L1301" s="188" t="s">
        <v>163</v>
      </c>
      <c r="M1301" s="192">
        <f t="shared" si="60"/>
        <v>27</v>
      </c>
      <c r="N1301" s="193">
        <f t="shared" si="61"/>
        <v>0.70380252100840335</v>
      </c>
      <c r="O1301" s="194">
        <f t="shared" si="62"/>
        <v>2.6066760037348272E-2</v>
      </c>
    </row>
    <row r="1302" spans="1:15" ht="12.75" customHeight="1">
      <c r="A1302" s="188" t="s">
        <v>620</v>
      </c>
      <c r="B1302" s="188" t="s">
        <v>1394</v>
      </c>
      <c r="C1302" s="188" t="s">
        <v>641</v>
      </c>
      <c r="D1302" s="188" t="s">
        <v>2531</v>
      </c>
      <c r="E1302" s="189">
        <v>39395</v>
      </c>
      <c r="F1302" s="190">
        <v>0</v>
      </c>
      <c r="G1302" s="190">
        <v>128.96</v>
      </c>
      <c r="H1302" s="191">
        <v>1576</v>
      </c>
      <c r="I1302" s="191">
        <v>503.75</v>
      </c>
      <c r="J1302" s="188" t="s">
        <v>635</v>
      </c>
      <c r="K1302" s="188" t="s">
        <v>338</v>
      </c>
      <c r="L1302" s="188" t="s">
        <v>2532</v>
      </c>
      <c r="M1302" s="192">
        <f t="shared" si="60"/>
        <v>30</v>
      </c>
      <c r="N1302" s="193">
        <f t="shared" si="61"/>
        <v>0.78213399503722081</v>
      </c>
      <c r="O1302" s="194">
        <f t="shared" si="62"/>
        <v>2.6071133167907361E-2</v>
      </c>
    </row>
    <row r="1303" spans="1:15" ht="12.75" customHeight="1">
      <c r="A1303" s="188" t="s">
        <v>620</v>
      </c>
      <c r="B1303" s="188" t="s">
        <v>1394</v>
      </c>
      <c r="C1303" s="188" t="s">
        <v>641</v>
      </c>
      <c r="D1303" s="188" t="s">
        <v>2533</v>
      </c>
      <c r="E1303" s="189">
        <v>39401</v>
      </c>
      <c r="F1303" s="190">
        <v>0</v>
      </c>
      <c r="G1303" s="190">
        <v>119.81</v>
      </c>
      <c r="H1303" s="191">
        <v>1855</v>
      </c>
      <c r="I1303" s="191">
        <v>468</v>
      </c>
      <c r="J1303" s="188" t="s">
        <v>624</v>
      </c>
      <c r="K1303" s="188" t="s">
        <v>338</v>
      </c>
      <c r="L1303" s="188" t="s">
        <v>2534</v>
      </c>
      <c r="M1303" s="192">
        <f t="shared" si="60"/>
        <v>38</v>
      </c>
      <c r="N1303" s="193">
        <f t="shared" si="61"/>
        <v>0.99091880341880345</v>
      </c>
      <c r="O1303" s="194">
        <f t="shared" si="62"/>
        <v>2.60768106162843E-2</v>
      </c>
    </row>
    <row r="1304" spans="1:15" ht="12.75" customHeight="1">
      <c r="A1304" s="188" t="s">
        <v>620</v>
      </c>
      <c r="B1304" s="188" t="s">
        <v>1394</v>
      </c>
      <c r="C1304" s="188" t="s">
        <v>641</v>
      </c>
      <c r="D1304" s="188" t="s">
        <v>2535</v>
      </c>
      <c r="E1304" s="189">
        <v>39212</v>
      </c>
      <c r="F1304" s="190">
        <v>0</v>
      </c>
      <c r="G1304" s="190">
        <v>63.94</v>
      </c>
      <c r="H1304" s="191">
        <v>599.4</v>
      </c>
      <c r="I1304" s="191">
        <v>249.75</v>
      </c>
      <c r="J1304" s="188" t="s">
        <v>571</v>
      </c>
      <c r="K1304" s="188" t="s">
        <v>338</v>
      </c>
      <c r="L1304" s="188" t="s">
        <v>2536</v>
      </c>
      <c r="M1304" s="192">
        <f t="shared" si="60"/>
        <v>23</v>
      </c>
      <c r="N1304" s="193">
        <f t="shared" si="61"/>
        <v>0.6</v>
      </c>
      <c r="O1304" s="194">
        <f t="shared" si="62"/>
        <v>2.6086956521739129E-2</v>
      </c>
    </row>
    <row r="1305" spans="1:15" ht="12.75" customHeight="1">
      <c r="A1305" s="188" t="s">
        <v>620</v>
      </c>
      <c r="B1305" s="188" t="s">
        <v>1394</v>
      </c>
      <c r="C1305" s="188" t="s">
        <v>641</v>
      </c>
      <c r="D1305" s="188" t="s">
        <v>2537</v>
      </c>
      <c r="E1305" s="189">
        <v>39485</v>
      </c>
      <c r="F1305" s="190">
        <v>0</v>
      </c>
      <c r="G1305" s="190">
        <v>102.4</v>
      </c>
      <c r="H1305" s="191">
        <v>960</v>
      </c>
      <c r="I1305" s="191">
        <v>400</v>
      </c>
      <c r="J1305" s="188" t="s">
        <v>571</v>
      </c>
      <c r="K1305" s="188" t="s">
        <v>338</v>
      </c>
      <c r="L1305" s="188" t="s">
        <v>625</v>
      </c>
      <c r="M1305" s="192">
        <f t="shared" si="60"/>
        <v>23</v>
      </c>
      <c r="N1305" s="193">
        <f t="shared" si="61"/>
        <v>0.6</v>
      </c>
      <c r="O1305" s="194">
        <f t="shared" si="62"/>
        <v>2.6086956521739129E-2</v>
      </c>
    </row>
    <row r="1306" spans="1:15" ht="12.75" customHeight="1">
      <c r="A1306" s="188" t="s">
        <v>620</v>
      </c>
      <c r="B1306" s="188" t="s">
        <v>1394</v>
      </c>
      <c r="C1306" s="188" t="s">
        <v>641</v>
      </c>
      <c r="D1306" s="188" t="s">
        <v>2538</v>
      </c>
      <c r="E1306" s="189">
        <v>39499</v>
      </c>
      <c r="F1306" s="190">
        <v>0</v>
      </c>
      <c r="G1306" s="190">
        <v>93.82</v>
      </c>
      <c r="H1306" s="191">
        <v>765</v>
      </c>
      <c r="I1306" s="191">
        <v>366.5</v>
      </c>
      <c r="J1306" s="188" t="s">
        <v>560</v>
      </c>
      <c r="K1306" s="188" t="s">
        <v>338</v>
      </c>
      <c r="L1306" s="188" t="s">
        <v>2539</v>
      </c>
      <c r="M1306" s="192">
        <f t="shared" si="60"/>
        <v>20</v>
      </c>
      <c r="N1306" s="193">
        <f t="shared" si="61"/>
        <v>0.52182810368349253</v>
      </c>
      <c r="O1306" s="194">
        <f t="shared" si="62"/>
        <v>2.6091405184174625E-2</v>
      </c>
    </row>
    <row r="1307" spans="1:15" ht="12.75" customHeight="1">
      <c r="A1307" s="188" t="s">
        <v>620</v>
      </c>
      <c r="B1307" s="188" t="s">
        <v>1394</v>
      </c>
      <c r="C1307" s="188" t="s">
        <v>641</v>
      </c>
      <c r="D1307" s="188" t="s">
        <v>2540</v>
      </c>
      <c r="E1307" s="189">
        <v>39590</v>
      </c>
      <c r="F1307" s="190">
        <v>0</v>
      </c>
      <c r="G1307" s="190">
        <v>38.4</v>
      </c>
      <c r="H1307" s="191">
        <v>595</v>
      </c>
      <c r="I1307" s="191">
        <v>150</v>
      </c>
      <c r="J1307" s="188" t="s">
        <v>624</v>
      </c>
      <c r="K1307" s="188" t="s">
        <v>338</v>
      </c>
      <c r="L1307" s="188" t="s">
        <v>677</v>
      </c>
      <c r="M1307" s="192">
        <f t="shared" si="60"/>
        <v>38</v>
      </c>
      <c r="N1307" s="193">
        <f t="shared" si="61"/>
        <v>0.9916666666666667</v>
      </c>
      <c r="O1307" s="194">
        <f t="shared" si="62"/>
        <v>2.6096491228070177E-2</v>
      </c>
    </row>
    <row r="1308" spans="1:15" ht="12.75" customHeight="1">
      <c r="A1308" s="188" t="s">
        <v>620</v>
      </c>
      <c r="B1308" s="188" t="s">
        <v>1394</v>
      </c>
      <c r="C1308" s="188" t="s">
        <v>641</v>
      </c>
      <c r="D1308" s="188" t="s">
        <v>2541</v>
      </c>
      <c r="E1308" s="189">
        <v>39555</v>
      </c>
      <c r="F1308" s="190">
        <v>0</v>
      </c>
      <c r="G1308" s="190">
        <v>7.68</v>
      </c>
      <c r="H1308" s="191">
        <v>119.04</v>
      </c>
      <c r="I1308" s="191">
        <v>30</v>
      </c>
      <c r="J1308" s="188" t="s">
        <v>624</v>
      </c>
      <c r="K1308" s="188" t="s">
        <v>338</v>
      </c>
      <c r="L1308" s="188" t="s">
        <v>1371</v>
      </c>
      <c r="M1308" s="192">
        <f t="shared" si="60"/>
        <v>38</v>
      </c>
      <c r="N1308" s="193">
        <f t="shared" si="61"/>
        <v>0.9920000000000001</v>
      </c>
      <c r="O1308" s="194">
        <f t="shared" si="62"/>
        <v>2.6105263157894739E-2</v>
      </c>
    </row>
    <row r="1309" spans="1:15" ht="12.75" customHeight="1">
      <c r="A1309" s="188" t="s">
        <v>620</v>
      </c>
      <c r="B1309" s="188" t="s">
        <v>1394</v>
      </c>
      <c r="C1309" s="188" t="s">
        <v>641</v>
      </c>
      <c r="D1309" s="188" t="s">
        <v>2542</v>
      </c>
      <c r="E1309" s="189">
        <v>39310</v>
      </c>
      <c r="F1309" s="190">
        <v>0</v>
      </c>
      <c r="G1309" s="190">
        <v>73.09</v>
      </c>
      <c r="H1309" s="191">
        <v>864.95</v>
      </c>
      <c r="I1309" s="191">
        <v>285.5</v>
      </c>
      <c r="J1309" s="188" t="s">
        <v>715</v>
      </c>
      <c r="K1309" s="188" t="s">
        <v>338</v>
      </c>
      <c r="L1309" s="188" t="s">
        <v>2543</v>
      </c>
      <c r="M1309" s="192">
        <f t="shared" si="60"/>
        <v>29</v>
      </c>
      <c r="N1309" s="193">
        <f t="shared" si="61"/>
        <v>0.75739929947460605</v>
      </c>
      <c r="O1309" s="194">
        <f t="shared" si="62"/>
        <v>2.6117217223262278E-2</v>
      </c>
    </row>
    <row r="1310" spans="1:15" ht="12.75" customHeight="1">
      <c r="A1310" s="188" t="s">
        <v>620</v>
      </c>
      <c r="B1310" s="188" t="s">
        <v>1394</v>
      </c>
      <c r="C1310" s="188" t="s">
        <v>641</v>
      </c>
      <c r="D1310" s="188" t="s">
        <v>2544</v>
      </c>
      <c r="E1310" s="189">
        <v>39261</v>
      </c>
      <c r="F1310" s="190">
        <v>0</v>
      </c>
      <c r="G1310" s="190">
        <v>82.94</v>
      </c>
      <c r="H1310" s="191">
        <v>1287.06</v>
      </c>
      <c r="I1310" s="191">
        <v>324</v>
      </c>
      <c r="J1310" s="188" t="s">
        <v>624</v>
      </c>
      <c r="K1310" s="188" t="s">
        <v>338</v>
      </c>
      <c r="L1310" s="188" t="s">
        <v>1319</v>
      </c>
      <c r="M1310" s="192">
        <f t="shared" si="60"/>
        <v>38</v>
      </c>
      <c r="N1310" s="193">
        <f t="shared" si="61"/>
        <v>0.99310185185185185</v>
      </c>
      <c r="O1310" s="194">
        <f t="shared" si="62"/>
        <v>2.613425925925926E-2</v>
      </c>
    </row>
    <row r="1311" spans="1:15" ht="12.75" customHeight="1">
      <c r="A1311" s="188" t="s">
        <v>620</v>
      </c>
      <c r="B1311" s="188" t="s">
        <v>1394</v>
      </c>
      <c r="C1311" s="188" t="s">
        <v>641</v>
      </c>
      <c r="D1311" s="188" t="s">
        <v>2545</v>
      </c>
      <c r="E1311" s="189">
        <v>39254</v>
      </c>
      <c r="F1311" s="190">
        <v>0</v>
      </c>
      <c r="G1311" s="190">
        <v>95.36</v>
      </c>
      <c r="H1311" s="191">
        <v>975.06</v>
      </c>
      <c r="I1311" s="191">
        <v>372.5</v>
      </c>
      <c r="J1311" s="188" t="s">
        <v>652</v>
      </c>
      <c r="K1311" s="188" t="s">
        <v>338</v>
      </c>
      <c r="L1311" s="188" t="s">
        <v>2546</v>
      </c>
      <c r="M1311" s="192">
        <f t="shared" si="60"/>
        <v>25</v>
      </c>
      <c r="N1311" s="193">
        <f t="shared" si="61"/>
        <v>0.65440268456375839</v>
      </c>
      <c r="O1311" s="194">
        <f t="shared" si="62"/>
        <v>2.6176107382550336E-2</v>
      </c>
    </row>
    <row r="1312" spans="1:15" ht="12.75" customHeight="1">
      <c r="A1312" s="188" t="s">
        <v>620</v>
      </c>
      <c r="B1312" s="188" t="s">
        <v>1394</v>
      </c>
      <c r="C1312" s="188" t="s">
        <v>641</v>
      </c>
      <c r="D1312" s="188" t="s">
        <v>2547</v>
      </c>
      <c r="E1312" s="189">
        <v>39353</v>
      </c>
      <c r="F1312" s="190">
        <v>0</v>
      </c>
      <c r="G1312" s="190">
        <v>87.04</v>
      </c>
      <c r="H1312" s="191">
        <v>1353</v>
      </c>
      <c r="I1312" s="191">
        <v>340</v>
      </c>
      <c r="J1312" s="188" t="s">
        <v>624</v>
      </c>
      <c r="K1312" s="188" t="s">
        <v>338</v>
      </c>
      <c r="L1312" s="188" t="s">
        <v>774</v>
      </c>
      <c r="M1312" s="192">
        <f t="shared" si="60"/>
        <v>38</v>
      </c>
      <c r="N1312" s="193">
        <f t="shared" si="61"/>
        <v>0.99485294117647061</v>
      </c>
      <c r="O1312" s="194">
        <f t="shared" si="62"/>
        <v>2.6180340557275542E-2</v>
      </c>
    </row>
    <row r="1313" spans="1:15" ht="12.75" customHeight="1">
      <c r="A1313" s="188" t="s">
        <v>620</v>
      </c>
      <c r="B1313" s="188" t="s">
        <v>1394</v>
      </c>
      <c r="C1313" s="188" t="s">
        <v>641</v>
      </c>
      <c r="D1313" s="188" t="s">
        <v>2548</v>
      </c>
      <c r="E1313" s="189">
        <v>39275</v>
      </c>
      <c r="F1313" s="190">
        <v>0</v>
      </c>
      <c r="G1313" s="190">
        <v>83.2</v>
      </c>
      <c r="H1313" s="191">
        <v>975</v>
      </c>
      <c r="I1313" s="191">
        <v>325</v>
      </c>
      <c r="J1313" s="188" t="s">
        <v>624</v>
      </c>
      <c r="K1313" s="188" t="s">
        <v>338</v>
      </c>
      <c r="L1313" s="188" t="s">
        <v>1487</v>
      </c>
      <c r="M1313" s="192">
        <f t="shared" si="60"/>
        <v>38</v>
      </c>
      <c r="N1313" s="193">
        <f t="shared" si="61"/>
        <v>0.99489795918367352</v>
      </c>
      <c r="O1313" s="194">
        <f t="shared" si="62"/>
        <v>2.6181525241675618E-2</v>
      </c>
    </row>
    <row r="1314" spans="1:15" ht="12.75" customHeight="1">
      <c r="A1314" s="188" t="s">
        <v>620</v>
      </c>
      <c r="B1314" s="188" t="s">
        <v>1394</v>
      </c>
      <c r="C1314" s="188" t="s">
        <v>641</v>
      </c>
      <c r="D1314" s="188" t="s">
        <v>2549</v>
      </c>
      <c r="E1314" s="189">
        <v>39359</v>
      </c>
      <c r="F1314" s="190">
        <v>0</v>
      </c>
      <c r="G1314" s="190">
        <v>67.069999999999993</v>
      </c>
      <c r="H1314" s="191">
        <v>797.63</v>
      </c>
      <c r="I1314" s="191">
        <v>262</v>
      </c>
      <c r="J1314" s="188" t="s">
        <v>715</v>
      </c>
      <c r="K1314" s="188" t="s">
        <v>338</v>
      </c>
      <c r="L1314" s="188" t="s">
        <v>1331</v>
      </c>
      <c r="M1314" s="192">
        <f t="shared" si="60"/>
        <v>29</v>
      </c>
      <c r="N1314" s="193">
        <f t="shared" si="61"/>
        <v>0.76109732824427478</v>
      </c>
      <c r="O1314" s="194">
        <f t="shared" si="62"/>
        <v>2.6244735456699132E-2</v>
      </c>
    </row>
    <row r="1315" spans="1:15" ht="12.75" customHeight="1">
      <c r="A1315" s="188" t="s">
        <v>620</v>
      </c>
      <c r="B1315" s="188" t="s">
        <v>1394</v>
      </c>
      <c r="C1315" s="188" t="s">
        <v>641</v>
      </c>
      <c r="D1315" s="188" t="s">
        <v>2550</v>
      </c>
      <c r="E1315" s="189">
        <v>39247</v>
      </c>
      <c r="F1315" s="190">
        <v>0</v>
      </c>
      <c r="G1315" s="190">
        <v>48.77</v>
      </c>
      <c r="H1315" s="191">
        <v>600</v>
      </c>
      <c r="I1315" s="191">
        <v>190.5</v>
      </c>
      <c r="J1315" s="188" t="s">
        <v>635</v>
      </c>
      <c r="K1315" s="188" t="s">
        <v>338</v>
      </c>
      <c r="L1315" s="188" t="s">
        <v>2551</v>
      </c>
      <c r="M1315" s="192">
        <f t="shared" si="60"/>
        <v>30</v>
      </c>
      <c r="N1315" s="193">
        <f t="shared" si="61"/>
        <v>0.78740157480314965</v>
      </c>
      <c r="O1315" s="194">
        <f t="shared" si="62"/>
        <v>2.624671916010499E-2</v>
      </c>
    </row>
    <row r="1316" spans="1:15" ht="12.75" customHeight="1">
      <c r="A1316" s="188" t="s">
        <v>620</v>
      </c>
      <c r="B1316" s="188" t="s">
        <v>1394</v>
      </c>
      <c r="C1316" s="188" t="s">
        <v>641</v>
      </c>
      <c r="D1316" s="188" t="s">
        <v>2552</v>
      </c>
      <c r="E1316" s="189">
        <v>39464</v>
      </c>
      <c r="F1316" s="190">
        <v>0</v>
      </c>
      <c r="G1316" s="190">
        <v>92.8</v>
      </c>
      <c r="H1316" s="191">
        <v>837.86</v>
      </c>
      <c r="I1316" s="191">
        <v>362.5</v>
      </c>
      <c r="J1316" s="188" t="s">
        <v>710</v>
      </c>
      <c r="K1316" s="188" t="s">
        <v>338</v>
      </c>
      <c r="L1316" s="188" t="s">
        <v>920</v>
      </c>
      <c r="M1316" s="192">
        <f t="shared" si="60"/>
        <v>22</v>
      </c>
      <c r="N1316" s="193">
        <f t="shared" si="61"/>
        <v>0.5778344827586207</v>
      </c>
      <c r="O1316" s="194">
        <f t="shared" si="62"/>
        <v>2.6265203761755486E-2</v>
      </c>
    </row>
    <row r="1317" spans="1:15" ht="12.75" customHeight="1">
      <c r="A1317" s="188" t="s">
        <v>620</v>
      </c>
      <c r="B1317" s="188" t="s">
        <v>1394</v>
      </c>
      <c r="C1317" s="188" t="s">
        <v>641</v>
      </c>
      <c r="D1317" s="188" t="s">
        <v>2553</v>
      </c>
      <c r="E1317" s="189">
        <v>39447</v>
      </c>
      <c r="F1317" s="190">
        <v>0</v>
      </c>
      <c r="G1317" s="190">
        <v>108.54</v>
      </c>
      <c r="H1317" s="191">
        <v>1025</v>
      </c>
      <c r="I1317" s="191">
        <v>424</v>
      </c>
      <c r="J1317" s="188" t="s">
        <v>571</v>
      </c>
      <c r="K1317" s="188" t="s">
        <v>338</v>
      </c>
      <c r="L1317" s="188" t="s">
        <v>2554</v>
      </c>
      <c r="M1317" s="192">
        <f t="shared" si="60"/>
        <v>23</v>
      </c>
      <c r="N1317" s="193">
        <f t="shared" si="61"/>
        <v>0.60436320754716977</v>
      </c>
      <c r="O1317" s="194">
        <f t="shared" si="62"/>
        <v>2.6276661197703034E-2</v>
      </c>
    </row>
    <row r="1318" spans="1:15" ht="12.75" customHeight="1">
      <c r="A1318" s="188" t="s">
        <v>620</v>
      </c>
      <c r="B1318" s="188" t="s">
        <v>1394</v>
      </c>
      <c r="C1318" s="188" t="s">
        <v>641</v>
      </c>
      <c r="D1318" s="188" t="s">
        <v>2555</v>
      </c>
      <c r="E1318" s="189">
        <v>39219</v>
      </c>
      <c r="F1318" s="190">
        <v>0</v>
      </c>
      <c r="G1318" s="190">
        <v>89.6</v>
      </c>
      <c r="H1318" s="191">
        <v>994</v>
      </c>
      <c r="I1318" s="191">
        <v>350</v>
      </c>
      <c r="J1318" s="188" t="s">
        <v>639</v>
      </c>
      <c r="K1318" s="188" t="s">
        <v>338</v>
      </c>
      <c r="L1318" s="188" t="s">
        <v>754</v>
      </c>
      <c r="M1318" s="192">
        <f t="shared" si="60"/>
        <v>27</v>
      </c>
      <c r="N1318" s="193">
        <f t="shared" si="61"/>
        <v>0.71</v>
      </c>
      <c r="O1318" s="194">
        <f t="shared" si="62"/>
        <v>2.6296296296296293E-2</v>
      </c>
    </row>
    <row r="1319" spans="1:15" ht="12.75" customHeight="1">
      <c r="A1319" s="188" t="s">
        <v>620</v>
      </c>
      <c r="B1319" s="188" t="s">
        <v>1394</v>
      </c>
      <c r="C1319" s="188" t="s">
        <v>641</v>
      </c>
      <c r="D1319" s="188" t="s">
        <v>2556</v>
      </c>
      <c r="E1319" s="189">
        <v>39310</v>
      </c>
      <c r="F1319" s="190">
        <v>0</v>
      </c>
      <c r="G1319" s="190">
        <v>76.8</v>
      </c>
      <c r="H1319" s="191">
        <v>1200</v>
      </c>
      <c r="I1319" s="191">
        <v>300</v>
      </c>
      <c r="J1319" s="188" t="s">
        <v>624</v>
      </c>
      <c r="K1319" s="188" t="s">
        <v>338</v>
      </c>
      <c r="L1319" s="188" t="s">
        <v>632</v>
      </c>
      <c r="M1319" s="192">
        <f t="shared" si="60"/>
        <v>38</v>
      </c>
      <c r="N1319" s="193">
        <f t="shared" si="61"/>
        <v>1</v>
      </c>
      <c r="O1319" s="194">
        <f t="shared" si="62"/>
        <v>2.6315789473684209E-2</v>
      </c>
    </row>
    <row r="1320" spans="1:15" ht="12.75" customHeight="1">
      <c r="A1320" s="188" t="s">
        <v>620</v>
      </c>
      <c r="B1320" s="188" t="s">
        <v>1394</v>
      </c>
      <c r="C1320" s="188" t="s">
        <v>641</v>
      </c>
      <c r="D1320" s="188" t="s">
        <v>2557</v>
      </c>
      <c r="E1320" s="189">
        <v>39534</v>
      </c>
      <c r="F1320" s="190">
        <v>0</v>
      </c>
      <c r="G1320" s="190">
        <v>18.43</v>
      </c>
      <c r="H1320" s="191">
        <v>288</v>
      </c>
      <c r="I1320" s="191">
        <v>72</v>
      </c>
      <c r="J1320" s="188" t="s">
        <v>624</v>
      </c>
      <c r="K1320" s="188" t="s">
        <v>338</v>
      </c>
      <c r="L1320" s="188" t="s">
        <v>2558</v>
      </c>
      <c r="M1320" s="192">
        <f t="shared" si="60"/>
        <v>38</v>
      </c>
      <c r="N1320" s="193">
        <f t="shared" si="61"/>
        <v>1</v>
      </c>
      <c r="O1320" s="194">
        <f t="shared" si="62"/>
        <v>2.6315789473684209E-2</v>
      </c>
    </row>
    <row r="1321" spans="1:15" ht="12.75" customHeight="1">
      <c r="A1321" s="188" t="s">
        <v>620</v>
      </c>
      <c r="B1321" s="188" t="s">
        <v>1394</v>
      </c>
      <c r="C1321" s="188" t="s">
        <v>641</v>
      </c>
      <c r="D1321" s="188" t="s">
        <v>2559</v>
      </c>
      <c r="E1321" s="189">
        <v>39562</v>
      </c>
      <c r="F1321" s="190">
        <v>0</v>
      </c>
      <c r="G1321" s="190">
        <v>53.76</v>
      </c>
      <c r="H1321" s="191">
        <v>840</v>
      </c>
      <c r="I1321" s="191">
        <v>210</v>
      </c>
      <c r="J1321" s="188" t="s">
        <v>624</v>
      </c>
      <c r="K1321" s="188" t="s">
        <v>338</v>
      </c>
      <c r="L1321" s="188" t="s">
        <v>906</v>
      </c>
      <c r="M1321" s="192">
        <f t="shared" si="60"/>
        <v>38</v>
      </c>
      <c r="N1321" s="193">
        <f t="shared" si="61"/>
        <v>1</v>
      </c>
      <c r="O1321" s="194">
        <f t="shared" si="62"/>
        <v>2.6315789473684209E-2</v>
      </c>
    </row>
    <row r="1322" spans="1:15" ht="12.75" customHeight="1">
      <c r="A1322" s="188" t="s">
        <v>620</v>
      </c>
      <c r="B1322" s="188" t="s">
        <v>1394</v>
      </c>
      <c r="C1322" s="188" t="s">
        <v>641</v>
      </c>
      <c r="D1322" s="188" t="s">
        <v>2560</v>
      </c>
      <c r="E1322" s="189">
        <v>39639</v>
      </c>
      <c r="F1322" s="190">
        <v>0</v>
      </c>
      <c r="G1322" s="190">
        <v>48.38</v>
      </c>
      <c r="H1322" s="191">
        <v>701</v>
      </c>
      <c r="I1322" s="191">
        <v>189</v>
      </c>
      <c r="J1322" s="188" t="s">
        <v>624</v>
      </c>
      <c r="K1322" s="188" t="s">
        <v>338</v>
      </c>
      <c r="L1322" s="188" t="s">
        <v>2561</v>
      </c>
      <c r="M1322" s="192">
        <f t="shared" si="60"/>
        <v>38</v>
      </c>
      <c r="N1322" s="193">
        <f t="shared" si="61"/>
        <v>1</v>
      </c>
      <c r="O1322" s="194">
        <f t="shared" si="62"/>
        <v>2.6315789473684209E-2</v>
      </c>
    </row>
    <row r="1323" spans="1:15" ht="12.75" customHeight="1">
      <c r="A1323" s="188" t="s">
        <v>620</v>
      </c>
      <c r="B1323" s="188" t="s">
        <v>1394</v>
      </c>
      <c r="C1323" s="188" t="s">
        <v>641</v>
      </c>
      <c r="D1323" s="188" t="s">
        <v>2562</v>
      </c>
      <c r="E1323" s="189">
        <v>39282</v>
      </c>
      <c r="F1323" s="190">
        <v>0</v>
      </c>
      <c r="G1323" s="190">
        <v>135.68</v>
      </c>
      <c r="H1323" s="191">
        <v>1394.96</v>
      </c>
      <c r="I1323" s="191">
        <v>530</v>
      </c>
      <c r="J1323" s="188" t="s">
        <v>652</v>
      </c>
      <c r="K1323" s="188" t="s">
        <v>338</v>
      </c>
      <c r="L1323" s="188" t="s">
        <v>2563</v>
      </c>
      <c r="M1323" s="192">
        <f t="shared" si="60"/>
        <v>25</v>
      </c>
      <c r="N1323" s="193">
        <f t="shared" si="61"/>
        <v>0.65800000000000003</v>
      </c>
      <c r="O1323" s="194">
        <f t="shared" si="62"/>
        <v>2.632E-2</v>
      </c>
    </row>
    <row r="1324" spans="1:15" ht="12.75" customHeight="1">
      <c r="A1324" s="188" t="s">
        <v>620</v>
      </c>
      <c r="B1324" s="188" t="s">
        <v>1394</v>
      </c>
      <c r="C1324" s="188" t="s">
        <v>641</v>
      </c>
      <c r="D1324" s="188" t="s">
        <v>2564</v>
      </c>
      <c r="E1324" s="189">
        <v>39422</v>
      </c>
      <c r="F1324" s="190">
        <v>0</v>
      </c>
      <c r="G1324" s="190">
        <v>66.05</v>
      </c>
      <c r="H1324" s="191">
        <v>626</v>
      </c>
      <c r="I1324" s="191">
        <v>258</v>
      </c>
      <c r="J1324" s="188" t="s">
        <v>571</v>
      </c>
      <c r="K1324" s="188" t="s">
        <v>338</v>
      </c>
      <c r="L1324" s="188" t="s">
        <v>908</v>
      </c>
      <c r="M1324" s="192">
        <f t="shared" si="60"/>
        <v>23</v>
      </c>
      <c r="N1324" s="193">
        <f t="shared" si="61"/>
        <v>0.60658914728682167</v>
      </c>
      <c r="O1324" s="194">
        <f t="shared" si="62"/>
        <v>2.6373441186383552E-2</v>
      </c>
    </row>
    <row r="1325" spans="1:15" ht="12.75" customHeight="1">
      <c r="A1325" s="188" t="s">
        <v>620</v>
      </c>
      <c r="B1325" s="188" t="s">
        <v>1394</v>
      </c>
      <c r="C1325" s="188" t="s">
        <v>641</v>
      </c>
      <c r="D1325" s="188" t="s">
        <v>2565</v>
      </c>
      <c r="E1325" s="189">
        <v>39359</v>
      </c>
      <c r="F1325" s="190">
        <v>0</v>
      </c>
      <c r="G1325" s="190">
        <v>83.07</v>
      </c>
      <c r="H1325" s="191">
        <v>755</v>
      </c>
      <c r="I1325" s="191">
        <v>324.5</v>
      </c>
      <c r="J1325" s="188" t="s">
        <v>710</v>
      </c>
      <c r="K1325" s="188" t="s">
        <v>338</v>
      </c>
      <c r="L1325" s="188" t="s">
        <v>2566</v>
      </c>
      <c r="M1325" s="192">
        <f t="shared" si="60"/>
        <v>22</v>
      </c>
      <c r="N1325" s="193">
        <f t="shared" si="61"/>
        <v>0.58166409861325119</v>
      </c>
      <c r="O1325" s="194">
        <f t="shared" si="62"/>
        <v>2.6439277209693236E-2</v>
      </c>
    </row>
    <row r="1326" spans="1:15" ht="12.75" customHeight="1">
      <c r="A1326" s="188" t="s">
        <v>620</v>
      </c>
      <c r="B1326" s="188" t="s">
        <v>1394</v>
      </c>
      <c r="C1326" s="188" t="s">
        <v>641</v>
      </c>
      <c r="D1326" s="188" t="s">
        <v>2567</v>
      </c>
      <c r="E1326" s="189">
        <v>39520</v>
      </c>
      <c r="F1326" s="190">
        <v>0</v>
      </c>
      <c r="G1326" s="190">
        <v>105.6</v>
      </c>
      <c r="H1326" s="191">
        <v>873</v>
      </c>
      <c r="I1326" s="191">
        <v>412.5</v>
      </c>
      <c r="J1326" s="188" t="s">
        <v>560</v>
      </c>
      <c r="K1326" s="188" t="s">
        <v>338</v>
      </c>
      <c r="L1326" s="188" t="s">
        <v>885</v>
      </c>
      <c r="M1326" s="192">
        <f t="shared" si="60"/>
        <v>20</v>
      </c>
      <c r="N1326" s="193">
        <f t="shared" si="61"/>
        <v>0.52909090909090906</v>
      </c>
      <c r="O1326" s="194">
        <f t="shared" si="62"/>
        <v>2.6454545454545453E-2</v>
      </c>
    </row>
    <row r="1327" spans="1:15" ht="12.75" customHeight="1">
      <c r="A1327" s="188" t="s">
        <v>620</v>
      </c>
      <c r="B1327" s="188" t="s">
        <v>1394</v>
      </c>
      <c r="C1327" s="188" t="s">
        <v>641</v>
      </c>
      <c r="D1327" s="188" t="s">
        <v>2568</v>
      </c>
      <c r="E1327" s="189">
        <v>39401</v>
      </c>
      <c r="F1327" s="190">
        <v>0</v>
      </c>
      <c r="G1327" s="190">
        <v>79.62</v>
      </c>
      <c r="H1327" s="191">
        <v>757.91</v>
      </c>
      <c r="I1327" s="191">
        <v>311</v>
      </c>
      <c r="J1327" s="188" t="s">
        <v>571</v>
      </c>
      <c r="K1327" s="188" t="s">
        <v>338</v>
      </c>
      <c r="L1327" s="188" t="s">
        <v>1943</v>
      </c>
      <c r="M1327" s="192">
        <f t="shared" si="60"/>
        <v>23</v>
      </c>
      <c r="N1327" s="193">
        <f t="shared" si="61"/>
        <v>0.60925241157556265</v>
      </c>
      <c r="O1327" s="194">
        <f t="shared" si="62"/>
        <v>2.6489235285894027E-2</v>
      </c>
    </row>
    <row r="1328" spans="1:15" ht="12.75" customHeight="1">
      <c r="A1328" s="188" t="s">
        <v>620</v>
      </c>
      <c r="B1328" s="188" t="s">
        <v>1394</v>
      </c>
      <c r="C1328" s="188" t="s">
        <v>641</v>
      </c>
      <c r="D1328" s="188" t="s">
        <v>2569</v>
      </c>
      <c r="E1328" s="189">
        <v>39562</v>
      </c>
      <c r="F1328" s="190">
        <v>0</v>
      </c>
      <c r="G1328" s="190">
        <v>110.21</v>
      </c>
      <c r="H1328" s="191">
        <v>913.44</v>
      </c>
      <c r="I1328" s="191">
        <v>430.5</v>
      </c>
      <c r="J1328" s="188" t="s">
        <v>560</v>
      </c>
      <c r="K1328" s="188" t="s">
        <v>338</v>
      </c>
      <c r="L1328" s="188" t="s">
        <v>2570</v>
      </c>
      <c r="M1328" s="192">
        <f t="shared" si="60"/>
        <v>20</v>
      </c>
      <c r="N1328" s="193">
        <f t="shared" si="61"/>
        <v>0.53045296167247391</v>
      </c>
      <c r="O1328" s="194">
        <f t="shared" si="62"/>
        <v>2.6522648083623694E-2</v>
      </c>
    </row>
    <row r="1329" spans="1:15" ht="12.75" customHeight="1">
      <c r="A1329" s="188" t="s">
        <v>620</v>
      </c>
      <c r="B1329" s="188" t="s">
        <v>1394</v>
      </c>
      <c r="C1329" s="188" t="s">
        <v>641</v>
      </c>
      <c r="D1329" s="188" t="s">
        <v>2571</v>
      </c>
      <c r="E1329" s="189">
        <v>39485</v>
      </c>
      <c r="F1329" s="190">
        <v>0</v>
      </c>
      <c r="G1329" s="190">
        <v>57.79</v>
      </c>
      <c r="H1329" s="191">
        <v>479</v>
      </c>
      <c r="I1329" s="191">
        <v>225.75</v>
      </c>
      <c r="J1329" s="188" t="s">
        <v>560</v>
      </c>
      <c r="K1329" s="188" t="s">
        <v>338</v>
      </c>
      <c r="L1329" s="188" t="s">
        <v>2572</v>
      </c>
      <c r="M1329" s="192">
        <f t="shared" si="60"/>
        <v>20</v>
      </c>
      <c r="N1329" s="193">
        <f t="shared" si="61"/>
        <v>0.53045404208194902</v>
      </c>
      <c r="O1329" s="194">
        <f t="shared" si="62"/>
        <v>2.6522702104097452E-2</v>
      </c>
    </row>
    <row r="1330" spans="1:15" ht="12.75" customHeight="1">
      <c r="A1330" s="188" t="s">
        <v>620</v>
      </c>
      <c r="B1330" s="188" t="s">
        <v>1394</v>
      </c>
      <c r="C1330" s="188" t="s">
        <v>641</v>
      </c>
      <c r="D1330" s="188" t="s">
        <v>2573</v>
      </c>
      <c r="E1330" s="189">
        <v>39310</v>
      </c>
      <c r="F1330" s="190">
        <v>0</v>
      </c>
      <c r="G1330" s="190">
        <v>86.4</v>
      </c>
      <c r="H1330" s="191">
        <v>717.12</v>
      </c>
      <c r="I1330" s="191">
        <v>337.5</v>
      </c>
      <c r="J1330" s="188" t="s">
        <v>560</v>
      </c>
      <c r="K1330" s="188" t="s">
        <v>338</v>
      </c>
      <c r="L1330" s="188" t="s">
        <v>707</v>
      </c>
      <c r="M1330" s="192">
        <f t="shared" si="60"/>
        <v>20</v>
      </c>
      <c r="N1330" s="193">
        <f t="shared" si="61"/>
        <v>0.53120000000000001</v>
      </c>
      <c r="O1330" s="194">
        <f t="shared" si="62"/>
        <v>2.656E-2</v>
      </c>
    </row>
    <row r="1331" spans="1:15" ht="12.75" customHeight="1">
      <c r="A1331" s="188" t="s">
        <v>620</v>
      </c>
      <c r="B1331" s="188" t="s">
        <v>1394</v>
      </c>
      <c r="C1331" s="188" t="s">
        <v>641</v>
      </c>
      <c r="D1331" s="188" t="s">
        <v>2574</v>
      </c>
      <c r="E1331" s="189">
        <v>39447</v>
      </c>
      <c r="F1331" s="190">
        <v>0</v>
      </c>
      <c r="G1331" s="190">
        <v>79.87</v>
      </c>
      <c r="H1331" s="191">
        <v>896</v>
      </c>
      <c r="I1331" s="191">
        <v>312</v>
      </c>
      <c r="J1331" s="188" t="s">
        <v>639</v>
      </c>
      <c r="K1331" s="188" t="s">
        <v>338</v>
      </c>
      <c r="L1331" s="188" t="s">
        <v>2101</v>
      </c>
      <c r="M1331" s="192">
        <f t="shared" si="60"/>
        <v>27</v>
      </c>
      <c r="N1331" s="193">
        <f t="shared" si="61"/>
        <v>0.71794871794871795</v>
      </c>
      <c r="O1331" s="194">
        <f t="shared" si="62"/>
        <v>2.6590693257359924E-2</v>
      </c>
    </row>
    <row r="1332" spans="1:15" ht="12.75" customHeight="1">
      <c r="A1332" s="188" t="s">
        <v>620</v>
      </c>
      <c r="B1332" s="188" t="s">
        <v>1394</v>
      </c>
      <c r="C1332" s="188" t="s">
        <v>641</v>
      </c>
      <c r="D1332" s="188" t="s">
        <v>2575</v>
      </c>
      <c r="E1332" s="189">
        <v>39499</v>
      </c>
      <c r="F1332" s="190">
        <v>0</v>
      </c>
      <c r="G1332" s="190">
        <v>63.36</v>
      </c>
      <c r="H1332" s="191">
        <v>711</v>
      </c>
      <c r="I1332" s="191">
        <v>247.5</v>
      </c>
      <c r="J1332" s="188" t="s">
        <v>639</v>
      </c>
      <c r="K1332" s="188" t="s">
        <v>338</v>
      </c>
      <c r="L1332" s="188" t="s">
        <v>738</v>
      </c>
      <c r="M1332" s="192">
        <f t="shared" si="60"/>
        <v>27</v>
      </c>
      <c r="N1332" s="193">
        <f t="shared" si="61"/>
        <v>0.71818181818181814</v>
      </c>
      <c r="O1332" s="194">
        <f t="shared" si="62"/>
        <v>2.6599326599326598E-2</v>
      </c>
    </row>
    <row r="1333" spans="1:15" ht="12.75" customHeight="1">
      <c r="A1333" s="188" t="s">
        <v>620</v>
      </c>
      <c r="B1333" s="188" t="s">
        <v>1394</v>
      </c>
      <c r="C1333" s="188" t="s">
        <v>641</v>
      </c>
      <c r="D1333" s="188" t="s">
        <v>2576</v>
      </c>
      <c r="E1333" s="189">
        <v>39499</v>
      </c>
      <c r="F1333" s="190">
        <v>0</v>
      </c>
      <c r="G1333" s="190">
        <v>79.87</v>
      </c>
      <c r="H1333" s="191">
        <v>796.95</v>
      </c>
      <c r="I1333" s="191">
        <v>312</v>
      </c>
      <c r="J1333" s="188" t="s">
        <v>1052</v>
      </c>
      <c r="K1333" s="188" t="s">
        <v>338</v>
      </c>
      <c r="L1333" s="188" t="s">
        <v>2101</v>
      </c>
      <c r="M1333" s="192">
        <f t="shared" si="60"/>
        <v>24</v>
      </c>
      <c r="N1333" s="193">
        <f t="shared" si="61"/>
        <v>0.63858173076923086</v>
      </c>
      <c r="O1333" s="194">
        <f t="shared" si="62"/>
        <v>2.6607572115384618E-2</v>
      </c>
    </row>
    <row r="1334" spans="1:15" ht="12.75" customHeight="1">
      <c r="A1334" s="188" t="s">
        <v>620</v>
      </c>
      <c r="B1334" s="188" t="s">
        <v>1394</v>
      </c>
      <c r="C1334" s="188" t="s">
        <v>641</v>
      </c>
      <c r="D1334" s="188" t="s">
        <v>2577</v>
      </c>
      <c r="E1334" s="189">
        <v>39247</v>
      </c>
      <c r="F1334" s="190">
        <v>0</v>
      </c>
      <c r="G1334" s="190">
        <v>154.11000000000001</v>
      </c>
      <c r="H1334" s="191">
        <v>1923.99</v>
      </c>
      <c r="I1334" s="191">
        <v>602</v>
      </c>
      <c r="J1334" s="188" t="s">
        <v>635</v>
      </c>
      <c r="K1334" s="188" t="s">
        <v>338</v>
      </c>
      <c r="L1334" s="188" t="s">
        <v>2578</v>
      </c>
      <c r="M1334" s="192">
        <f t="shared" si="60"/>
        <v>30</v>
      </c>
      <c r="N1334" s="193">
        <f t="shared" si="61"/>
        <v>0.79899916943521598</v>
      </c>
      <c r="O1334" s="194">
        <f t="shared" si="62"/>
        <v>2.6633305647840534E-2</v>
      </c>
    </row>
    <row r="1335" spans="1:15" ht="12.75" customHeight="1">
      <c r="A1335" s="188" t="s">
        <v>620</v>
      </c>
      <c r="B1335" s="188" t="s">
        <v>1394</v>
      </c>
      <c r="C1335" s="188" t="s">
        <v>641</v>
      </c>
      <c r="D1335" s="188" t="s">
        <v>2579</v>
      </c>
      <c r="E1335" s="189">
        <v>39303</v>
      </c>
      <c r="F1335" s="190">
        <v>0</v>
      </c>
      <c r="G1335" s="190">
        <v>89.6</v>
      </c>
      <c r="H1335" s="191">
        <v>1344</v>
      </c>
      <c r="I1335" s="191">
        <v>350</v>
      </c>
      <c r="J1335" s="188" t="s">
        <v>387</v>
      </c>
      <c r="K1335" s="188" t="s">
        <v>338</v>
      </c>
      <c r="L1335" s="188" t="s">
        <v>754</v>
      </c>
      <c r="M1335" s="192">
        <f t="shared" si="60"/>
        <v>36</v>
      </c>
      <c r="N1335" s="193">
        <f t="shared" si="61"/>
        <v>0.96</v>
      </c>
      <c r="O1335" s="194">
        <f t="shared" si="62"/>
        <v>2.6666666666666665E-2</v>
      </c>
    </row>
    <row r="1336" spans="1:15" ht="12.75" customHeight="1">
      <c r="A1336" s="188" t="s">
        <v>620</v>
      </c>
      <c r="B1336" s="188" t="s">
        <v>1394</v>
      </c>
      <c r="C1336" s="188" t="s">
        <v>641</v>
      </c>
      <c r="D1336" s="188" t="s">
        <v>2580</v>
      </c>
      <c r="E1336" s="189">
        <v>39625</v>
      </c>
      <c r="F1336" s="190">
        <v>0</v>
      </c>
      <c r="G1336" s="190">
        <v>57.6</v>
      </c>
      <c r="H1336" s="191">
        <v>600</v>
      </c>
      <c r="I1336" s="191">
        <v>225</v>
      </c>
      <c r="J1336" s="188" t="s">
        <v>652</v>
      </c>
      <c r="K1336" s="188" t="s">
        <v>338</v>
      </c>
      <c r="L1336" s="188" t="s">
        <v>740</v>
      </c>
      <c r="M1336" s="192">
        <f t="shared" si="60"/>
        <v>25</v>
      </c>
      <c r="N1336" s="193">
        <f t="shared" si="61"/>
        <v>0.66666666666666663</v>
      </c>
      <c r="O1336" s="194">
        <f t="shared" si="62"/>
        <v>2.6666666666666665E-2</v>
      </c>
    </row>
    <row r="1337" spans="1:15" ht="12.75" customHeight="1">
      <c r="A1337" s="188" t="s">
        <v>620</v>
      </c>
      <c r="B1337" s="188" t="s">
        <v>1394</v>
      </c>
      <c r="C1337" s="188" t="s">
        <v>641</v>
      </c>
      <c r="D1337" s="188" t="s">
        <v>2581</v>
      </c>
      <c r="E1337" s="189">
        <v>39212</v>
      </c>
      <c r="F1337" s="190">
        <v>0</v>
      </c>
      <c r="G1337" s="190">
        <v>99.84</v>
      </c>
      <c r="H1337" s="191">
        <v>1248</v>
      </c>
      <c r="I1337" s="191">
        <v>390</v>
      </c>
      <c r="J1337" s="188" t="s">
        <v>635</v>
      </c>
      <c r="K1337" s="188" t="s">
        <v>338</v>
      </c>
      <c r="L1337" s="188" t="s">
        <v>797</v>
      </c>
      <c r="M1337" s="192">
        <f t="shared" si="60"/>
        <v>30</v>
      </c>
      <c r="N1337" s="193">
        <f t="shared" si="61"/>
        <v>0.8</v>
      </c>
      <c r="O1337" s="194">
        <f t="shared" si="62"/>
        <v>2.6666666666666668E-2</v>
      </c>
    </row>
    <row r="1338" spans="1:15" ht="12.75" customHeight="1">
      <c r="A1338" s="188" t="s">
        <v>620</v>
      </c>
      <c r="B1338" s="188" t="s">
        <v>1394</v>
      </c>
      <c r="C1338" s="188" t="s">
        <v>641</v>
      </c>
      <c r="D1338" s="188" t="s">
        <v>2582</v>
      </c>
      <c r="E1338" s="189">
        <v>39507</v>
      </c>
      <c r="F1338" s="190">
        <v>0</v>
      </c>
      <c r="G1338" s="190">
        <v>64</v>
      </c>
      <c r="H1338" s="191">
        <v>800</v>
      </c>
      <c r="I1338" s="191">
        <v>250</v>
      </c>
      <c r="J1338" s="188" t="s">
        <v>635</v>
      </c>
      <c r="K1338" s="188" t="s">
        <v>338</v>
      </c>
      <c r="L1338" s="188" t="s">
        <v>636</v>
      </c>
      <c r="M1338" s="192">
        <f t="shared" si="60"/>
        <v>30</v>
      </c>
      <c r="N1338" s="193">
        <f t="shared" si="61"/>
        <v>0.8</v>
      </c>
      <c r="O1338" s="194">
        <f t="shared" si="62"/>
        <v>2.6666666666666668E-2</v>
      </c>
    </row>
    <row r="1339" spans="1:15" ht="12.75" customHeight="1">
      <c r="A1339" s="188" t="s">
        <v>620</v>
      </c>
      <c r="B1339" s="188" t="s">
        <v>1394</v>
      </c>
      <c r="C1339" s="188" t="s">
        <v>641</v>
      </c>
      <c r="D1339" s="188" t="s">
        <v>2583</v>
      </c>
      <c r="E1339" s="189">
        <v>39395</v>
      </c>
      <c r="F1339" s="190">
        <v>0</v>
      </c>
      <c r="G1339" s="190">
        <v>94.72</v>
      </c>
      <c r="H1339" s="191">
        <v>987</v>
      </c>
      <c r="I1339" s="191">
        <v>370</v>
      </c>
      <c r="J1339" s="188" t="s">
        <v>652</v>
      </c>
      <c r="K1339" s="188" t="s">
        <v>338</v>
      </c>
      <c r="L1339" s="188" t="s">
        <v>1479</v>
      </c>
      <c r="M1339" s="192">
        <f t="shared" si="60"/>
        <v>25</v>
      </c>
      <c r="N1339" s="193">
        <f t="shared" si="61"/>
        <v>0.66689189189189191</v>
      </c>
      <c r="O1339" s="194">
        <f t="shared" si="62"/>
        <v>2.6675675675675678E-2</v>
      </c>
    </row>
    <row r="1340" spans="1:15" ht="12.75" customHeight="1">
      <c r="A1340" s="188" t="s">
        <v>620</v>
      </c>
      <c r="B1340" s="188" t="s">
        <v>1394</v>
      </c>
      <c r="C1340" s="188" t="s">
        <v>641</v>
      </c>
      <c r="D1340" s="188" t="s">
        <v>2584</v>
      </c>
      <c r="E1340" s="189">
        <v>39513</v>
      </c>
      <c r="F1340" s="190">
        <v>0</v>
      </c>
      <c r="G1340" s="190">
        <v>136.83000000000001</v>
      </c>
      <c r="H1340" s="191">
        <v>1255</v>
      </c>
      <c r="I1340" s="191">
        <v>534.5</v>
      </c>
      <c r="J1340" s="188" t="s">
        <v>710</v>
      </c>
      <c r="K1340" s="188" t="s">
        <v>338</v>
      </c>
      <c r="L1340" s="188" t="s">
        <v>2585</v>
      </c>
      <c r="M1340" s="192">
        <f t="shared" si="60"/>
        <v>22</v>
      </c>
      <c r="N1340" s="193">
        <f t="shared" si="61"/>
        <v>0.58699719363891489</v>
      </c>
      <c r="O1340" s="194">
        <f t="shared" si="62"/>
        <v>2.6681690619950679E-2</v>
      </c>
    </row>
    <row r="1341" spans="1:15" ht="12.75" customHeight="1">
      <c r="A1341" s="188" t="s">
        <v>620</v>
      </c>
      <c r="B1341" s="188" t="s">
        <v>1394</v>
      </c>
      <c r="C1341" s="188" t="s">
        <v>641</v>
      </c>
      <c r="D1341" s="188" t="s">
        <v>2586</v>
      </c>
      <c r="E1341" s="189">
        <v>39611</v>
      </c>
      <c r="F1341" s="190">
        <v>0</v>
      </c>
      <c r="G1341" s="190">
        <v>40.32</v>
      </c>
      <c r="H1341" s="191">
        <v>640</v>
      </c>
      <c r="I1341" s="191">
        <v>157.5</v>
      </c>
      <c r="J1341" s="188" t="s">
        <v>624</v>
      </c>
      <c r="K1341" s="188" t="s">
        <v>338</v>
      </c>
      <c r="L1341" s="188" t="s">
        <v>972</v>
      </c>
      <c r="M1341" s="192">
        <f t="shared" si="60"/>
        <v>38</v>
      </c>
      <c r="N1341" s="193">
        <f t="shared" si="61"/>
        <v>1.0158730158730158</v>
      </c>
      <c r="O1341" s="194">
        <f t="shared" si="62"/>
        <v>2.6733500417710943E-2</v>
      </c>
    </row>
    <row r="1342" spans="1:15" ht="12.75" customHeight="1">
      <c r="A1342" s="188" t="s">
        <v>620</v>
      </c>
      <c r="B1342" s="188" t="s">
        <v>1394</v>
      </c>
      <c r="C1342" s="188" t="s">
        <v>641</v>
      </c>
      <c r="D1342" s="188" t="s">
        <v>2587</v>
      </c>
      <c r="E1342" s="189">
        <v>39339</v>
      </c>
      <c r="F1342" s="190">
        <v>0</v>
      </c>
      <c r="G1342" s="190">
        <v>89.92</v>
      </c>
      <c r="H1342" s="191">
        <v>752.66</v>
      </c>
      <c r="I1342" s="191">
        <v>351.25</v>
      </c>
      <c r="J1342" s="188" t="s">
        <v>560</v>
      </c>
      <c r="K1342" s="188" t="s">
        <v>338</v>
      </c>
      <c r="L1342" s="188" t="s">
        <v>2146</v>
      </c>
      <c r="M1342" s="192">
        <f t="shared" si="60"/>
        <v>20</v>
      </c>
      <c r="N1342" s="193">
        <f t="shared" si="61"/>
        <v>0.53570106761565839</v>
      </c>
      <c r="O1342" s="194">
        <f t="shared" si="62"/>
        <v>2.6785053380782919E-2</v>
      </c>
    </row>
    <row r="1343" spans="1:15" ht="12.75" customHeight="1">
      <c r="A1343" s="188" t="s">
        <v>620</v>
      </c>
      <c r="B1343" s="188" t="s">
        <v>1394</v>
      </c>
      <c r="C1343" s="188" t="s">
        <v>641</v>
      </c>
      <c r="D1343" s="188" t="s">
        <v>2588</v>
      </c>
      <c r="E1343" s="189">
        <v>39562</v>
      </c>
      <c r="F1343" s="190">
        <v>0</v>
      </c>
      <c r="G1343" s="190">
        <v>80.319999999999993</v>
      </c>
      <c r="H1343" s="191">
        <v>941.47</v>
      </c>
      <c r="I1343" s="191">
        <v>313.75</v>
      </c>
      <c r="J1343" s="188" t="s">
        <v>750</v>
      </c>
      <c r="K1343" s="188" t="s">
        <v>338</v>
      </c>
      <c r="L1343" s="188" t="s">
        <v>856</v>
      </c>
      <c r="M1343" s="192">
        <f t="shared" si="60"/>
        <v>28</v>
      </c>
      <c r="N1343" s="193">
        <f t="shared" si="61"/>
        <v>0.75017529880478084</v>
      </c>
      <c r="O1343" s="194">
        <f t="shared" si="62"/>
        <v>2.6791974957313603E-2</v>
      </c>
    </row>
    <row r="1344" spans="1:15" ht="12.75" customHeight="1">
      <c r="A1344" s="188" t="s">
        <v>620</v>
      </c>
      <c r="B1344" s="188" t="s">
        <v>1394</v>
      </c>
      <c r="C1344" s="188" t="s">
        <v>641</v>
      </c>
      <c r="D1344" s="188" t="s">
        <v>2589</v>
      </c>
      <c r="E1344" s="189">
        <v>39261</v>
      </c>
      <c r="F1344" s="190">
        <v>0</v>
      </c>
      <c r="G1344" s="190">
        <v>103.55</v>
      </c>
      <c r="H1344" s="191">
        <v>1084.06</v>
      </c>
      <c r="I1344" s="191">
        <v>404.5</v>
      </c>
      <c r="J1344" s="188" t="s">
        <v>652</v>
      </c>
      <c r="K1344" s="188" t="s">
        <v>338</v>
      </c>
      <c r="L1344" s="188" t="s">
        <v>2590</v>
      </c>
      <c r="M1344" s="192">
        <f t="shared" si="60"/>
        <v>25</v>
      </c>
      <c r="N1344" s="193">
        <f t="shared" si="61"/>
        <v>0.66999999999999993</v>
      </c>
      <c r="O1344" s="194">
        <f t="shared" si="62"/>
        <v>2.6799999999999997E-2</v>
      </c>
    </row>
    <row r="1345" spans="1:15" ht="12.75" customHeight="1">
      <c r="A1345" s="188" t="s">
        <v>620</v>
      </c>
      <c r="B1345" s="188" t="s">
        <v>1394</v>
      </c>
      <c r="C1345" s="188" t="s">
        <v>641</v>
      </c>
      <c r="D1345" s="188" t="s">
        <v>2591</v>
      </c>
      <c r="E1345" s="189">
        <v>39219</v>
      </c>
      <c r="F1345" s="190">
        <v>0</v>
      </c>
      <c r="G1345" s="190">
        <v>55.1</v>
      </c>
      <c r="H1345" s="191">
        <v>439.11</v>
      </c>
      <c r="I1345" s="191">
        <v>215.25</v>
      </c>
      <c r="J1345" s="188" t="s">
        <v>667</v>
      </c>
      <c r="K1345" s="188" t="s">
        <v>338</v>
      </c>
      <c r="L1345" s="188" t="s">
        <v>2592</v>
      </c>
      <c r="M1345" s="192">
        <f t="shared" si="60"/>
        <v>19</v>
      </c>
      <c r="N1345" s="193">
        <f t="shared" si="61"/>
        <v>0.51</v>
      </c>
      <c r="O1345" s="194">
        <f t="shared" si="62"/>
        <v>2.6842105263157896E-2</v>
      </c>
    </row>
    <row r="1346" spans="1:15" ht="12.75" customHeight="1">
      <c r="A1346" s="188" t="s">
        <v>620</v>
      </c>
      <c r="B1346" s="188" t="s">
        <v>1394</v>
      </c>
      <c r="C1346" s="188" t="s">
        <v>641</v>
      </c>
      <c r="D1346" s="188" t="s">
        <v>2593</v>
      </c>
      <c r="E1346" s="189">
        <v>39261</v>
      </c>
      <c r="F1346" s="190">
        <v>0</v>
      </c>
      <c r="G1346" s="190">
        <v>62.72</v>
      </c>
      <c r="H1346" s="191">
        <v>816.05</v>
      </c>
      <c r="I1346" s="191">
        <v>245</v>
      </c>
      <c r="J1346" s="188" t="s">
        <v>560</v>
      </c>
      <c r="K1346" s="188" t="s">
        <v>648</v>
      </c>
      <c r="L1346" s="188" t="s">
        <v>1487</v>
      </c>
      <c r="M1346" s="192">
        <f t="shared" ref="M1346:M1409" si="63">K1346-J1346</f>
        <v>31</v>
      </c>
      <c r="N1346" s="193">
        <f t="shared" ref="N1346:N1409" si="64">H1346/L1346</f>
        <v>0.83270408163265297</v>
      </c>
      <c r="O1346" s="194">
        <f t="shared" ref="O1346:O1409" si="65">N1346/M1346</f>
        <v>2.6861421988150096E-2</v>
      </c>
    </row>
    <row r="1347" spans="1:15" ht="12.75" customHeight="1">
      <c r="A1347" s="188" t="s">
        <v>620</v>
      </c>
      <c r="B1347" s="188" t="s">
        <v>1394</v>
      </c>
      <c r="C1347" s="188" t="s">
        <v>641</v>
      </c>
      <c r="D1347" s="188" t="s">
        <v>2594</v>
      </c>
      <c r="E1347" s="189">
        <v>39407</v>
      </c>
      <c r="F1347" s="190">
        <v>0</v>
      </c>
      <c r="G1347" s="190">
        <v>85.76</v>
      </c>
      <c r="H1347" s="191">
        <v>1080</v>
      </c>
      <c r="I1347" s="191">
        <v>335</v>
      </c>
      <c r="J1347" s="188" t="s">
        <v>635</v>
      </c>
      <c r="K1347" s="188" t="s">
        <v>338</v>
      </c>
      <c r="L1347" s="188" t="s">
        <v>815</v>
      </c>
      <c r="M1347" s="192">
        <f t="shared" si="63"/>
        <v>30</v>
      </c>
      <c r="N1347" s="193">
        <f t="shared" si="64"/>
        <v>0.80597014925373134</v>
      </c>
      <c r="O1347" s="194">
        <f t="shared" si="65"/>
        <v>2.6865671641791045E-2</v>
      </c>
    </row>
    <row r="1348" spans="1:15" ht="12.75" customHeight="1">
      <c r="A1348" s="188" t="s">
        <v>620</v>
      </c>
      <c r="B1348" s="188" t="s">
        <v>1394</v>
      </c>
      <c r="C1348" s="188" t="s">
        <v>641</v>
      </c>
      <c r="D1348" s="188" t="s">
        <v>2595</v>
      </c>
      <c r="E1348" s="189">
        <v>39407</v>
      </c>
      <c r="F1348" s="190">
        <v>0</v>
      </c>
      <c r="G1348" s="190">
        <v>123.84</v>
      </c>
      <c r="H1348" s="191">
        <v>1663.81</v>
      </c>
      <c r="I1348" s="191">
        <v>483.75</v>
      </c>
      <c r="J1348" s="188" t="s">
        <v>353</v>
      </c>
      <c r="K1348" s="188" t="s">
        <v>338</v>
      </c>
      <c r="L1348" s="188" t="s">
        <v>772</v>
      </c>
      <c r="M1348" s="192">
        <f t="shared" si="63"/>
        <v>32</v>
      </c>
      <c r="N1348" s="193">
        <f t="shared" si="64"/>
        <v>0.85985012919896642</v>
      </c>
      <c r="O1348" s="194">
        <f t="shared" si="65"/>
        <v>2.6870316537467701E-2</v>
      </c>
    </row>
    <row r="1349" spans="1:15" ht="12.75" customHeight="1">
      <c r="A1349" s="188" t="s">
        <v>620</v>
      </c>
      <c r="B1349" s="188" t="s">
        <v>1394</v>
      </c>
      <c r="C1349" s="188" t="s">
        <v>641</v>
      </c>
      <c r="D1349" s="188" t="s">
        <v>2596</v>
      </c>
      <c r="E1349" s="189">
        <v>39219</v>
      </c>
      <c r="F1349" s="190">
        <v>0</v>
      </c>
      <c r="G1349" s="190">
        <v>77.180000000000007</v>
      </c>
      <c r="H1349" s="191">
        <v>939.96</v>
      </c>
      <c r="I1349" s="191">
        <v>301.5</v>
      </c>
      <c r="J1349" s="188" t="s">
        <v>715</v>
      </c>
      <c r="K1349" s="188" t="s">
        <v>338</v>
      </c>
      <c r="L1349" s="188" t="s">
        <v>2597</v>
      </c>
      <c r="M1349" s="192">
        <f t="shared" si="63"/>
        <v>29</v>
      </c>
      <c r="N1349" s="193">
        <f t="shared" si="64"/>
        <v>0.77940298507462691</v>
      </c>
      <c r="O1349" s="194">
        <f t="shared" si="65"/>
        <v>2.6875965002573343E-2</v>
      </c>
    </row>
    <row r="1350" spans="1:15" ht="12.75" customHeight="1">
      <c r="A1350" s="188" t="s">
        <v>620</v>
      </c>
      <c r="B1350" s="188" t="s">
        <v>1394</v>
      </c>
      <c r="C1350" s="188" t="s">
        <v>641</v>
      </c>
      <c r="D1350" s="188" t="s">
        <v>2598</v>
      </c>
      <c r="E1350" s="189">
        <v>39422</v>
      </c>
      <c r="F1350" s="190">
        <v>0</v>
      </c>
      <c r="G1350" s="190">
        <v>86.4</v>
      </c>
      <c r="H1350" s="191">
        <v>980</v>
      </c>
      <c r="I1350" s="191">
        <v>337.5</v>
      </c>
      <c r="J1350" s="188" t="s">
        <v>639</v>
      </c>
      <c r="K1350" s="188" t="s">
        <v>338</v>
      </c>
      <c r="L1350" s="188" t="s">
        <v>707</v>
      </c>
      <c r="M1350" s="192">
        <f t="shared" si="63"/>
        <v>27</v>
      </c>
      <c r="N1350" s="193">
        <f t="shared" si="64"/>
        <v>0.72592592592592597</v>
      </c>
      <c r="O1350" s="194">
        <f t="shared" si="65"/>
        <v>2.6886145404663924E-2</v>
      </c>
    </row>
    <row r="1351" spans="1:15" ht="12.75" customHeight="1">
      <c r="A1351" s="188" t="s">
        <v>620</v>
      </c>
      <c r="B1351" s="188" t="s">
        <v>1394</v>
      </c>
      <c r="C1351" s="188" t="s">
        <v>641</v>
      </c>
      <c r="D1351" s="188" t="s">
        <v>2599</v>
      </c>
      <c r="E1351" s="189">
        <v>39317</v>
      </c>
      <c r="F1351" s="190">
        <v>0</v>
      </c>
      <c r="G1351" s="190">
        <v>58.24</v>
      </c>
      <c r="H1351" s="191">
        <v>807.99</v>
      </c>
      <c r="I1351" s="191">
        <v>227.5</v>
      </c>
      <c r="J1351" s="188" t="s">
        <v>742</v>
      </c>
      <c r="K1351" s="188" t="s">
        <v>338</v>
      </c>
      <c r="L1351" s="188" t="s">
        <v>1518</v>
      </c>
      <c r="M1351" s="192">
        <f t="shared" si="63"/>
        <v>33</v>
      </c>
      <c r="N1351" s="193">
        <f t="shared" si="64"/>
        <v>0.88790109890109892</v>
      </c>
      <c r="O1351" s="194">
        <f t="shared" si="65"/>
        <v>2.6906093906093907E-2</v>
      </c>
    </row>
    <row r="1352" spans="1:15" ht="12.75" customHeight="1">
      <c r="A1352" s="188" t="s">
        <v>620</v>
      </c>
      <c r="B1352" s="188" t="s">
        <v>1394</v>
      </c>
      <c r="C1352" s="188" t="s">
        <v>641</v>
      </c>
      <c r="D1352" s="188" t="s">
        <v>2600</v>
      </c>
      <c r="E1352" s="189">
        <v>39380</v>
      </c>
      <c r="F1352" s="190">
        <v>0</v>
      </c>
      <c r="G1352" s="190">
        <v>59.9</v>
      </c>
      <c r="H1352" s="191">
        <v>806</v>
      </c>
      <c r="I1352" s="191">
        <v>234</v>
      </c>
      <c r="J1352" s="188" t="s">
        <v>353</v>
      </c>
      <c r="K1352" s="188" t="s">
        <v>338</v>
      </c>
      <c r="L1352" s="188" t="s">
        <v>1618</v>
      </c>
      <c r="M1352" s="192">
        <f t="shared" si="63"/>
        <v>32</v>
      </c>
      <c r="N1352" s="193">
        <f t="shared" si="64"/>
        <v>0.86111111111111116</v>
      </c>
      <c r="O1352" s="194">
        <f t="shared" si="65"/>
        <v>2.6909722222222224E-2</v>
      </c>
    </row>
    <row r="1353" spans="1:15" ht="12.75" customHeight="1">
      <c r="A1353" s="188" t="s">
        <v>620</v>
      </c>
      <c r="B1353" s="188" t="s">
        <v>1394</v>
      </c>
      <c r="C1353" s="188" t="s">
        <v>641</v>
      </c>
      <c r="D1353" s="188" t="s">
        <v>2601</v>
      </c>
      <c r="E1353" s="189">
        <v>39395</v>
      </c>
      <c r="F1353" s="190">
        <v>0</v>
      </c>
      <c r="G1353" s="190">
        <v>83.2</v>
      </c>
      <c r="H1353" s="191">
        <v>945</v>
      </c>
      <c r="I1353" s="191">
        <v>325</v>
      </c>
      <c r="J1353" s="188" t="s">
        <v>639</v>
      </c>
      <c r="K1353" s="188" t="s">
        <v>338</v>
      </c>
      <c r="L1353" s="188" t="s">
        <v>699</v>
      </c>
      <c r="M1353" s="192">
        <f t="shared" si="63"/>
        <v>27</v>
      </c>
      <c r="N1353" s="193">
        <f t="shared" si="64"/>
        <v>0.72692307692307689</v>
      </c>
      <c r="O1353" s="194">
        <f t="shared" si="65"/>
        <v>2.6923076923076921E-2</v>
      </c>
    </row>
    <row r="1354" spans="1:15" ht="12.75" customHeight="1">
      <c r="A1354" s="188" t="s">
        <v>620</v>
      </c>
      <c r="B1354" s="188" t="s">
        <v>1394</v>
      </c>
      <c r="C1354" s="188" t="s">
        <v>641</v>
      </c>
      <c r="D1354" s="188" t="s">
        <v>2602</v>
      </c>
      <c r="E1354" s="189">
        <v>39415</v>
      </c>
      <c r="F1354" s="190">
        <v>0</v>
      </c>
      <c r="G1354" s="190">
        <v>65.92</v>
      </c>
      <c r="H1354" s="191">
        <v>638</v>
      </c>
      <c r="I1354" s="191">
        <v>257.5</v>
      </c>
      <c r="J1354" s="188" t="s">
        <v>571</v>
      </c>
      <c r="K1354" s="188" t="s">
        <v>338</v>
      </c>
      <c r="L1354" s="188" t="s">
        <v>298</v>
      </c>
      <c r="M1354" s="192">
        <f t="shared" si="63"/>
        <v>23</v>
      </c>
      <c r="N1354" s="193">
        <f t="shared" si="64"/>
        <v>0.61941747572815531</v>
      </c>
      <c r="O1354" s="194">
        <f t="shared" si="65"/>
        <v>2.6931194596876318E-2</v>
      </c>
    </row>
    <row r="1355" spans="1:15" ht="12.75" customHeight="1">
      <c r="A1355" s="188" t="s">
        <v>620</v>
      </c>
      <c r="B1355" s="188" t="s">
        <v>1394</v>
      </c>
      <c r="C1355" s="188" t="s">
        <v>641</v>
      </c>
      <c r="D1355" s="188" t="s">
        <v>2603</v>
      </c>
      <c r="E1355" s="189">
        <v>39436</v>
      </c>
      <c r="F1355" s="190">
        <v>0</v>
      </c>
      <c r="G1355" s="190">
        <v>24</v>
      </c>
      <c r="H1355" s="191">
        <v>495</v>
      </c>
      <c r="I1355" s="191">
        <v>93.75</v>
      </c>
      <c r="J1355" s="188" t="s">
        <v>624</v>
      </c>
      <c r="K1355" s="188" t="s">
        <v>648</v>
      </c>
      <c r="L1355" s="188" t="s">
        <v>2283</v>
      </c>
      <c r="M1355" s="192">
        <f t="shared" si="63"/>
        <v>49</v>
      </c>
      <c r="N1355" s="193">
        <f t="shared" si="64"/>
        <v>1.32</v>
      </c>
      <c r="O1355" s="194">
        <f t="shared" si="65"/>
        <v>2.6938775510204082E-2</v>
      </c>
    </row>
    <row r="1356" spans="1:15" ht="12.75" customHeight="1">
      <c r="A1356" s="188" t="s">
        <v>620</v>
      </c>
      <c r="B1356" s="188" t="s">
        <v>1394</v>
      </c>
      <c r="C1356" s="188" t="s">
        <v>641</v>
      </c>
      <c r="D1356" s="188" t="s">
        <v>2604</v>
      </c>
      <c r="E1356" s="189">
        <v>39447</v>
      </c>
      <c r="F1356" s="190">
        <v>0</v>
      </c>
      <c r="G1356" s="190">
        <v>70.209999999999994</v>
      </c>
      <c r="H1356" s="191">
        <v>1124.08</v>
      </c>
      <c r="I1356" s="191">
        <v>274.25</v>
      </c>
      <c r="J1356" s="188" t="s">
        <v>624</v>
      </c>
      <c r="K1356" s="188" t="s">
        <v>338</v>
      </c>
      <c r="L1356" s="188" t="s">
        <v>2605</v>
      </c>
      <c r="M1356" s="192">
        <f t="shared" si="63"/>
        <v>38</v>
      </c>
      <c r="N1356" s="193">
        <f t="shared" si="64"/>
        <v>1.0246855059252507</v>
      </c>
      <c r="O1356" s="194">
        <f t="shared" si="65"/>
        <v>2.696540805066449E-2</v>
      </c>
    </row>
    <row r="1357" spans="1:15" ht="12.75" customHeight="1">
      <c r="A1357" s="188" t="s">
        <v>620</v>
      </c>
      <c r="B1357" s="188" t="s">
        <v>1394</v>
      </c>
      <c r="C1357" s="188" t="s">
        <v>641</v>
      </c>
      <c r="D1357" s="188" t="s">
        <v>2606</v>
      </c>
      <c r="E1357" s="189">
        <v>39555</v>
      </c>
      <c r="F1357" s="190">
        <v>0</v>
      </c>
      <c r="G1357" s="190">
        <v>46.08</v>
      </c>
      <c r="H1357" s="191">
        <v>583</v>
      </c>
      <c r="I1357" s="191">
        <v>180</v>
      </c>
      <c r="J1357" s="188" t="s">
        <v>750</v>
      </c>
      <c r="K1357" s="188" t="s">
        <v>327</v>
      </c>
      <c r="L1357" s="188" t="s">
        <v>313</v>
      </c>
      <c r="M1357" s="192">
        <f t="shared" si="63"/>
        <v>30</v>
      </c>
      <c r="N1357" s="193">
        <f t="shared" si="64"/>
        <v>0.80972222222222223</v>
      </c>
      <c r="O1357" s="194">
        <f t="shared" si="65"/>
        <v>2.6990740740740742E-2</v>
      </c>
    </row>
    <row r="1358" spans="1:15" ht="12.75" customHeight="1">
      <c r="A1358" s="188" t="s">
        <v>620</v>
      </c>
      <c r="B1358" s="188" t="s">
        <v>1394</v>
      </c>
      <c r="C1358" s="188" t="s">
        <v>641</v>
      </c>
      <c r="D1358" s="188" t="s">
        <v>2607</v>
      </c>
      <c r="E1358" s="189">
        <v>39492</v>
      </c>
      <c r="F1358" s="190">
        <v>0</v>
      </c>
      <c r="G1358" s="190">
        <v>106.62</v>
      </c>
      <c r="H1358" s="191">
        <v>900</v>
      </c>
      <c r="I1358" s="191">
        <v>416.5</v>
      </c>
      <c r="J1358" s="188" t="s">
        <v>560</v>
      </c>
      <c r="K1358" s="188" t="s">
        <v>338</v>
      </c>
      <c r="L1358" s="188" t="s">
        <v>2608</v>
      </c>
      <c r="M1358" s="192">
        <f t="shared" si="63"/>
        <v>20</v>
      </c>
      <c r="N1358" s="193">
        <f t="shared" si="64"/>
        <v>0.54021608643457386</v>
      </c>
      <c r="O1358" s="194">
        <f t="shared" si="65"/>
        <v>2.7010804321728692E-2</v>
      </c>
    </row>
    <row r="1359" spans="1:15" ht="12.75" customHeight="1">
      <c r="A1359" s="188" t="s">
        <v>620</v>
      </c>
      <c r="B1359" s="188" t="s">
        <v>1394</v>
      </c>
      <c r="C1359" s="188" t="s">
        <v>641</v>
      </c>
      <c r="D1359" s="188" t="s">
        <v>2609</v>
      </c>
      <c r="E1359" s="189">
        <v>39352</v>
      </c>
      <c r="F1359" s="190">
        <v>0</v>
      </c>
      <c r="G1359" s="190">
        <v>79.55</v>
      </c>
      <c r="H1359" s="191">
        <v>1276</v>
      </c>
      <c r="I1359" s="191">
        <v>310.75</v>
      </c>
      <c r="J1359" s="188" t="s">
        <v>624</v>
      </c>
      <c r="K1359" s="188" t="s">
        <v>338</v>
      </c>
      <c r="L1359" s="188" t="s">
        <v>2610</v>
      </c>
      <c r="M1359" s="192">
        <f t="shared" si="63"/>
        <v>38</v>
      </c>
      <c r="N1359" s="193">
        <f t="shared" si="64"/>
        <v>1.0265486725663717</v>
      </c>
      <c r="O1359" s="194">
        <f t="shared" si="65"/>
        <v>2.7014438751746625E-2</v>
      </c>
    </row>
    <row r="1360" spans="1:15" ht="12.75" customHeight="1">
      <c r="A1360" s="188" t="s">
        <v>620</v>
      </c>
      <c r="B1360" s="188" t="s">
        <v>1394</v>
      </c>
      <c r="C1360" s="188" t="s">
        <v>641</v>
      </c>
      <c r="D1360" s="188" t="s">
        <v>2611</v>
      </c>
      <c r="E1360" s="189">
        <v>39395</v>
      </c>
      <c r="F1360" s="190">
        <v>0</v>
      </c>
      <c r="G1360" s="190">
        <v>59.14</v>
      </c>
      <c r="H1360" s="191">
        <v>800</v>
      </c>
      <c r="I1360" s="191">
        <v>231</v>
      </c>
      <c r="J1360" s="188" t="s">
        <v>353</v>
      </c>
      <c r="K1360" s="188" t="s">
        <v>338</v>
      </c>
      <c r="L1360" s="188" t="s">
        <v>1976</v>
      </c>
      <c r="M1360" s="192">
        <f t="shared" si="63"/>
        <v>32</v>
      </c>
      <c r="N1360" s="193">
        <f t="shared" si="64"/>
        <v>0.86580086580086579</v>
      </c>
      <c r="O1360" s="194">
        <f t="shared" si="65"/>
        <v>2.7056277056277056E-2</v>
      </c>
    </row>
    <row r="1361" spans="1:15" ht="12.75" customHeight="1">
      <c r="A1361" s="188" t="s">
        <v>620</v>
      </c>
      <c r="B1361" s="188" t="s">
        <v>1394</v>
      </c>
      <c r="C1361" s="188" t="s">
        <v>641</v>
      </c>
      <c r="D1361" s="188" t="s">
        <v>2612</v>
      </c>
      <c r="E1361" s="189">
        <v>39443</v>
      </c>
      <c r="F1361" s="190">
        <v>0</v>
      </c>
      <c r="G1361" s="190">
        <v>120.38</v>
      </c>
      <c r="H1361" s="191">
        <v>1018</v>
      </c>
      <c r="I1361" s="191">
        <v>470.25</v>
      </c>
      <c r="J1361" s="188" t="s">
        <v>560</v>
      </c>
      <c r="K1361" s="188" t="s">
        <v>338</v>
      </c>
      <c r="L1361" s="188" t="s">
        <v>2613</v>
      </c>
      <c r="M1361" s="192">
        <f t="shared" si="63"/>
        <v>20</v>
      </c>
      <c r="N1361" s="193">
        <f t="shared" si="64"/>
        <v>0.54120148856990957</v>
      </c>
      <c r="O1361" s="194">
        <f t="shared" si="65"/>
        <v>2.7060074428495479E-2</v>
      </c>
    </row>
    <row r="1362" spans="1:15" ht="12.75" customHeight="1">
      <c r="A1362" s="188" t="s">
        <v>620</v>
      </c>
      <c r="B1362" s="188" t="s">
        <v>1394</v>
      </c>
      <c r="C1362" s="188" t="s">
        <v>641</v>
      </c>
      <c r="D1362" s="188" t="s">
        <v>2614</v>
      </c>
      <c r="E1362" s="189">
        <v>39447</v>
      </c>
      <c r="F1362" s="190">
        <v>0</v>
      </c>
      <c r="G1362" s="190">
        <v>72.319999999999993</v>
      </c>
      <c r="H1362" s="191">
        <v>734</v>
      </c>
      <c r="I1362" s="191">
        <v>282.5</v>
      </c>
      <c r="J1362" s="188" t="s">
        <v>1052</v>
      </c>
      <c r="K1362" s="188" t="s">
        <v>338</v>
      </c>
      <c r="L1362" s="188" t="s">
        <v>1749</v>
      </c>
      <c r="M1362" s="192">
        <f t="shared" si="63"/>
        <v>24</v>
      </c>
      <c r="N1362" s="193">
        <f t="shared" si="64"/>
        <v>0.64955752212389384</v>
      </c>
      <c r="O1362" s="194">
        <f t="shared" si="65"/>
        <v>2.7064896755162243E-2</v>
      </c>
    </row>
    <row r="1363" spans="1:15" ht="12.75" customHeight="1">
      <c r="A1363" s="188" t="s">
        <v>620</v>
      </c>
      <c r="B1363" s="188" t="s">
        <v>1394</v>
      </c>
      <c r="C1363" s="188" t="s">
        <v>641</v>
      </c>
      <c r="D1363" s="188" t="s">
        <v>2615</v>
      </c>
      <c r="E1363" s="189">
        <v>39471</v>
      </c>
      <c r="F1363" s="190">
        <v>0</v>
      </c>
      <c r="G1363" s="190">
        <v>102.4</v>
      </c>
      <c r="H1363" s="191">
        <v>1040</v>
      </c>
      <c r="I1363" s="191">
        <v>400</v>
      </c>
      <c r="J1363" s="188" t="s">
        <v>1052</v>
      </c>
      <c r="K1363" s="188" t="s">
        <v>338</v>
      </c>
      <c r="L1363" s="188" t="s">
        <v>625</v>
      </c>
      <c r="M1363" s="192">
        <f t="shared" si="63"/>
        <v>24</v>
      </c>
      <c r="N1363" s="193">
        <f t="shared" si="64"/>
        <v>0.65</v>
      </c>
      <c r="O1363" s="194">
        <f t="shared" si="65"/>
        <v>2.7083333333333334E-2</v>
      </c>
    </row>
    <row r="1364" spans="1:15" ht="12.75" customHeight="1">
      <c r="A1364" s="188" t="s">
        <v>620</v>
      </c>
      <c r="B1364" s="188" t="s">
        <v>1394</v>
      </c>
      <c r="C1364" s="188" t="s">
        <v>641</v>
      </c>
      <c r="D1364" s="188" t="s">
        <v>2616</v>
      </c>
      <c r="E1364" s="189">
        <v>39282</v>
      </c>
      <c r="F1364" s="190">
        <v>0</v>
      </c>
      <c r="G1364" s="190">
        <v>61.44</v>
      </c>
      <c r="H1364" s="191">
        <v>520.03</v>
      </c>
      <c r="I1364" s="191">
        <v>240</v>
      </c>
      <c r="J1364" s="188" t="s">
        <v>560</v>
      </c>
      <c r="K1364" s="188" t="s">
        <v>338</v>
      </c>
      <c r="L1364" s="188" t="s">
        <v>1146</v>
      </c>
      <c r="M1364" s="192">
        <f t="shared" si="63"/>
        <v>20</v>
      </c>
      <c r="N1364" s="193">
        <f t="shared" si="64"/>
        <v>0.54169791666666667</v>
      </c>
      <c r="O1364" s="194">
        <f t="shared" si="65"/>
        <v>2.7084895833333334E-2</v>
      </c>
    </row>
    <row r="1365" spans="1:15" ht="12.75" customHeight="1">
      <c r="A1365" s="188" t="s">
        <v>620</v>
      </c>
      <c r="B1365" s="188" t="s">
        <v>1394</v>
      </c>
      <c r="C1365" s="188" t="s">
        <v>641</v>
      </c>
      <c r="D1365" s="188" t="s">
        <v>2617</v>
      </c>
      <c r="E1365" s="189">
        <v>39422</v>
      </c>
      <c r="F1365" s="190">
        <v>0</v>
      </c>
      <c r="G1365" s="190">
        <v>112.13</v>
      </c>
      <c r="H1365" s="191">
        <v>1140</v>
      </c>
      <c r="I1365" s="191">
        <v>438</v>
      </c>
      <c r="J1365" s="188" t="s">
        <v>1052</v>
      </c>
      <c r="K1365" s="188" t="s">
        <v>338</v>
      </c>
      <c r="L1365" s="188" t="s">
        <v>1463</v>
      </c>
      <c r="M1365" s="192">
        <f t="shared" si="63"/>
        <v>24</v>
      </c>
      <c r="N1365" s="193">
        <f t="shared" si="64"/>
        <v>0.65068493150684936</v>
      </c>
      <c r="O1365" s="194">
        <f t="shared" si="65"/>
        <v>2.7111872146118723E-2</v>
      </c>
    </row>
    <row r="1366" spans="1:15" ht="12.75" customHeight="1">
      <c r="A1366" s="188" t="s">
        <v>620</v>
      </c>
      <c r="B1366" s="188" t="s">
        <v>1394</v>
      </c>
      <c r="C1366" s="188" t="s">
        <v>641</v>
      </c>
      <c r="D1366" s="188" t="s">
        <v>2618</v>
      </c>
      <c r="E1366" s="189">
        <v>39310</v>
      </c>
      <c r="F1366" s="190">
        <v>0</v>
      </c>
      <c r="G1366" s="190">
        <v>75.52</v>
      </c>
      <c r="H1366" s="191">
        <v>927.95</v>
      </c>
      <c r="I1366" s="191">
        <v>295</v>
      </c>
      <c r="J1366" s="188" t="s">
        <v>715</v>
      </c>
      <c r="K1366" s="188" t="s">
        <v>338</v>
      </c>
      <c r="L1366" s="188" t="s">
        <v>447</v>
      </c>
      <c r="M1366" s="192">
        <f t="shared" si="63"/>
        <v>29</v>
      </c>
      <c r="N1366" s="193">
        <f t="shared" si="64"/>
        <v>0.78639830508474584</v>
      </c>
      <c r="O1366" s="194">
        <f t="shared" si="65"/>
        <v>2.7117182933956752E-2</v>
      </c>
    </row>
    <row r="1367" spans="1:15" ht="12.75" customHeight="1">
      <c r="A1367" s="188" t="s">
        <v>620</v>
      </c>
      <c r="B1367" s="188" t="s">
        <v>1394</v>
      </c>
      <c r="C1367" s="188" t="s">
        <v>641</v>
      </c>
      <c r="D1367" s="188" t="s">
        <v>2619</v>
      </c>
      <c r="E1367" s="189">
        <v>39597</v>
      </c>
      <c r="F1367" s="190">
        <v>0</v>
      </c>
      <c r="G1367" s="190">
        <v>102.85</v>
      </c>
      <c r="H1367" s="191">
        <v>1267.32</v>
      </c>
      <c r="I1367" s="191">
        <v>401.75</v>
      </c>
      <c r="J1367" s="188" t="s">
        <v>715</v>
      </c>
      <c r="K1367" s="188" t="s">
        <v>338</v>
      </c>
      <c r="L1367" s="188" t="s">
        <v>2620</v>
      </c>
      <c r="M1367" s="192">
        <f t="shared" si="63"/>
        <v>29</v>
      </c>
      <c r="N1367" s="193">
        <f t="shared" si="64"/>
        <v>0.78862476664592407</v>
      </c>
      <c r="O1367" s="194">
        <f t="shared" si="65"/>
        <v>2.7193957470549104E-2</v>
      </c>
    </row>
    <row r="1368" spans="1:15" ht="12.75" customHeight="1">
      <c r="A1368" s="188" t="s">
        <v>620</v>
      </c>
      <c r="B1368" s="188" t="s">
        <v>1394</v>
      </c>
      <c r="C1368" s="188" t="s">
        <v>641</v>
      </c>
      <c r="D1368" s="188" t="s">
        <v>2621</v>
      </c>
      <c r="E1368" s="189">
        <v>39289</v>
      </c>
      <c r="F1368" s="190">
        <v>0</v>
      </c>
      <c r="G1368" s="190">
        <v>68.989999999999995</v>
      </c>
      <c r="H1368" s="191">
        <v>644.97</v>
      </c>
      <c r="I1368" s="191">
        <v>269.5</v>
      </c>
      <c r="J1368" s="188" t="s">
        <v>710</v>
      </c>
      <c r="K1368" s="188" t="s">
        <v>338</v>
      </c>
      <c r="L1368" s="188" t="s">
        <v>2622</v>
      </c>
      <c r="M1368" s="192">
        <f t="shared" si="63"/>
        <v>22</v>
      </c>
      <c r="N1368" s="193">
        <f t="shared" si="64"/>
        <v>0.59830241187384048</v>
      </c>
      <c r="O1368" s="194">
        <f t="shared" si="65"/>
        <v>2.7195564176083657E-2</v>
      </c>
    </row>
    <row r="1369" spans="1:15" ht="12.75" customHeight="1">
      <c r="A1369" s="188" t="s">
        <v>620</v>
      </c>
      <c r="B1369" s="188" t="s">
        <v>1394</v>
      </c>
      <c r="C1369" s="188" t="s">
        <v>641</v>
      </c>
      <c r="D1369" s="188" t="s">
        <v>2623</v>
      </c>
      <c r="E1369" s="189">
        <v>39331</v>
      </c>
      <c r="F1369" s="190">
        <v>0</v>
      </c>
      <c r="G1369" s="190">
        <v>86.4</v>
      </c>
      <c r="H1369" s="191">
        <v>697.95</v>
      </c>
      <c r="I1369" s="191">
        <v>337.5</v>
      </c>
      <c r="J1369" s="188" t="s">
        <v>667</v>
      </c>
      <c r="K1369" s="188" t="s">
        <v>338</v>
      </c>
      <c r="L1369" s="188" t="s">
        <v>707</v>
      </c>
      <c r="M1369" s="192">
        <f t="shared" si="63"/>
        <v>19</v>
      </c>
      <c r="N1369" s="193">
        <f t="shared" si="64"/>
        <v>0.51700000000000002</v>
      </c>
      <c r="O1369" s="194">
        <f t="shared" si="65"/>
        <v>2.7210526315789473E-2</v>
      </c>
    </row>
    <row r="1370" spans="1:15" ht="12.75" customHeight="1">
      <c r="A1370" s="188" t="s">
        <v>620</v>
      </c>
      <c r="B1370" s="188" t="s">
        <v>1394</v>
      </c>
      <c r="C1370" s="188" t="s">
        <v>641</v>
      </c>
      <c r="D1370" s="188" t="s">
        <v>2624</v>
      </c>
      <c r="E1370" s="189">
        <v>39478</v>
      </c>
      <c r="F1370" s="190">
        <v>0</v>
      </c>
      <c r="G1370" s="190">
        <v>75.14</v>
      </c>
      <c r="H1370" s="191">
        <v>639</v>
      </c>
      <c r="I1370" s="191">
        <v>293.5</v>
      </c>
      <c r="J1370" s="188" t="s">
        <v>560</v>
      </c>
      <c r="K1370" s="188" t="s">
        <v>338</v>
      </c>
      <c r="L1370" s="188" t="s">
        <v>1345</v>
      </c>
      <c r="M1370" s="192">
        <f t="shared" si="63"/>
        <v>20</v>
      </c>
      <c r="N1370" s="193">
        <f t="shared" si="64"/>
        <v>0.54429301533219765</v>
      </c>
      <c r="O1370" s="194">
        <f t="shared" si="65"/>
        <v>2.7214650766609883E-2</v>
      </c>
    </row>
    <row r="1371" spans="1:15" ht="12.75" customHeight="1">
      <c r="A1371" s="188" t="s">
        <v>620</v>
      </c>
      <c r="B1371" s="188" t="s">
        <v>1394</v>
      </c>
      <c r="C1371" s="188" t="s">
        <v>641</v>
      </c>
      <c r="D1371" s="188" t="s">
        <v>2625</v>
      </c>
      <c r="E1371" s="189">
        <v>39611</v>
      </c>
      <c r="F1371" s="190">
        <v>0</v>
      </c>
      <c r="G1371" s="190">
        <v>68.099999999999994</v>
      </c>
      <c r="H1371" s="191">
        <v>1100.43</v>
      </c>
      <c r="I1371" s="191">
        <v>266</v>
      </c>
      <c r="J1371" s="188" t="s">
        <v>624</v>
      </c>
      <c r="K1371" s="188" t="s">
        <v>338</v>
      </c>
      <c r="L1371" s="188" t="s">
        <v>2626</v>
      </c>
      <c r="M1371" s="192">
        <f t="shared" si="63"/>
        <v>38</v>
      </c>
      <c r="N1371" s="193">
        <f t="shared" si="64"/>
        <v>1.0342387218045113</v>
      </c>
      <c r="O1371" s="194">
        <f t="shared" si="65"/>
        <v>2.7216808468539772E-2</v>
      </c>
    </row>
    <row r="1372" spans="1:15" ht="12.75" customHeight="1">
      <c r="A1372" s="188" t="s">
        <v>620</v>
      </c>
      <c r="B1372" s="188" t="s">
        <v>1394</v>
      </c>
      <c r="C1372" s="188" t="s">
        <v>641</v>
      </c>
      <c r="D1372" s="188" t="s">
        <v>2627</v>
      </c>
      <c r="E1372" s="189">
        <v>39632</v>
      </c>
      <c r="F1372" s="190">
        <v>0</v>
      </c>
      <c r="G1372" s="190">
        <v>86.46</v>
      </c>
      <c r="H1372" s="191">
        <v>1400</v>
      </c>
      <c r="I1372" s="191">
        <v>337.75</v>
      </c>
      <c r="J1372" s="188" t="s">
        <v>624</v>
      </c>
      <c r="K1372" s="188" t="s">
        <v>338</v>
      </c>
      <c r="L1372" s="188" t="s">
        <v>2628</v>
      </c>
      <c r="M1372" s="192">
        <f t="shared" si="63"/>
        <v>38</v>
      </c>
      <c r="N1372" s="193">
        <f t="shared" si="64"/>
        <v>1.0362694300518134</v>
      </c>
      <c r="O1372" s="194">
        <f t="shared" si="65"/>
        <v>2.7270248159258246E-2</v>
      </c>
    </row>
    <row r="1373" spans="1:15" ht="12.75" customHeight="1">
      <c r="A1373" s="188" t="s">
        <v>620</v>
      </c>
      <c r="B1373" s="188" t="s">
        <v>1394</v>
      </c>
      <c r="C1373" s="188" t="s">
        <v>641</v>
      </c>
      <c r="D1373" s="188" t="s">
        <v>2629</v>
      </c>
      <c r="E1373" s="189">
        <v>39541</v>
      </c>
      <c r="F1373" s="190">
        <v>0</v>
      </c>
      <c r="G1373" s="190">
        <v>96</v>
      </c>
      <c r="H1373" s="191">
        <v>982.44</v>
      </c>
      <c r="I1373" s="191">
        <v>375</v>
      </c>
      <c r="J1373" s="188" t="s">
        <v>1052</v>
      </c>
      <c r="K1373" s="188" t="s">
        <v>338</v>
      </c>
      <c r="L1373" s="188" t="s">
        <v>746</v>
      </c>
      <c r="M1373" s="192">
        <f t="shared" si="63"/>
        <v>24</v>
      </c>
      <c r="N1373" s="193">
        <f t="shared" si="64"/>
        <v>0.65495999999999999</v>
      </c>
      <c r="O1373" s="194">
        <f t="shared" si="65"/>
        <v>2.7289999999999998E-2</v>
      </c>
    </row>
    <row r="1374" spans="1:15" ht="12.75" customHeight="1">
      <c r="A1374" s="188" t="s">
        <v>620</v>
      </c>
      <c r="B1374" s="188" t="s">
        <v>1394</v>
      </c>
      <c r="C1374" s="188" t="s">
        <v>641</v>
      </c>
      <c r="D1374" s="188" t="s">
        <v>2630</v>
      </c>
      <c r="E1374" s="189">
        <v>39282</v>
      </c>
      <c r="F1374" s="190">
        <v>0</v>
      </c>
      <c r="G1374" s="190">
        <v>67.2</v>
      </c>
      <c r="H1374" s="191">
        <v>1090.01</v>
      </c>
      <c r="I1374" s="191">
        <v>262.5</v>
      </c>
      <c r="J1374" s="188" t="s">
        <v>624</v>
      </c>
      <c r="K1374" s="188" t="s">
        <v>338</v>
      </c>
      <c r="L1374" s="188" t="s">
        <v>1139</v>
      </c>
      <c r="M1374" s="192">
        <f t="shared" si="63"/>
        <v>38</v>
      </c>
      <c r="N1374" s="193">
        <f t="shared" si="64"/>
        <v>1.0381047619047619</v>
      </c>
      <c r="O1374" s="194">
        <f t="shared" si="65"/>
        <v>2.7318546365914787E-2</v>
      </c>
    </row>
    <row r="1375" spans="1:15" ht="12.75" customHeight="1">
      <c r="A1375" s="188" t="s">
        <v>620</v>
      </c>
      <c r="B1375" s="188" t="s">
        <v>1394</v>
      </c>
      <c r="C1375" s="188" t="s">
        <v>641</v>
      </c>
      <c r="D1375" s="188" t="s">
        <v>2631</v>
      </c>
      <c r="E1375" s="189">
        <v>39541</v>
      </c>
      <c r="F1375" s="190">
        <v>0</v>
      </c>
      <c r="G1375" s="190">
        <v>110.08</v>
      </c>
      <c r="H1375" s="191">
        <v>1410</v>
      </c>
      <c r="I1375" s="191">
        <v>430</v>
      </c>
      <c r="J1375" s="188" t="s">
        <v>635</v>
      </c>
      <c r="K1375" s="188" t="s">
        <v>338</v>
      </c>
      <c r="L1375" s="188" t="s">
        <v>2451</v>
      </c>
      <c r="M1375" s="192">
        <f t="shared" si="63"/>
        <v>30</v>
      </c>
      <c r="N1375" s="193">
        <f t="shared" si="64"/>
        <v>0.81976744186046513</v>
      </c>
      <c r="O1375" s="194">
        <f t="shared" si="65"/>
        <v>2.7325581395348839E-2</v>
      </c>
    </row>
    <row r="1376" spans="1:15" ht="12.75" customHeight="1">
      <c r="A1376" s="188" t="s">
        <v>620</v>
      </c>
      <c r="B1376" s="188" t="s">
        <v>1394</v>
      </c>
      <c r="C1376" s="188" t="s">
        <v>641</v>
      </c>
      <c r="D1376" s="188" t="s">
        <v>2632</v>
      </c>
      <c r="E1376" s="189">
        <v>39555</v>
      </c>
      <c r="F1376" s="190">
        <v>0</v>
      </c>
      <c r="G1376" s="190">
        <v>134.4</v>
      </c>
      <c r="H1376" s="191">
        <v>1148.6600000000001</v>
      </c>
      <c r="I1376" s="191">
        <v>525</v>
      </c>
      <c r="J1376" s="188" t="s">
        <v>560</v>
      </c>
      <c r="K1376" s="188" t="s">
        <v>338</v>
      </c>
      <c r="L1376" s="188" t="s">
        <v>701</v>
      </c>
      <c r="M1376" s="192">
        <f t="shared" si="63"/>
        <v>20</v>
      </c>
      <c r="N1376" s="193">
        <f t="shared" si="64"/>
        <v>0.54698095238095246</v>
      </c>
      <c r="O1376" s="194">
        <f t="shared" si="65"/>
        <v>2.7349047619047624E-2</v>
      </c>
    </row>
    <row r="1377" spans="1:15" ht="12.75" customHeight="1">
      <c r="A1377" s="188" t="s">
        <v>620</v>
      </c>
      <c r="B1377" s="188" t="s">
        <v>1394</v>
      </c>
      <c r="C1377" s="188" t="s">
        <v>641</v>
      </c>
      <c r="D1377" s="188" t="s">
        <v>2633</v>
      </c>
      <c r="E1377" s="189">
        <v>39534</v>
      </c>
      <c r="F1377" s="190">
        <v>0</v>
      </c>
      <c r="G1377" s="190">
        <v>55.3</v>
      </c>
      <c r="H1377" s="191">
        <v>474</v>
      </c>
      <c r="I1377" s="191">
        <v>216</v>
      </c>
      <c r="J1377" s="188" t="s">
        <v>560</v>
      </c>
      <c r="K1377" s="188" t="s">
        <v>338</v>
      </c>
      <c r="L1377" s="188" t="s">
        <v>1342</v>
      </c>
      <c r="M1377" s="192">
        <f t="shared" si="63"/>
        <v>20</v>
      </c>
      <c r="N1377" s="193">
        <f t="shared" si="64"/>
        <v>0.54861111111111116</v>
      </c>
      <c r="O1377" s="194">
        <f t="shared" si="65"/>
        <v>2.7430555555555559E-2</v>
      </c>
    </row>
    <row r="1378" spans="1:15" ht="12.75" customHeight="1">
      <c r="A1378" s="188" t="s">
        <v>620</v>
      </c>
      <c r="B1378" s="188" t="s">
        <v>1394</v>
      </c>
      <c r="C1378" s="188" t="s">
        <v>641</v>
      </c>
      <c r="D1378" s="188" t="s">
        <v>2634</v>
      </c>
      <c r="E1378" s="189">
        <v>39611</v>
      </c>
      <c r="F1378" s="190">
        <v>0</v>
      </c>
      <c r="G1378" s="190">
        <v>63.36</v>
      </c>
      <c r="H1378" s="191">
        <v>679</v>
      </c>
      <c r="I1378" s="191">
        <v>247.5</v>
      </c>
      <c r="J1378" s="188" t="s">
        <v>652</v>
      </c>
      <c r="K1378" s="188" t="s">
        <v>338</v>
      </c>
      <c r="L1378" s="188" t="s">
        <v>738</v>
      </c>
      <c r="M1378" s="192">
        <f t="shared" si="63"/>
        <v>25</v>
      </c>
      <c r="N1378" s="193">
        <f t="shared" si="64"/>
        <v>0.68585858585858583</v>
      </c>
      <c r="O1378" s="194">
        <f t="shared" si="65"/>
        <v>2.7434343434343433E-2</v>
      </c>
    </row>
    <row r="1379" spans="1:15" ht="12.75" customHeight="1">
      <c r="A1379" s="188" t="s">
        <v>620</v>
      </c>
      <c r="B1379" s="188" t="s">
        <v>1394</v>
      </c>
      <c r="C1379" s="188" t="s">
        <v>641</v>
      </c>
      <c r="D1379" s="188" t="s">
        <v>2635</v>
      </c>
      <c r="E1379" s="189">
        <v>39443</v>
      </c>
      <c r="F1379" s="190">
        <v>0</v>
      </c>
      <c r="G1379" s="190">
        <v>67.2</v>
      </c>
      <c r="H1379" s="191">
        <v>981.31</v>
      </c>
      <c r="I1379" s="191">
        <v>262.5</v>
      </c>
      <c r="J1379" s="188" t="s">
        <v>720</v>
      </c>
      <c r="K1379" s="188" t="s">
        <v>338</v>
      </c>
      <c r="L1379" s="188" t="s">
        <v>1139</v>
      </c>
      <c r="M1379" s="192">
        <f t="shared" si="63"/>
        <v>34</v>
      </c>
      <c r="N1379" s="193">
        <f t="shared" si="64"/>
        <v>0.93458095238095229</v>
      </c>
      <c r="O1379" s="194">
        <f t="shared" si="65"/>
        <v>2.7487675070028007E-2</v>
      </c>
    </row>
    <row r="1380" spans="1:15" ht="12.75" customHeight="1">
      <c r="A1380" s="188" t="s">
        <v>620</v>
      </c>
      <c r="B1380" s="188" t="s">
        <v>1394</v>
      </c>
      <c r="C1380" s="188" t="s">
        <v>641</v>
      </c>
      <c r="D1380" s="188" t="s">
        <v>2636</v>
      </c>
      <c r="E1380" s="189">
        <v>39407</v>
      </c>
      <c r="F1380" s="190">
        <v>0</v>
      </c>
      <c r="G1380" s="190">
        <v>52.22</v>
      </c>
      <c r="H1380" s="191">
        <v>718</v>
      </c>
      <c r="I1380" s="191">
        <v>204</v>
      </c>
      <c r="J1380" s="188" t="s">
        <v>879</v>
      </c>
      <c r="K1380" s="188" t="s">
        <v>648</v>
      </c>
      <c r="L1380" s="188" t="s">
        <v>1490</v>
      </c>
      <c r="M1380" s="192">
        <f t="shared" si="63"/>
        <v>32</v>
      </c>
      <c r="N1380" s="193">
        <f t="shared" si="64"/>
        <v>0.87990196078431371</v>
      </c>
      <c r="O1380" s="194">
        <f t="shared" si="65"/>
        <v>2.7496936274509803E-2</v>
      </c>
    </row>
    <row r="1381" spans="1:15" ht="12.75" customHeight="1">
      <c r="A1381" s="188" t="s">
        <v>620</v>
      </c>
      <c r="B1381" s="188" t="s">
        <v>1394</v>
      </c>
      <c r="C1381" s="188" t="s">
        <v>641</v>
      </c>
      <c r="D1381" s="188" t="s">
        <v>2637</v>
      </c>
      <c r="E1381" s="189">
        <v>39380</v>
      </c>
      <c r="F1381" s="190">
        <v>0</v>
      </c>
      <c r="G1381" s="190">
        <v>85.76</v>
      </c>
      <c r="H1381" s="191">
        <v>995</v>
      </c>
      <c r="I1381" s="191">
        <v>335</v>
      </c>
      <c r="J1381" s="188" t="s">
        <v>639</v>
      </c>
      <c r="K1381" s="188" t="s">
        <v>338</v>
      </c>
      <c r="L1381" s="188" t="s">
        <v>815</v>
      </c>
      <c r="M1381" s="192">
        <f t="shared" si="63"/>
        <v>27</v>
      </c>
      <c r="N1381" s="193">
        <f t="shared" si="64"/>
        <v>0.7425373134328358</v>
      </c>
      <c r="O1381" s="194">
        <f t="shared" si="65"/>
        <v>2.7501381978993919E-2</v>
      </c>
    </row>
    <row r="1382" spans="1:15" ht="12.75" customHeight="1">
      <c r="A1382" s="188" t="s">
        <v>620</v>
      </c>
      <c r="B1382" s="188" t="s">
        <v>1394</v>
      </c>
      <c r="C1382" s="188" t="s">
        <v>641</v>
      </c>
      <c r="D1382" s="188" t="s">
        <v>2638</v>
      </c>
      <c r="E1382" s="189">
        <v>39471</v>
      </c>
      <c r="F1382" s="190">
        <v>0</v>
      </c>
      <c r="G1382" s="190">
        <v>38.78</v>
      </c>
      <c r="H1382" s="191">
        <v>500</v>
      </c>
      <c r="I1382" s="191">
        <v>151.5</v>
      </c>
      <c r="J1382" s="188" t="s">
        <v>635</v>
      </c>
      <c r="K1382" s="188" t="s">
        <v>338</v>
      </c>
      <c r="L1382" s="188" t="s">
        <v>2639</v>
      </c>
      <c r="M1382" s="192">
        <f t="shared" si="63"/>
        <v>30</v>
      </c>
      <c r="N1382" s="193">
        <f t="shared" si="64"/>
        <v>0.82508250825082508</v>
      </c>
      <c r="O1382" s="194">
        <f t="shared" si="65"/>
        <v>2.7502750275027504E-2</v>
      </c>
    </row>
    <row r="1383" spans="1:15" ht="12.75" customHeight="1">
      <c r="A1383" s="188" t="s">
        <v>620</v>
      </c>
      <c r="B1383" s="188" t="s">
        <v>1394</v>
      </c>
      <c r="C1383" s="188" t="s">
        <v>641</v>
      </c>
      <c r="D1383" s="188" t="s">
        <v>2640</v>
      </c>
      <c r="E1383" s="189">
        <v>39269</v>
      </c>
      <c r="F1383" s="190">
        <v>0</v>
      </c>
      <c r="G1383" s="190">
        <v>70.400000000000006</v>
      </c>
      <c r="H1383" s="191">
        <v>1149.94</v>
      </c>
      <c r="I1383" s="191">
        <v>275</v>
      </c>
      <c r="J1383" s="188" t="s">
        <v>503</v>
      </c>
      <c r="K1383" s="188" t="s">
        <v>439</v>
      </c>
      <c r="L1383" s="188" t="s">
        <v>557</v>
      </c>
      <c r="M1383" s="192">
        <f t="shared" si="63"/>
        <v>38</v>
      </c>
      <c r="N1383" s="193">
        <f t="shared" si="64"/>
        <v>1.0454000000000001</v>
      </c>
      <c r="O1383" s="194">
        <f t="shared" si="65"/>
        <v>2.7510526315789475E-2</v>
      </c>
    </row>
    <row r="1384" spans="1:15" ht="12.75" customHeight="1">
      <c r="A1384" s="188" t="s">
        <v>620</v>
      </c>
      <c r="B1384" s="188" t="s">
        <v>1394</v>
      </c>
      <c r="C1384" s="188" t="s">
        <v>641</v>
      </c>
      <c r="D1384" s="188" t="s">
        <v>2641</v>
      </c>
      <c r="E1384" s="189">
        <v>39590</v>
      </c>
      <c r="F1384" s="190">
        <v>0</v>
      </c>
      <c r="G1384" s="190">
        <v>57.41</v>
      </c>
      <c r="H1384" s="191">
        <v>608.9</v>
      </c>
      <c r="I1384" s="191">
        <v>224.25</v>
      </c>
      <c r="J1384" s="188" t="s">
        <v>571</v>
      </c>
      <c r="K1384" s="188" t="s">
        <v>338</v>
      </c>
      <c r="L1384" s="188" t="s">
        <v>1146</v>
      </c>
      <c r="M1384" s="192">
        <f t="shared" si="63"/>
        <v>23</v>
      </c>
      <c r="N1384" s="193">
        <f t="shared" si="64"/>
        <v>0.63427083333333334</v>
      </c>
      <c r="O1384" s="194">
        <f t="shared" si="65"/>
        <v>2.757699275362319E-2</v>
      </c>
    </row>
    <row r="1385" spans="1:15" ht="12.75" customHeight="1">
      <c r="A1385" s="188" t="s">
        <v>620</v>
      </c>
      <c r="B1385" s="188" t="s">
        <v>1394</v>
      </c>
      <c r="C1385" s="188" t="s">
        <v>641</v>
      </c>
      <c r="D1385" s="188" t="s">
        <v>2642</v>
      </c>
      <c r="E1385" s="189">
        <v>39401</v>
      </c>
      <c r="F1385" s="190">
        <v>0</v>
      </c>
      <c r="G1385" s="190">
        <v>51.52</v>
      </c>
      <c r="H1385" s="191">
        <v>844</v>
      </c>
      <c r="I1385" s="191">
        <v>201.25</v>
      </c>
      <c r="J1385" s="188" t="s">
        <v>624</v>
      </c>
      <c r="K1385" s="188" t="s">
        <v>338</v>
      </c>
      <c r="L1385" s="188" t="s">
        <v>2002</v>
      </c>
      <c r="M1385" s="192">
        <f t="shared" si="63"/>
        <v>38</v>
      </c>
      <c r="N1385" s="193">
        <f t="shared" si="64"/>
        <v>1.0484472049689442</v>
      </c>
      <c r="O1385" s="194">
        <f t="shared" si="65"/>
        <v>2.7590715920235372E-2</v>
      </c>
    </row>
    <row r="1386" spans="1:15" ht="12.75" customHeight="1">
      <c r="A1386" s="188" t="s">
        <v>620</v>
      </c>
      <c r="B1386" s="188" t="s">
        <v>1394</v>
      </c>
      <c r="C1386" s="188" t="s">
        <v>641</v>
      </c>
      <c r="D1386" s="188" t="s">
        <v>2643</v>
      </c>
      <c r="E1386" s="189">
        <v>39429</v>
      </c>
      <c r="F1386" s="190">
        <v>0</v>
      </c>
      <c r="G1386" s="190">
        <v>51.58</v>
      </c>
      <c r="H1386" s="191">
        <v>846</v>
      </c>
      <c r="I1386" s="191">
        <v>201.5</v>
      </c>
      <c r="J1386" s="188" t="s">
        <v>624</v>
      </c>
      <c r="K1386" s="188" t="s">
        <v>338</v>
      </c>
      <c r="L1386" s="188" t="s">
        <v>2644</v>
      </c>
      <c r="M1386" s="192">
        <f t="shared" si="63"/>
        <v>38</v>
      </c>
      <c r="N1386" s="193">
        <f t="shared" si="64"/>
        <v>1.0496277915632755</v>
      </c>
      <c r="O1386" s="194">
        <f t="shared" si="65"/>
        <v>2.7621783988507249E-2</v>
      </c>
    </row>
    <row r="1387" spans="1:15" ht="12.75" customHeight="1">
      <c r="A1387" s="188" t="s">
        <v>620</v>
      </c>
      <c r="B1387" s="188" t="s">
        <v>1394</v>
      </c>
      <c r="C1387" s="188" t="s">
        <v>641</v>
      </c>
      <c r="D1387" s="188" t="s">
        <v>2645</v>
      </c>
      <c r="E1387" s="189">
        <v>39527</v>
      </c>
      <c r="F1387" s="190">
        <v>0</v>
      </c>
      <c r="G1387" s="190">
        <v>64.510000000000005</v>
      </c>
      <c r="H1387" s="191">
        <v>585</v>
      </c>
      <c r="I1387" s="191">
        <v>252</v>
      </c>
      <c r="J1387" s="188" t="s">
        <v>879</v>
      </c>
      <c r="K1387" s="188" t="s">
        <v>338</v>
      </c>
      <c r="L1387" s="188" t="s">
        <v>736</v>
      </c>
      <c r="M1387" s="192">
        <f t="shared" si="63"/>
        <v>21</v>
      </c>
      <c r="N1387" s="193">
        <f t="shared" si="64"/>
        <v>0.5803571428571429</v>
      </c>
      <c r="O1387" s="194">
        <f t="shared" si="65"/>
        <v>2.763605442176871E-2</v>
      </c>
    </row>
    <row r="1388" spans="1:15" ht="12.75" customHeight="1">
      <c r="A1388" s="188" t="s">
        <v>620</v>
      </c>
      <c r="B1388" s="188" t="s">
        <v>1394</v>
      </c>
      <c r="C1388" s="188" t="s">
        <v>641</v>
      </c>
      <c r="D1388" s="188" t="s">
        <v>2646</v>
      </c>
      <c r="E1388" s="189">
        <v>39233</v>
      </c>
      <c r="F1388" s="190">
        <v>0</v>
      </c>
      <c r="G1388" s="190">
        <v>83.2</v>
      </c>
      <c r="H1388" s="191">
        <v>719.94</v>
      </c>
      <c r="I1388" s="191">
        <v>325</v>
      </c>
      <c r="J1388" s="188" t="s">
        <v>560</v>
      </c>
      <c r="K1388" s="188" t="s">
        <v>338</v>
      </c>
      <c r="L1388" s="188" t="s">
        <v>699</v>
      </c>
      <c r="M1388" s="192">
        <f t="shared" si="63"/>
        <v>20</v>
      </c>
      <c r="N1388" s="193">
        <f t="shared" si="64"/>
        <v>0.55380000000000007</v>
      </c>
      <c r="O1388" s="194">
        <f t="shared" si="65"/>
        <v>2.7690000000000003E-2</v>
      </c>
    </row>
    <row r="1389" spans="1:15" ht="12.75" customHeight="1">
      <c r="A1389" s="188" t="s">
        <v>620</v>
      </c>
      <c r="B1389" s="188" t="s">
        <v>1394</v>
      </c>
      <c r="C1389" s="188" t="s">
        <v>641</v>
      </c>
      <c r="D1389" s="188" t="s">
        <v>2647</v>
      </c>
      <c r="E1389" s="189">
        <v>39548</v>
      </c>
      <c r="F1389" s="190">
        <v>0</v>
      </c>
      <c r="G1389" s="190">
        <v>8.58</v>
      </c>
      <c r="H1389" s="191">
        <v>141</v>
      </c>
      <c r="I1389" s="191">
        <v>33.5</v>
      </c>
      <c r="J1389" s="188" t="s">
        <v>624</v>
      </c>
      <c r="K1389" s="188" t="s">
        <v>338</v>
      </c>
      <c r="L1389" s="188" t="s">
        <v>2648</v>
      </c>
      <c r="M1389" s="192">
        <f t="shared" si="63"/>
        <v>38</v>
      </c>
      <c r="N1389" s="193">
        <f t="shared" si="64"/>
        <v>1.0522388059701493</v>
      </c>
      <c r="O1389" s="194">
        <f t="shared" si="65"/>
        <v>2.7690494893951298E-2</v>
      </c>
    </row>
    <row r="1390" spans="1:15" ht="12.75" customHeight="1">
      <c r="A1390" s="188" t="s">
        <v>620</v>
      </c>
      <c r="B1390" s="188" t="s">
        <v>1394</v>
      </c>
      <c r="C1390" s="188" t="s">
        <v>641</v>
      </c>
      <c r="D1390" s="188" t="s">
        <v>2649</v>
      </c>
      <c r="E1390" s="189">
        <v>39513</v>
      </c>
      <c r="F1390" s="190">
        <v>0</v>
      </c>
      <c r="G1390" s="190">
        <v>41.6</v>
      </c>
      <c r="H1390" s="191">
        <v>360</v>
      </c>
      <c r="I1390" s="191">
        <v>162.5</v>
      </c>
      <c r="J1390" s="188" t="s">
        <v>560</v>
      </c>
      <c r="K1390" s="188" t="s">
        <v>338</v>
      </c>
      <c r="L1390" s="188" t="s">
        <v>1774</v>
      </c>
      <c r="M1390" s="192">
        <f t="shared" si="63"/>
        <v>20</v>
      </c>
      <c r="N1390" s="193">
        <f t="shared" si="64"/>
        <v>0.55384615384615388</v>
      </c>
      <c r="O1390" s="194">
        <f t="shared" si="65"/>
        <v>2.7692307692307693E-2</v>
      </c>
    </row>
    <row r="1391" spans="1:15" ht="12.75" customHeight="1">
      <c r="A1391" s="188" t="s">
        <v>620</v>
      </c>
      <c r="B1391" s="188" t="s">
        <v>1394</v>
      </c>
      <c r="C1391" s="188" t="s">
        <v>641</v>
      </c>
      <c r="D1391" s="188" t="s">
        <v>2650</v>
      </c>
      <c r="E1391" s="189">
        <v>39422</v>
      </c>
      <c r="F1391" s="190">
        <v>0</v>
      </c>
      <c r="G1391" s="190">
        <v>46.08</v>
      </c>
      <c r="H1391" s="191">
        <v>758</v>
      </c>
      <c r="I1391" s="191">
        <v>180</v>
      </c>
      <c r="J1391" s="188" t="s">
        <v>624</v>
      </c>
      <c r="K1391" s="188" t="s">
        <v>338</v>
      </c>
      <c r="L1391" s="188" t="s">
        <v>313</v>
      </c>
      <c r="M1391" s="192">
        <f t="shared" si="63"/>
        <v>38</v>
      </c>
      <c r="N1391" s="193">
        <f t="shared" si="64"/>
        <v>1.0527777777777778</v>
      </c>
      <c r="O1391" s="194">
        <f t="shared" si="65"/>
        <v>2.77046783625731E-2</v>
      </c>
    </row>
    <row r="1392" spans="1:15" ht="12.75" customHeight="1">
      <c r="A1392" s="188" t="s">
        <v>620</v>
      </c>
      <c r="B1392" s="188" t="s">
        <v>1394</v>
      </c>
      <c r="C1392" s="188" t="s">
        <v>641</v>
      </c>
      <c r="D1392" s="188" t="s">
        <v>2651</v>
      </c>
      <c r="E1392" s="189">
        <v>39590</v>
      </c>
      <c r="F1392" s="190">
        <v>0</v>
      </c>
      <c r="G1392" s="190">
        <v>51.2</v>
      </c>
      <c r="H1392" s="191">
        <v>930.9</v>
      </c>
      <c r="I1392" s="191">
        <v>200</v>
      </c>
      <c r="J1392" s="188" t="s">
        <v>624</v>
      </c>
      <c r="K1392" s="188" t="s">
        <v>1092</v>
      </c>
      <c r="L1392" s="188" t="s">
        <v>752</v>
      </c>
      <c r="M1392" s="192">
        <f t="shared" si="63"/>
        <v>42</v>
      </c>
      <c r="N1392" s="193">
        <f t="shared" si="64"/>
        <v>1.1636249999999999</v>
      </c>
      <c r="O1392" s="194">
        <f t="shared" si="65"/>
        <v>2.7705357142857139E-2</v>
      </c>
    </row>
    <row r="1393" spans="1:15" ht="12.75" customHeight="1">
      <c r="A1393" s="188" t="s">
        <v>620</v>
      </c>
      <c r="B1393" s="188" t="s">
        <v>1394</v>
      </c>
      <c r="C1393" s="188" t="s">
        <v>641</v>
      </c>
      <c r="D1393" s="188" t="s">
        <v>2652</v>
      </c>
      <c r="E1393" s="189">
        <v>39380</v>
      </c>
      <c r="F1393" s="190">
        <v>0</v>
      </c>
      <c r="G1393" s="190">
        <v>53.76</v>
      </c>
      <c r="H1393" s="191">
        <v>699.97</v>
      </c>
      <c r="I1393" s="191">
        <v>210</v>
      </c>
      <c r="J1393" s="188" t="s">
        <v>667</v>
      </c>
      <c r="K1393" s="188" t="s">
        <v>648</v>
      </c>
      <c r="L1393" s="188" t="s">
        <v>906</v>
      </c>
      <c r="M1393" s="192">
        <f t="shared" si="63"/>
        <v>30</v>
      </c>
      <c r="N1393" s="193">
        <f t="shared" si="64"/>
        <v>0.83329761904761912</v>
      </c>
      <c r="O1393" s="194">
        <f t="shared" si="65"/>
        <v>2.7776587301587306E-2</v>
      </c>
    </row>
    <row r="1394" spans="1:15" ht="12.75" customHeight="1">
      <c r="A1394" s="188" t="s">
        <v>620</v>
      </c>
      <c r="B1394" s="188" t="s">
        <v>1394</v>
      </c>
      <c r="C1394" s="188" t="s">
        <v>641</v>
      </c>
      <c r="D1394" s="188" t="s">
        <v>2653</v>
      </c>
      <c r="E1394" s="189">
        <v>39464</v>
      </c>
      <c r="F1394" s="190">
        <v>0</v>
      </c>
      <c r="G1394" s="190">
        <v>83.2</v>
      </c>
      <c r="H1394" s="191">
        <v>975</v>
      </c>
      <c r="I1394" s="191">
        <v>325</v>
      </c>
      <c r="J1394" s="188" t="s">
        <v>639</v>
      </c>
      <c r="K1394" s="188" t="s">
        <v>338</v>
      </c>
      <c r="L1394" s="188" t="s">
        <v>699</v>
      </c>
      <c r="M1394" s="192">
        <f t="shared" si="63"/>
        <v>27</v>
      </c>
      <c r="N1394" s="193">
        <f t="shared" si="64"/>
        <v>0.75</v>
      </c>
      <c r="O1394" s="194">
        <f t="shared" si="65"/>
        <v>2.7777777777777776E-2</v>
      </c>
    </row>
    <row r="1395" spans="1:15" ht="12.75" customHeight="1">
      <c r="A1395" s="188" t="s">
        <v>620</v>
      </c>
      <c r="B1395" s="188" t="s">
        <v>1394</v>
      </c>
      <c r="C1395" s="188" t="s">
        <v>641</v>
      </c>
      <c r="D1395" s="188" t="s">
        <v>2654</v>
      </c>
      <c r="E1395" s="189">
        <v>39416</v>
      </c>
      <c r="F1395" s="190">
        <v>0</v>
      </c>
      <c r="G1395" s="190">
        <v>109.57</v>
      </c>
      <c r="H1395" s="191">
        <v>1048.9000000000001</v>
      </c>
      <c r="I1395" s="191">
        <v>428</v>
      </c>
      <c r="J1395" s="188" t="s">
        <v>710</v>
      </c>
      <c r="K1395" s="188" t="s">
        <v>338</v>
      </c>
      <c r="L1395" s="188" t="s">
        <v>2655</v>
      </c>
      <c r="M1395" s="192">
        <f t="shared" si="63"/>
        <v>22</v>
      </c>
      <c r="N1395" s="193">
        <f t="shared" si="64"/>
        <v>0.61267523364485987</v>
      </c>
      <c r="O1395" s="194">
        <f t="shared" si="65"/>
        <v>2.7848874256584541E-2</v>
      </c>
    </row>
    <row r="1396" spans="1:15" ht="12.75" customHeight="1">
      <c r="A1396" s="188" t="s">
        <v>620</v>
      </c>
      <c r="B1396" s="188" t="s">
        <v>1394</v>
      </c>
      <c r="C1396" s="188" t="s">
        <v>641</v>
      </c>
      <c r="D1396" s="188" t="s">
        <v>2656</v>
      </c>
      <c r="E1396" s="189">
        <v>39436</v>
      </c>
      <c r="F1396" s="190">
        <v>0</v>
      </c>
      <c r="G1396" s="190">
        <v>46.08</v>
      </c>
      <c r="H1396" s="191">
        <v>762</v>
      </c>
      <c r="I1396" s="191">
        <v>180</v>
      </c>
      <c r="J1396" s="188" t="s">
        <v>624</v>
      </c>
      <c r="K1396" s="188" t="s">
        <v>338</v>
      </c>
      <c r="L1396" s="188" t="s">
        <v>313</v>
      </c>
      <c r="M1396" s="192">
        <f t="shared" si="63"/>
        <v>38</v>
      </c>
      <c r="N1396" s="193">
        <f t="shared" si="64"/>
        <v>1.0583333333333333</v>
      </c>
      <c r="O1396" s="194">
        <f t="shared" si="65"/>
        <v>2.7850877192982456E-2</v>
      </c>
    </row>
    <row r="1397" spans="1:15" ht="12.75" customHeight="1">
      <c r="A1397" s="188" t="s">
        <v>620</v>
      </c>
      <c r="B1397" s="188" t="s">
        <v>1394</v>
      </c>
      <c r="C1397" s="188" t="s">
        <v>641</v>
      </c>
      <c r="D1397" s="188" t="s">
        <v>2657</v>
      </c>
      <c r="E1397" s="189">
        <v>39352</v>
      </c>
      <c r="F1397" s="190">
        <v>0</v>
      </c>
      <c r="G1397" s="190">
        <v>84.8</v>
      </c>
      <c r="H1397" s="191">
        <v>997.5</v>
      </c>
      <c r="I1397" s="191">
        <v>331.25</v>
      </c>
      <c r="J1397" s="188" t="s">
        <v>639</v>
      </c>
      <c r="K1397" s="188" t="s">
        <v>338</v>
      </c>
      <c r="L1397" s="188" t="s">
        <v>1691</v>
      </c>
      <c r="M1397" s="192">
        <f t="shared" si="63"/>
        <v>27</v>
      </c>
      <c r="N1397" s="193">
        <f t="shared" si="64"/>
        <v>0.75283018867924534</v>
      </c>
      <c r="O1397" s="194">
        <f t="shared" si="65"/>
        <v>2.7882599580712791E-2</v>
      </c>
    </row>
    <row r="1398" spans="1:15" ht="12.75" customHeight="1">
      <c r="A1398" s="188" t="s">
        <v>620</v>
      </c>
      <c r="B1398" s="188" t="s">
        <v>1394</v>
      </c>
      <c r="C1398" s="188" t="s">
        <v>641</v>
      </c>
      <c r="D1398" s="188" t="s">
        <v>2658</v>
      </c>
      <c r="E1398" s="189">
        <v>39353</v>
      </c>
      <c r="F1398" s="190">
        <v>0</v>
      </c>
      <c r="G1398" s="190">
        <v>72.45</v>
      </c>
      <c r="H1398" s="191">
        <v>1200.03</v>
      </c>
      <c r="I1398" s="191">
        <v>283</v>
      </c>
      <c r="J1398" s="188" t="s">
        <v>624</v>
      </c>
      <c r="K1398" s="188" t="s">
        <v>338</v>
      </c>
      <c r="L1398" s="188" t="s">
        <v>2446</v>
      </c>
      <c r="M1398" s="192">
        <f t="shared" si="63"/>
        <v>38</v>
      </c>
      <c r="N1398" s="193">
        <f t="shared" si="64"/>
        <v>1.0600971731448763</v>
      </c>
      <c r="O1398" s="194">
        <f t="shared" si="65"/>
        <v>2.7897294030128323E-2</v>
      </c>
    </row>
    <row r="1399" spans="1:15" ht="12.75" customHeight="1">
      <c r="A1399" s="188" t="s">
        <v>620</v>
      </c>
      <c r="B1399" s="188" t="s">
        <v>1394</v>
      </c>
      <c r="C1399" s="188" t="s">
        <v>641</v>
      </c>
      <c r="D1399" s="188" t="s">
        <v>2659</v>
      </c>
      <c r="E1399" s="189">
        <v>39527</v>
      </c>
      <c r="F1399" s="190">
        <v>0</v>
      </c>
      <c r="G1399" s="190">
        <v>126.46</v>
      </c>
      <c r="H1399" s="191">
        <v>1435</v>
      </c>
      <c r="I1399" s="191">
        <v>494</v>
      </c>
      <c r="J1399" s="188" t="s">
        <v>361</v>
      </c>
      <c r="K1399" s="188" t="s">
        <v>338</v>
      </c>
      <c r="L1399" s="188" t="s">
        <v>2660</v>
      </c>
      <c r="M1399" s="192">
        <f t="shared" si="63"/>
        <v>26</v>
      </c>
      <c r="N1399" s="193">
        <f t="shared" si="64"/>
        <v>0.72621457489878538</v>
      </c>
      <c r="O1399" s="194">
        <f t="shared" si="65"/>
        <v>2.7931329803799438E-2</v>
      </c>
    </row>
    <row r="1400" spans="1:15" ht="12.75" customHeight="1">
      <c r="A1400" s="188" t="s">
        <v>620</v>
      </c>
      <c r="B1400" s="188" t="s">
        <v>1394</v>
      </c>
      <c r="C1400" s="188" t="s">
        <v>641</v>
      </c>
      <c r="D1400" s="188" t="s">
        <v>2661</v>
      </c>
      <c r="E1400" s="189">
        <v>39366</v>
      </c>
      <c r="F1400" s="190">
        <v>0</v>
      </c>
      <c r="G1400" s="190">
        <v>102.4</v>
      </c>
      <c r="H1400" s="191">
        <v>850</v>
      </c>
      <c r="I1400" s="191">
        <v>400</v>
      </c>
      <c r="J1400" s="188" t="s">
        <v>667</v>
      </c>
      <c r="K1400" s="188" t="s">
        <v>338</v>
      </c>
      <c r="L1400" s="188" t="s">
        <v>625</v>
      </c>
      <c r="M1400" s="192">
        <f t="shared" si="63"/>
        <v>19</v>
      </c>
      <c r="N1400" s="193">
        <f t="shared" si="64"/>
        <v>0.53125</v>
      </c>
      <c r="O1400" s="194">
        <f t="shared" si="65"/>
        <v>2.7960526315789474E-2</v>
      </c>
    </row>
    <row r="1401" spans="1:15" ht="12.75" customHeight="1">
      <c r="A1401" s="188" t="s">
        <v>620</v>
      </c>
      <c r="B1401" s="188" t="s">
        <v>1394</v>
      </c>
      <c r="C1401" s="188" t="s">
        <v>641</v>
      </c>
      <c r="D1401" s="188" t="s">
        <v>2662</v>
      </c>
      <c r="E1401" s="189">
        <v>39485</v>
      </c>
      <c r="F1401" s="190">
        <v>0</v>
      </c>
      <c r="G1401" s="190">
        <v>60.8</v>
      </c>
      <c r="H1401" s="191">
        <v>505</v>
      </c>
      <c r="I1401" s="191">
        <v>237.5</v>
      </c>
      <c r="J1401" s="188" t="s">
        <v>667</v>
      </c>
      <c r="K1401" s="188" t="s">
        <v>338</v>
      </c>
      <c r="L1401" s="188" t="s">
        <v>1164</v>
      </c>
      <c r="M1401" s="192">
        <f t="shared" si="63"/>
        <v>19</v>
      </c>
      <c r="N1401" s="193">
        <f t="shared" si="64"/>
        <v>0.53157894736842104</v>
      </c>
      <c r="O1401" s="194">
        <f t="shared" si="65"/>
        <v>2.7977839335180055E-2</v>
      </c>
    </row>
    <row r="1402" spans="1:15" ht="12.75" customHeight="1">
      <c r="A1402" s="188" t="s">
        <v>620</v>
      </c>
      <c r="B1402" s="188" t="s">
        <v>1394</v>
      </c>
      <c r="C1402" s="188" t="s">
        <v>641</v>
      </c>
      <c r="D1402" s="188" t="s">
        <v>2663</v>
      </c>
      <c r="E1402" s="189">
        <v>39296</v>
      </c>
      <c r="F1402" s="190">
        <v>0</v>
      </c>
      <c r="G1402" s="190">
        <v>32</v>
      </c>
      <c r="H1402" s="191">
        <v>350</v>
      </c>
      <c r="I1402" s="191">
        <v>125</v>
      </c>
      <c r="J1402" s="188" t="s">
        <v>652</v>
      </c>
      <c r="K1402" s="188" t="s">
        <v>338</v>
      </c>
      <c r="L1402" s="188" t="s">
        <v>858</v>
      </c>
      <c r="M1402" s="192">
        <f t="shared" si="63"/>
        <v>25</v>
      </c>
      <c r="N1402" s="193">
        <f t="shared" si="64"/>
        <v>0.7</v>
      </c>
      <c r="O1402" s="194">
        <f t="shared" si="65"/>
        <v>2.7999999999999997E-2</v>
      </c>
    </row>
    <row r="1403" spans="1:15" ht="12.75" customHeight="1">
      <c r="A1403" s="188" t="s">
        <v>620</v>
      </c>
      <c r="B1403" s="188" t="s">
        <v>1394</v>
      </c>
      <c r="C1403" s="188" t="s">
        <v>641</v>
      </c>
      <c r="D1403" s="188" t="s">
        <v>2664</v>
      </c>
      <c r="E1403" s="189">
        <v>39597</v>
      </c>
      <c r="F1403" s="190">
        <v>0</v>
      </c>
      <c r="G1403" s="190">
        <v>82.56</v>
      </c>
      <c r="H1403" s="191">
        <v>1382.5</v>
      </c>
      <c r="I1403" s="191">
        <v>322.5</v>
      </c>
      <c r="J1403" s="188" t="s">
        <v>624</v>
      </c>
      <c r="K1403" s="188" t="s">
        <v>338</v>
      </c>
      <c r="L1403" s="188" t="s">
        <v>2665</v>
      </c>
      <c r="M1403" s="192">
        <f t="shared" si="63"/>
        <v>38</v>
      </c>
      <c r="N1403" s="193">
        <f t="shared" si="64"/>
        <v>1.0717054263565891</v>
      </c>
      <c r="O1403" s="194">
        <f t="shared" si="65"/>
        <v>2.8202774377804975E-2</v>
      </c>
    </row>
    <row r="1404" spans="1:15" ht="12.75" customHeight="1">
      <c r="A1404" s="188" t="s">
        <v>620</v>
      </c>
      <c r="B1404" s="188" t="s">
        <v>1394</v>
      </c>
      <c r="C1404" s="188" t="s">
        <v>641</v>
      </c>
      <c r="D1404" s="188" t="s">
        <v>2666</v>
      </c>
      <c r="E1404" s="189">
        <v>39534</v>
      </c>
      <c r="F1404" s="190">
        <v>0</v>
      </c>
      <c r="G1404" s="190">
        <v>48</v>
      </c>
      <c r="H1404" s="191">
        <v>572</v>
      </c>
      <c r="I1404" s="191">
        <v>187.5</v>
      </c>
      <c r="J1404" s="188" t="s">
        <v>639</v>
      </c>
      <c r="K1404" s="188" t="s">
        <v>338</v>
      </c>
      <c r="L1404" s="188" t="s">
        <v>1058</v>
      </c>
      <c r="M1404" s="192">
        <f t="shared" si="63"/>
        <v>27</v>
      </c>
      <c r="N1404" s="193">
        <f t="shared" si="64"/>
        <v>0.76266666666666671</v>
      </c>
      <c r="O1404" s="194">
        <f t="shared" si="65"/>
        <v>2.8246913580246915E-2</v>
      </c>
    </row>
    <row r="1405" spans="1:15" ht="12.75" customHeight="1">
      <c r="A1405" s="188" t="s">
        <v>620</v>
      </c>
      <c r="B1405" s="188" t="s">
        <v>1394</v>
      </c>
      <c r="C1405" s="188" t="s">
        <v>641</v>
      </c>
      <c r="D1405" s="188" t="s">
        <v>2667</v>
      </c>
      <c r="E1405" s="189">
        <v>39422</v>
      </c>
      <c r="F1405" s="190">
        <v>0</v>
      </c>
      <c r="G1405" s="190">
        <v>55.36</v>
      </c>
      <c r="H1405" s="191">
        <v>514</v>
      </c>
      <c r="I1405" s="191">
        <v>216.25</v>
      </c>
      <c r="J1405" s="188" t="s">
        <v>879</v>
      </c>
      <c r="K1405" s="188" t="s">
        <v>338</v>
      </c>
      <c r="L1405" s="188" t="s">
        <v>1838</v>
      </c>
      <c r="M1405" s="192">
        <f t="shared" si="63"/>
        <v>21</v>
      </c>
      <c r="N1405" s="193">
        <f t="shared" si="64"/>
        <v>0.59421965317919079</v>
      </c>
      <c r="O1405" s="194">
        <f t="shared" si="65"/>
        <v>2.8296173960913846E-2</v>
      </c>
    </row>
    <row r="1406" spans="1:15" ht="12.75" customHeight="1">
      <c r="A1406" s="188" t="s">
        <v>620</v>
      </c>
      <c r="B1406" s="188" t="s">
        <v>1394</v>
      </c>
      <c r="C1406" s="188" t="s">
        <v>641</v>
      </c>
      <c r="D1406" s="188" t="s">
        <v>2668</v>
      </c>
      <c r="E1406" s="189">
        <v>39261</v>
      </c>
      <c r="F1406" s="190">
        <v>0</v>
      </c>
      <c r="G1406" s="190">
        <v>59.9</v>
      </c>
      <c r="H1406" s="191">
        <v>795.04</v>
      </c>
      <c r="I1406" s="191">
        <v>234</v>
      </c>
      <c r="J1406" s="188" t="s">
        <v>635</v>
      </c>
      <c r="K1406" s="188" t="s">
        <v>338</v>
      </c>
      <c r="L1406" s="188" t="s">
        <v>1618</v>
      </c>
      <c r="M1406" s="192">
        <f t="shared" si="63"/>
        <v>30</v>
      </c>
      <c r="N1406" s="193">
        <f t="shared" si="64"/>
        <v>0.84940170940170934</v>
      </c>
      <c r="O1406" s="194">
        <f t="shared" si="65"/>
        <v>2.8313390313390311E-2</v>
      </c>
    </row>
    <row r="1407" spans="1:15" ht="12.75" customHeight="1">
      <c r="A1407" s="188" t="s">
        <v>620</v>
      </c>
      <c r="B1407" s="188" t="s">
        <v>1394</v>
      </c>
      <c r="C1407" s="188" t="s">
        <v>641</v>
      </c>
      <c r="D1407" s="188" t="s">
        <v>2669</v>
      </c>
      <c r="E1407" s="189">
        <v>39282</v>
      </c>
      <c r="F1407" s="190">
        <v>0</v>
      </c>
      <c r="G1407" s="190">
        <v>80.510000000000005</v>
      </c>
      <c r="H1407" s="191">
        <v>783.99</v>
      </c>
      <c r="I1407" s="191">
        <v>314.5</v>
      </c>
      <c r="J1407" s="188" t="s">
        <v>635</v>
      </c>
      <c r="K1407" s="188" t="s">
        <v>257</v>
      </c>
      <c r="L1407" s="188" t="s">
        <v>2670</v>
      </c>
      <c r="M1407" s="192">
        <f t="shared" si="63"/>
        <v>22</v>
      </c>
      <c r="N1407" s="193">
        <f t="shared" si="64"/>
        <v>0.62320349761526228</v>
      </c>
      <c r="O1407" s="194">
        <f t="shared" si="65"/>
        <v>2.8327431709784648E-2</v>
      </c>
    </row>
    <row r="1408" spans="1:15" ht="12.75" customHeight="1">
      <c r="A1408" s="188" t="s">
        <v>620</v>
      </c>
      <c r="B1408" s="188" t="s">
        <v>1394</v>
      </c>
      <c r="C1408" s="188" t="s">
        <v>641</v>
      </c>
      <c r="D1408" s="188" t="s">
        <v>2671</v>
      </c>
      <c r="E1408" s="189">
        <v>39275</v>
      </c>
      <c r="F1408" s="190">
        <v>0</v>
      </c>
      <c r="G1408" s="190">
        <v>61.44</v>
      </c>
      <c r="H1408" s="191">
        <v>1034.98</v>
      </c>
      <c r="I1408" s="191">
        <v>240</v>
      </c>
      <c r="J1408" s="188" t="s">
        <v>624</v>
      </c>
      <c r="K1408" s="188" t="s">
        <v>338</v>
      </c>
      <c r="L1408" s="188" t="s">
        <v>1146</v>
      </c>
      <c r="M1408" s="192">
        <f t="shared" si="63"/>
        <v>38</v>
      </c>
      <c r="N1408" s="193">
        <f t="shared" si="64"/>
        <v>1.0781041666666666</v>
      </c>
      <c r="O1408" s="194">
        <f t="shared" si="65"/>
        <v>2.8371162280701755E-2</v>
      </c>
    </row>
    <row r="1409" spans="1:15" ht="12.75" customHeight="1">
      <c r="A1409" s="188" t="s">
        <v>620</v>
      </c>
      <c r="B1409" s="188" t="s">
        <v>1394</v>
      </c>
      <c r="C1409" s="188" t="s">
        <v>641</v>
      </c>
      <c r="D1409" s="188" t="s">
        <v>2672</v>
      </c>
      <c r="E1409" s="189">
        <v>39562</v>
      </c>
      <c r="F1409" s="190">
        <v>0</v>
      </c>
      <c r="G1409" s="190">
        <v>40.96</v>
      </c>
      <c r="H1409" s="191">
        <v>690</v>
      </c>
      <c r="I1409" s="191">
        <v>160</v>
      </c>
      <c r="J1409" s="188" t="s">
        <v>624</v>
      </c>
      <c r="K1409" s="188" t="s">
        <v>338</v>
      </c>
      <c r="L1409" s="188" t="s">
        <v>1849</v>
      </c>
      <c r="M1409" s="192">
        <f t="shared" si="63"/>
        <v>38</v>
      </c>
      <c r="N1409" s="193">
        <f t="shared" si="64"/>
        <v>1.078125</v>
      </c>
      <c r="O1409" s="194">
        <f t="shared" si="65"/>
        <v>2.8371710526315791E-2</v>
      </c>
    </row>
    <row r="1410" spans="1:15" ht="12.75" customHeight="1">
      <c r="A1410" s="188" t="s">
        <v>620</v>
      </c>
      <c r="B1410" s="188" t="s">
        <v>1394</v>
      </c>
      <c r="C1410" s="188" t="s">
        <v>641</v>
      </c>
      <c r="D1410" s="188" t="s">
        <v>2673</v>
      </c>
      <c r="E1410" s="189">
        <v>39590</v>
      </c>
      <c r="F1410" s="190">
        <v>0</v>
      </c>
      <c r="G1410" s="190">
        <v>59.65</v>
      </c>
      <c r="H1410" s="191">
        <v>715</v>
      </c>
      <c r="I1410" s="191">
        <v>233</v>
      </c>
      <c r="J1410" s="188" t="s">
        <v>639</v>
      </c>
      <c r="K1410" s="188" t="s">
        <v>338</v>
      </c>
      <c r="L1410" s="188" t="s">
        <v>2674</v>
      </c>
      <c r="M1410" s="192">
        <f t="shared" ref="M1410:M1473" si="66">K1410-J1410</f>
        <v>27</v>
      </c>
      <c r="N1410" s="193">
        <f t="shared" ref="N1410:N1473" si="67">H1410/L1410</f>
        <v>0.76716738197424894</v>
      </c>
      <c r="O1410" s="194">
        <f t="shared" ref="O1410:O1473" si="68">N1410/M1410</f>
        <v>2.8413606739786997E-2</v>
      </c>
    </row>
    <row r="1411" spans="1:15" ht="12.75" customHeight="1">
      <c r="A1411" s="188" t="s">
        <v>620</v>
      </c>
      <c r="B1411" s="188" t="s">
        <v>1394</v>
      </c>
      <c r="C1411" s="188" t="s">
        <v>641</v>
      </c>
      <c r="D1411" s="188" t="s">
        <v>2675</v>
      </c>
      <c r="E1411" s="189">
        <v>39478</v>
      </c>
      <c r="F1411" s="190">
        <v>0</v>
      </c>
      <c r="G1411" s="190">
        <v>108.8</v>
      </c>
      <c r="H1411" s="191">
        <v>1305</v>
      </c>
      <c r="I1411" s="191">
        <v>425</v>
      </c>
      <c r="J1411" s="188" t="s">
        <v>639</v>
      </c>
      <c r="K1411" s="188" t="s">
        <v>338</v>
      </c>
      <c r="L1411" s="188" t="s">
        <v>833</v>
      </c>
      <c r="M1411" s="192">
        <f t="shared" si="66"/>
        <v>27</v>
      </c>
      <c r="N1411" s="193">
        <f t="shared" si="67"/>
        <v>0.76764705882352946</v>
      </c>
      <c r="O1411" s="194">
        <f t="shared" si="68"/>
        <v>2.8431372549019611E-2</v>
      </c>
    </row>
    <row r="1412" spans="1:15" ht="12.75" customHeight="1">
      <c r="A1412" s="188" t="s">
        <v>620</v>
      </c>
      <c r="B1412" s="188" t="s">
        <v>1394</v>
      </c>
      <c r="C1412" s="188" t="s">
        <v>641</v>
      </c>
      <c r="D1412" s="188" t="s">
        <v>2676</v>
      </c>
      <c r="E1412" s="189">
        <v>39597</v>
      </c>
      <c r="F1412" s="190">
        <v>0</v>
      </c>
      <c r="G1412" s="190">
        <v>57.15</v>
      </c>
      <c r="H1412" s="191">
        <v>635</v>
      </c>
      <c r="I1412" s="191">
        <v>223.25</v>
      </c>
      <c r="J1412" s="188" t="s">
        <v>652</v>
      </c>
      <c r="K1412" s="188" t="s">
        <v>338</v>
      </c>
      <c r="L1412" s="188" t="s">
        <v>2677</v>
      </c>
      <c r="M1412" s="192">
        <f t="shared" si="66"/>
        <v>25</v>
      </c>
      <c r="N1412" s="193">
        <f t="shared" si="67"/>
        <v>0.71108622620380735</v>
      </c>
      <c r="O1412" s="194">
        <f t="shared" si="68"/>
        <v>2.8443449048152294E-2</v>
      </c>
    </row>
    <row r="1413" spans="1:15" ht="12.75" customHeight="1">
      <c r="A1413" s="188" t="s">
        <v>620</v>
      </c>
      <c r="B1413" s="188" t="s">
        <v>1394</v>
      </c>
      <c r="C1413" s="188" t="s">
        <v>641</v>
      </c>
      <c r="D1413" s="188" t="s">
        <v>2678</v>
      </c>
      <c r="E1413" s="189">
        <v>39447</v>
      </c>
      <c r="F1413" s="190">
        <v>0</v>
      </c>
      <c r="G1413" s="190">
        <v>86.4</v>
      </c>
      <c r="H1413" s="191">
        <v>768</v>
      </c>
      <c r="I1413" s="191">
        <v>337.5</v>
      </c>
      <c r="J1413" s="188" t="s">
        <v>560</v>
      </c>
      <c r="K1413" s="188" t="s">
        <v>338</v>
      </c>
      <c r="L1413" s="188" t="s">
        <v>707</v>
      </c>
      <c r="M1413" s="192">
        <f t="shared" si="66"/>
        <v>20</v>
      </c>
      <c r="N1413" s="193">
        <f t="shared" si="67"/>
        <v>0.56888888888888889</v>
      </c>
      <c r="O1413" s="194">
        <f t="shared" si="68"/>
        <v>2.8444444444444446E-2</v>
      </c>
    </row>
    <row r="1414" spans="1:15" ht="12.75" customHeight="1">
      <c r="A1414" s="188" t="s">
        <v>620</v>
      </c>
      <c r="B1414" s="188" t="s">
        <v>1394</v>
      </c>
      <c r="C1414" s="188" t="s">
        <v>641</v>
      </c>
      <c r="D1414" s="188" t="s">
        <v>2679</v>
      </c>
      <c r="E1414" s="189">
        <v>39247</v>
      </c>
      <c r="F1414" s="190">
        <v>0</v>
      </c>
      <c r="G1414" s="190">
        <v>62.08</v>
      </c>
      <c r="H1414" s="191">
        <v>857</v>
      </c>
      <c r="I1414" s="191">
        <v>242.5</v>
      </c>
      <c r="J1414" s="188" t="s">
        <v>560</v>
      </c>
      <c r="K1414" s="188" t="s">
        <v>648</v>
      </c>
      <c r="L1414" s="188" t="s">
        <v>2680</v>
      </c>
      <c r="M1414" s="192">
        <f t="shared" si="66"/>
        <v>31</v>
      </c>
      <c r="N1414" s="193">
        <f t="shared" si="67"/>
        <v>0.88350515463917523</v>
      </c>
      <c r="O1414" s="194">
        <f t="shared" si="68"/>
        <v>2.8500166278683074E-2</v>
      </c>
    </row>
    <row r="1415" spans="1:15" ht="12.75" customHeight="1">
      <c r="A1415" s="188" t="s">
        <v>620</v>
      </c>
      <c r="B1415" s="188" t="s">
        <v>1394</v>
      </c>
      <c r="C1415" s="188" t="s">
        <v>641</v>
      </c>
      <c r="D1415" s="188" t="s">
        <v>2681</v>
      </c>
      <c r="E1415" s="189">
        <v>39447</v>
      </c>
      <c r="F1415" s="190">
        <v>0</v>
      </c>
      <c r="G1415" s="190">
        <v>228.8</v>
      </c>
      <c r="H1415" s="191">
        <v>2751</v>
      </c>
      <c r="I1415" s="191">
        <v>893.75</v>
      </c>
      <c r="J1415" s="188" t="s">
        <v>639</v>
      </c>
      <c r="K1415" s="188" t="s">
        <v>338</v>
      </c>
      <c r="L1415" s="188" t="s">
        <v>2682</v>
      </c>
      <c r="M1415" s="192">
        <f t="shared" si="66"/>
        <v>27</v>
      </c>
      <c r="N1415" s="193">
        <f t="shared" si="67"/>
        <v>0.7695104895104895</v>
      </c>
      <c r="O1415" s="194">
        <f t="shared" si="68"/>
        <v>2.8500388500388499E-2</v>
      </c>
    </row>
    <row r="1416" spans="1:15" ht="12.75" customHeight="1">
      <c r="A1416" s="188" t="s">
        <v>620</v>
      </c>
      <c r="B1416" s="188" t="s">
        <v>1394</v>
      </c>
      <c r="C1416" s="188" t="s">
        <v>641</v>
      </c>
      <c r="D1416" s="188" t="s">
        <v>2683</v>
      </c>
      <c r="E1416" s="189">
        <v>39513</v>
      </c>
      <c r="F1416" s="190">
        <v>0</v>
      </c>
      <c r="G1416" s="190">
        <v>92.8</v>
      </c>
      <c r="H1416" s="191">
        <v>827.66</v>
      </c>
      <c r="I1416" s="191">
        <v>362.5</v>
      </c>
      <c r="J1416" s="188" t="s">
        <v>560</v>
      </c>
      <c r="K1416" s="188" t="s">
        <v>338</v>
      </c>
      <c r="L1416" s="188" t="s">
        <v>920</v>
      </c>
      <c r="M1416" s="192">
        <f t="shared" si="66"/>
        <v>20</v>
      </c>
      <c r="N1416" s="193">
        <f t="shared" si="67"/>
        <v>0.57079999999999997</v>
      </c>
      <c r="O1416" s="194">
        <f t="shared" si="68"/>
        <v>2.8539999999999999E-2</v>
      </c>
    </row>
    <row r="1417" spans="1:15" ht="12.75" customHeight="1">
      <c r="A1417" s="188" t="s">
        <v>620</v>
      </c>
      <c r="B1417" s="188" t="s">
        <v>1394</v>
      </c>
      <c r="C1417" s="188" t="s">
        <v>641</v>
      </c>
      <c r="D1417" s="188" t="s">
        <v>2684</v>
      </c>
      <c r="E1417" s="189">
        <v>39310</v>
      </c>
      <c r="F1417" s="190">
        <v>0</v>
      </c>
      <c r="G1417" s="190">
        <v>63.74</v>
      </c>
      <c r="H1417" s="191">
        <v>1080.96</v>
      </c>
      <c r="I1417" s="191">
        <v>249</v>
      </c>
      <c r="J1417" s="188" t="s">
        <v>624</v>
      </c>
      <c r="K1417" s="188" t="s">
        <v>338</v>
      </c>
      <c r="L1417" s="188" t="s">
        <v>2685</v>
      </c>
      <c r="M1417" s="192">
        <f t="shared" si="66"/>
        <v>38</v>
      </c>
      <c r="N1417" s="193">
        <f t="shared" si="67"/>
        <v>1.0853012048192772</v>
      </c>
      <c r="O1417" s="194">
        <f t="shared" si="68"/>
        <v>2.8560558021559924E-2</v>
      </c>
    </row>
    <row r="1418" spans="1:15" ht="12.75" customHeight="1">
      <c r="A1418" s="188" t="s">
        <v>620</v>
      </c>
      <c r="B1418" s="188" t="s">
        <v>1394</v>
      </c>
      <c r="C1418" s="188" t="s">
        <v>641</v>
      </c>
      <c r="D1418" s="188" t="s">
        <v>2686</v>
      </c>
      <c r="E1418" s="189">
        <v>39583</v>
      </c>
      <c r="F1418" s="190">
        <v>0</v>
      </c>
      <c r="G1418" s="190">
        <v>89.6</v>
      </c>
      <c r="H1418" s="191">
        <v>920</v>
      </c>
      <c r="I1418" s="191">
        <v>350</v>
      </c>
      <c r="J1418" s="188" t="s">
        <v>571</v>
      </c>
      <c r="K1418" s="188" t="s">
        <v>338</v>
      </c>
      <c r="L1418" s="188" t="s">
        <v>754</v>
      </c>
      <c r="M1418" s="192">
        <f t="shared" si="66"/>
        <v>23</v>
      </c>
      <c r="N1418" s="193">
        <f t="shared" si="67"/>
        <v>0.65714285714285714</v>
      </c>
      <c r="O1418" s="194">
        <f t="shared" si="68"/>
        <v>2.8571428571428571E-2</v>
      </c>
    </row>
    <row r="1419" spans="1:15" ht="12.75" customHeight="1">
      <c r="A1419" s="188" t="s">
        <v>620</v>
      </c>
      <c r="B1419" s="188" t="s">
        <v>1394</v>
      </c>
      <c r="C1419" s="188" t="s">
        <v>641</v>
      </c>
      <c r="D1419" s="188" t="s">
        <v>2687</v>
      </c>
      <c r="E1419" s="189">
        <v>39429</v>
      </c>
      <c r="F1419" s="190">
        <v>0</v>
      </c>
      <c r="G1419" s="190">
        <v>86.4</v>
      </c>
      <c r="H1419" s="191">
        <v>1043</v>
      </c>
      <c r="I1419" s="191">
        <v>337.5</v>
      </c>
      <c r="J1419" s="188" t="s">
        <v>639</v>
      </c>
      <c r="K1419" s="188" t="s">
        <v>338</v>
      </c>
      <c r="L1419" s="188" t="s">
        <v>707</v>
      </c>
      <c r="M1419" s="192">
        <f t="shared" si="66"/>
        <v>27</v>
      </c>
      <c r="N1419" s="193">
        <f t="shared" si="67"/>
        <v>0.77259259259259261</v>
      </c>
      <c r="O1419" s="194">
        <f t="shared" si="68"/>
        <v>2.8614540466392318E-2</v>
      </c>
    </row>
    <row r="1420" spans="1:15" ht="12.75" customHeight="1">
      <c r="A1420" s="188" t="s">
        <v>620</v>
      </c>
      <c r="B1420" s="188" t="s">
        <v>1394</v>
      </c>
      <c r="C1420" s="188" t="s">
        <v>641</v>
      </c>
      <c r="D1420" s="188" t="s">
        <v>2688</v>
      </c>
      <c r="E1420" s="189">
        <v>39331</v>
      </c>
      <c r="F1420" s="190">
        <v>0</v>
      </c>
      <c r="G1420" s="190">
        <v>72.38</v>
      </c>
      <c r="H1420" s="191">
        <v>1229.96</v>
      </c>
      <c r="I1420" s="191">
        <v>282.75</v>
      </c>
      <c r="J1420" s="188" t="s">
        <v>624</v>
      </c>
      <c r="K1420" s="188" t="s">
        <v>338</v>
      </c>
      <c r="L1420" s="188" t="s">
        <v>2689</v>
      </c>
      <c r="M1420" s="192">
        <f t="shared" si="66"/>
        <v>38</v>
      </c>
      <c r="N1420" s="193">
        <f t="shared" si="67"/>
        <v>1.087497789566755</v>
      </c>
      <c r="O1420" s="194">
        <f t="shared" si="68"/>
        <v>2.8618362883335659E-2</v>
      </c>
    </row>
    <row r="1421" spans="1:15" ht="12.75" customHeight="1">
      <c r="A1421" s="188" t="s">
        <v>620</v>
      </c>
      <c r="B1421" s="188" t="s">
        <v>1394</v>
      </c>
      <c r="C1421" s="188" t="s">
        <v>641</v>
      </c>
      <c r="D1421" s="188" t="s">
        <v>2690</v>
      </c>
      <c r="E1421" s="189">
        <v>39407</v>
      </c>
      <c r="F1421" s="190">
        <v>0</v>
      </c>
      <c r="G1421" s="190">
        <v>108.8</v>
      </c>
      <c r="H1421" s="191">
        <v>1460</v>
      </c>
      <c r="I1421" s="191">
        <v>425</v>
      </c>
      <c r="J1421" s="188" t="s">
        <v>652</v>
      </c>
      <c r="K1421" s="188" t="s">
        <v>549</v>
      </c>
      <c r="L1421" s="188" t="s">
        <v>833</v>
      </c>
      <c r="M1421" s="192">
        <f t="shared" si="66"/>
        <v>30</v>
      </c>
      <c r="N1421" s="193">
        <f t="shared" si="67"/>
        <v>0.85882352941176465</v>
      </c>
      <c r="O1421" s="194">
        <f t="shared" si="68"/>
        <v>2.8627450980392155E-2</v>
      </c>
    </row>
    <row r="1422" spans="1:15" ht="12.75" customHeight="1">
      <c r="A1422" s="188" t="s">
        <v>620</v>
      </c>
      <c r="B1422" s="188" t="s">
        <v>1394</v>
      </c>
      <c r="C1422" s="188" t="s">
        <v>641</v>
      </c>
      <c r="D1422" s="188" t="s">
        <v>2691</v>
      </c>
      <c r="E1422" s="189">
        <v>39247</v>
      </c>
      <c r="F1422" s="190">
        <v>0</v>
      </c>
      <c r="G1422" s="190">
        <v>63.23</v>
      </c>
      <c r="H1422" s="191">
        <v>764.02</v>
      </c>
      <c r="I1422" s="191">
        <v>247</v>
      </c>
      <c r="J1422" s="188" t="s">
        <v>639</v>
      </c>
      <c r="K1422" s="188" t="s">
        <v>338</v>
      </c>
      <c r="L1422" s="188" t="s">
        <v>1083</v>
      </c>
      <c r="M1422" s="192">
        <f t="shared" si="66"/>
        <v>27</v>
      </c>
      <c r="N1422" s="193">
        <f t="shared" si="67"/>
        <v>0.77329959514170044</v>
      </c>
      <c r="O1422" s="194">
        <f t="shared" si="68"/>
        <v>2.8640725745988905E-2</v>
      </c>
    </row>
    <row r="1423" spans="1:15" ht="12.75" customHeight="1">
      <c r="A1423" s="188" t="s">
        <v>620</v>
      </c>
      <c r="B1423" s="188" t="s">
        <v>1394</v>
      </c>
      <c r="C1423" s="188" t="s">
        <v>641</v>
      </c>
      <c r="D1423" s="188" t="s">
        <v>2692</v>
      </c>
      <c r="E1423" s="189">
        <v>39611</v>
      </c>
      <c r="F1423" s="190">
        <v>0</v>
      </c>
      <c r="G1423" s="190">
        <v>70.66</v>
      </c>
      <c r="H1423" s="191">
        <v>952</v>
      </c>
      <c r="I1423" s="191">
        <v>276</v>
      </c>
      <c r="J1423" s="188" t="s">
        <v>635</v>
      </c>
      <c r="K1423" s="188" t="s">
        <v>338</v>
      </c>
      <c r="L1423" s="188" t="s">
        <v>1030</v>
      </c>
      <c r="M1423" s="192">
        <f t="shared" si="66"/>
        <v>30</v>
      </c>
      <c r="N1423" s="193">
        <f t="shared" si="67"/>
        <v>0.8623188405797102</v>
      </c>
      <c r="O1423" s="194">
        <f t="shared" si="68"/>
        <v>2.8743961352657006E-2</v>
      </c>
    </row>
    <row r="1424" spans="1:15" ht="12.75" customHeight="1">
      <c r="A1424" s="188" t="s">
        <v>620</v>
      </c>
      <c r="B1424" s="188" t="s">
        <v>1394</v>
      </c>
      <c r="C1424" s="188" t="s">
        <v>641</v>
      </c>
      <c r="D1424" s="188" t="s">
        <v>2693</v>
      </c>
      <c r="E1424" s="189">
        <v>39422</v>
      </c>
      <c r="F1424" s="190">
        <v>0</v>
      </c>
      <c r="G1424" s="190">
        <v>57.6</v>
      </c>
      <c r="H1424" s="191">
        <v>725</v>
      </c>
      <c r="I1424" s="191">
        <v>225</v>
      </c>
      <c r="J1424" s="188" t="s">
        <v>750</v>
      </c>
      <c r="K1424" s="188" t="s">
        <v>338</v>
      </c>
      <c r="L1424" s="188" t="s">
        <v>740</v>
      </c>
      <c r="M1424" s="192">
        <f t="shared" si="66"/>
        <v>28</v>
      </c>
      <c r="N1424" s="193">
        <f t="shared" si="67"/>
        <v>0.80555555555555558</v>
      </c>
      <c r="O1424" s="194">
        <f t="shared" si="68"/>
        <v>2.8769841269841272E-2</v>
      </c>
    </row>
    <row r="1425" spans="1:15" ht="12.75" customHeight="1">
      <c r="A1425" s="188" t="s">
        <v>620</v>
      </c>
      <c r="B1425" s="188" t="s">
        <v>1394</v>
      </c>
      <c r="C1425" s="188" t="s">
        <v>641</v>
      </c>
      <c r="D1425" s="188" t="s">
        <v>2694</v>
      </c>
      <c r="E1425" s="189">
        <v>39507</v>
      </c>
      <c r="F1425" s="190">
        <v>0</v>
      </c>
      <c r="G1425" s="190">
        <v>38.78</v>
      </c>
      <c r="H1425" s="191">
        <v>349</v>
      </c>
      <c r="I1425" s="191">
        <v>151.5</v>
      </c>
      <c r="J1425" s="188" t="s">
        <v>560</v>
      </c>
      <c r="K1425" s="188" t="s">
        <v>338</v>
      </c>
      <c r="L1425" s="188" t="s">
        <v>2639</v>
      </c>
      <c r="M1425" s="192">
        <f t="shared" si="66"/>
        <v>20</v>
      </c>
      <c r="N1425" s="193">
        <f t="shared" si="67"/>
        <v>0.57590759075907594</v>
      </c>
      <c r="O1425" s="194">
        <f t="shared" si="68"/>
        <v>2.8795379537953796E-2</v>
      </c>
    </row>
    <row r="1426" spans="1:15" ht="12.75" customHeight="1">
      <c r="A1426" s="188" t="s">
        <v>620</v>
      </c>
      <c r="B1426" s="188" t="s">
        <v>1394</v>
      </c>
      <c r="C1426" s="188" t="s">
        <v>641</v>
      </c>
      <c r="D1426" s="188" t="s">
        <v>2695</v>
      </c>
      <c r="E1426" s="189">
        <v>39324</v>
      </c>
      <c r="F1426" s="190">
        <v>0</v>
      </c>
      <c r="G1426" s="190">
        <v>89.6</v>
      </c>
      <c r="H1426" s="191">
        <v>1169.98</v>
      </c>
      <c r="I1426" s="191">
        <v>350</v>
      </c>
      <c r="J1426" s="188" t="s">
        <v>715</v>
      </c>
      <c r="K1426" s="188" t="s">
        <v>338</v>
      </c>
      <c r="L1426" s="188" t="s">
        <v>754</v>
      </c>
      <c r="M1426" s="192">
        <f t="shared" si="66"/>
        <v>29</v>
      </c>
      <c r="N1426" s="193">
        <f t="shared" si="67"/>
        <v>0.8357</v>
      </c>
      <c r="O1426" s="194">
        <f t="shared" si="68"/>
        <v>2.8817241379310344E-2</v>
      </c>
    </row>
    <row r="1427" spans="1:15" ht="12.75" customHeight="1">
      <c r="A1427" s="188" t="s">
        <v>620</v>
      </c>
      <c r="B1427" s="188" t="s">
        <v>1394</v>
      </c>
      <c r="C1427" s="188" t="s">
        <v>641</v>
      </c>
      <c r="D1427" s="188" t="s">
        <v>2696</v>
      </c>
      <c r="E1427" s="189">
        <v>39289</v>
      </c>
      <c r="F1427" s="190">
        <v>0</v>
      </c>
      <c r="G1427" s="190">
        <v>71.680000000000007</v>
      </c>
      <c r="H1427" s="191">
        <v>972.05</v>
      </c>
      <c r="I1427" s="191">
        <v>280</v>
      </c>
      <c r="J1427" s="188" t="s">
        <v>635</v>
      </c>
      <c r="K1427" s="188" t="s">
        <v>338</v>
      </c>
      <c r="L1427" s="188" t="s">
        <v>825</v>
      </c>
      <c r="M1427" s="192">
        <f t="shared" si="66"/>
        <v>30</v>
      </c>
      <c r="N1427" s="193">
        <f t="shared" si="67"/>
        <v>0.86790178571428567</v>
      </c>
      <c r="O1427" s="194">
        <f t="shared" si="68"/>
        <v>2.8930059523809521E-2</v>
      </c>
    </row>
    <row r="1428" spans="1:15" ht="12.75" customHeight="1">
      <c r="A1428" s="188" t="s">
        <v>620</v>
      </c>
      <c r="B1428" s="188" t="s">
        <v>1394</v>
      </c>
      <c r="C1428" s="188" t="s">
        <v>641</v>
      </c>
      <c r="D1428" s="188" t="s">
        <v>2697</v>
      </c>
      <c r="E1428" s="189">
        <v>39632</v>
      </c>
      <c r="F1428" s="190">
        <v>0</v>
      </c>
      <c r="G1428" s="190">
        <v>104.64</v>
      </c>
      <c r="H1428" s="191">
        <v>1088</v>
      </c>
      <c r="I1428" s="191">
        <v>408.75</v>
      </c>
      <c r="J1428" s="188" t="s">
        <v>571</v>
      </c>
      <c r="K1428" s="188" t="s">
        <v>338</v>
      </c>
      <c r="L1428" s="188" t="s">
        <v>2698</v>
      </c>
      <c r="M1428" s="192">
        <f t="shared" si="66"/>
        <v>23</v>
      </c>
      <c r="N1428" s="193">
        <f t="shared" si="67"/>
        <v>0.6654434250764526</v>
      </c>
      <c r="O1428" s="194">
        <f t="shared" si="68"/>
        <v>2.8932322829410984E-2</v>
      </c>
    </row>
    <row r="1429" spans="1:15" ht="12.75" customHeight="1">
      <c r="A1429" s="188" t="s">
        <v>620</v>
      </c>
      <c r="B1429" s="188" t="s">
        <v>1394</v>
      </c>
      <c r="C1429" s="188" t="s">
        <v>641</v>
      </c>
      <c r="D1429" s="188" t="s">
        <v>2699</v>
      </c>
      <c r="E1429" s="189">
        <v>39568</v>
      </c>
      <c r="F1429" s="190">
        <v>0</v>
      </c>
      <c r="G1429" s="190">
        <v>76.8</v>
      </c>
      <c r="H1429" s="191">
        <v>1320</v>
      </c>
      <c r="I1429" s="191">
        <v>300</v>
      </c>
      <c r="J1429" s="188" t="s">
        <v>624</v>
      </c>
      <c r="K1429" s="188" t="s">
        <v>338</v>
      </c>
      <c r="L1429" s="188" t="s">
        <v>632</v>
      </c>
      <c r="M1429" s="192">
        <f t="shared" si="66"/>
        <v>38</v>
      </c>
      <c r="N1429" s="193">
        <f t="shared" si="67"/>
        <v>1.1000000000000001</v>
      </c>
      <c r="O1429" s="194">
        <f t="shared" si="68"/>
        <v>2.8947368421052635E-2</v>
      </c>
    </row>
    <row r="1430" spans="1:15" ht="12.75" customHeight="1">
      <c r="A1430" s="188" t="s">
        <v>620</v>
      </c>
      <c r="B1430" s="188" t="s">
        <v>1394</v>
      </c>
      <c r="C1430" s="188" t="s">
        <v>641</v>
      </c>
      <c r="D1430" s="188" t="s">
        <v>2700</v>
      </c>
      <c r="E1430" s="189">
        <v>39597</v>
      </c>
      <c r="F1430" s="190">
        <v>0</v>
      </c>
      <c r="G1430" s="190">
        <v>35.97</v>
      </c>
      <c r="H1430" s="191">
        <v>619.17999999999995</v>
      </c>
      <c r="I1430" s="191">
        <v>140.5</v>
      </c>
      <c r="J1430" s="188" t="s">
        <v>624</v>
      </c>
      <c r="K1430" s="188" t="s">
        <v>338</v>
      </c>
      <c r="L1430" s="188" t="s">
        <v>2701</v>
      </c>
      <c r="M1430" s="192">
        <f t="shared" si="66"/>
        <v>38</v>
      </c>
      <c r="N1430" s="193">
        <f t="shared" si="67"/>
        <v>1.1017437722419927</v>
      </c>
      <c r="O1430" s="194">
        <f t="shared" si="68"/>
        <v>2.8993257164262966E-2</v>
      </c>
    </row>
    <row r="1431" spans="1:15" ht="12.75" customHeight="1">
      <c r="A1431" s="188" t="s">
        <v>620</v>
      </c>
      <c r="B1431" s="188" t="s">
        <v>1394</v>
      </c>
      <c r="C1431" s="188" t="s">
        <v>641</v>
      </c>
      <c r="D1431" s="188" t="s">
        <v>2702</v>
      </c>
      <c r="E1431" s="189">
        <v>39611</v>
      </c>
      <c r="F1431" s="190">
        <v>0</v>
      </c>
      <c r="G1431" s="190">
        <v>86.53</v>
      </c>
      <c r="H1431" s="191">
        <v>1176</v>
      </c>
      <c r="I1431" s="191">
        <v>338</v>
      </c>
      <c r="J1431" s="188" t="s">
        <v>635</v>
      </c>
      <c r="K1431" s="188" t="s">
        <v>338</v>
      </c>
      <c r="L1431" s="188" t="s">
        <v>927</v>
      </c>
      <c r="M1431" s="192">
        <f t="shared" si="66"/>
        <v>30</v>
      </c>
      <c r="N1431" s="193">
        <f t="shared" si="67"/>
        <v>0.86982248520710059</v>
      </c>
      <c r="O1431" s="194">
        <f t="shared" si="68"/>
        <v>2.8994082840236687E-2</v>
      </c>
    </row>
    <row r="1432" spans="1:15" ht="12.75" customHeight="1">
      <c r="A1432" s="188" t="s">
        <v>620</v>
      </c>
      <c r="B1432" s="188" t="s">
        <v>1394</v>
      </c>
      <c r="C1432" s="188" t="s">
        <v>641</v>
      </c>
      <c r="D1432" s="188" t="s">
        <v>2703</v>
      </c>
      <c r="E1432" s="189">
        <v>39366</v>
      </c>
      <c r="F1432" s="190">
        <v>0</v>
      </c>
      <c r="G1432" s="190">
        <v>60.48</v>
      </c>
      <c r="H1432" s="191">
        <v>1042</v>
      </c>
      <c r="I1432" s="191">
        <v>236.25</v>
      </c>
      <c r="J1432" s="188" t="s">
        <v>624</v>
      </c>
      <c r="K1432" s="188" t="s">
        <v>338</v>
      </c>
      <c r="L1432" s="188" t="s">
        <v>1483</v>
      </c>
      <c r="M1432" s="192">
        <f t="shared" si="66"/>
        <v>38</v>
      </c>
      <c r="N1432" s="193">
        <f t="shared" si="67"/>
        <v>1.1026455026455027</v>
      </c>
      <c r="O1432" s="194">
        <f t="shared" si="68"/>
        <v>2.9016986911723754E-2</v>
      </c>
    </row>
    <row r="1433" spans="1:15" ht="12.75" customHeight="1">
      <c r="A1433" s="188" t="s">
        <v>620</v>
      </c>
      <c r="B1433" s="188" t="s">
        <v>1394</v>
      </c>
      <c r="C1433" s="188" t="s">
        <v>641</v>
      </c>
      <c r="D1433" s="188" t="s">
        <v>2704</v>
      </c>
      <c r="E1433" s="189">
        <v>39429</v>
      </c>
      <c r="F1433" s="190">
        <v>0</v>
      </c>
      <c r="G1433" s="190">
        <v>44.54</v>
      </c>
      <c r="H1433" s="191">
        <v>505</v>
      </c>
      <c r="I1433" s="191">
        <v>174</v>
      </c>
      <c r="J1433" s="188" t="s">
        <v>652</v>
      </c>
      <c r="K1433" s="188" t="s">
        <v>338</v>
      </c>
      <c r="L1433" s="188" t="s">
        <v>2705</v>
      </c>
      <c r="M1433" s="192">
        <f t="shared" si="66"/>
        <v>25</v>
      </c>
      <c r="N1433" s="193">
        <f t="shared" si="67"/>
        <v>0.72557471264367812</v>
      </c>
      <c r="O1433" s="194">
        <f t="shared" si="68"/>
        <v>2.9022988505747124E-2</v>
      </c>
    </row>
    <row r="1434" spans="1:15" ht="12.75" customHeight="1">
      <c r="A1434" s="188" t="s">
        <v>620</v>
      </c>
      <c r="B1434" s="188" t="s">
        <v>1394</v>
      </c>
      <c r="C1434" s="188" t="s">
        <v>641</v>
      </c>
      <c r="D1434" s="188" t="s">
        <v>2706</v>
      </c>
      <c r="E1434" s="189">
        <v>39247</v>
      </c>
      <c r="F1434" s="190">
        <v>0</v>
      </c>
      <c r="G1434" s="190">
        <v>128</v>
      </c>
      <c r="H1434" s="191">
        <v>1800</v>
      </c>
      <c r="I1434" s="191">
        <v>500</v>
      </c>
      <c r="J1434" s="188" t="s">
        <v>503</v>
      </c>
      <c r="K1434" s="188" t="s">
        <v>338</v>
      </c>
      <c r="L1434" s="188" t="s">
        <v>756</v>
      </c>
      <c r="M1434" s="192">
        <f t="shared" si="66"/>
        <v>31</v>
      </c>
      <c r="N1434" s="193">
        <f t="shared" si="67"/>
        <v>0.9</v>
      </c>
      <c r="O1434" s="194">
        <f t="shared" si="68"/>
        <v>2.903225806451613E-2</v>
      </c>
    </row>
    <row r="1435" spans="1:15" ht="12.75" customHeight="1">
      <c r="A1435" s="188" t="s">
        <v>620</v>
      </c>
      <c r="B1435" s="188" t="s">
        <v>1394</v>
      </c>
      <c r="C1435" s="188" t="s">
        <v>641</v>
      </c>
      <c r="D1435" s="188" t="s">
        <v>2707</v>
      </c>
      <c r="E1435" s="189">
        <v>39359</v>
      </c>
      <c r="F1435" s="190">
        <v>0</v>
      </c>
      <c r="G1435" s="190">
        <v>48</v>
      </c>
      <c r="H1435" s="191">
        <v>720.88</v>
      </c>
      <c r="I1435" s="191">
        <v>187.5</v>
      </c>
      <c r="J1435" s="188" t="s">
        <v>742</v>
      </c>
      <c r="K1435" s="188" t="s">
        <v>338</v>
      </c>
      <c r="L1435" s="188" t="s">
        <v>1058</v>
      </c>
      <c r="M1435" s="192">
        <f t="shared" si="66"/>
        <v>33</v>
      </c>
      <c r="N1435" s="193">
        <f t="shared" si="67"/>
        <v>0.96117333333333332</v>
      </c>
      <c r="O1435" s="194">
        <f t="shared" si="68"/>
        <v>2.9126464646464647E-2</v>
      </c>
    </row>
    <row r="1436" spans="1:15" ht="12.75" customHeight="1">
      <c r="A1436" s="188" t="s">
        <v>620</v>
      </c>
      <c r="B1436" s="188" t="s">
        <v>1394</v>
      </c>
      <c r="C1436" s="188" t="s">
        <v>641</v>
      </c>
      <c r="D1436" s="188" t="s">
        <v>2708</v>
      </c>
      <c r="E1436" s="189">
        <v>39380</v>
      </c>
      <c r="F1436" s="190">
        <v>0</v>
      </c>
      <c r="G1436" s="190">
        <v>29.7</v>
      </c>
      <c r="H1436" s="191">
        <v>284</v>
      </c>
      <c r="I1436" s="191">
        <v>116</v>
      </c>
      <c r="J1436" s="188" t="s">
        <v>879</v>
      </c>
      <c r="K1436" s="188" t="s">
        <v>338</v>
      </c>
      <c r="L1436" s="188" t="s">
        <v>2709</v>
      </c>
      <c r="M1436" s="192">
        <f t="shared" si="66"/>
        <v>21</v>
      </c>
      <c r="N1436" s="193">
        <f t="shared" si="67"/>
        <v>0.61206896551724133</v>
      </c>
      <c r="O1436" s="194">
        <f t="shared" si="68"/>
        <v>2.9146141215106731E-2</v>
      </c>
    </row>
    <row r="1437" spans="1:15" ht="12.75" customHeight="1">
      <c r="A1437" s="188" t="s">
        <v>620</v>
      </c>
      <c r="B1437" s="188" t="s">
        <v>1394</v>
      </c>
      <c r="C1437" s="188" t="s">
        <v>641</v>
      </c>
      <c r="D1437" s="188" t="s">
        <v>2710</v>
      </c>
      <c r="E1437" s="189">
        <v>39380</v>
      </c>
      <c r="F1437" s="190">
        <v>0</v>
      </c>
      <c r="G1437" s="190">
        <v>153.6</v>
      </c>
      <c r="H1437" s="191">
        <v>1889</v>
      </c>
      <c r="I1437" s="191">
        <v>600</v>
      </c>
      <c r="J1437" s="188" t="s">
        <v>639</v>
      </c>
      <c r="K1437" s="188" t="s">
        <v>338</v>
      </c>
      <c r="L1437" s="188" t="s">
        <v>539</v>
      </c>
      <c r="M1437" s="192">
        <f t="shared" si="66"/>
        <v>27</v>
      </c>
      <c r="N1437" s="193">
        <f t="shared" si="67"/>
        <v>0.78708333333333336</v>
      </c>
      <c r="O1437" s="194">
        <f t="shared" si="68"/>
        <v>2.9151234567901235E-2</v>
      </c>
    </row>
    <row r="1438" spans="1:15" ht="12.75" customHeight="1">
      <c r="A1438" s="188" t="s">
        <v>620</v>
      </c>
      <c r="B1438" s="188" t="s">
        <v>1394</v>
      </c>
      <c r="C1438" s="188" t="s">
        <v>641</v>
      </c>
      <c r="D1438" s="188" t="s">
        <v>2711</v>
      </c>
      <c r="E1438" s="189">
        <v>39471</v>
      </c>
      <c r="F1438" s="190">
        <v>0</v>
      </c>
      <c r="G1438" s="190">
        <v>76.8</v>
      </c>
      <c r="H1438" s="191">
        <v>700</v>
      </c>
      <c r="I1438" s="191">
        <v>300</v>
      </c>
      <c r="J1438" s="188" t="s">
        <v>560</v>
      </c>
      <c r="K1438" s="188" t="s">
        <v>338</v>
      </c>
      <c r="L1438" s="188" t="s">
        <v>632</v>
      </c>
      <c r="M1438" s="192">
        <f t="shared" si="66"/>
        <v>20</v>
      </c>
      <c r="N1438" s="193">
        <f t="shared" si="67"/>
        <v>0.58333333333333337</v>
      </c>
      <c r="O1438" s="194">
        <f t="shared" si="68"/>
        <v>2.9166666666666667E-2</v>
      </c>
    </row>
    <row r="1439" spans="1:15" ht="12.75" customHeight="1">
      <c r="A1439" s="188" t="s">
        <v>620</v>
      </c>
      <c r="B1439" s="188" t="s">
        <v>1394</v>
      </c>
      <c r="C1439" s="188" t="s">
        <v>641</v>
      </c>
      <c r="D1439" s="188" t="s">
        <v>2712</v>
      </c>
      <c r="E1439" s="189">
        <v>39443</v>
      </c>
      <c r="F1439" s="190">
        <v>0</v>
      </c>
      <c r="G1439" s="190">
        <v>89.6</v>
      </c>
      <c r="H1439" s="191">
        <v>1800</v>
      </c>
      <c r="I1439" s="191">
        <v>350</v>
      </c>
      <c r="J1439" s="188" t="s">
        <v>624</v>
      </c>
      <c r="K1439" s="188" t="s">
        <v>631</v>
      </c>
      <c r="L1439" s="188" t="s">
        <v>754</v>
      </c>
      <c r="M1439" s="192">
        <f t="shared" si="66"/>
        <v>44</v>
      </c>
      <c r="N1439" s="193">
        <f t="shared" si="67"/>
        <v>1.2857142857142858</v>
      </c>
      <c r="O1439" s="194">
        <f t="shared" si="68"/>
        <v>2.9220779220779224E-2</v>
      </c>
    </row>
    <row r="1440" spans="1:15" ht="12.75" customHeight="1">
      <c r="A1440" s="188" t="s">
        <v>620</v>
      </c>
      <c r="B1440" s="188" t="s">
        <v>1394</v>
      </c>
      <c r="C1440" s="188" t="s">
        <v>641</v>
      </c>
      <c r="D1440" s="188" t="s">
        <v>2713</v>
      </c>
      <c r="E1440" s="189">
        <v>39471</v>
      </c>
      <c r="F1440" s="190">
        <v>0</v>
      </c>
      <c r="G1440" s="190">
        <v>123.26</v>
      </c>
      <c r="H1440" s="191">
        <v>1688.43</v>
      </c>
      <c r="I1440" s="191">
        <v>481.5</v>
      </c>
      <c r="J1440" s="188" t="s">
        <v>635</v>
      </c>
      <c r="K1440" s="188" t="s">
        <v>338</v>
      </c>
      <c r="L1440" s="188" t="s">
        <v>2714</v>
      </c>
      <c r="M1440" s="192">
        <f t="shared" si="66"/>
        <v>30</v>
      </c>
      <c r="N1440" s="193">
        <f t="shared" si="67"/>
        <v>0.87665109034267918</v>
      </c>
      <c r="O1440" s="194">
        <f t="shared" si="68"/>
        <v>2.9221703011422639E-2</v>
      </c>
    </row>
    <row r="1441" spans="1:15" ht="12.75" customHeight="1">
      <c r="A1441" s="188" t="s">
        <v>620</v>
      </c>
      <c r="B1441" s="188" t="s">
        <v>1394</v>
      </c>
      <c r="C1441" s="188" t="s">
        <v>641</v>
      </c>
      <c r="D1441" s="188" t="s">
        <v>2715</v>
      </c>
      <c r="E1441" s="189">
        <v>39289</v>
      </c>
      <c r="F1441" s="190">
        <v>0</v>
      </c>
      <c r="G1441" s="190">
        <v>70.400000000000006</v>
      </c>
      <c r="H1441" s="191">
        <v>707.96</v>
      </c>
      <c r="I1441" s="191">
        <v>275</v>
      </c>
      <c r="J1441" s="188" t="s">
        <v>635</v>
      </c>
      <c r="K1441" s="188" t="s">
        <v>257</v>
      </c>
      <c r="L1441" s="188" t="s">
        <v>557</v>
      </c>
      <c r="M1441" s="192">
        <f t="shared" si="66"/>
        <v>22</v>
      </c>
      <c r="N1441" s="193">
        <f t="shared" si="67"/>
        <v>0.64360000000000006</v>
      </c>
      <c r="O1441" s="194">
        <f t="shared" si="68"/>
        <v>2.9254545454545457E-2</v>
      </c>
    </row>
    <row r="1442" spans="1:15" ht="12.75" customHeight="1">
      <c r="A1442" s="188" t="s">
        <v>620</v>
      </c>
      <c r="B1442" s="188" t="s">
        <v>1394</v>
      </c>
      <c r="C1442" s="188" t="s">
        <v>641</v>
      </c>
      <c r="D1442" s="188" t="s">
        <v>2716</v>
      </c>
      <c r="E1442" s="189">
        <v>39513</v>
      </c>
      <c r="F1442" s="190">
        <v>0</v>
      </c>
      <c r="G1442" s="190">
        <v>125.44</v>
      </c>
      <c r="H1442" s="191">
        <v>1149</v>
      </c>
      <c r="I1442" s="191">
        <v>490</v>
      </c>
      <c r="J1442" s="188" t="s">
        <v>560</v>
      </c>
      <c r="K1442" s="188" t="s">
        <v>338</v>
      </c>
      <c r="L1442" s="188" t="s">
        <v>2717</v>
      </c>
      <c r="M1442" s="192">
        <f t="shared" si="66"/>
        <v>20</v>
      </c>
      <c r="N1442" s="193">
        <f t="shared" si="67"/>
        <v>0.58622448979591835</v>
      </c>
      <c r="O1442" s="194">
        <f t="shared" si="68"/>
        <v>2.9311224489795916E-2</v>
      </c>
    </row>
    <row r="1443" spans="1:15" ht="12.75" customHeight="1">
      <c r="A1443" s="188" t="s">
        <v>620</v>
      </c>
      <c r="B1443" s="188" t="s">
        <v>1394</v>
      </c>
      <c r="C1443" s="188" t="s">
        <v>641</v>
      </c>
      <c r="D1443" s="188" t="s">
        <v>2718</v>
      </c>
      <c r="E1443" s="189">
        <v>39269</v>
      </c>
      <c r="F1443" s="190">
        <v>0</v>
      </c>
      <c r="G1443" s="190">
        <v>20.8</v>
      </c>
      <c r="H1443" s="191">
        <v>219.99</v>
      </c>
      <c r="I1443" s="191">
        <v>81.25</v>
      </c>
      <c r="J1443" s="188" t="s">
        <v>571</v>
      </c>
      <c r="K1443" s="188" t="s">
        <v>338</v>
      </c>
      <c r="L1443" s="188" t="s">
        <v>2719</v>
      </c>
      <c r="M1443" s="192">
        <f t="shared" si="66"/>
        <v>23</v>
      </c>
      <c r="N1443" s="193">
        <f t="shared" si="67"/>
        <v>0.67689230769230768</v>
      </c>
      <c r="O1443" s="194">
        <f t="shared" si="68"/>
        <v>2.9430100334448161E-2</v>
      </c>
    </row>
    <row r="1444" spans="1:15" ht="12.75" customHeight="1">
      <c r="A1444" s="188" t="s">
        <v>620</v>
      </c>
      <c r="B1444" s="188" t="s">
        <v>1394</v>
      </c>
      <c r="C1444" s="188" t="s">
        <v>641</v>
      </c>
      <c r="D1444" s="188" t="s">
        <v>2720</v>
      </c>
      <c r="E1444" s="189">
        <v>39429</v>
      </c>
      <c r="F1444" s="190">
        <v>0</v>
      </c>
      <c r="G1444" s="190">
        <v>89.34</v>
      </c>
      <c r="H1444" s="191">
        <v>945</v>
      </c>
      <c r="I1444" s="191">
        <v>349</v>
      </c>
      <c r="J1444" s="188" t="s">
        <v>571</v>
      </c>
      <c r="K1444" s="188" t="s">
        <v>338</v>
      </c>
      <c r="L1444" s="188" t="s">
        <v>2138</v>
      </c>
      <c r="M1444" s="192">
        <f t="shared" si="66"/>
        <v>23</v>
      </c>
      <c r="N1444" s="193">
        <f t="shared" si="67"/>
        <v>0.67693409742120347</v>
      </c>
      <c r="O1444" s="194">
        <f t="shared" si="68"/>
        <v>2.9431917279182759E-2</v>
      </c>
    </row>
    <row r="1445" spans="1:15" ht="12.75" customHeight="1">
      <c r="A1445" s="188" t="s">
        <v>620</v>
      </c>
      <c r="B1445" s="188" t="s">
        <v>1394</v>
      </c>
      <c r="C1445" s="188" t="s">
        <v>641</v>
      </c>
      <c r="D1445" s="188" t="s">
        <v>2721</v>
      </c>
      <c r="E1445" s="189">
        <v>39436</v>
      </c>
      <c r="F1445" s="190">
        <v>0</v>
      </c>
      <c r="G1445" s="190">
        <v>56</v>
      </c>
      <c r="H1445" s="191">
        <v>980</v>
      </c>
      <c r="I1445" s="191">
        <v>218.75</v>
      </c>
      <c r="J1445" s="188" t="s">
        <v>624</v>
      </c>
      <c r="K1445" s="188" t="s">
        <v>338</v>
      </c>
      <c r="L1445" s="188" t="s">
        <v>1511</v>
      </c>
      <c r="M1445" s="192">
        <f t="shared" si="66"/>
        <v>38</v>
      </c>
      <c r="N1445" s="193">
        <f t="shared" si="67"/>
        <v>1.1200000000000001</v>
      </c>
      <c r="O1445" s="194">
        <f t="shared" si="68"/>
        <v>2.9473684210526319E-2</v>
      </c>
    </row>
    <row r="1446" spans="1:15" ht="12.75" customHeight="1">
      <c r="A1446" s="188" t="s">
        <v>620</v>
      </c>
      <c r="B1446" s="188" t="s">
        <v>1394</v>
      </c>
      <c r="C1446" s="188" t="s">
        <v>641</v>
      </c>
      <c r="D1446" s="188" t="s">
        <v>2722</v>
      </c>
      <c r="E1446" s="189">
        <v>39310</v>
      </c>
      <c r="F1446" s="190">
        <v>0</v>
      </c>
      <c r="G1446" s="190">
        <v>136.32</v>
      </c>
      <c r="H1446" s="191">
        <v>2390.9299999999998</v>
      </c>
      <c r="I1446" s="191">
        <v>532.5</v>
      </c>
      <c r="J1446" s="188" t="s">
        <v>624</v>
      </c>
      <c r="K1446" s="188" t="s">
        <v>338</v>
      </c>
      <c r="L1446" s="188" t="s">
        <v>987</v>
      </c>
      <c r="M1446" s="192">
        <f t="shared" si="66"/>
        <v>38</v>
      </c>
      <c r="N1446" s="193">
        <f t="shared" si="67"/>
        <v>1.1225023474178404</v>
      </c>
      <c r="O1446" s="194">
        <f t="shared" si="68"/>
        <v>2.953953545836422E-2</v>
      </c>
    </row>
    <row r="1447" spans="1:15" ht="12.75" customHeight="1">
      <c r="A1447" s="188" t="s">
        <v>620</v>
      </c>
      <c r="B1447" s="188" t="s">
        <v>1394</v>
      </c>
      <c r="C1447" s="188" t="s">
        <v>641</v>
      </c>
      <c r="D1447" s="188" t="s">
        <v>2723</v>
      </c>
      <c r="E1447" s="189">
        <v>39436</v>
      </c>
      <c r="F1447" s="190">
        <v>0</v>
      </c>
      <c r="G1447" s="190">
        <v>87.42</v>
      </c>
      <c r="H1447" s="191">
        <v>1536</v>
      </c>
      <c r="I1447" s="191">
        <v>341.5</v>
      </c>
      <c r="J1447" s="188" t="s">
        <v>624</v>
      </c>
      <c r="K1447" s="188" t="s">
        <v>338</v>
      </c>
      <c r="L1447" s="188" t="s">
        <v>961</v>
      </c>
      <c r="M1447" s="192">
        <f t="shared" si="66"/>
        <v>38</v>
      </c>
      <c r="N1447" s="193">
        <f t="shared" si="67"/>
        <v>1.1244509516837482</v>
      </c>
      <c r="O1447" s="194">
        <f t="shared" si="68"/>
        <v>2.9590814517993374E-2</v>
      </c>
    </row>
    <row r="1448" spans="1:15" ht="12.75" customHeight="1">
      <c r="A1448" s="188" t="s">
        <v>620</v>
      </c>
      <c r="B1448" s="188" t="s">
        <v>1394</v>
      </c>
      <c r="C1448" s="188" t="s">
        <v>641</v>
      </c>
      <c r="D1448" s="188" t="s">
        <v>2724</v>
      </c>
      <c r="E1448" s="189">
        <v>39240</v>
      </c>
      <c r="F1448" s="190">
        <v>0</v>
      </c>
      <c r="G1448" s="190">
        <v>63.62</v>
      </c>
      <c r="H1448" s="191">
        <v>794.21</v>
      </c>
      <c r="I1448" s="191">
        <v>248.5</v>
      </c>
      <c r="J1448" s="188" t="s">
        <v>639</v>
      </c>
      <c r="K1448" s="188" t="s">
        <v>338</v>
      </c>
      <c r="L1448" s="188" t="s">
        <v>2725</v>
      </c>
      <c r="M1448" s="192">
        <f t="shared" si="66"/>
        <v>27</v>
      </c>
      <c r="N1448" s="193">
        <f t="shared" si="67"/>
        <v>0.79900402414486926</v>
      </c>
      <c r="O1448" s="194">
        <f t="shared" si="68"/>
        <v>2.9592741634995159E-2</v>
      </c>
    </row>
    <row r="1449" spans="1:15" ht="12.75" customHeight="1">
      <c r="A1449" s="188" t="s">
        <v>620</v>
      </c>
      <c r="B1449" s="188" t="s">
        <v>1394</v>
      </c>
      <c r="C1449" s="188" t="s">
        <v>641</v>
      </c>
      <c r="D1449" s="188" t="s">
        <v>2726</v>
      </c>
      <c r="E1449" s="189">
        <v>39527</v>
      </c>
      <c r="F1449" s="190">
        <v>0</v>
      </c>
      <c r="G1449" s="190">
        <v>87.04</v>
      </c>
      <c r="H1449" s="191">
        <v>1047</v>
      </c>
      <c r="I1449" s="191">
        <v>340</v>
      </c>
      <c r="J1449" s="188" t="s">
        <v>361</v>
      </c>
      <c r="K1449" s="188" t="s">
        <v>338</v>
      </c>
      <c r="L1449" s="188" t="s">
        <v>774</v>
      </c>
      <c r="M1449" s="192">
        <f t="shared" si="66"/>
        <v>26</v>
      </c>
      <c r="N1449" s="193">
        <f t="shared" si="67"/>
        <v>0.76985294117647063</v>
      </c>
      <c r="O1449" s="194">
        <f t="shared" si="68"/>
        <v>2.9609728506787333E-2</v>
      </c>
    </row>
    <row r="1450" spans="1:15" ht="12.75" customHeight="1">
      <c r="A1450" s="188" t="s">
        <v>620</v>
      </c>
      <c r="B1450" s="188" t="s">
        <v>1394</v>
      </c>
      <c r="C1450" s="188" t="s">
        <v>641</v>
      </c>
      <c r="D1450" s="188" t="s">
        <v>2727</v>
      </c>
      <c r="E1450" s="189">
        <v>39395</v>
      </c>
      <c r="F1450" s="190">
        <v>0</v>
      </c>
      <c r="G1450" s="190">
        <v>89.09</v>
      </c>
      <c r="H1450" s="191">
        <v>907</v>
      </c>
      <c r="I1450" s="191">
        <v>348</v>
      </c>
      <c r="J1450" s="188" t="s">
        <v>710</v>
      </c>
      <c r="K1450" s="188" t="s">
        <v>338</v>
      </c>
      <c r="L1450" s="188" t="s">
        <v>2728</v>
      </c>
      <c r="M1450" s="192">
        <f t="shared" si="66"/>
        <v>22</v>
      </c>
      <c r="N1450" s="193">
        <f t="shared" si="67"/>
        <v>0.65158045977011492</v>
      </c>
      <c r="O1450" s="194">
        <f t="shared" si="68"/>
        <v>2.9617293625914313E-2</v>
      </c>
    </row>
    <row r="1451" spans="1:15" ht="12.75" customHeight="1">
      <c r="A1451" s="188" t="s">
        <v>620</v>
      </c>
      <c r="B1451" s="188" t="s">
        <v>1394</v>
      </c>
      <c r="C1451" s="188" t="s">
        <v>641</v>
      </c>
      <c r="D1451" s="188" t="s">
        <v>2729</v>
      </c>
      <c r="E1451" s="189">
        <v>39478</v>
      </c>
      <c r="F1451" s="190">
        <v>0</v>
      </c>
      <c r="G1451" s="190">
        <v>64</v>
      </c>
      <c r="H1451" s="191">
        <v>800</v>
      </c>
      <c r="I1451" s="191">
        <v>250</v>
      </c>
      <c r="J1451" s="188" t="s">
        <v>639</v>
      </c>
      <c r="K1451" s="188" t="s">
        <v>338</v>
      </c>
      <c r="L1451" s="188" t="s">
        <v>636</v>
      </c>
      <c r="M1451" s="192">
        <f t="shared" si="66"/>
        <v>27</v>
      </c>
      <c r="N1451" s="193">
        <f t="shared" si="67"/>
        <v>0.8</v>
      </c>
      <c r="O1451" s="194">
        <f t="shared" si="68"/>
        <v>2.9629629629629631E-2</v>
      </c>
    </row>
    <row r="1452" spans="1:15" ht="12.75" customHeight="1">
      <c r="A1452" s="188" t="s">
        <v>620</v>
      </c>
      <c r="B1452" s="188" t="s">
        <v>1394</v>
      </c>
      <c r="C1452" s="188" t="s">
        <v>641</v>
      </c>
      <c r="D1452" s="188" t="s">
        <v>2730</v>
      </c>
      <c r="E1452" s="189">
        <v>39478</v>
      </c>
      <c r="F1452" s="190">
        <v>0</v>
      </c>
      <c r="G1452" s="190">
        <v>64</v>
      </c>
      <c r="H1452" s="191">
        <v>800</v>
      </c>
      <c r="I1452" s="191">
        <v>250</v>
      </c>
      <c r="J1452" s="188" t="s">
        <v>639</v>
      </c>
      <c r="K1452" s="188" t="s">
        <v>338</v>
      </c>
      <c r="L1452" s="188" t="s">
        <v>636</v>
      </c>
      <c r="M1452" s="192">
        <f t="shared" si="66"/>
        <v>27</v>
      </c>
      <c r="N1452" s="193">
        <f t="shared" si="67"/>
        <v>0.8</v>
      </c>
      <c r="O1452" s="194">
        <f t="shared" si="68"/>
        <v>2.9629629629629631E-2</v>
      </c>
    </row>
    <row r="1453" spans="1:15" ht="12.75" customHeight="1">
      <c r="A1453" s="188" t="s">
        <v>620</v>
      </c>
      <c r="B1453" s="188" t="s">
        <v>1394</v>
      </c>
      <c r="C1453" s="188" t="s">
        <v>641</v>
      </c>
      <c r="D1453" s="188" t="s">
        <v>2731</v>
      </c>
      <c r="E1453" s="189">
        <v>39513</v>
      </c>
      <c r="F1453" s="190">
        <v>0</v>
      </c>
      <c r="G1453" s="190">
        <v>102.4</v>
      </c>
      <c r="H1453" s="191">
        <v>1280</v>
      </c>
      <c r="I1453" s="191">
        <v>400</v>
      </c>
      <c r="J1453" s="188" t="s">
        <v>639</v>
      </c>
      <c r="K1453" s="188" t="s">
        <v>338</v>
      </c>
      <c r="L1453" s="188" t="s">
        <v>625</v>
      </c>
      <c r="M1453" s="192">
        <f t="shared" si="66"/>
        <v>27</v>
      </c>
      <c r="N1453" s="193">
        <f t="shared" si="67"/>
        <v>0.8</v>
      </c>
      <c r="O1453" s="194">
        <f t="shared" si="68"/>
        <v>2.9629629629629631E-2</v>
      </c>
    </row>
    <row r="1454" spans="1:15" ht="12.75" customHeight="1">
      <c r="A1454" s="188" t="s">
        <v>620</v>
      </c>
      <c r="B1454" s="188" t="s">
        <v>1394</v>
      </c>
      <c r="C1454" s="188" t="s">
        <v>641</v>
      </c>
      <c r="D1454" s="188" t="s">
        <v>2732</v>
      </c>
      <c r="E1454" s="189">
        <v>39447</v>
      </c>
      <c r="F1454" s="190">
        <v>0</v>
      </c>
      <c r="G1454" s="190">
        <v>85.76</v>
      </c>
      <c r="H1454" s="191">
        <v>1075</v>
      </c>
      <c r="I1454" s="191">
        <v>335</v>
      </c>
      <c r="J1454" s="188" t="s">
        <v>639</v>
      </c>
      <c r="K1454" s="188" t="s">
        <v>338</v>
      </c>
      <c r="L1454" s="188" t="s">
        <v>815</v>
      </c>
      <c r="M1454" s="192">
        <f t="shared" si="66"/>
        <v>27</v>
      </c>
      <c r="N1454" s="193">
        <f t="shared" si="67"/>
        <v>0.80223880597014929</v>
      </c>
      <c r="O1454" s="194">
        <f t="shared" si="68"/>
        <v>2.9712548369264787E-2</v>
      </c>
    </row>
    <row r="1455" spans="1:15" ht="12.75" customHeight="1">
      <c r="A1455" s="188" t="s">
        <v>620</v>
      </c>
      <c r="B1455" s="188" t="s">
        <v>1394</v>
      </c>
      <c r="C1455" s="188" t="s">
        <v>641</v>
      </c>
      <c r="D1455" s="188" t="s">
        <v>2733</v>
      </c>
      <c r="E1455" s="189">
        <v>39380</v>
      </c>
      <c r="F1455" s="190">
        <v>0</v>
      </c>
      <c r="G1455" s="190">
        <v>89.6</v>
      </c>
      <c r="H1455" s="191">
        <v>832</v>
      </c>
      <c r="I1455" s="191">
        <v>350</v>
      </c>
      <c r="J1455" s="188" t="s">
        <v>560</v>
      </c>
      <c r="K1455" s="188" t="s">
        <v>338</v>
      </c>
      <c r="L1455" s="188" t="s">
        <v>754</v>
      </c>
      <c r="M1455" s="192">
        <f t="shared" si="66"/>
        <v>20</v>
      </c>
      <c r="N1455" s="193">
        <f t="shared" si="67"/>
        <v>0.59428571428571431</v>
      </c>
      <c r="O1455" s="194">
        <f t="shared" si="68"/>
        <v>2.9714285714285714E-2</v>
      </c>
    </row>
    <row r="1456" spans="1:15" ht="12.75" customHeight="1">
      <c r="A1456" s="188" t="s">
        <v>620</v>
      </c>
      <c r="B1456" s="188" t="s">
        <v>1394</v>
      </c>
      <c r="C1456" s="188" t="s">
        <v>641</v>
      </c>
      <c r="D1456" s="188" t="s">
        <v>2734</v>
      </c>
      <c r="E1456" s="189">
        <v>39632</v>
      </c>
      <c r="F1456" s="190">
        <v>0</v>
      </c>
      <c r="G1456" s="190">
        <v>106.11</v>
      </c>
      <c r="H1456" s="191">
        <v>1330.35</v>
      </c>
      <c r="I1456" s="191">
        <v>414.5</v>
      </c>
      <c r="J1456" s="188" t="s">
        <v>639</v>
      </c>
      <c r="K1456" s="188" t="s">
        <v>338</v>
      </c>
      <c r="L1456" s="188" t="s">
        <v>2735</v>
      </c>
      <c r="M1456" s="192">
        <f t="shared" si="66"/>
        <v>27</v>
      </c>
      <c r="N1456" s="193">
        <f t="shared" si="67"/>
        <v>0.80238238841978282</v>
      </c>
      <c r="O1456" s="194">
        <f t="shared" si="68"/>
        <v>2.9717866237769733E-2</v>
      </c>
    </row>
    <row r="1457" spans="1:15" ht="12.75" customHeight="1">
      <c r="A1457" s="188" t="s">
        <v>620</v>
      </c>
      <c r="B1457" s="188" t="s">
        <v>1394</v>
      </c>
      <c r="C1457" s="188" t="s">
        <v>641</v>
      </c>
      <c r="D1457" s="188" t="s">
        <v>2736</v>
      </c>
      <c r="E1457" s="189">
        <v>39422</v>
      </c>
      <c r="F1457" s="190">
        <v>0</v>
      </c>
      <c r="G1457" s="190">
        <v>64</v>
      </c>
      <c r="H1457" s="191">
        <v>773</v>
      </c>
      <c r="I1457" s="191">
        <v>250</v>
      </c>
      <c r="J1457" s="188" t="s">
        <v>361</v>
      </c>
      <c r="K1457" s="188" t="s">
        <v>338</v>
      </c>
      <c r="L1457" s="188" t="s">
        <v>636</v>
      </c>
      <c r="M1457" s="192">
        <f t="shared" si="66"/>
        <v>26</v>
      </c>
      <c r="N1457" s="193">
        <f t="shared" si="67"/>
        <v>0.77300000000000002</v>
      </c>
      <c r="O1457" s="194">
        <f t="shared" si="68"/>
        <v>2.9730769230769231E-2</v>
      </c>
    </row>
    <row r="1458" spans="1:15" ht="12.75" customHeight="1">
      <c r="A1458" s="188" t="s">
        <v>620</v>
      </c>
      <c r="B1458" s="188" t="s">
        <v>1394</v>
      </c>
      <c r="C1458" s="188" t="s">
        <v>641</v>
      </c>
      <c r="D1458" s="188" t="s">
        <v>2737</v>
      </c>
      <c r="E1458" s="189">
        <v>39422</v>
      </c>
      <c r="F1458" s="190">
        <v>0</v>
      </c>
      <c r="G1458" s="190">
        <v>64</v>
      </c>
      <c r="H1458" s="191">
        <v>1130</v>
      </c>
      <c r="I1458" s="191">
        <v>250</v>
      </c>
      <c r="J1458" s="188" t="s">
        <v>624</v>
      </c>
      <c r="K1458" s="188" t="s">
        <v>338</v>
      </c>
      <c r="L1458" s="188" t="s">
        <v>636</v>
      </c>
      <c r="M1458" s="192">
        <f t="shared" si="66"/>
        <v>38</v>
      </c>
      <c r="N1458" s="193">
        <f t="shared" si="67"/>
        <v>1.1299999999999999</v>
      </c>
      <c r="O1458" s="194">
        <f t="shared" si="68"/>
        <v>2.9736842105263155E-2</v>
      </c>
    </row>
    <row r="1459" spans="1:15" ht="12.75" customHeight="1">
      <c r="A1459" s="188" t="s">
        <v>620</v>
      </c>
      <c r="B1459" s="188" t="s">
        <v>1394</v>
      </c>
      <c r="C1459" s="188" t="s">
        <v>641</v>
      </c>
      <c r="D1459" s="188" t="s">
        <v>2738</v>
      </c>
      <c r="E1459" s="189">
        <v>39317</v>
      </c>
      <c r="F1459" s="190">
        <v>0</v>
      </c>
      <c r="G1459" s="190">
        <v>150.4</v>
      </c>
      <c r="H1459" s="191">
        <v>1887.05</v>
      </c>
      <c r="I1459" s="191">
        <v>587.5</v>
      </c>
      <c r="J1459" s="188" t="s">
        <v>639</v>
      </c>
      <c r="K1459" s="188" t="s">
        <v>338</v>
      </c>
      <c r="L1459" s="188" t="s">
        <v>1929</v>
      </c>
      <c r="M1459" s="192">
        <f t="shared" si="66"/>
        <v>27</v>
      </c>
      <c r="N1459" s="193">
        <f t="shared" si="67"/>
        <v>0.80299999999999994</v>
      </c>
      <c r="O1459" s="194">
        <f t="shared" si="68"/>
        <v>2.9740740740740738E-2</v>
      </c>
    </row>
    <row r="1460" spans="1:15" ht="12.75" customHeight="1">
      <c r="A1460" s="188" t="s">
        <v>620</v>
      </c>
      <c r="B1460" s="188" t="s">
        <v>1394</v>
      </c>
      <c r="C1460" s="188" t="s">
        <v>641</v>
      </c>
      <c r="D1460" s="188" t="s">
        <v>2739</v>
      </c>
      <c r="E1460" s="189">
        <v>39447</v>
      </c>
      <c r="F1460" s="190">
        <v>0</v>
      </c>
      <c r="G1460" s="190">
        <v>110.4</v>
      </c>
      <c r="H1460" s="191">
        <v>1026.6199999999999</v>
      </c>
      <c r="I1460" s="191">
        <v>431.25</v>
      </c>
      <c r="J1460" s="188" t="s">
        <v>560</v>
      </c>
      <c r="K1460" s="188" t="s">
        <v>338</v>
      </c>
      <c r="L1460" s="188" t="s">
        <v>2740</v>
      </c>
      <c r="M1460" s="192">
        <f t="shared" si="66"/>
        <v>20</v>
      </c>
      <c r="N1460" s="193">
        <f t="shared" si="67"/>
        <v>0.59514202898550717</v>
      </c>
      <c r="O1460" s="194">
        <f t="shared" si="68"/>
        <v>2.9757101449275358E-2</v>
      </c>
    </row>
    <row r="1461" spans="1:15" ht="12.75" customHeight="1">
      <c r="A1461" s="188" t="s">
        <v>620</v>
      </c>
      <c r="B1461" s="188" t="s">
        <v>1394</v>
      </c>
      <c r="C1461" s="188" t="s">
        <v>641</v>
      </c>
      <c r="D1461" s="188" t="s">
        <v>2741</v>
      </c>
      <c r="E1461" s="189">
        <v>39507</v>
      </c>
      <c r="F1461" s="190">
        <v>0</v>
      </c>
      <c r="G1461" s="190">
        <v>44.99</v>
      </c>
      <c r="H1461" s="191">
        <v>795</v>
      </c>
      <c r="I1461" s="191">
        <v>175.75</v>
      </c>
      <c r="J1461" s="188" t="s">
        <v>624</v>
      </c>
      <c r="K1461" s="188" t="s">
        <v>338</v>
      </c>
      <c r="L1461" s="188" t="s">
        <v>2742</v>
      </c>
      <c r="M1461" s="192">
        <f t="shared" si="66"/>
        <v>38</v>
      </c>
      <c r="N1461" s="193">
        <f t="shared" si="67"/>
        <v>1.1308677098150783</v>
      </c>
      <c r="O1461" s="194">
        <f t="shared" si="68"/>
        <v>2.9759676574081007E-2</v>
      </c>
    </row>
    <row r="1462" spans="1:15" ht="12.75" customHeight="1">
      <c r="A1462" s="188" t="s">
        <v>620</v>
      </c>
      <c r="B1462" s="188" t="s">
        <v>1394</v>
      </c>
      <c r="C1462" s="188" t="s">
        <v>641</v>
      </c>
      <c r="D1462" s="188" t="s">
        <v>2743</v>
      </c>
      <c r="E1462" s="189">
        <v>39611</v>
      </c>
      <c r="F1462" s="190">
        <v>0</v>
      </c>
      <c r="G1462" s="190">
        <v>85.57</v>
      </c>
      <c r="H1462" s="191">
        <v>1114.77</v>
      </c>
      <c r="I1462" s="191">
        <v>334.25</v>
      </c>
      <c r="J1462" s="188" t="s">
        <v>750</v>
      </c>
      <c r="K1462" s="188" t="s">
        <v>338</v>
      </c>
      <c r="L1462" s="188" t="s">
        <v>1573</v>
      </c>
      <c r="M1462" s="192">
        <f t="shared" si="66"/>
        <v>28</v>
      </c>
      <c r="N1462" s="193">
        <f t="shared" si="67"/>
        <v>0.83378459237097979</v>
      </c>
      <c r="O1462" s="194">
        <f t="shared" si="68"/>
        <v>2.9778021156106421E-2</v>
      </c>
    </row>
    <row r="1463" spans="1:15" ht="12.75" customHeight="1">
      <c r="A1463" s="188" t="s">
        <v>620</v>
      </c>
      <c r="B1463" s="188" t="s">
        <v>1394</v>
      </c>
      <c r="C1463" s="188" t="s">
        <v>641</v>
      </c>
      <c r="D1463" s="188" t="s">
        <v>2744</v>
      </c>
      <c r="E1463" s="189">
        <v>39471</v>
      </c>
      <c r="F1463" s="190">
        <v>0</v>
      </c>
      <c r="G1463" s="190">
        <v>115.2</v>
      </c>
      <c r="H1463" s="191">
        <v>1234</v>
      </c>
      <c r="I1463" s="191">
        <v>450</v>
      </c>
      <c r="J1463" s="188" t="s">
        <v>571</v>
      </c>
      <c r="K1463" s="188" t="s">
        <v>338</v>
      </c>
      <c r="L1463" s="188" t="s">
        <v>718</v>
      </c>
      <c r="M1463" s="192">
        <f t="shared" si="66"/>
        <v>23</v>
      </c>
      <c r="N1463" s="193">
        <f t="shared" si="67"/>
        <v>0.68555555555555558</v>
      </c>
      <c r="O1463" s="194">
        <f t="shared" si="68"/>
        <v>2.9806763285024157E-2</v>
      </c>
    </row>
    <row r="1464" spans="1:15" ht="12.75" customHeight="1">
      <c r="A1464" s="188" t="s">
        <v>620</v>
      </c>
      <c r="B1464" s="188" t="s">
        <v>1394</v>
      </c>
      <c r="C1464" s="188" t="s">
        <v>641</v>
      </c>
      <c r="D1464" s="188" t="s">
        <v>2745</v>
      </c>
      <c r="E1464" s="189">
        <v>39520</v>
      </c>
      <c r="F1464" s="190">
        <v>0</v>
      </c>
      <c r="G1464" s="190">
        <v>54.08</v>
      </c>
      <c r="H1464" s="191">
        <v>960</v>
      </c>
      <c r="I1464" s="191">
        <v>211.25</v>
      </c>
      <c r="J1464" s="188" t="s">
        <v>624</v>
      </c>
      <c r="K1464" s="188" t="s">
        <v>338</v>
      </c>
      <c r="L1464" s="188" t="s">
        <v>2746</v>
      </c>
      <c r="M1464" s="192">
        <f t="shared" si="66"/>
        <v>38</v>
      </c>
      <c r="N1464" s="193">
        <f t="shared" si="67"/>
        <v>1.136094674556213</v>
      </c>
      <c r="O1464" s="194">
        <f t="shared" si="68"/>
        <v>2.989722827779508E-2</v>
      </c>
    </row>
    <row r="1465" spans="1:15" ht="12.75" customHeight="1">
      <c r="A1465" s="188" t="s">
        <v>620</v>
      </c>
      <c r="B1465" s="188" t="s">
        <v>1394</v>
      </c>
      <c r="C1465" s="188" t="s">
        <v>641</v>
      </c>
      <c r="D1465" s="188" t="s">
        <v>2747</v>
      </c>
      <c r="E1465" s="189">
        <v>39471</v>
      </c>
      <c r="F1465" s="190">
        <v>0</v>
      </c>
      <c r="G1465" s="190">
        <v>16.38</v>
      </c>
      <c r="H1465" s="191">
        <v>291</v>
      </c>
      <c r="I1465" s="191">
        <v>64</v>
      </c>
      <c r="J1465" s="188" t="s">
        <v>624</v>
      </c>
      <c r="K1465" s="188" t="s">
        <v>338</v>
      </c>
      <c r="L1465" s="188" t="s">
        <v>433</v>
      </c>
      <c r="M1465" s="192">
        <f t="shared" si="66"/>
        <v>38</v>
      </c>
      <c r="N1465" s="193">
        <f t="shared" si="67"/>
        <v>1.13671875</v>
      </c>
      <c r="O1465" s="194">
        <f t="shared" si="68"/>
        <v>2.9913651315789474E-2</v>
      </c>
    </row>
    <row r="1466" spans="1:15" ht="12.75" customHeight="1">
      <c r="A1466" s="188" t="s">
        <v>620</v>
      </c>
      <c r="B1466" s="188" t="s">
        <v>1394</v>
      </c>
      <c r="C1466" s="188" t="s">
        <v>641</v>
      </c>
      <c r="D1466" s="188" t="s">
        <v>2748</v>
      </c>
      <c r="E1466" s="189">
        <v>39618</v>
      </c>
      <c r="F1466" s="190">
        <v>0</v>
      </c>
      <c r="G1466" s="190">
        <v>122.88</v>
      </c>
      <c r="H1466" s="191">
        <v>1149</v>
      </c>
      <c r="I1466" s="191">
        <v>480</v>
      </c>
      <c r="J1466" s="188" t="s">
        <v>560</v>
      </c>
      <c r="K1466" s="188" t="s">
        <v>338</v>
      </c>
      <c r="L1466" s="188" t="s">
        <v>640</v>
      </c>
      <c r="M1466" s="192">
        <f t="shared" si="66"/>
        <v>20</v>
      </c>
      <c r="N1466" s="193">
        <f t="shared" si="67"/>
        <v>0.59843749999999996</v>
      </c>
      <c r="O1466" s="194">
        <f t="shared" si="68"/>
        <v>2.9921874999999997E-2</v>
      </c>
    </row>
    <row r="1467" spans="1:15" ht="12.75" customHeight="1">
      <c r="A1467" s="188" t="s">
        <v>620</v>
      </c>
      <c r="B1467" s="188" t="s">
        <v>1394</v>
      </c>
      <c r="C1467" s="188" t="s">
        <v>641</v>
      </c>
      <c r="D1467" s="188" t="s">
        <v>2749</v>
      </c>
      <c r="E1467" s="189">
        <v>39639</v>
      </c>
      <c r="F1467" s="190">
        <v>0</v>
      </c>
      <c r="G1467" s="190">
        <v>92.8</v>
      </c>
      <c r="H1467" s="191">
        <v>1085</v>
      </c>
      <c r="I1467" s="191">
        <v>362.5</v>
      </c>
      <c r="J1467" s="188" t="s">
        <v>652</v>
      </c>
      <c r="K1467" s="188" t="s">
        <v>338</v>
      </c>
      <c r="L1467" s="188" t="s">
        <v>920</v>
      </c>
      <c r="M1467" s="192">
        <f t="shared" si="66"/>
        <v>25</v>
      </c>
      <c r="N1467" s="193">
        <f t="shared" si="67"/>
        <v>0.74827586206896557</v>
      </c>
      <c r="O1467" s="194">
        <f t="shared" si="68"/>
        <v>2.9931034482758623E-2</v>
      </c>
    </row>
    <row r="1468" spans="1:15" ht="12.75" customHeight="1">
      <c r="A1468" s="188" t="s">
        <v>620</v>
      </c>
      <c r="B1468" s="188" t="s">
        <v>1394</v>
      </c>
      <c r="C1468" s="188" t="s">
        <v>641</v>
      </c>
      <c r="D1468" s="188" t="s">
        <v>2750</v>
      </c>
      <c r="E1468" s="189">
        <v>39611</v>
      </c>
      <c r="F1468" s="190">
        <v>0</v>
      </c>
      <c r="G1468" s="190">
        <v>97.79</v>
      </c>
      <c r="H1468" s="191">
        <v>1053.02</v>
      </c>
      <c r="I1468" s="191">
        <v>382</v>
      </c>
      <c r="J1468" s="188" t="s">
        <v>571</v>
      </c>
      <c r="K1468" s="188" t="s">
        <v>338</v>
      </c>
      <c r="L1468" s="188" t="s">
        <v>417</v>
      </c>
      <c r="M1468" s="192">
        <f t="shared" si="66"/>
        <v>23</v>
      </c>
      <c r="N1468" s="193">
        <f t="shared" si="67"/>
        <v>0.68914921465968582</v>
      </c>
      <c r="O1468" s="194">
        <f t="shared" si="68"/>
        <v>2.9963009333029818E-2</v>
      </c>
    </row>
    <row r="1469" spans="1:15" ht="12.75" customHeight="1">
      <c r="A1469" s="188" t="s">
        <v>620</v>
      </c>
      <c r="B1469" s="188" t="s">
        <v>1394</v>
      </c>
      <c r="C1469" s="188" t="s">
        <v>641</v>
      </c>
      <c r="D1469" s="188" t="s">
        <v>2751</v>
      </c>
      <c r="E1469" s="189">
        <v>39339</v>
      </c>
      <c r="F1469" s="190">
        <v>0</v>
      </c>
      <c r="G1469" s="190">
        <v>72.959999999999994</v>
      </c>
      <c r="H1469" s="191">
        <v>1299.03</v>
      </c>
      <c r="I1469" s="191">
        <v>285</v>
      </c>
      <c r="J1469" s="188" t="s">
        <v>624</v>
      </c>
      <c r="K1469" s="188" t="s">
        <v>338</v>
      </c>
      <c r="L1469" s="188" t="s">
        <v>2347</v>
      </c>
      <c r="M1469" s="192">
        <f t="shared" si="66"/>
        <v>38</v>
      </c>
      <c r="N1469" s="193">
        <f t="shared" si="67"/>
        <v>1.1395</v>
      </c>
      <c r="O1469" s="194">
        <f t="shared" si="68"/>
        <v>2.9986842105263155E-2</v>
      </c>
    </row>
    <row r="1470" spans="1:15" ht="12.75" customHeight="1">
      <c r="A1470" s="188" t="s">
        <v>620</v>
      </c>
      <c r="B1470" s="188" t="s">
        <v>1394</v>
      </c>
      <c r="C1470" s="188" t="s">
        <v>641</v>
      </c>
      <c r="D1470" s="188" t="s">
        <v>2752</v>
      </c>
      <c r="E1470" s="189">
        <v>39212</v>
      </c>
      <c r="F1470" s="190">
        <v>0</v>
      </c>
      <c r="G1470" s="190">
        <v>64</v>
      </c>
      <c r="H1470" s="191">
        <v>720</v>
      </c>
      <c r="I1470" s="191">
        <v>250</v>
      </c>
      <c r="J1470" s="188" t="s">
        <v>1052</v>
      </c>
      <c r="K1470" s="188" t="s">
        <v>338</v>
      </c>
      <c r="L1470" s="188" t="s">
        <v>636</v>
      </c>
      <c r="M1470" s="192">
        <f t="shared" si="66"/>
        <v>24</v>
      </c>
      <c r="N1470" s="193">
        <f t="shared" si="67"/>
        <v>0.72</v>
      </c>
      <c r="O1470" s="194">
        <f t="shared" si="68"/>
        <v>0.03</v>
      </c>
    </row>
    <row r="1471" spans="1:15" ht="12.75" customHeight="1">
      <c r="A1471" s="188" t="s">
        <v>620</v>
      </c>
      <c r="B1471" s="188" t="s">
        <v>1394</v>
      </c>
      <c r="C1471" s="188" t="s">
        <v>641</v>
      </c>
      <c r="D1471" s="188" t="s">
        <v>2753</v>
      </c>
      <c r="E1471" s="189">
        <v>39447</v>
      </c>
      <c r="F1471" s="190">
        <v>0</v>
      </c>
      <c r="G1471" s="190">
        <v>102.4</v>
      </c>
      <c r="H1471" s="191">
        <v>1008</v>
      </c>
      <c r="I1471" s="191">
        <v>400</v>
      </c>
      <c r="J1471" s="188" t="s">
        <v>879</v>
      </c>
      <c r="K1471" s="188" t="s">
        <v>338</v>
      </c>
      <c r="L1471" s="188" t="s">
        <v>625</v>
      </c>
      <c r="M1471" s="192">
        <f t="shared" si="66"/>
        <v>21</v>
      </c>
      <c r="N1471" s="193">
        <f t="shared" si="67"/>
        <v>0.63</v>
      </c>
      <c r="O1471" s="194">
        <f t="shared" si="68"/>
        <v>0.03</v>
      </c>
    </row>
    <row r="1472" spans="1:15" ht="12.75" customHeight="1">
      <c r="A1472" s="188" t="s">
        <v>620</v>
      </c>
      <c r="B1472" s="188" t="s">
        <v>1394</v>
      </c>
      <c r="C1472" s="188" t="s">
        <v>641</v>
      </c>
      <c r="D1472" s="188" t="s">
        <v>2754</v>
      </c>
      <c r="E1472" s="189">
        <v>39513</v>
      </c>
      <c r="F1472" s="190">
        <v>0</v>
      </c>
      <c r="G1472" s="190">
        <v>92.8</v>
      </c>
      <c r="H1472" s="191">
        <v>870</v>
      </c>
      <c r="I1472" s="191">
        <v>362.5</v>
      </c>
      <c r="J1472" s="188" t="s">
        <v>560</v>
      </c>
      <c r="K1472" s="188" t="s">
        <v>338</v>
      </c>
      <c r="L1472" s="188" t="s">
        <v>920</v>
      </c>
      <c r="M1472" s="192">
        <f t="shared" si="66"/>
        <v>20</v>
      </c>
      <c r="N1472" s="193">
        <f t="shared" si="67"/>
        <v>0.6</v>
      </c>
      <c r="O1472" s="194">
        <f t="shared" si="68"/>
        <v>0.03</v>
      </c>
    </row>
    <row r="1473" spans="1:15" ht="12.75" customHeight="1">
      <c r="A1473" s="188" t="s">
        <v>620</v>
      </c>
      <c r="B1473" s="188" t="s">
        <v>1394</v>
      </c>
      <c r="C1473" s="188" t="s">
        <v>641</v>
      </c>
      <c r="D1473" s="188" t="s">
        <v>2755</v>
      </c>
      <c r="E1473" s="189">
        <v>39520</v>
      </c>
      <c r="F1473" s="190">
        <v>0</v>
      </c>
      <c r="G1473" s="190">
        <v>32</v>
      </c>
      <c r="H1473" s="191">
        <v>225</v>
      </c>
      <c r="I1473" s="191">
        <v>125</v>
      </c>
      <c r="J1473" s="188" t="s">
        <v>624</v>
      </c>
      <c r="K1473" s="188" t="s">
        <v>571</v>
      </c>
      <c r="L1473" s="188" t="s">
        <v>858</v>
      </c>
      <c r="M1473" s="192">
        <f t="shared" si="66"/>
        <v>15</v>
      </c>
      <c r="N1473" s="193">
        <f t="shared" si="67"/>
        <v>0.45</v>
      </c>
      <c r="O1473" s="194">
        <f t="shared" si="68"/>
        <v>3.0000000000000002E-2</v>
      </c>
    </row>
    <row r="1474" spans="1:15" ht="12.75" customHeight="1">
      <c r="A1474" s="188" t="s">
        <v>620</v>
      </c>
      <c r="B1474" s="188" t="s">
        <v>1394</v>
      </c>
      <c r="C1474" s="188" t="s">
        <v>641</v>
      </c>
      <c r="D1474" s="188" t="s">
        <v>2756</v>
      </c>
      <c r="E1474" s="189">
        <v>39387</v>
      </c>
      <c r="F1474" s="190">
        <v>0</v>
      </c>
      <c r="G1474" s="190">
        <v>68.739999999999995</v>
      </c>
      <c r="H1474" s="191">
        <v>967.57</v>
      </c>
      <c r="I1474" s="191">
        <v>268.5</v>
      </c>
      <c r="J1474" s="188" t="s">
        <v>635</v>
      </c>
      <c r="K1474" s="188" t="s">
        <v>338</v>
      </c>
      <c r="L1474" s="188" t="s">
        <v>1440</v>
      </c>
      <c r="M1474" s="192">
        <f t="shared" ref="M1474:M1537" si="69">K1474-J1474</f>
        <v>30</v>
      </c>
      <c r="N1474" s="193">
        <f t="shared" ref="N1474:N1537" si="70">H1474/L1474</f>
        <v>0.90090316573556806</v>
      </c>
      <c r="O1474" s="194">
        <f t="shared" ref="O1474:O1537" si="71">N1474/M1474</f>
        <v>3.0030105524518937E-2</v>
      </c>
    </row>
    <row r="1475" spans="1:15" ht="12.75" customHeight="1">
      <c r="A1475" s="188" t="s">
        <v>620</v>
      </c>
      <c r="B1475" s="188" t="s">
        <v>1394</v>
      </c>
      <c r="C1475" s="188" t="s">
        <v>641</v>
      </c>
      <c r="D1475" s="188" t="s">
        <v>2757</v>
      </c>
      <c r="E1475" s="189">
        <v>39282</v>
      </c>
      <c r="F1475" s="190">
        <v>0</v>
      </c>
      <c r="G1475" s="190">
        <v>42.82</v>
      </c>
      <c r="H1475" s="191">
        <v>765</v>
      </c>
      <c r="I1475" s="191">
        <v>167.25</v>
      </c>
      <c r="J1475" s="188" t="s">
        <v>624</v>
      </c>
      <c r="K1475" s="188" t="s">
        <v>338</v>
      </c>
      <c r="L1475" s="188" t="s">
        <v>2758</v>
      </c>
      <c r="M1475" s="192">
        <f t="shared" si="69"/>
        <v>38</v>
      </c>
      <c r="N1475" s="193">
        <f t="shared" si="70"/>
        <v>1.1434977578475336</v>
      </c>
      <c r="O1475" s="194">
        <f t="shared" si="71"/>
        <v>3.0092046259145622E-2</v>
      </c>
    </row>
    <row r="1476" spans="1:15" ht="12.75" customHeight="1">
      <c r="A1476" s="188" t="s">
        <v>620</v>
      </c>
      <c r="B1476" s="188" t="s">
        <v>1394</v>
      </c>
      <c r="C1476" s="188" t="s">
        <v>641</v>
      </c>
      <c r="D1476" s="188" t="s">
        <v>2759</v>
      </c>
      <c r="E1476" s="189">
        <v>39447</v>
      </c>
      <c r="F1476" s="190">
        <v>0</v>
      </c>
      <c r="G1476" s="190">
        <v>96</v>
      </c>
      <c r="H1476" s="191">
        <v>1355</v>
      </c>
      <c r="I1476" s="191">
        <v>375</v>
      </c>
      <c r="J1476" s="188" t="s">
        <v>635</v>
      </c>
      <c r="K1476" s="188" t="s">
        <v>338</v>
      </c>
      <c r="L1476" s="188" t="s">
        <v>746</v>
      </c>
      <c r="M1476" s="192">
        <f t="shared" si="69"/>
        <v>30</v>
      </c>
      <c r="N1476" s="193">
        <f t="shared" si="70"/>
        <v>0.90333333333333332</v>
      </c>
      <c r="O1476" s="194">
        <f t="shared" si="71"/>
        <v>3.0111111111111109E-2</v>
      </c>
    </row>
    <row r="1477" spans="1:15" ht="12.75" customHeight="1">
      <c r="A1477" s="188" t="s">
        <v>620</v>
      </c>
      <c r="B1477" s="188" t="s">
        <v>1394</v>
      </c>
      <c r="C1477" s="188" t="s">
        <v>641</v>
      </c>
      <c r="D1477" s="188" t="s">
        <v>2760</v>
      </c>
      <c r="E1477" s="189">
        <v>39562</v>
      </c>
      <c r="F1477" s="190">
        <v>0</v>
      </c>
      <c r="G1477" s="190">
        <v>73.22</v>
      </c>
      <c r="H1477" s="191">
        <v>827</v>
      </c>
      <c r="I1477" s="191">
        <v>286</v>
      </c>
      <c r="J1477" s="188" t="s">
        <v>1052</v>
      </c>
      <c r="K1477" s="188" t="s">
        <v>338</v>
      </c>
      <c r="L1477" s="188" t="s">
        <v>990</v>
      </c>
      <c r="M1477" s="192">
        <f t="shared" si="69"/>
        <v>24</v>
      </c>
      <c r="N1477" s="193">
        <f t="shared" si="70"/>
        <v>0.72290209790209792</v>
      </c>
      <c r="O1477" s="194">
        <f t="shared" si="71"/>
        <v>3.0120920745920748E-2</v>
      </c>
    </row>
    <row r="1478" spans="1:15" ht="12.75" customHeight="1">
      <c r="A1478" s="188" t="s">
        <v>620</v>
      </c>
      <c r="B1478" s="188" t="s">
        <v>1394</v>
      </c>
      <c r="C1478" s="188" t="s">
        <v>641</v>
      </c>
      <c r="D1478" s="188" t="s">
        <v>2761</v>
      </c>
      <c r="E1478" s="189">
        <v>39429</v>
      </c>
      <c r="F1478" s="190">
        <v>0</v>
      </c>
      <c r="G1478" s="190">
        <v>100.03</v>
      </c>
      <c r="H1478" s="191">
        <v>1412.59</v>
      </c>
      <c r="I1478" s="191">
        <v>390.75</v>
      </c>
      <c r="J1478" s="188" t="s">
        <v>635</v>
      </c>
      <c r="K1478" s="188" t="s">
        <v>338</v>
      </c>
      <c r="L1478" s="188" t="s">
        <v>2762</v>
      </c>
      <c r="M1478" s="192">
        <f t="shared" si="69"/>
        <v>30</v>
      </c>
      <c r="N1478" s="193">
        <f t="shared" si="70"/>
        <v>0.90376839411388354</v>
      </c>
      <c r="O1478" s="194">
        <f t="shared" si="71"/>
        <v>3.0125613137129453E-2</v>
      </c>
    </row>
    <row r="1479" spans="1:15" ht="12.75" customHeight="1">
      <c r="A1479" s="188" t="s">
        <v>620</v>
      </c>
      <c r="B1479" s="188" t="s">
        <v>1394</v>
      </c>
      <c r="C1479" s="188" t="s">
        <v>641</v>
      </c>
      <c r="D1479" s="188" t="s">
        <v>2763</v>
      </c>
      <c r="E1479" s="189">
        <v>39562</v>
      </c>
      <c r="F1479" s="190">
        <v>0</v>
      </c>
      <c r="G1479" s="190">
        <v>71.94</v>
      </c>
      <c r="H1479" s="191">
        <v>1289.53</v>
      </c>
      <c r="I1479" s="191">
        <v>281</v>
      </c>
      <c r="J1479" s="188" t="s">
        <v>624</v>
      </c>
      <c r="K1479" s="188" t="s">
        <v>338</v>
      </c>
      <c r="L1479" s="188" t="s">
        <v>2764</v>
      </c>
      <c r="M1479" s="192">
        <f t="shared" si="69"/>
        <v>38</v>
      </c>
      <c r="N1479" s="193">
        <f t="shared" si="70"/>
        <v>1.1472686832740213</v>
      </c>
      <c r="O1479" s="194">
        <f t="shared" si="71"/>
        <v>3.0191281138790035E-2</v>
      </c>
    </row>
    <row r="1480" spans="1:15" ht="12.75" customHeight="1">
      <c r="A1480" s="188" t="s">
        <v>620</v>
      </c>
      <c r="B1480" s="188" t="s">
        <v>1394</v>
      </c>
      <c r="C1480" s="188" t="s">
        <v>641</v>
      </c>
      <c r="D1480" s="188" t="s">
        <v>2765</v>
      </c>
      <c r="E1480" s="189">
        <v>39534</v>
      </c>
      <c r="F1480" s="190">
        <v>0</v>
      </c>
      <c r="G1480" s="190">
        <v>62.4</v>
      </c>
      <c r="H1480" s="191">
        <v>795</v>
      </c>
      <c r="I1480" s="191">
        <v>243.75</v>
      </c>
      <c r="J1480" s="188" t="s">
        <v>639</v>
      </c>
      <c r="K1480" s="188" t="s">
        <v>338</v>
      </c>
      <c r="L1480" s="188" t="s">
        <v>941</v>
      </c>
      <c r="M1480" s="192">
        <f t="shared" si="69"/>
        <v>27</v>
      </c>
      <c r="N1480" s="193">
        <f t="shared" si="70"/>
        <v>0.81538461538461537</v>
      </c>
      <c r="O1480" s="194">
        <f t="shared" si="71"/>
        <v>3.0199430199430197E-2</v>
      </c>
    </row>
    <row r="1481" spans="1:15" ht="12.75" customHeight="1">
      <c r="A1481" s="188" t="s">
        <v>620</v>
      </c>
      <c r="B1481" s="188" t="s">
        <v>1394</v>
      </c>
      <c r="C1481" s="188" t="s">
        <v>641</v>
      </c>
      <c r="D1481" s="188" t="s">
        <v>2766</v>
      </c>
      <c r="E1481" s="189">
        <v>39401</v>
      </c>
      <c r="F1481" s="190">
        <v>0</v>
      </c>
      <c r="G1481" s="190">
        <v>63.23</v>
      </c>
      <c r="H1481" s="191">
        <v>807</v>
      </c>
      <c r="I1481" s="191">
        <v>247</v>
      </c>
      <c r="J1481" s="188" t="s">
        <v>639</v>
      </c>
      <c r="K1481" s="188" t="s">
        <v>338</v>
      </c>
      <c r="L1481" s="188" t="s">
        <v>1083</v>
      </c>
      <c r="M1481" s="192">
        <f t="shared" si="69"/>
        <v>27</v>
      </c>
      <c r="N1481" s="193">
        <f t="shared" si="70"/>
        <v>0.8168016194331984</v>
      </c>
      <c r="O1481" s="194">
        <f t="shared" si="71"/>
        <v>3.02519118308592E-2</v>
      </c>
    </row>
    <row r="1482" spans="1:15" ht="12.75" customHeight="1">
      <c r="A1482" s="188" t="s">
        <v>620</v>
      </c>
      <c r="B1482" s="188" t="s">
        <v>1394</v>
      </c>
      <c r="C1482" s="188" t="s">
        <v>641</v>
      </c>
      <c r="D1482" s="188" t="s">
        <v>2767</v>
      </c>
      <c r="E1482" s="189">
        <v>39436</v>
      </c>
      <c r="F1482" s="190">
        <v>0</v>
      </c>
      <c r="G1482" s="190">
        <v>76.8</v>
      </c>
      <c r="H1482" s="191">
        <v>1380</v>
      </c>
      <c r="I1482" s="191">
        <v>300</v>
      </c>
      <c r="J1482" s="188" t="s">
        <v>624</v>
      </c>
      <c r="K1482" s="188" t="s">
        <v>338</v>
      </c>
      <c r="L1482" s="188" t="s">
        <v>632</v>
      </c>
      <c r="M1482" s="192">
        <f t="shared" si="69"/>
        <v>38</v>
      </c>
      <c r="N1482" s="193">
        <f t="shared" si="70"/>
        <v>1.1499999999999999</v>
      </c>
      <c r="O1482" s="194">
        <f t="shared" si="71"/>
        <v>3.0263157894736839E-2</v>
      </c>
    </row>
    <row r="1483" spans="1:15" ht="12.75" customHeight="1">
      <c r="A1483" s="188" t="s">
        <v>620</v>
      </c>
      <c r="B1483" s="188" t="s">
        <v>1394</v>
      </c>
      <c r="C1483" s="188" t="s">
        <v>641</v>
      </c>
      <c r="D1483" s="188" t="s">
        <v>2768</v>
      </c>
      <c r="E1483" s="189">
        <v>39576</v>
      </c>
      <c r="F1483" s="190">
        <v>0</v>
      </c>
      <c r="G1483" s="190">
        <v>109.18</v>
      </c>
      <c r="H1483" s="191">
        <v>1239.9100000000001</v>
      </c>
      <c r="I1483" s="191">
        <v>426.5</v>
      </c>
      <c r="J1483" s="188" t="s">
        <v>1052</v>
      </c>
      <c r="K1483" s="188" t="s">
        <v>338</v>
      </c>
      <c r="L1483" s="188" t="s">
        <v>2769</v>
      </c>
      <c r="M1483" s="192">
        <f t="shared" si="69"/>
        <v>24</v>
      </c>
      <c r="N1483" s="193">
        <f t="shared" si="70"/>
        <v>0.72679366940211021</v>
      </c>
      <c r="O1483" s="194">
        <f t="shared" si="71"/>
        <v>3.028306955842126E-2</v>
      </c>
    </row>
    <row r="1484" spans="1:15" ht="12.75" customHeight="1">
      <c r="A1484" s="188" t="s">
        <v>620</v>
      </c>
      <c r="B1484" s="188" t="s">
        <v>1394</v>
      </c>
      <c r="C1484" s="188" t="s">
        <v>641</v>
      </c>
      <c r="D1484" s="188" t="s">
        <v>2770</v>
      </c>
      <c r="E1484" s="189">
        <v>39422</v>
      </c>
      <c r="F1484" s="190">
        <v>0</v>
      </c>
      <c r="G1484" s="190">
        <v>53.25</v>
      </c>
      <c r="H1484" s="191">
        <v>958</v>
      </c>
      <c r="I1484" s="191">
        <v>208</v>
      </c>
      <c r="J1484" s="188" t="s">
        <v>624</v>
      </c>
      <c r="K1484" s="188" t="s">
        <v>338</v>
      </c>
      <c r="L1484" s="188" t="s">
        <v>734</v>
      </c>
      <c r="M1484" s="192">
        <f t="shared" si="69"/>
        <v>38</v>
      </c>
      <c r="N1484" s="193">
        <f t="shared" si="70"/>
        <v>1.1514423076923077</v>
      </c>
      <c r="O1484" s="194">
        <f t="shared" si="71"/>
        <v>3.0301113360323886E-2</v>
      </c>
    </row>
    <row r="1485" spans="1:15" ht="12.75" customHeight="1">
      <c r="A1485" s="188" t="s">
        <v>620</v>
      </c>
      <c r="B1485" s="188" t="s">
        <v>1394</v>
      </c>
      <c r="C1485" s="188" t="s">
        <v>641</v>
      </c>
      <c r="D1485" s="188" t="s">
        <v>2771</v>
      </c>
      <c r="E1485" s="189">
        <v>39359</v>
      </c>
      <c r="F1485" s="190">
        <v>0</v>
      </c>
      <c r="G1485" s="190">
        <v>22.4</v>
      </c>
      <c r="H1485" s="191">
        <v>350</v>
      </c>
      <c r="I1485" s="191">
        <v>87.5</v>
      </c>
      <c r="J1485" s="188" t="s">
        <v>742</v>
      </c>
      <c r="K1485" s="188" t="s">
        <v>338</v>
      </c>
      <c r="L1485" s="188" t="s">
        <v>1137</v>
      </c>
      <c r="M1485" s="192">
        <f t="shared" si="69"/>
        <v>33</v>
      </c>
      <c r="N1485" s="193">
        <f t="shared" si="70"/>
        <v>1</v>
      </c>
      <c r="O1485" s="194">
        <f t="shared" si="71"/>
        <v>3.0303030303030304E-2</v>
      </c>
    </row>
    <row r="1486" spans="1:15" ht="12.75" customHeight="1">
      <c r="A1486" s="188" t="s">
        <v>620</v>
      </c>
      <c r="B1486" s="188" t="s">
        <v>1394</v>
      </c>
      <c r="C1486" s="188" t="s">
        <v>641</v>
      </c>
      <c r="D1486" s="188" t="s">
        <v>2772</v>
      </c>
      <c r="E1486" s="189">
        <v>39447</v>
      </c>
      <c r="F1486" s="190">
        <v>0</v>
      </c>
      <c r="G1486" s="190">
        <v>115.2</v>
      </c>
      <c r="H1486" s="191">
        <v>1474</v>
      </c>
      <c r="I1486" s="191">
        <v>450</v>
      </c>
      <c r="J1486" s="188" t="s">
        <v>639</v>
      </c>
      <c r="K1486" s="188" t="s">
        <v>338</v>
      </c>
      <c r="L1486" s="188" t="s">
        <v>718</v>
      </c>
      <c r="M1486" s="192">
        <f t="shared" si="69"/>
        <v>27</v>
      </c>
      <c r="N1486" s="193">
        <f t="shared" si="70"/>
        <v>0.81888888888888889</v>
      </c>
      <c r="O1486" s="194">
        <f t="shared" si="71"/>
        <v>3.0329218106995886E-2</v>
      </c>
    </row>
    <row r="1487" spans="1:15" ht="12.75" customHeight="1">
      <c r="A1487" s="188" t="s">
        <v>620</v>
      </c>
      <c r="B1487" s="188" t="s">
        <v>1394</v>
      </c>
      <c r="C1487" s="188" t="s">
        <v>641</v>
      </c>
      <c r="D1487" s="188" t="s">
        <v>2773</v>
      </c>
      <c r="E1487" s="189">
        <v>39447</v>
      </c>
      <c r="F1487" s="190">
        <v>0</v>
      </c>
      <c r="G1487" s="190">
        <v>83.9</v>
      </c>
      <c r="H1487" s="191">
        <v>875</v>
      </c>
      <c r="I1487" s="191">
        <v>327.75</v>
      </c>
      <c r="J1487" s="188" t="s">
        <v>710</v>
      </c>
      <c r="K1487" s="188" t="s">
        <v>338</v>
      </c>
      <c r="L1487" s="188" t="s">
        <v>2774</v>
      </c>
      <c r="M1487" s="192">
        <f t="shared" si="69"/>
        <v>22</v>
      </c>
      <c r="N1487" s="193">
        <f t="shared" si="70"/>
        <v>0.66742944317315023</v>
      </c>
      <c r="O1487" s="194">
        <f t="shared" si="71"/>
        <v>3.0337701962415919E-2</v>
      </c>
    </row>
    <row r="1488" spans="1:15" ht="12.75" customHeight="1">
      <c r="A1488" s="188" t="s">
        <v>620</v>
      </c>
      <c r="B1488" s="188" t="s">
        <v>1394</v>
      </c>
      <c r="C1488" s="188" t="s">
        <v>641</v>
      </c>
      <c r="D1488" s="188" t="s">
        <v>2775</v>
      </c>
      <c r="E1488" s="189">
        <v>39247</v>
      </c>
      <c r="F1488" s="190">
        <v>0</v>
      </c>
      <c r="G1488" s="190">
        <v>64</v>
      </c>
      <c r="H1488" s="191">
        <v>820</v>
      </c>
      <c r="I1488" s="191">
        <v>250</v>
      </c>
      <c r="J1488" s="188" t="s">
        <v>639</v>
      </c>
      <c r="K1488" s="188" t="s">
        <v>338</v>
      </c>
      <c r="L1488" s="188" t="s">
        <v>636</v>
      </c>
      <c r="M1488" s="192">
        <f t="shared" si="69"/>
        <v>27</v>
      </c>
      <c r="N1488" s="193">
        <f t="shared" si="70"/>
        <v>0.82</v>
      </c>
      <c r="O1488" s="194">
        <f t="shared" si="71"/>
        <v>3.0370370370370367E-2</v>
      </c>
    </row>
    <row r="1489" spans="1:15" ht="12.75" customHeight="1">
      <c r="A1489" s="188" t="s">
        <v>620</v>
      </c>
      <c r="B1489" s="188" t="s">
        <v>1394</v>
      </c>
      <c r="C1489" s="188" t="s">
        <v>641</v>
      </c>
      <c r="D1489" s="188" t="s">
        <v>2776</v>
      </c>
      <c r="E1489" s="189">
        <v>39513</v>
      </c>
      <c r="F1489" s="190">
        <v>0</v>
      </c>
      <c r="G1489" s="190">
        <v>61.95</v>
      </c>
      <c r="H1489" s="191">
        <v>795</v>
      </c>
      <c r="I1489" s="191">
        <v>242</v>
      </c>
      <c r="J1489" s="188" t="s">
        <v>639</v>
      </c>
      <c r="K1489" s="188" t="s">
        <v>338</v>
      </c>
      <c r="L1489" s="188" t="s">
        <v>2777</v>
      </c>
      <c r="M1489" s="192">
        <f t="shared" si="69"/>
        <v>27</v>
      </c>
      <c r="N1489" s="193">
        <f t="shared" si="70"/>
        <v>0.82128099173553715</v>
      </c>
      <c r="O1489" s="194">
        <f t="shared" si="71"/>
        <v>3.0417814508723599E-2</v>
      </c>
    </row>
    <row r="1490" spans="1:15" ht="12.75" customHeight="1">
      <c r="A1490" s="188" t="s">
        <v>620</v>
      </c>
      <c r="B1490" s="188" t="s">
        <v>1394</v>
      </c>
      <c r="C1490" s="188" t="s">
        <v>641</v>
      </c>
      <c r="D1490" s="188" t="s">
        <v>2778</v>
      </c>
      <c r="E1490" s="189">
        <v>39303</v>
      </c>
      <c r="F1490" s="190">
        <v>0</v>
      </c>
      <c r="G1490" s="190">
        <v>73.599999999999994</v>
      </c>
      <c r="H1490" s="191">
        <v>944.96</v>
      </c>
      <c r="I1490" s="191">
        <v>287.5</v>
      </c>
      <c r="J1490" s="188" t="s">
        <v>639</v>
      </c>
      <c r="K1490" s="188" t="s">
        <v>338</v>
      </c>
      <c r="L1490" s="188" t="s">
        <v>697</v>
      </c>
      <c r="M1490" s="192">
        <f t="shared" si="69"/>
        <v>27</v>
      </c>
      <c r="N1490" s="193">
        <f t="shared" si="70"/>
        <v>0.82170434782608703</v>
      </c>
      <c r="O1490" s="194">
        <f t="shared" si="71"/>
        <v>3.0433494363929149E-2</v>
      </c>
    </row>
    <row r="1491" spans="1:15" ht="12.75" customHeight="1">
      <c r="A1491" s="188" t="s">
        <v>620</v>
      </c>
      <c r="B1491" s="188" t="s">
        <v>1394</v>
      </c>
      <c r="C1491" s="188" t="s">
        <v>641</v>
      </c>
      <c r="D1491" s="188" t="s">
        <v>2779</v>
      </c>
      <c r="E1491" s="189">
        <v>39562</v>
      </c>
      <c r="F1491" s="190">
        <v>0</v>
      </c>
      <c r="G1491" s="190">
        <v>96</v>
      </c>
      <c r="H1491" s="191">
        <v>1050</v>
      </c>
      <c r="I1491" s="191">
        <v>375</v>
      </c>
      <c r="J1491" s="188" t="s">
        <v>571</v>
      </c>
      <c r="K1491" s="188" t="s">
        <v>338</v>
      </c>
      <c r="L1491" s="188" t="s">
        <v>746</v>
      </c>
      <c r="M1491" s="192">
        <f t="shared" si="69"/>
        <v>23</v>
      </c>
      <c r="N1491" s="193">
        <f t="shared" si="70"/>
        <v>0.7</v>
      </c>
      <c r="O1491" s="194">
        <f t="shared" si="71"/>
        <v>3.043478260869565E-2</v>
      </c>
    </row>
    <row r="1492" spans="1:15" ht="12.75" customHeight="1">
      <c r="A1492" s="188" t="s">
        <v>620</v>
      </c>
      <c r="B1492" s="188" t="s">
        <v>1394</v>
      </c>
      <c r="C1492" s="188" t="s">
        <v>641</v>
      </c>
      <c r="D1492" s="188" t="s">
        <v>2780</v>
      </c>
      <c r="E1492" s="189">
        <v>39282</v>
      </c>
      <c r="F1492" s="190">
        <v>0</v>
      </c>
      <c r="G1492" s="190">
        <v>105.73</v>
      </c>
      <c r="H1492" s="191">
        <v>1055.96</v>
      </c>
      <c r="I1492" s="191">
        <v>413</v>
      </c>
      <c r="J1492" s="188" t="s">
        <v>879</v>
      </c>
      <c r="K1492" s="188" t="s">
        <v>338</v>
      </c>
      <c r="L1492" s="188" t="s">
        <v>2781</v>
      </c>
      <c r="M1492" s="192">
        <f t="shared" si="69"/>
        <v>21</v>
      </c>
      <c r="N1492" s="193">
        <f t="shared" si="70"/>
        <v>0.63920096852300246</v>
      </c>
      <c r="O1492" s="194">
        <f t="shared" si="71"/>
        <v>3.0438141358238212E-2</v>
      </c>
    </row>
    <row r="1493" spans="1:15" ht="12.75" customHeight="1">
      <c r="A1493" s="188" t="s">
        <v>620</v>
      </c>
      <c r="B1493" s="188" t="s">
        <v>1394</v>
      </c>
      <c r="C1493" s="188" t="s">
        <v>641</v>
      </c>
      <c r="D1493" s="188" t="s">
        <v>2782</v>
      </c>
      <c r="E1493" s="189">
        <v>39415</v>
      </c>
      <c r="F1493" s="190">
        <v>0</v>
      </c>
      <c r="G1493" s="190">
        <v>73.73</v>
      </c>
      <c r="H1493" s="191">
        <v>702</v>
      </c>
      <c r="I1493" s="191">
        <v>288</v>
      </c>
      <c r="J1493" s="188" t="s">
        <v>560</v>
      </c>
      <c r="K1493" s="188" t="s">
        <v>338</v>
      </c>
      <c r="L1493" s="188" t="s">
        <v>952</v>
      </c>
      <c r="M1493" s="192">
        <f t="shared" si="69"/>
        <v>20</v>
      </c>
      <c r="N1493" s="193">
        <f t="shared" si="70"/>
        <v>0.609375</v>
      </c>
      <c r="O1493" s="194">
        <f t="shared" si="71"/>
        <v>3.0468749999999999E-2</v>
      </c>
    </row>
    <row r="1494" spans="1:15" ht="12.75" customHeight="1">
      <c r="A1494" s="188" t="s">
        <v>620</v>
      </c>
      <c r="B1494" s="188" t="s">
        <v>1394</v>
      </c>
      <c r="C1494" s="188" t="s">
        <v>641</v>
      </c>
      <c r="D1494" s="188" t="s">
        <v>2783</v>
      </c>
      <c r="E1494" s="189">
        <v>39513</v>
      </c>
      <c r="F1494" s="190">
        <v>0</v>
      </c>
      <c r="G1494" s="190">
        <v>86.4</v>
      </c>
      <c r="H1494" s="191">
        <v>822.67</v>
      </c>
      <c r="I1494" s="191">
        <v>337.5</v>
      </c>
      <c r="J1494" s="188" t="s">
        <v>560</v>
      </c>
      <c r="K1494" s="188" t="s">
        <v>338</v>
      </c>
      <c r="L1494" s="188" t="s">
        <v>707</v>
      </c>
      <c r="M1494" s="192">
        <f t="shared" si="69"/>
        <v>20</v>
      </c>
      <c r="N1494" s="193">
        <f t="shared" si="70"/>
        <v>0.60938518518518514</v>
      </c>
      <c r="O1494" s="194">
        <f t="shared" si="71"/>
        <v>3.0469259259259258E-2</v>
      </c>
    </row>
    <row r="1495" spans="1:15" ht="12.75" customHeight="1">
      <c r="A1495" s="188" t="s">
        <v>620</v>
      </c>
      <c r="B1495" s="188" t="s">
        <v>1394</v>
      </c>
      <c r="C1495" s="188" t="s">
        <v>641</v>
      </c>
      <c r="D1495" s="188" t="s">
        <v>2784</v>
      </c>
      <c r="E1495" s="189">
        <v>39447</v>
      </c>
      <c r="F1495" s="190">
        <v>0</v>
      </c>
      <c r="G1495" s="190">
        <v>60.8</v>
      </c>
      <c r="H1495" s="191">
        <v>1100</v>
      </c>
      <c r="I1495" s="191">
        <v>237.5</v>
      </c>
      <c r="J1495" s="188" t="s">
        <v>624</v>
      </c>
      <c r="K1495" s="188" t="s">
        <v>338</v>
      </c>
      <c r="L1495" s="188" t="s">
        <v>1164</v>
      </c>
      <c r="M1495" s="192">
        <f t="shared" si="69"/>
        <v>38</v>
      </c>
      <c r="N1495" s="193">
        <f t="shared" si="70"/>
        <v>1.1578947368421053</v>
      </c>
      <c r="O1495" s="194">
        <f t="shared" si="71"/>
        <v>3.0470914127423823E-2</v>
      </c>
    </row>
    <row r="1496" spans="1:15" ht="12.75" customHeight="1">
      <c r="A1496" s="188" t="s">
        <v>620</v>
      </c>
      <c r="B1496" s="188" t="s">
        <v>1394</v>
      </c>
      <c r="C1496" s="188" t="s">
        <v>641</v>
      </c>
      <c r="D1496" s="188" t="s">
        <v>2785</v>
      </c>
      <c r="E1496" s="189">
        <v>39555</v>
      </c>
      <c r="F1496" s="190">
        <v>0</v>
      </c>
      <c r="G1496" s="190">
        <v>98.56</v>
      </c>
      <c r="H1496" s="191">
        <v>1409.94</v>
      </c>
      <c r="I1496" s="191">
        <v>385</v>
      </c>
      <c r="J1496" s="188" t="s">
        <v>635</v>
      </c>
      <c r="K1496" s="188" t="s">
        <v>338</v>
      </c>
      <c r="L1496" s="188" t="s">
        <v>892</v>
      </c>
      <c r="M1496" s="192">
        <f t="shared" si="69"/>
        <v>30</v>
      </c>
      <c r="N1496" s="193">
        <f t="shared" si="70"/>
        <v>0.91554545454545455</v>
      </c>
      <c r="O1496" s="194">
        <f t="shared" si="71"/>
        <v>3.0518181818181819E-2</v>
      </c>
    </row>
    <row r="1497" spans="1:15" ht="12.75" customHeight="1">
      <c r="A1497" s="188" t="s">
        <v>620</v>
      </c>
      <c r="B1497" s="188" t="s">
        <v>1394</v>
      </c>
      <c r="C1497" s="188" t="s">
        <v>641</v>
      </c>
      <c r="D1497" s="188" t="s">
        <v>2786</v>
      </c>
      <c r="E1497" s="189">
        <v>39331</v>
      </c>
      <c r="F1497" s="190">
        <v>0</v>
      </c>
      <c r="G1497" s="190">
        <v>70.400000000000006</v>
      </c>
      <c r="H1497" s="191">
        <v>671.99</v>
      </c>
      <c r="I1497" s="191">
        <v>275</v>
      </c>
      <c r="J1497" s="188" t="s">
        <v>560</v>
      </c>
      <c r="K1497" s="188" t="s">
        <v>338</v>
      </c>
      <c r="L1497" s="188" t="s">
        <v>557</v>
      </c>
      <c r="M1497" s="192">
        <f t="shared" si="69"/>
        <v>20</v>
      </c>
      <c r="N1497" s="193">
        <f t="shared" si="70"/>
        <v>0.6109</v>
      </c>
      <c r="O1497" s="194">
        <f t="shared" si="71"/>
        <v>3.0544999999999999E-2</v>
      </c>
    </row>
    <row r="1498" spans="1:15" ht="12.75" customHeight="1">
      <c r="A1498" s="188" t="s">
        <v>620</v>
      </c>
      <c r="B1498" s="188" t="s">
        <v>1394</v>
      </c>
      <c r="C1498" s="188" t="s">
        <v>641</v>
      </c>
      <c r="D1498" s="188" t="s">
        <v>2787</v>
      </c>
      <c r="E1498" s="189">
        <v>39507</v>
      </c>
      <c r="F1498" s="190">
        <v>0</v>
      </c>
      <c r="G1498" s="190">
        <v>118.02</v>
      </c>
      <c r="H1498" s="191">
        <v>2142</v>
      </c>
      <c r="I1498" s="191">
        <v>461</v>
      </c>
      <c r="J1498" s="188" t="s">
        <v>624</v>
      </c>
      <c r="K1498" s="188" t="s">
        <v>338</v>
      </c>
      <c r="L1498" s="188" t="s">
        <v>2788</v>
      </c>
      <c r="M1498" s="192">
        <f t="shared" si="69"/>
        <v>38</v>
      </c>
      <c r="N1498" s="193">
        <f t="shared" si="70"/>
        <v>1.1616052060737527</v>
      </c>
      <c r="O1498" s="194">
        <f t="shared" si="71"/>
        <v>3.0568558054572439E-2</v>
      </c>
    </row>
    <row r="1499" spans="1:15" ht="12.75" customHeight="1">
      <c r="A1499" s="188" t="s">
        <v>620</v>
      </c>
      <c r="B1499" s="188" t="s">
        <v>1394</v>
      </c>
      <c r="C1499" s="188" t="s">
        <v>641</v>
      </c>
      <c r="D1499" s="188" t="s">
        <v>2789</v>
      </c>
      <c r="E1499" s="189">
        <v>39359</v>
      </c>
      <c r="F1499" s="190">
        <v>0</v>
      </c>
      <c r="G1499" s="190">
        <v>67.52</v>
      </c>
      <c r="H1499" s="191">
        <v>968</v>
      </c>
      <c r="I1499" s="191">
        <v>263.75</v>
      </c>
      <c r="J1499" s="188" t="s">
        <v>635</v>
      </c>
      <c r="K1499" s="188" t="s">
        <v>338</v>
      </c>
      <c r="L1499" s="188" t="s">
        <v>2790</v>
      </c>
      <c r="M1499" s="192">
        <f t="shared" si="69"/>
        <v>30</v>
      </c>
      <c r="N1499" s="193">
        <f t="shared" si="70"/>
        <v>0.91753554502369672</v>
      </c>
      <c r="O1499" s="194">
        <f t="shared" si="71"/>
        <v>3.0584518167456557E-2</v>
      </c>
    </row>
    <row r="1500" spans="1:15" ht="12.75" customHeight="1">
      <c r="A1500" s="188" t="s">
        <v>620</v>
      </c>
      <c r="B1500" s="188" t="s">
        <v>1394</v>
      </c>
      <c r="C1500" s="188" t="s">
        <v>641</v>
      </c>
      <c r="D1500" s="188" t="s">
        <v>2791</v>
      </c>
      <c r="E1500" s="189">
        <v>39282</v>
      </c>
      <c r="F1500" s="190">
        <v>0</v>
      </c>
      <c r="G1500" s="190">
        <v>57.34</v>
      </c>
      <c r="H1500" s="191">
        <v>521.02</v>
      </c>
      <c r="I1500" s="191">
        <v>224</v>
      </c>
      <c r="J1500" s="188" t="s">
        <v>667</v>
      </c>
      <c r="K1500" s="188" t="s">
        <v>338</v>
      </c>
      <c r="L1500" s="188" t="s">
        <v>654</v>
      </c>
      <c r="M1500" s="192">
        <f t="shared" si="69"/>
        <v>19</v>
      </c>
      <c r="N1500" s="193">
        <f t="shared" si="70"/>
        <v>0.58149553571428569</v>
      </c>
      <c r="O1500" s="194">
        <f t="shared" si="71"/>
        <v>3.0605028195488722E-2</v>
      </c>
    </row>
    <row r="1501" spans="1:15" ht="12.75" customHeight="1">
      <c r="A1501" s="188" t="s">
        <v>620</v>
      </c>
      <c r="B1501" s="188" t="s">
        <v>1394</v>
      </c>
      <c r="C1501" s="188" t="s">
        <v>641</v>
      </c>
      <c r="D1501" s="188" t="s">
        <v>2792</v>
      </c>
      <c r="E1501" s="189">
        <v>39576</v>
      </c>
      <c r="F1501" s="190">
        <v>0</v>
      </c>
      <c r="G1501" s="190">
        <v>140.80000000000001</v>
      </c>
      <c r="H1501" s="191">
        <v>2570</v>
      </c>
      <c r="I1501" s="191">
        <v>550</v>
      </c>
      <c r="J1501" s="188" t="s">
        <v>624</v>
      </c>
      <c r="K1501" s="188" t="s">
        <v>338</v>
      </c>
      <c r="L1501" s="188" t="s">
        <v>938</v>
      </c>
      <c r="M1501" s="192">
        <f t="shared" si="69"/>
        <v>38</v>
      </c>
      <c r="N1501" s="193">
        <f t="shared" si="70"/>
        <v>1.1681818181818182</v>
      </c>
      <c r="O1501" s="194">
        <f t="shared" si="71"/>
        <v>3.0741626794258375E-2</v>
      </c>
    </row>
    <row r="1502" spans="1:15" ht="12.75" customHeight="1">
      <c r="A1502" s="188" t="s">
        <v>620</v>
      </c>
      <c r="B1502" s="188" t="s">
        <v>1394</v>
      </c>
      <c r="C1502" s="188" t="s">
        <v>641</v>
      </c>
      <c r="D1502" s="188" t="s">
        <v>2793</v>
      </c>
      <c r="E1502" s="189">
        <v>39583</v>
      </c>
      <c r="F1502" s="190">
        <v>0</v>
      </c>
      <c r="G1502" s="190">
        <v>77.12</v>
      </c>
      <c r="H1502" s="191">
        <v>890.98</v>
      </c>
      <c r="I1502" s="191">
        <v>301.25</v>
      </c>
      <c r="J1502" s="188" t="s">
        <v>1052</v>
      </c>
      <c r="K1502" s="188" t="s">
        <v>338</v>
      </c>
      <c r="L1502" s="188" t="s">
        <v>2794</v>
      </c>
      <c r="M1502" s="192">
        <f t="shared" si="69"/>
        <v>24</v>
      </c>
      <c r="N1502" s="193">
        <f t="shared" si="70"/>
        <v>0.73940248962655608</v>
      </c>
      <c r="O1502" s="194">
        <f t="shared" si="71"/>
        <v>3.080843706777317E-2</v>
      </c>
    </row>
    <row r="1503" spans="1:15" ht="12.75" customHeight="1">
      <c r="A1503" s="188" t="s">
        <v>620</v>
      </c>
      <c r="B1503" s="188" t="s">
        <v>1394</v>
      </c>
      <c r="C1503" s="188" t="s">
        <v>641</v>
      </c>
      <c r="D1503" s="188" t="s">
        <v>2795</v>
      </c>
      <c r="E1503" s="189">
        <v>39366</v>
      </c>
      <c r="F1503" s="190">
        <v>0</v>
      </c>
      <c r="G1503" s="190">
        <v>45.7</v>
      </c>
      <c r="H1503" s="191">
        <v>660</v>
      </c>
      <c r="I1503" s="191">
        <v>178.5</v>
      </c>
      <c r="J1503" s="188" t="s">
        <v>635</v>
      </c>
      <c r="K1503" s="188" t="s">
        <v>338</v>
      </c>
      <c r="L1503" s="188" t="s">
        <v>2796</v>
      </c>
      <c r="M1503" s="192">
        <f t="shared" si="69"/>
        <v>30</v>
      </c>
      <c r="N1503" s="193">
        <f t="shared" si="70"/>
        <v>0.92436974789915971</v>
      </c>
      <c r="O1503" s="194">
        <f t="shared" si="71"/>
        <v>3.081232492997199E-2</v>
      </c>
    </row>
    <row r="1504" spans="1:15" ht="12.75" customHeight="1">
      <c r="A1504" s="188" t="s">
        <v>620</v>
      </c>
      <c r="B1504" s="188" t="s">
        <v>1394</v>
      </c>
      <c r="C1504" s="188" t="s">
        <v>641</v>
      </c>
      <c r="D1504" s="188" t="s">
        <v>2797</v>
      </c>
      <c r="E1504" s="189">
        <v>39317</v>
      </c>
      <c r="F1504" s="190">
        <v>0</v>
      </c>
      <c r="G1504" s="190">
        <v>57.34</v>
      </c>
      <c r="H1504" s="191">
        <v>1050.02</v>
      </c>
      <c r="I1504" s="191">
        <v>224</v>
      </c>
      <c r="J1504" s="188" t="s">
        <v>624</v>
      </c>
      <c r="K1504" s="188" t="s">
        <v>338</v>
      </c>
      <c r="L1504" s="188" t="s">
        <v>654</v>
      </c>
      <c r="M1504" s="192">
        <f t="shared" si="69"/>
        <v>38</v>
      </c>
      <c r="N1504" s="193">
        <f t="shared" si="70"/>
        <v>1.1718973214285715</v>
      </c>
      <c r="O1504" s="194">
        <f t="shared" si="71"/>
        <v>3.0839403195488724E-2</v>
      </c>
    </row>
    <row r="1505" spans="1:15" ht="12.75" customHeight="1">
      <c r="A1505" s="188" t="s">
        <v>620</v>
      </c>
      <c r="B1505" s="188" t="s">
        <v>1394</v>
      </c>
      <c r="C1505" s="188" t="s">
        <v>641</v>
      </c>
      <c r="D1505" s="188" t="s">
        <v>2798</v>
      </c>
      <c r="E1505" s="189">
        <v>39366</v>
      </c>
      <c r="F1505" s="190">
        <v>0</v>
      </c>
      <c r="G1505" s="190">
        <v>80.7</v>
      </c>
      <c r="H1505" s="191">
        <v>1050</v>
      </c>
      <c r="I1505" s="191">
        <v>315.25</v>
      </c>
      <c r="J1505" s="188" t="s">
        <v>639</v>
      </c>
      <c r="K1505" s="188" t="s">
        <v>338</v>
      </c>
      <c r="L1505" s="188" t="s">
        <v>1970</v>
      </c>
      <c r="M1505" s="192">
        <f t="shared" si="69"/>
        <v>27</v>
      </c>
      <c r="N1505" s="193">
        <f t="shared" si="70"/>
        <v>0.83267248215701828</v>
      </c>
      <c r="O1505" s="194">
        <f t="shared" si="71"/>
        <v>3.0839721561371047E-2</v>
      </c>
    </row>
    <row r="1506" spans="1:15" ht="12.75" customHeight="1">
      <c r="A1506" s="188" t="s">
        <v>620</v>
      </c>
      <c r="B1506" s="188" t="s">
        <v>1394</v>
      </c>
      <c r="C1506" s="188" t="s">
        <v>641</v>
      </c>
      <c r="D1506" s="188" t="s">
        <v>2799</v>
      </c>
      <c r="E1506" s="189">
        <v>39395</v>
      </c>
      <c r="F1506" s="190">
        <v>0</v>
      </c>
      <c r="G1506" s="190">
        <v>71.17</v>
      </c>
      <c r="H1506" s="191">
        <v>1029</v>
      </c>
      <c r="I1506" s="191">
        <v>278</v>
      </c>
      <c r="J1506" s="188" t="s">
        <v>635</v>
      </c>
      <c r="K1506" s="188" t="s">
        <v>338</v>
      </c>
      <c r="L1506" s="188" t="s">
        <v>2800</v>
      </c>
      <c r="M1506" s="192">
        <f t="shared" si="69"/>
        <v>30</v>
      </c>
      <c r="N1506" s="193">
        <f t="shared" si="70"/>
        <v>0.92535971223021585</v>
      </c>
      <c r="O1506" s="194">
        <f t="shared" si="71"/>
        <v>3.0845323741007194E-2</v>
      </c>
    </row>
    <row r="1507" spans="1:15" ht="12.75" customHeight="1">
      <c r="A1507" s="188" t="s">
        <v>620</v>
      </c>
      <c r="B1507" s="188" t="s">
        <v>1394</v>
      </c>
      <c r="C1507" s="188" t="s">
        <v>641</v>
      </c>
      <c r="D1507" s="188" t="s">
        <v>2801</v>
      </c>
      <c r="E1507" s="189">
        <v>39499</v>
      </c>
      <c r="F1507" s="190">
        <v>0</v>
      </c>
      <c r="G1507" s="190">
        <v>51.84</v>
      </c>
      <c r="H1507" s="191">
        <v>950</v>
      </c>
      <c r="I1507" s="191">
        <v>202.5</v>
      </c>
      <c r="J1507" s="188" t="s">
        <v>624</v>
      </c>
      <c r="K1507" s="188" t="s">
        <v>338</v>
      </c>
      <c r="L1507" s="188" t="s">
        <v>1883</v>
      </c>
      <c r="M1507" s="192">
        <f t="shared" si="69"/>
        <v>38</v>
      </c>
      <c r="N1507" s="193">
        <f t="shared" si="70"/>
        <v>1.1728395061728396</v>
      </c>
      <c r="O1507" s="194">
        <f t="shared" si="71"/>
        <v>3.0864197530864199E-2</v>
      </c>
    </row>
    <row r="1508" spans="1:15" ht="12.75" customHeight="1">
      <c r="A1508" s="188" t="s">
        <v>620</v>
      </c>
      <c r="B1508" s="188" t="s">
        <v>1394</v>
      </c>
      <c r="C1508" s="188" t="s">
        <v>641</v>
      </c>
      <c r="D1508" s="188" t="s">
        <v>2802</v>
      </c>
      <c r="E1508" s="189">
        <v>39471</v>
      </c>
      <c r="F1508" s="190">
        <v>0</v>
      </c>
      <c r="G1508" s="190">
        <v>80</v>
      </c>
      <c r="H1508" s="191">
        <v>1196</v>
      </c>
      <c r="I1508" s="191">
        <v>312.5</v>
      </c>
      <c r="J1508" s="188" t="s">
        <v>503</v>
      </c>
      <c r="K1508" s="188" t="s">
        <v>338</v>
      </c>
      <c r="L1508" s="188" t="s">
        <v>716</v>
      </c>
      <c r="M1508" s="192">
        <f t="shared" si="69"/>
        <v>31</v>
      </c>
      <c r="N1508" s="193">
        <f t="shared" si="70"/>
        <v>0.95679999999999998</v>
      </c>
      <c r="O1508" s="194">
        <f t="shared" si="71"/>
        <v>3.0864516129032259E-2</v>
      </c>
    </row>
    <row r="1509" spans="1:15" ht="12.75" customHeight="1">
      <c r="A1509" s="188" t="s">
        <v>620</v>
      </c>
      <c r="B1509" s="188" t="s">
        <v>1394</v>
      </c>
      <c r="C1509" s="188" t="s">
        <v>641</v>
      </c>
      <c r="D1509" s="188" t="s">
        <v>2803</v>
      </c>
      <c r="E1509" s="189">
        <v>39331</v>
      </c>
      <c r="F1509" s="190">
        <v>0</v>
      </c>
      <c r="G1509" s="190">
        <v>108.42</v>
      </c>
      <c r="H1509" s="191">
        <v>1989.94</v>
      </c>
      <c r="I1509" s="191">
        <v>423.5</v>
      </c>
      <c r="J1509" s="188" t="s">
        <v>624</v>
      </c>
      <c r="K1509" s="188" t="s">
        <v>338</v>
      </c>
      <c r="L1509" s="188" t="s">
        <v>2804</v>
      </c>
      <c r="M1509" s="192">
        <f t="shared" si="69"/>
        <v>38</v>
      </c>
      <c r="N1509" s="193">
        <f t="shared" si="70"/>
        <v>1.1746989374262102</v>
      </c>
      <c r="O1509" s="194">
        <f t="shared" si="71"/>
        <v>3.091312993226869E-2</v>
      </c>
    </row>
    <row r="1510" spans="1:15" ht="12.75" customHeight="1">
      <c r="A1510" s="188" t="s">
        <v>620</v>
      </c>
      <c r="B1510" s="188" t="s">
        <v>1394</v>
      </c>
      <c r="C1510" s="188" t="s">
        <v>641</v>
      </c>
      <c r="D1510" s="188" t="s">
        <v>2805</v>
      </c>
      <c r="E1510" s="189">
        <v>39373</v>
      </c>
      <c r="F1510" s="190">
        <v>0</v>
      </c>
      <c r="G1510" s="190">
        <v>74.75</v>
      </c>
      <c r="H1510" s="191">
        <v>975</v>
      </c>
      <c r="I1510" s="191">
        <v>292</v>
      </c>
      <c r="J1510" s="188" t="s">
        <v>639</v>
      </c>
      <c r="K1510" s="188" t="s">
        <v>338</v>
      </c>
      <c r="L1510" s="188" t="s">
        <v>1974</v>
      </c>
      <c r="M1510" s="192">
        <f t="shared" si="69"/>
        <v>27</v>
      </c>
      <c r="N1510" s="193">
        <f t="shared" si="70"/>
        <v>0.83476027397260277</v>
      </c>
      <c r="O1510" s="194">
        <f t="shared" si="71"/>
        <v>3.0917047184170474E-2</v>
      </c>
    </row>
    <row r="1511" spans="1:15" ht="12.75" customHeight="1">
      <c r="A1511" s="188" t="s">
        <v>620</v>
      </c>
      <c r="B1511" s="188" t="s">
        <v>1394</v>
      </c>
      <c r="C1511" s="188" t="s">
        <v>641</v>
      </c>
      <c r="D1511" s="188" t="s">
        <v>2806</v>
      </c>
      <c r="E1511" s="189">
        <v>39247</v>
      </c>
      <c r="F1511" s="190">
        <v>0</v>
      </c>
      <c r="G1511" s="190">
        <v>38.909999999999997</v>
      </c>
      <c r="H1511" s="191">
        <v>717.99</v>
      </c>
      <c r="I1511" s="191">
        <v>152</v>
      </c>
      <c r="J1511" s="188" t="s">
        <v>624</v>
      </c>
      <c r="K1511" s="188" t="s">
        <v>338</v>
      </c>
      <c r="L1511" s="188" t="s">
        <v>2047</v>
      </c>
      <c r="M1511" s="192">
        <f t="shared" si="69"/>
        <v>38</v>
      </c>
      <c r="N1511" s="193">
        <f t="shared" si="70"/>
        <v>1.180904605263158</v>
      </c>
      <c r="O1511" s="194">
        <f t="shared" si="71"/>
        <v>3.1076436980609422E-2</v>
      </c>
    </row>
    <row r="1512" spans="1:15" ht="12.75" customHeight="1">
      <c r="A1512" s="188" t="s">
        <v>620</v>
      </c>
      <c r="B1512" s="188" t="s">
        <v>1394</v>
      </c>
      <c r="C1512" s="188" t="s">
        <v>641</v>
      </c>
      <c r="D1512" s="188" t="s">
        <v>2807</v>
      </c>
      <c r="E1512" s="189">
        <v>39447</v>
      </c>
      <c r="F1512" s="190">
        <v>0</v>
      </c>
      <c r="G1512" s="190">
        <v>112</v>
      </c>
      <c r="H1512" s="191">
        <v>1305.45</v>
      </c>
      <c r="I1512" s="191">
        <v>437.5</v>
      </c>
      <c r="J1512" s="188" t="s">
        <v>1052</v>
      </c>
      <c r="K1512" s="188" t="s">
        <v>338</v>
      </c>
      <c r="L1512" s="188" t="s">
        <v>727</v>
      </c>
      <c r="M1512" s="192">
        <f t="shared" si="69"/>
        <v>24</v>
      </c>
      <c r="N1512" s="193">
        <f t="shared" si="70"/>
        <v>0.74597142857142862</v>
      </c>
      <c r="O1512" s="194">
        <f t="shared" si="71"/>
        <v>3.108214285714286E-2</v>
      </c>
    </row>
    <row r="1513" spans="1:15" ht="12.75" customHeight="1">
      <c r="A1513" s="188" t="s">
        <v>620</v>
      </c>
      <c r="B1513" s="188" t="s">
        <v>1394</v>
      </c>
      <c r="C1513" s="188" t="s">
        <v>641</v>
      </c>
      <c r="D1513" s="188" t="s">
        <v>2808</v>
      </c>
      <c r="E1513" s="189">
        <v>39339</v>
      </c>
      <c r="F1513" s="190">
        <v>0</v>
      </c>
      <c r="G1513" s="190">
        <v>140.80000000000001</v>
      </c>
      <c r="H1513" s="191">
        <v>1299.98</v>
      </c>
      <c r="I1513" s="191">
        <v>550</v>
      </c>
      <c r="J1513" s="188" t="s">
        <v>667</v>
      </c>
      <c r="K1513" s="188" t="s">
        <v>338</v>
      </c>
      <c r="L1513" s="188" t="s">
        <v>938</v>
      </c>
      <c r="M1513" s="192">
        <f t="shared" si="69"/>
        <v>19</v>
      </c>
      <c r="N1513" s="193">
        <f t="shared" si="70"/>
        <v>0.59089999999999998</v>
      </c>
      <c r="O1513" s="194">
        <f t="shared" si="71"/>
        <v>3.1099999999999999E-2</v>
      </c>
    </row>
    <row r="1514" spans="1:15" ht="12.75" customHeight="1">
      <c r="A1514" s="188" t="s">
        <v>620</v>
      </c>
      <c r="B1514" s="188" t="s">
        <v>1394</v>
      </c>
      <c r="C1514" s="188" t="s">
        <v>641</v>
      </c>
      <c r="D1514" s="188" t="s">
        <v>2809</v>
      </c>
      <c r="E1514" s="189">
        <v>39373</v>
      </c>
      <c r="F1514" s="190">
        <v>0</v>
      </c>
      <c r="G1514" s="190">
        <v>28.8</v>
      </c>
      <c r="H1514" s="191">
        <v>350</v>
      </c>
      <c r="I1514" s="191">
        <v>112.5</v>
      </c>
      <c r="J1514" s="188" t="s">
        <v>652</v>
      </c>
      <c r="K1514" s="188" t="s">
        <v>338</v>
      </c>
      <c r="L1514" s="188" t="s">
        <v>2279</v>
      </c>
      <c r="M1514" s="192">
        <f t="shared" si="69"/>
        <v>25</v>
      </c>
      <c r="N1514" s="193">
        <f t="shared" si="70"/>
        <v>0.77777777777777779</v>
      </c>
      <c r="O1514" s="194">
        <f t="shared" si="71"/>
        <v>3.111111111111111E-2</v>
      </c>
    </row>
    <row r="1515" spans="1:15" ht="12.75" customHeight="1">
      <c r="A1515" s="188" t="s">
        <v>620</v>
      </c>
      <c r="B1515" s="188" t="s">
        <v>1394</v>
      </c>
      <c r="C1515" s="188" t="s">
        <v>641</v>
      </c>
      <c r="D1515" s="188" t="s">
        <v>2810</v>
      </c>
      <c r="E1515" s="189">
        <v>39527</v>
      </c>
      <c r="F1515" s="190">
        <v>0</v>
      </c>
      <c r="G1515" s="190">
        <v>78.849999999999994</v>
      </c>
      <c r="H1515" s="191">
        <v>1035</v>
      </c>
      <c r="I1515" s="191">
        <v>308</v>
      </c>
      <c r="J1515" s="188" t="s">
        <v>639</v>
      </c>
      <c r="K1515" s="188" t="s">
        <v>338</v>
      </c>
      <c r="L1515" s="188" t="s">
        <v>1965</v>
      </c>
      <c r="M1515" s="192">
        <f t="shared" si="69"/>
        <v>27</v>
      </c>
      <c r="N1515" s="193">
        <f t="shared" si="70"/>
        <v>0.84009740259740262</v>
      </c>
      <c r="O1515" s="194">
        <f t="shared" si="71"/>
        <v>3.1114718614718616E-2</v>
      </c>
    </row>
    <row r="1516" spans="1:15" ht="12.75" customHeight="1">
      <c r="A1516" s="188" t="s">
        <v>620</v>
      </c>
      <c r="B1516" s="188" t="s">
        <v>1394</v>
      </c>
      <c r="C1516" s="188" t="s">
        <v>641</v>
      </c>
      <c r="D1516" s="188" t="s">
        <v>2811</v>
      </c>
      <c r="E1516" s="189">
        <v>39269</v>
      </c>
      <c r="F1516" s="190">
        <v>0</v>
      </c>
      <c r="G1516" s="190">
        <v>69.5</v>
      </c>
      <c r="H1516" s="191">
        <v>676.04</v>
      </c>
      <c r="I1516" s="191">
        <v>271.5</v>
      </c>
      <c r="J1516" s="188" t="s">
        <v>560</v>
      </c>
      <c r="K1516" s="188" t="s">
        <v>338</v>
      </c>
      <c r="L1516" s="188" t="s">
        <v>2812</v>
      </c>
      <c r="M1516" s="192">
        <f t="shared" si="69"/>
        <v>20</v>
      </c>
      <c r="N1516" s="193">
        <f t="shared" si="70"/>
        <v>0.62250460405156538</v>
      </c>
      <c r="O1516" s="194">
        <f t="shared" si="71"/>
        <v>3.112523020257827E-2</v>
      </c>
    </row>
    <row r="1517" spans="1:15" ht="12.75" customHeight="1">
      <c r="A1517" s="188" t="s">
        <v>620</v>
      </c>
      <c r="B1517" s="188" t="s">
        <v>1394</v>
      </c>
      <c r="C1517" s="188" t="s">
        <v>641</v>
      </c>
      <c r="D1517" s="188" t="s">
        <v>2813</v>
      </c>
      <c r="E1517" s="189">
        <v>39534</v>
      </c>
      <c r="F1517" s="190">
        <v>0</v>
      </c>
      <c r="G1517" s="190">
        <v>122.75</v>
      </c>
      <c r="H1517" s="191">
        <v>1375</v>
      </c>
      <c r="I1517" s="191">
        <v>479.5</v>
      </c>
      <c r="J1517" s="188" t="s">
        <v>571</v>
      </c>
      <c r="K1517" s="188" t="s">
        <v>338</v>
      </c>
      <c r="L1517" s="188" t="s">
        <v>2814</v>
      </c>
      <c r="M1517" s="192">
        <f t="shared" si="69"/>
        <v>23</v>
      </c>
      <c r="N1517" s="193">
        <f t="shared" si="70"/>
        <v>0.71689259645464021</v>
      </c>
      <c r="O1517" s="194">
        <f t="shared" si="71"/>
        <v>3.1169243324114793E-2</v>
      </c>
    </row>
    <row r="1518" spans="1:15" ht="12.75" customHeight="1">
      <c r="A1518" s="188" t="s">
        <v>620</v>
      </c>
      <c r="B1518" s="188" t="s">
        <v>1394</v>
      </c>
      <c r="C1518" s="188" t="s">
        <v>641</v>
      </c>
      <c r="D1518" s="188" t="s">
        <v>2815</v>
      </c>
      <c r="E1518" s="189">
        <v>39226</v>
      </c>
      <c r="F1518" s="190">
        <v>0</v>
      </c>
      <c r="G1518" s="190">
        <v>109.63</v>
      </c>
      <c r="H1518" s="191">
        <v>1334.94</v>
      </c>
      <c r="I1518" s="191">
        <v>428.25</v>
      </c>
      <c r="J1518" s="188" t="s">
        <v>652</v>
      </c>
      <c r="K1518" s="188" t="s">
        <v>338</v>
      </c>
      <c r="L1518" s="188" t="s">
        <v>871</v>
      </c>
      <c r="M1518" s="192">
        <f t="shared" si="69"/>
        <v>25</v>
      </c>
      <c r="N1518" s="193">
        <f t="shared" si="70"/>
        <v>0.7792994746059545</v>
      </c>
      <c r="O1518" s="194">
        <f t="shared" si="71"/>
        <v>3.117197898423818E-2</v>
      </c>
    </row>
    <row r="1519" spans="1:15" ht="12.75" customHeight="1">
      <c r="A1519" s="188" t="s">
        <v>620</v>
      </c>
      <c r="B1519" s="188" t="s">
        <v>1394</v>
      </c>
      <c r="C1519" s="188" t="s">
        <v>641</v>
      </c>
      <c r="D1519" s="188" t="s">
        <v>2816</v>
      </c>
      <c r="E1519" s="189">
        <v>39282</v>
      </c>
      <c r="F1519" s="190">
        <v>0</v>
      </c>
      <c r="G1519" s="190">
        <v>61.44</v>
      </c>
      <c r="H1519" s="191">
        <v>808.03</v>
      </c>
      <c r="I1519" s="191">
        <v>240</v>
      </c>
      <c r="J1519" s="188" t="s">
        <v>639</v>
      </c>
      <c r="K1519" s="188" t="s">
        <v>338</v>
      </c>
      <c r="L1519" s="188" t="s">
        <v>1146</v>
      </c>
      <c r="M1519" s="192">
        <f t="shared" si="69"/>
        <v>27</v>
      </c>
      <c r="N1519" s="193">
        <f t="shared" si="70"/>
        <v>0.8416979166666666</v>
      </c>
      <c r="O1519" s="194">
        <f t="shared" si="71"/>
        <v>3.1173996913580245E-2</v>
      </c>
    </row>
    <row r="1520" spans="1:15" ht="12.75" customHeight="1">
      <c r="A1520" s="188" t="s">
        <v>620</v>
      </c>
      <c r="B1520" s="188" t="s">
        <v>1394</v>
      </c>
      <c r="C1520" s="188" t="s">
        <v>641</v>
      </c>
      <c r="D1520" s="188" t="s">
        <v>2817</v>
      </c>
      <c r="E1520" s="189">
        <v>39282</v>
      </c>
      <c r="F1520" s="190">
        <v>0</v>
      </c>
      <c r="G1520" s="190">
        <v>117.7</v>
      </c>
      <c r="H1520" s="191">
        <v>1261.92</v>
      </c>
      <c r="I1520" s="191">
        <v>459.75</v>
      </c>
      <c r="J1520" s="188" t="s">
        <v>710</v>
      </c>
      <c r="K1520" s="188" t="s">
        <v>338</v>
      </c>
      <c r="L1520" s="188" t="s">
        <v>2818</v>
      </c>
      <c r="M1520" s="192">
        <f t="shared" si="69"/>
        <v>22</v>
      </c>
      <c r="N1520" s="193">
        <f t="shared" si="70"/>
        <v>0.68619902120717791</v>
      </c>
      <c r="O1520" s="194">
        <f t="shared" si="71"/>
        <v>3.119086460032627E-2</v>
      </c>
    </row>
    <row r="1521" spans="1:15" ht="12.75" customHeight="1">
      <c r="A1521" s="188" t="s">
        <v>620</v>
      </c>
      <c r="B1521" s="188" t="s">
        <v>1394</v>
      </c>
      <c r="C1521" s="188" t="s">
        <v>641</v>
      </c>
      <c r="D1521" s="188" t="s">
        <v>2819</v>
      </c>
      <c r="E1521" s="189">
        <v>39380</v>
      </c>
      <c r="F1521" s="190">
        <v>0</v>
      </c>
      <c r="G1521" s="190">
        <v>99.78</v>
      </c>
      <c r="H1521" s="191">
        <v>1022</v>
      </c>
      <c r="I1521" s="191">
        <v>389.75</v>
      </c>
      <c r="J1521" s="188" t="s">
        <v>879</v>
      </c>
      <c r="K1521" s="188" t="s">
        <v>338</v>
      </c>
      <c r="L1521" s="188" t="s">
        <v>2820</v>
      </c>
      <c r="M1521" s="192">
        <f t="shared" si="69"/>
        <v>21</v>
      </c>
      <c r="N1521" s="193">
        <f t="shared" si="70"/>
        <v>0.65554842847979478</v>
      </c>
      <c r="O1521" s="194">
        <f t="shared" si="71"/>
        <v>3.1216591832371181E-2</v>
      </c>
    </row>
    <row r="1522" spans="1:15" ht="12.75" customHeight="1">
      <c r="A1522" s="188" t="s">
        <v>620</v>
      </c>
      <c r="B1522" s="188" t="s">
        <v>1394</v>
      </c>
      <c r="C1522" s="188" t="s">
        <v>641</v>
      </c>
      <c r="D1522" s="188" t="s">
        <v>2821</v>
      </c>
      <c r="E1522" s="189">
        <v>39534</v>
      </c>
      <c r="F1522" s="190">
        <v>0</v>
      </c>
      <c r="G1522" s="190">
        <v>69.89</v>
      </c>
      <c r="H1522" s="191">
        <v>682</v>
      </c>
      <c r="I1522" s="191">
        <v>273</v>
      </c>
      <c r="J1522" s="188" t="s">
        <v>560</v>
      </c>
      <c r="K1522" s="188" t="s">
        <v>338</v>
      </c>
      <c r="L1522" s="188" t="s">
        <v>1686</v>
      </c>
      <c r="M1522" s="192">
        <f t="shared" si="69"/>
        <v>20</v>
      </c>
      <c r="N1522" s="193">
        <f t="shared" si="70"/>
        <v>0.62454212454212454</v>
      </c>
      <c r="O1522" s="194">
        <f t="shared" si="71"/>
        <v>3.1227106227106227E-2</v>
      </c>
    </row>
    <row r="1523" spans="1:15" ht="12.75" customHeight="1">
      <c r="A1523" s="188" t="s">
        <v>620</v>
      </c>
      <c r="B1523" s="188" t="s">
        <v>1394</v>
      </c>
      <c r="C1523" s="188" t="s">
        <v>641</v>
      </c>
      <c r="D1523" s="188" t="s">
        <v>2822</v>
      </c>
      <c r="E1523" s="189">
        <v>39527</v>
      </c>
      <c r="F1523" s="190">
        <v>0</v>
      </c>
      <c r="G1523" s="190">
        <v>38.4</v>
      </c>
      <c r="H1523" s="191">
        <v>468.6</v>
      </c>
      <c r="I1523" s="191">
        <v>150</v>
      </c>
      <c r="J1523" s="188" t="s">
        <v>742</v>
      </c>
      <c r="K1523" s="188" t="s">
        <v>257</v>
      </c>
      <c r="L1523" s="188" t="s">
        <v>677</v>
      </c>
      <c r="M1523" s="192">
        <f t="shared" si="69"/>
        <v>25</v>
      </c>
      <c r="N1523" s="193">
        <f t="shared" si="70"/>
        <v>0.78100000000000003</v>
      </c>
      <c r="O1523" s="194">
        <f t="shared" si="71"/>
        <v>3.124E-2</v>
      </c>
    </row>
    <row r="1524" spans="1:15" ht="12.75" customHeight="1">
      <c r="A1524" s="188" t="s">
        <v>620</v>
      </c>
      <c r="B1524" s="188" t="s">
        <v>1394</v>
      </c>
      <c r="C1524" s="188" t="s">
        <v>641</v>
      </c>
      <c r="D1524" s="188" t="s">
        <v>2823</v>
      </c>
      <c r="E1524" s="189">
        <v>39464</v>
      </c>
      <c r="F1524" s="190">
        <v>0</v>
      </c>
      <c r="G1524" s="190">
        <v>104.96</v>
      </c>
      <c r="H1524" s="191">
        <v>1025.18</v>
      </c>
      <c r="I1524" s="191">
        <v>410</v>
      </c>
      <c r="J1524" s="188" t="s">
        <v>560</v>
      </c>
      <c r="K1524" s="188" t="s">
        <v>338</v>
      </c>
      <c r="L1524" s="188" t="s">
        <v>2110</v>
      </c>
      <c r="M1524" s="192">
        <f t="shared" si="69"/>
        <v>20</v>
      </c>
      <c r="N1524" s="193">
        <f t="shared" si="70"/>
        <v>0.62510975609756103</v>
      </c>
      <c r="O1524" s="194">
        <f t="shared" si="71"/>
        <v>3.1255487804878052E-2</v>
      </c>
    </row>
    <row r="1525" spans="1:15" ht="12.75" customHeight="1">
      <c r="A1525" s="188" t="s">
        <v>620</v>
      </c>
      <c r="B1525" s="188" t="s">
        <v>1394</v>
      </c>
      <c r="C1525" s="188" t="s">
        <v>641</v>
      </c>
      <c r="D1525" s="188" t="s">
        <v>2824</v>
      </c>
      <c r="E1525" s="189">
        <v>39507</v>
      </c>
      <c r="F1525" s="190">
        <v>0</v>
      </c>
      <c r="G1525" s="190">
        <v>67.58</v>
      </c>
      <c r="H1525" s="191">
        <v>1255</v>
      </c>
      <c r="I1525" s="191">
        <v>264</v>
      </c>
      <c r="J1525" s="188" t="s">
        <v>624</v>
      </c>
      <c r="K1525" s="188" t="s">
        <v>338</v>
      </c>
      <c r="L1525" s="188" t="s">
        <v>1354</v>
      </c>
      <c r="M1525" s="192">
        <f t="shared" si="69"/>
        <v>38</v>
      </c>
      <c r="N1525" s="193">
        <f t="shared" si="70"/>
        <v>1.1884469696969697</v>
      </c>
      <c r="O1525" s="194">
        <f t="shared" si="71"/>
        <v>3.1274920255183414E-2</v>
      </c>
    </row>
    <row r="1526" spans="1:15" ht="12.75" customHeight="1">
      <c r="A1526" s="188" t="s">
        <v>620</v>
      </c>
      <c r="B1526" s="188" t="s">
        <v>1394</v>
      </c>
      <c r="C1526" s="188" t="s">
        <v>641</v>
      </c>
      <c r="D1526" s="188" t="s">
        <v>2825</v>
      </c>
      <c r="E1526" s="189">
        <v>39447</v>
      </c>
      <c r="F1526" s="190">
        <v>0</v>
      </c>
      <c r="G1526" s="190">
        <v>69.760000000000005</v>
      </c>
      <c r="H1526" s="191">
        <v>750</v>
      </c>
      <c r="I1526" s="191">
        <v>272.5</v>
      </c>
      <c r="J1526" s="188" t="s">
        <v>710</v>
      </c>
      <c r="K1526" s="188" t="s">
        <v>338</v>
      </c>
      <c r="L1526" s="188" t="s">
        <v>2826</v>
      </c>
      <c r="M1526" s="192">
        <f t="shared" si="69"/>
        <v>22</v>
      </c>
      <c r="N1526" s="193">
        <f t="shared" si="70"/>
        <v>0.68807339449541283</v>
      </c>
      <c r="O1526" s="194">
        <f t="shared" si="71"/>
        <v>3.1276063386155128E-2</v>
      </c>
    </row>
    <row r="1527" spans="1:15" ht="12.75" customHeight="1">
      <c r="A1527" s="188" t="s">
        <v>620</v>
      </c>
      <c r="B1527" s="188" t="s">
        <v>1394</v>
      </c>
      <c r="C1527" s="188" t="s">
        <v>641</v>
      </c>
      <c r="D1527" s="188" t="s">
        <v>2827</v>
      </c>
      <c r="E1527" s="189">
        <v>39548</v>
      </c>
      <c r="F1527" s="190">
        <v>0</v>
      </c>
      <c r="G1527" s="190">
        <v>83.58</v>
      </c>
      <c r="H1527" s="191">
        <v>1104</v>
      </c>
      <c r="I1527" s="191">
        <v>326.5</v>
      </c>
      <c r="J1527" s="188" t="s">
        <v>639</v>
      </c>
      <c r="K1527" s="188" t="s">
        <v>338</v>
      </c>
      <c r="L1527" s="188" t="s">
        <v>935</v>
      </c>
      <c r="M1527" s="192">
        <f t="shared" si="69"/>
        <v>27</v>
      </c>
      <c r="N1527" s="193">
        <f t="shared" si="70"/>
        <v>0.84532924961715161</v>
      </c>
      <c r="O1527" s="194">
        <f t="shared" si="71"/>
        <v>3.1308490726561174E-2</v>
      </c>
    </row>
    <row r="1528" spans="1:15" ht="12.75" customHeight="1">
      <c r="A1528" s="188" t="s">
        <v>620</v>
      </c>
      <c r="B1528" s="188" t="s">
        <v>1394</v>
      </c>
      <c r="C1528" s="188" t="s">
        <v>641</v>
      </c>
      <c r="D1528" s="188" t="s">
        <v>2828</v>
      </c>
      <c r="E1528" s="189">
        <v>39576</v>
      </c>
      <c r="F1528" s="190">
        <v>0</v>
      </c>
      <c r="G1528" s="190">
        <v>78.59</v>
      </c>
      <c r="H1528" s="191">
        <v>1155</v>
      </c>
      <c r="I1528" s="191">
        <v>307</v>
      </c>
      <c r="J1528" s="188" t="s">
        <v>652</v>
      </c>
      <c r="K1528" s="188" t="s">
        <v>549</v>
      </c>
      <c r="L1528" s="188" t="s">
        <v>2829</v>
      </c>
      <c r="M1528" s="192">
        <f t="shared" si="69"/>
        <v>30</v>
      </c>
      <c r="N1528" s="193">
        <f t="shared" si="70"/>
        <v>0.94055374592833874</v>
      </c>
      <c r="O1528" s="194">
        <f t="shared" si="71"/>
        <v>3.1351791530944625E-2</v>
      </c>
    </row>
    <row r="1529" spans="1:15" ht="12.75" customHeight="1">
      <c r="A1529" s="188" t="s">
        <v>620</v>
      </c>
      <c r="B1529" s="188" t="s">
        <v>1394</v>
      </c>
      <c r="C1529" s="188" t="s">
        <v>641</v>
      </c>
      <c r="D1529" s="188" t="s">
        <v>2830</v>
      </c>
      <c r="E1529" s="189">
        <v>39576</v>
      </c>
      <c r="F1529" s="190">
        <v>0</v>
      </c>
      <c r="G1529" s="190">
        <v>75.459999999999994</v>
      </c>
      <c r="H1529" s="191">
        <v>1294.79</v>
      </c>
      <c r="I1529" s="191">
        <v>294.75</v>
      </c>
      <c r="J1529" s="188" t="s">
        <v>829</v>
      </c>
      <c r="K1529" s="188" t="s">
        <v>338</v>
      </c>
      <c r="L1529" s="188" t="s">
        <v>2831</v>
      </c>
      <c r="M1529" s="192">
        <f t="shared" si="69"/>
        <v>35</v>
      </c>
      <c r="N1529" s="193">
        <f t="shared" si="70"/>
        <v>1.0982103477523324</v>
      </c>
      <c r="O1529" s="194">
        <f t="shared" si="71"/>
        <v>3.1377438507209497E-2</v>
      </c>
    </row>
    <row r="1530" spans="1:15" ht="12.75" customHeight="1">
      <c r="A1530" s="188" t="s">
        <v>620</v>
      </c>
      <c r="B1530" s="188" t="s">
        <v>1394</v>
      </c>
      <c r="C1530" s="188" t="s">
        <v>641</v>
      </c>
      <c r="D1530" s="188" t="s">
        <v>2832</v>
      </c>
      <c r="E1530" s="189">
        <v>39395</v>
      </c>
      <c r="F1530" s="190">
        <v>0</v>
      </c>
      <c r="G1530" s="190">
        <v>56.06</v>
      </c>
      <c r="H1530" s="191">
        <v>1045</v>
      </c>
      <c r="I1530" s="191">
        <v>219</v>
      </c>
      <c r="J1530" s="188" t="s">
        <v>624</v>
      </c>
      <c r="K1530" s="188" t="s">
        <v>338</v>
      </c>
      <c r="L1530" s="188" t="s">
        <v>1193</v>
      </c>
      <c r="M1530" s="192">
        <f t="shared" si="69"/>
        <v>38</v>
      </c>
      <c r="N1530" s="193">
        <f t="shared" si="70"/>
        <v>1.1929223744292237</v>
      </c>
      <c r="O1530" s="194">
        <f t="shared" si="71"/>
        <v>3.1392694063926939E-2</v>
      </c>
    </row>
    <row r="1531" spans="1:15" ht="12.75" customHeight="1">
      <c r="A1531" s="188" t="s">
        <v>620</v>
      </c>
      <c r="B1531" s="188" t="s">
        <v>1394</v>
      </c>
      <c r="C1531" s="188" t="s">
        <v>641</v>
      </c>
      <c r="D1531" s="188" t="s">
        <v>2833</v>
      </c>
      <c r="E1531" s="189">
        <v>39352</v>
      </c>
      <c r="F1531" s="190">
        <v>0</v>
      </c>
      <c r="G1531" s="190">
        <v>49.02</v>
      </c>
      <c r="H1531" s="191">
        <v>626</v>
      </c>
      <c r="I1531" s="191">
        <v>191.5</v>
      </c>
      <c r="J1531" s="188" t="s">
        <v>361</v>
      </c>
      <c r="K1531" s="188" t="s">
        <v>338</v>
      </c>
      <c r="L1531" s="188" t="s">
        <v>2834</v>
      </c>
      <c r="M1531" s="192">
        <f t="shared" si="69"/>
        <v>26</v>
      </c>
      <c r="N1531" s="193">
        <f t="shared" si="70"/>
        <v>0.81723237597911225</v>
      </c>
      <c r="O1531" s="194">
        <f t="shared" si="71"/>
        <v>3.1432014460735083E-2</v>
      </c>
    </row>
    <row r="1532" spans="1:15" ht="12.75" customHeight="1">
      <c r="A1532" s="188" t="s">
        <v>620</v>
      </c>
      <c r="B1532" s="188" t="s">
        <v>1394</v>
      </c>
      <c r="C1532" s="188" t="s">
        <v>641</v>
      </c>
      <c r="D1532" s="188" t="s">
        <v>2835</v>
      </c>
      <c r="E1532" s="189">
        <v>39471</v>
      </c>
      <c r="F1532" s="190">
        <v>0</v>
      </c>
      <c r="G1532" s="190">
        <v>67.459999999999994</v>
      </c>
      <c r="H1532" s="191">
        <v>630</v>
      </c>
      <c r="I1532" s="191">
        <v>263.5</v>
      </c>
      <c r="J1532" s="188" t="s">
        <v>667</v>
      </c>
      <c r="K1532" s="188" t="s">
        <v>338</v>
      </c>
      <c r="L1532" s="188" t="s">
        <v>2836</v>
      </c>
      <c r="M1532" s="192">
        <f t="shared" si="69"/>
        <v>19</v>
      </c>
      <c r="N1532" s="193">
        <f t="shared" si="70"/>
        <v>0.59772296015180271</v>
      </c>
      <c r="O1532" s="194">
        <f t="shared" si="71"/>
        <v>3.145910316588435E-2</v>
      </c>
    </row>
    <row r="1533" spans="1:15" ht="12.75" customHeight="1">
      <c r="A1533" s="188" t="s">
        <v>620</v>
      </c>
      <c r="B1533" s="188" t="s">
        <v>1394</v>
      </c>
      <c r="C1533" s="188" t="s">
        <v>641</v>
      </c>
      <c r="D1533" s="188" t="s">
        <v>2837</v>
      </c>
      <c r="E1533" s="189">
        <v>39436</v>
      </c>
      <c r="F1533" s="190">
        <v>0</v>
      </c>
      <c r="G1533" s="190">
        <v>105.41</v>
      </c>
      <c r="H1533" s="191">
        <v>1140</v>
      </c>
      <c r="I1533" s="191">
        <v>411.75</v>
      </c>
      <c r="J1533" s="188" t="s">
        <v>710</v>
      </c>
      <c r="K1533" s="188" t="s">
        <v>338</v>
      </c>
      <c r="L1533" s="188" t="s">
        <v>2838</v>
      </c>
      <c r="M1533" s="192">
        <f t="shared" si="69"/>
        <v>22</v>
      </c>
      <c r="N1533" s="193">
        <f t="shared" si="70"/>
        <v>0.69216757741347901</v>
      </c>
      <c r="O1533" s="194">
        <f t="shared" si="71"/>
        <v>3.1462162609703588E-2</v>
      </c>
    </row>
    <row r="1534" spans="1:15" ht="12.75" customHeight="1">
      <c r="A1534" s="188" t="s">
        <v>620</v>
      </c>
      <c r="B1534" s="188" t="s">
        <v>1394</v>
      </c>
      <c r="C1534" s="188" t="s">
        <v>641</v>
      </c>
      <c r="D1534" s="188" t="s">
        <v>2839</v>
      </c>
      <c r="E1534" s="189">
        <v>39353</v>
      </c>
      <c r="F1534" s="190">
        <v>0</v>
      </c>
      <c r="G1534" s="190">
        <v>86.4</v>
      </c>
      <c r="H1534" s="191">
        <v>1020</v>
      </c>
      <c r="I1534" s="191">
        <v>337.5</v>
      </c>
      <c r="J1534" s="188" t="s">
        <v>1052</v>
      </c>
      <c r="K1534" s="188" t="s">
        <v>338</v>
      </c>
      <c r="L1534" s="188" t="s">
        <v>707</v>
      </c>
      <c r="M1534" s="192">
        <f t="shared" si="69"/>
        <v>24</v>
      </c>
      <c r="N1534" s="193">
        <f t="shared" si="70"/>
        <v>0.75555555555555554</v>
      </c>
      <c r="O1534" s="194">
        <f t="shared" si="71"/>
        <v>3.1481481481481478E-2</v>
      </c>
    </row>
    <row r="1535" spans="1:15" ht="12.75" customHeight="1">
      <c r="A1535" s="188" t="s">
        <v>620</v>
      </c>
      <c r="B1535" s="188" t="s">
        <v>1394</v>
      </c>
      <c r="C1535" s="188" t="s">
        <v>641</v>
      </c>
      <c r="D1535" s="188" t="s">
        <v>2840</v>
      </c>
      <c r="E1535" s="189">
        <v>39478</v>
      </c>
      <c r="F1535" s="190">
        <v>0</v>
      </c>
      <c r="G1535" s="190">
        <v>89.6</v>
      </c>
      <c r="H1535" s="191">
        <v>1190</v>
      </c>
      <c r="I1535" s="191">
        <v>350</v>
      </c>
      <c r="J1535" s="188" t="s">
        <v>639</v>
      </c>
      <c r="K1535" s="188" t="s">
        <v>338</v>
      </c>
      <c r="L1535" s="188" t="s">
        <v>754</v>
      </c>
      <c r="M1535" s="192">
        <f t="shared" si="69"/>
        <v>27</v>
      </c>
      <c r="N1535" s="193">
        <f t="shared" si="70"/>
        <v>0.85</v>
      </c>
      <c r="O1535" s="194">
        <f t="shared" si="71"/>
        <v>3.1481481481481478E-2</v>
      </c>
    </row>
    <row r="1536" spans="1:15" ht="12.75" customHeight="1">
      <c r="A1536" s="188" t="s">
        <v>620</v>
      </c>
      <c r="B1536" s="188" t="s">
        <v>1394</v>
      </c>
      <c r="C1536" s="188" t="s">
        <v>641</v>
      </c>
      <c r="D1536" s="188" t="s">
        <v>2841</v>
      </c>
      <c r="E1536" s="189">
        <v>39513</v>
      </c>
      <c r="F1536" s="190">
        <v>0</v>
      </c>
      <c r="G1536" s="190">
        <v>51.2</v>
      </c>
      <c r="H1536" s="191">
        <v>680</v>
      </c>
      <c r="I1536" s="191">
        <v>200</v>
      </c>
      <c r="J1536" s="188" t="s">
        <v>639</v>
      </c>
      <c r="K1536" s="188" t="s">
        <v>338</v>
      </c>
      <c r="L1536" s="188" t="s">
        <v>752</v>
      </c>
      <c r="M1536" s="192">
        <f t="shared" si="69"/>
        <v>27</v>
      </c>
      <c r="N1536" s="193">
        <f t="shared" si="70"/>
        <v>0.85</v>
      </c>
      <c r="O1536" s="194">
        <f t="shared" si="71"/>
        <v>3.1481481481481478E-2</v>
      </c>
    </row>
    <row r="1537" spans="1:15" ht="12.75" customHeight="1">
      <c r="A1537" s="188" t="s">
        <v>620</v>
      </c>
      <c r="B1537" s="188" t="s">
        <v>1394</v>
      </c>
      <c r="C1537" s="188" t="s">
        <v>641</v>
      </c>
      <c r="D1537" s="188" t="s">
        <v>2842</v>
      </c>
      <c r="E1537" s="189">
        <v>39485</v>
      </c>
      <c r="F1537" s="190">
        <v>0</v>
      </c>
      <c r="G1537" s="190">
        <v>59.71</v>
      </c>
      <c r="H1537" s="191">
        <v>940</v>
      </c>
      <c r="I1537" s="191">
        <v>233.25</v>
      </c>
      <c r="J1537" s="188" t="s">
        <v>353</v>
      </c>
      <c r="K1537" s="188" t="s">
        <v>338</v>
      </c>
      <c r="L1537" s="188" t="s">
        <v>2843</v>
      </c>
      <c r="M1537" s="192">
        <f t="shared" si="69"/>
        <v>32</v>
      </c>
      <c r="N1537" s="193">
        <f t="shared" si="70"/>
        <v>1.007502679528403</v>
      </c>
      <c r="O1537" s="194">
        <f t="shared" si="71"/>
        <v>3.1484458735262594E-2</v>
      </c>
    </row>
    <row r="1538" spans="1:15" ht="12.75" customHeight="1">
      <c r="A1538" s="188" t="s">
        <v>620</v>
      </c>
      <c r="B1538" s="188" t="s">
        <v>1394</v>
      </c>
      <c r="C1538" s="188" t="s">
        <v>641</v>
      </c>
      <c r="D1538" s="188" t="s">
        <v>2844</v>
      </c>
      <c r="E1538" s="189">
        <v>39353</v>
      </c>
      <c r="F1538" s="190">
        <v>0</v>
      </c>
      <c r="G1538" s="190">
        <v>101.12</v>
      </c>
      <c r="H1538" s="191">
        <v>996.03</v>
      </c>
      <c r="I1538" s="191">
        <v>395</v>
      </c>
      <c r="J1538" s="188" t="s">
        <v>560</v>
      </c>
      <c r="K1538" s="188" t="s">
        <v>338</v>
      </c>
      <c r="L1538" s="188" t="s">
        <v>711</v>
      </c>
      <c r="M1538" s="192">
        <f t="shared" ref="M1538:M1601" si="72">K1538-J1538</f>
        <v>20</v>
      </c>
      <c r="N1538" s="193">
        <f t="shared" ref="N1538:N1601" si="73">H1538/L1538</f>
        <v>0.63039873417721515</v>
      </c>
      <c r="O1538" s="194">
        <f t="shared" ref="O1538:O1601" si="74">N1538/M1538</f>
        <v>3.151993670886076E-2</v>
      </c>
    </row>
    <row r="1539" spans="1:15" ht="12.75" customHeight="1">
      <c r="A1539" s="188" t="s">
        <v>620</v>
      </c>
      <c r="B1539" s="188" t="s">
        <v>1394</v>
      </c>
      <c r="C1539" s="188" t="s">
        <v>641</v>
      </c>
      <c r="D1539" s="188" t="s">
        <v>2845</v>
      </c>
      <c r="E1539" s="189">
        <v>39597</v>
      </c>
      <c r="F1539" s="190">
        <v>0</v>
      </c>
      <c r="G1539" s="190">
        <v>70.400000000000006</v>
      </c>
      <c r="H1539" s="191">
        <v>937</v>
      </c>
      <c r="I1539" s="191">
        <v>275</v>
      </c>
      <c r="J1539" s="188" t="s">
        <v>639</v>
      </c>
      <c r="K1539" s="188" t="s">
        <v>338</v>
      </c>
      <c r="L1539" s="188" t="s">
        <v>557</v>
      </c>
      <c r="M1539" s="192">
        <f t="shared" si="72"/>
        <v>27</v>
      </c>
      <c r="N1539" s="193">
        <f t="shared" si="73"/>
        <v>0.85181818181818181</v>
      </c>
      <c r="O1539" s="194">
        <f t="shared" si="74"/>
        <v>3.1548821548821548E-2</v>
      </c>
    </row>
    <row r="1540" spans="1:15" ht="12.75" customHeight="1">
      <c r="A1540" s="188" t="s">
        <v>620</v>
      </c>
      <c r="B1540" s="188" t="s">
        <v>1394</v>
      </c>
      <c r="C1540" s="188" t="s">
        <v>641</v>
      </c>
      <c r="D1540" s="188" t="s">
        <v>2846</v>
      </c>
      <c r="E1540" s="189">
        <v>39499</v>
      </c>
      <c r="F1540" s="190">
        <v>0</v>
      </c>
      <c r="G1540" s="190">
        <v>33.729999999999997</v>
      </c>
      <c r="H1540" s="191">
        <v>500</v>
      </c>
      <c r="I1540" s="191">
        <v>131.75</v>
      </c>
      <c r="J1540" s="188" t="s">
        <v>635</v>
      </c>
      <c r="K1540" s="188" t="s">
        <v>338</v>
      </c>
      <c r="L1540" s="188" t="s">
        <v>2847</v>
      </c>
      <c r="M1540" s="192">
        <f t="shared" si="72"/>
        <v>30</v>
      </c>
      <c r="N1540" s="193">
        <f t="shared" si="73"/>
        <v>0.94876660341555974</v>
      </c>
      <c r="O1540" s="194">
        <f t="shared" si="74"/>
        <v>3.1625553447185324E-2</v>
      </c>
    </row>
    <row r="1541" spans="1:15" ht="12.75" customHeight="1">
      <c r="A1541" s="188" t="s">
        <v>620</v>
      </c>
      <c r="B1541" s="188" t="s">
        <v>1394</v>
      </c>
      <c r="C1541" s="188" t="s">
        <v>641</v>
      </c>
      <c r="D1541" s="188" t="s">
        <v>2848</v>
      </c>
      <c r="E1541" s="189">
        <v>39639</v>
      </c>
      <c r="F1541" s="190">
        <v>0</v>
      </c>
      <c r="G1541" s="190">
        <v>73.599999999999994</v>
      </c>
      <c r="H1541" s="191">
        <v>730</v>
      </c>
      <c r="I1541" s="191">
        <v>287.5</v>
      </c>
      <c r="J1541" s="188" t="s">
        <v>560</v>
      </c>
      <c r="K1541" s="188" t="s">
        <v>338</v>
      </c>
      <c r="L1541" s="188" t="s">
        <v>697</v>
      </c>
      <c r="M1541" s="192">
        <f t="shared" si="72"/>
        <v>20</v>
      </c>
      <c r="N1541" s="193">
        <f t="shared" si="73"/>
        <v>0.63478260869565217</v>
      </c>
      <c r="O1541" s="194">
        <f t="shared" si="74"/>
        <v>3.173913043478261E-2</v>
      </c>
    </row>
    <row r="1542" spans="1:15" ht="12.75" customHeight="1">
      <c r="A1542" s="188" t="s">
        <v>620</v>
      </c>
      <c r="B1542" s="188" t="s">
        <v>1394</v>
      </c>
      <c r="C1542" s="188" t="s">
        <v>641</v>
      </c>
      <c r="D1542" s="188" t="s">
        <v>2849</v>
      </c>
      <c r="E1542" s="189">
        <v>39562</v>
      </c>
      <c r="F1542" s="190">
        <v>0</v>
      </c>
      <c r="G1542" s="190">
        <v>44.8</v>
      </c>
      <c r="H1542" s="191">
        <v>689.33</v>
      </c>
      <c r="I1542" s="191">
        <v>175</v>
      </c>
      <c r="J1542" s="188" t="s">
        <v>503</v>
      </c>
      <c r="K1542" s="188" t="s">
        <v>338</v>
      </c>
      <c r="L1542" s="188" t="s">
        <v>1827</v>
      </c>
      <c r="M1542" s="192">
        <f t="shared" si="72"/>
        <v>31</v>
      </c>
      <c r="N1542" s="193">
        <f t="shared" si="73"/>
        <v>0.98475714285714289</v>
      </c>
      <c r="O1542" s="194">
        <f t="shared" si="74"/>
        <v>3.1766359447004608E-2</v>
      </c>
    </row>
    <row r="1543" spans="1:15" ht="12.75" customHeight="1">
      <c r="A1543" s="188" t="s">
        <v>620</v>
      </c>
      <c r="B1543" s="188" t="s">
        <v>1394</v>
      </c>
      <c r="C1543" s="188" t="s">
        <v>641</v>
      </c>
      <c r="D1543" s="188" t="s">
        <v>2850</v>
      </c>
      <c r="E1543" s="189">
        <v>39422</v>
      </c>
      <c r="F1543" s="190">
        <v>0</v>
      </c>
      <c r="G1543" s="190">
        <v>14.08</v>
      </c>
      <c r="H1543" s="191">
        <v>210</v>
      </c>
      <c r="I1543" s="191">
        <v>55</v>
      </c>
      <c r="J1543" s="188" t="s">
        <v>635</v>
      </c>
      <c r="K1543" s="188" t="s">
        <v>338</v>
      </c>
      <c r="L1543" s="188" t="s">
        <v>2851</v>
      </c>
      <c r="M1543" s="192">
        <f t="shared" si="72"/>
        <v>30</v>
      </c>
      <c r="N1543" s="193">
        <f t="shared" si="73"/>
        <v>0.95454545454545459</v>
      </c>
      <c r="O1543" s="194">
        <f t="shared" si="74"/>
        <v>3.1818181818181822E-2</v>
      </c>
    </row>
    <row r="1544" spans="1:15" ht="12.75" customHeight="1">
      <c r="A1544" s="188" t="s">
        <v>620</v>
      </c>
      <c r="B1544" s="188" t="s">
        <v>1394</v>
      </c>
      <c r="C1544" s="188" t="s">
        <v>641</v>
      </c>
      <c r="D1544" s="188" t="s">
        <v>2852</v>
      </c>
      <c r="E1544" s="189">
        <v>39331</v>
      </c>
      <c r="F1544" s="190">
        <v>0</v>
      </c>
      <c r="G1544" s="190">
        <v>32</v>
      </c>
      <c r="H1544" s="191">
        <v>430</v>
      </c>
      <c r="I1544" s="191">
        <v>125</v>
      </c>
      <c r="J1544" s="188" t="s">
        <v>639</v>
      </c>
      <c r="K1544" s="188" t="s">
        <v>338</v>
      </c>
      <c r="L1544" s="188" t="s">
        <v>858</v>
      </c>
      <c r="M1544" s="192">
        <f t="shared" si="72"/>
        <v>27</v>
      </c>
      <c r="N1544" s="193">
        <f t="shared" si="73"/>
        <v>0.86</v>
      </c>
      <c r="O1544" s="194">
        <f t="shared" si="74"/>
        <v>3.1851851851851853E-2</v>
      </c>
    </row>
    <row r="1545" spans="1:15" ht="12.75" customHeight="1">
      <c r="A1545" s="188" t="s">
        <v>620</v>
      </c>
      <c r="B1545" s="188" t="s">
        <v>1394</v>
      </c>
      <c r="C1545" s="188" t="s">
        <v>641</v>
      </c>
      <c r="D1545" s="188" t="s">
        <v>2853</v>
      </c>
      <c r="E1545" s="189">
        <v>39447</v>
      </c>
      <c r="F1545" s="190">
        <v>0</v>
      </c>
      <c r="G1545" s="190">
        <v>66.56</v>
      </c>
      <c r="H1545" s="191">
        <v>895</v>
      </c>
      <c r="I1545" s="191">
        <v>260</v>
      </c>
      <c r="J1545" s="188" t="s">
        <v>639</v>
      </c>
      <c r="K1545" s="188" t="s">
        <v>338</v>
      </c>
      <c r="L1545" s="188" t="s">
        <v>808</v>
      </c>
      <c r="M1545" s="192">
        <f t="shared" si="72"/>
        <v>27</v>
      </c>
      <c r="N1545" s="193">
        <f t="shared" si="73"/>
        <v>0.86057692307692313</v>
      </c>
      <c r="O1545" s="194">
        <f t="shared" si="74"/>
        <v>3.1873219373219373E-2</v>
      </c>
    </row>
    <row r="1546" spans="1:15" ht="12.75" customHeight="1">
      <c r="A1546" s="188" t="s">
        <v>620</v>
      </c>
      <c r="B1546" s="188" t="s">
        <v>1394</v>
      </c>
      <c r="C1546" s="188" t="s">
        <v>641</v>
      </c>
      <c r="D1546" s="188" t="s">
        <v>2854</v>
      </c>
      <c r="E1546" s="189">
        <v>39261</v>
      </c>
      <c r="F1546" s="190">
        <v>0</v>
      </c>
      <c r="G1546" s="190">
        <v>47.87</v>
      </c>
      <c r="H1546" s="191">
        <v>620.02</v>
      </c>
      <c r="I1546" s="191">
        <v>187</v>
      </c>
      <c r="J1546" s="188" t="s">
        <v>361</v>
      </c>
      <c r="K1546" s="188" t="s">
        <v>338</v>
      </c>
      <c r="L1546" s="188" t="s">
        <v>2855</v>
      </c>
      <c r="M1546" s="192">
        <f t="shared" si="72"/>
        <v>26</v>
      </c>
      <c r="N1546" s="193">
        <f t="shared" si="73"/>
        <v>0.82890374331550798</v>
      </c>
      <c r="O1546" s="194">
        <f t="shared" si="74"/>
        <v>3.1880913204442612E-2</v>
      </c>
    </row>
    <row r="1547" spans="1:15" ht="12.75" customHeight="1">
      <c r="A1547" s="188" t="s">
        <v>620</v>
      </c>
      <c r="B1547" s="188" t="s">
        <v>1394</v>
      </c>
      <c r="C1547" s="188" t="s">
        <v>641</v>
      </c>
      <c r="D1547" s="188" t="s">
        <v>2856</v>
      </c>
      <c r="E1547" s="189">
        <v>39541</v>
      </c>
      <c r="F1547" s="190">
        <v>0</v>
      </c>
      <c r="G1547" s="190">
        <v>89.6</v>
      </c>
      <c r="H1547" s="191">
        <v>1120</v>
      </c>
      <c r="I1547" s="191">
        <v>350</v>
      </c>
      <c r="J1547" s="188" t="s">
        <v>624</v>
      </c>
      <c r="K1547" s="188" t="s">
        <v>427</v>
      </c>
      <c r="L1547" s="188" t="s">
        <v>754</v>
      </c>
      <c r="M1547" s="192">
        <f t="shared" si="72"/>
        <v>25</v>
      </c>
      <c r="N1547" s="193">
        <f t="shared" si="73"/>
        <v>0.8</v>
      </c>
      <c r="O1547" s="194">
        <f t="shared" si="74"/>
        <v>3.2000000000000001E-2</v>
      </c>
    </row>
    <row r="1548" spans="1:15" ht="12.75" customHeight="1">
      <c r="A1548" s="188" t="s">
        <v>620</v>
      </c>
      <c r="B1548" s="188" t="s">
        <v>1394</v>
      </c>
      <c r="C1548" s="188" t="s">
        <v>641</v>
      </c>
      <c r="D1548" s="188" t="s">
        <v>2857</v>
      </c>
      <c r="E1548" s="189">
        <v>39464</v>
      </c>
      <c r="F1548" s="190">
        <v>0</v>
      </c>
      <c r="G1548" s="190">
        <v>41.6</v>
      </c>
      <c r="H1548" s="191">
        <v>562.32000000000005</v>
      </c>
      <c r="I1548" s="191">
        <v>162.5</v>
      </c>
      <c r="J1548" s="188" t="s">
        <v>639</v>
      </c>
      <c r="K1548" s="188" t="s">
        <v>338</v>
      </c>
      <c r="L1548" s="188" t="s">
        <v>1774</v>
      </c>
      <c r="M1548" s="192">
        <f t="shared" si="72"/>
        <v>27</v>
      </c>
      <c r="N1548" s="193">
        <f t="shared" si="73"/>
        <v>0.86510769230769236</v>
      </c>
      <c r="O1548" s="194">
        <f t="shared" si="74"/>
        <v>3.2041025641025643E-2</v>
      </c>
    </row>
    <row r="1549" spans="1:15" ht="12.75" customHeight="1">
      <c r="A1549" s="188" t="s">
        <v>620</v>
      </c>
      <c r="B1549" s="188" t="s">
        <v>1394</v>
      </c>
      <c r="C1549" s="188" t="s">
        <v>641</v>
      </c>
      <c r="D1549" s="188" t="s">
        <v>2858</v>
      </c>
      <c r="E1549" s="189">
        <v>39275</v>
      </c>
      <c r="F1549" s="190">
        <v>0</v>
      </c>
      <c r="G1549" s="190">
        <v>96.26</v>
      </c>
      <c r="H1549" s="191">
        <v>1254.94</v>
      </c>
      <c r="I1549" s="191">
        <v>376</v>
      </c>
      <c r="J1549" s="188" t="s">
        <v>361</v>
      </c>
      <c r="K1549" s="188" t="s">
        <v>338</v>
      </c>
      <c r="L1549" s="188" t="s">
        <v>1116</v>
      </c>
      <c r="M1549" s="192">
        <f t="shared" si="72"/>
        <v>26</v>
      </c>
      <c r="N1549" s="193">
        <f t="shared" si="73"/>
        <v>0.83440159574468087</v>
      </c>
      <c r="O1549" s="194">
        <f t="shared" si="74"/>
        <v>3.209236906710311E-2</v>
      </c>
    </row>
    <row r="1550" spans="1:15" ht="12.75" customHeight="1">
      <c r="A1550" s="188" t="s">
        <v>620</v>
      </c>
      <c r="B1550" s="188" t="s">
        <v>1394</v>
      </c>
      <c r="C1550" s="188" t="s">
        <v>641</v>
      </c>
      <c r="D1550" s="188" t="s">
        <v>2859</v>
      </c>
      <c r="E1550" s="189">
        <v>39366</v>
      </c>
      <c r="F1550" s="190">
        <v>0</v>
      </c>
      <c r="G1550" s="190">
        <v>89.09</v>
      </c>
      <c r="H1550" s="191">
        <v>1702</v>
      </c>
      <c r="I1550" s="191">
        <v>348</v>
      </c>
      <c r="J1550" s="188" t="s">
        <v>624</v>
      </c>
      <c r="K1550" s="188" t="s">
        <v>338</v>
      </c>
      <c r="L1550" s="188" t="s">
        <v>2728</v>
      </c>
      <c r="M1550" s="192">
        <f t="shared" si="72"/>
        <v>38</v>
      </c>
      <c r="N1550" s="193">
        <f t="shared" si="73"/>
        <v>1.2227011494252873</v>
      </c>
      <c r="O1550" s="194">
        <f t="shared" si="74"/>
        <v>3.2176346037507561E-2</v>
      </c>
    </row>
    <row r="1551" spans="1:15" ht="12.75" customHeight="1">
      <c r="A1551" s="188" t="s">
        <v>620</v>
      </c>
      <c r="B1551" s="188" t="s">
        <v>1394</v>
      </c>
      <c r="C1551" s="188" t="s">
        <v>641</v>
      </c>
      <c r="D1551" s="188" t="s">
        <v>2860</v>
      </c>
      <c r="E1551" s="189">
        <v>39310</v>
      </c>
      <c r="F1551" s="190">
        <v>0</v>
      </c>
      <c r="G1551" s="190">
        <v>54.4</v>
      </c>
      <c r="H1551" s="191">
        <v>1039.98</v>
      </c>
      <c r="I1551" s="191">
        <v>212.5</v>
      </c>
      <c r="J1551" s="188" t="s">
        <v>624</v>
      </c>
      <c r="K1551" s="188" t="s">
        <v>338</v>
      </c>
      <c r="L1551" s="188" t="s">
        <v>1170</v>
      </c>
      <c r="M1551" s="192">
        <f t="shared" si="72"/>
        <v>38</v>
      </c>
      <c r="N1551" s="193">
        <f t="shared" si="73"/>
        <v>1.2235058823529412</v>
      </c>
      <c r="O1551" s="194">
        <f t="shared" si="74"/>
        <v>3.2197523219814242E-2</v>
      </c>
    </row>
    <row r="1552" spans="1:15" ht="12.75" customHeight="1">
      <c r="A1552" s="188" t="s">
        <v>620</v>
      </c>
      <c r="B1552" s="188" t="s">
        <v>1394</v>
      </c>
      <c r="C1552" s="188" t="s">
        <v>641</v>
      </c>
      <c r="D1552" s="188" t="s">
        <v>2861</v>
      </c>
      <c r="E1552" s="189">
        <v>39618</v>
      </c>
      <c r="F1552" s="190">
        <v>0</v>
      </c>
      <c r="G1552" s="190">
        <v>67.2</v>
      </c>
      <c r="H1552" s="191">
        <v>1050</v>
      </c>
      <c r="I1552" s="191">
        <v>262.5</v>
      </c>
      <c r="J1552" s="188" t="s">
        <v>503</v>
      </c>
      <c r="K1552" s="188" t="s">
        <v>338</v>
      </c>
      <c r="L1552" s="188" t="s">
        <v>1139</v>
      </c>
      <c r="M1552" s="192">
        <f t="shared" si="72"/>
        <v>31</v>
      </c>
      <c r="N1552" s="193">
        <f t="shared" si="73"/>
        <v>1</v>
      </c>
      <c r="O1552" s="194">
        <f t="shared" si="74"/>
        <v>3.2258064516129031E-2</v>
      </c>
    </row>
    <row r="1553" spans="1:15" ht="12.75" customHeight="1">
      <c r="A1553" s="188" t="s">
        <v>620</v>
      </c>
      <c r="B1553" s="188" t="s">
        <v>1394</v>
      </c>
      <c r="C1553" s="188" t="s">
        <v>641</v>
      </c>
      <c r="D1553" s="188" t="s">
        <v>2862</v>
      </c>
      <c r="E1553" s="189">
        <v>39534</v>
      </c>
      <c r="F1553" s="190">
        <v>0</v>
      </c>
      <c r="G1553" s="190">
        <v>105.6</v>
      </c>
      <c r="H1553" s="191">
        <v>1336</v>
      </c>
      <c r="I1553" s="191">
        <v>412.5</v>
      </c>
      <c r="J1553" s="188" t="s">
        <v>652</v>
      </c>
      <c r="K1553" s="188" t="s">
        <v>338</v>
      </c>
      <c r="L1553" s="188" t="s">
        <v>885</v>
      </c>
      <c r="M1553" s="192">
        <f t="shared" si="72"/>
        <v>25</v>
      </c>
      <c r="N1553" s="193">
        <f t="shared" si="73"/>
        <v>0.80969696969696969</v>
      </c>
      <c r="O1553" s="194">
        <f t="shared" si="74"/>
        <v>3.2387878787878785E-2</v>
      </c>
    </row>
    <row r="1554" spans="1:15" ht="12.75" customHeight="1">
      <c r="A1554" s="188" t="s">
        <v>620</v>
      </c>
      <c r="B1554" s="188" t="s">
        <v>1394</v>
      </c>
      <c r="C1554" s="188" t="s">
        <v>641</v>
      </c>
      <c r="D1554" s="188" t="s">
        <v>2863</v>
      </c>
      <c r="E1554" s="189">
        <v>39339</v>
      </c>
      <c r="F1554" s="190">
        <v>0</v>
      </c>
      <c r="G1554" s="190">
        <v>35.33</v>
      </c>
      <c r="H1554" s="191">
        <v>339.98</v>
      </c>
      <c r="I1554" s="191">
        <v>138</v>
      </c>
      <c r="J1554" s="188" t="s">
        <v>667</v>
      </c>
      <c r="K1554" s="188" t="s">
        <v>338</v>
      </c>
      <c r="L1554" s="188" t="s">
        <v>2864</v>
      </c>
      <c r="M1554" s="192">
        <f t="shared" si="72"/>
        <v>19</v>
      </c>
      <c r="N1554" s="193">
        <f t="shared" si="73"/>
        <v>0.61590579710144933</v>
      </c>
      <c r="O1554" s="194">
        <f t="shared" si="74"/>
        <v>3.2416094584286806E-2</v>
      </c>
    </row>
    <row r="1555" spans="1:15" ht="12.75" customHeight="1">
      <c r="A1555" s="188" t="s">
        <v>620</v>
      </c>
      <c r="B1555" s="188" t="s">
        <v>1394</v>
      </c>
      <c r="C1555" s="188" t="s">
        <v>641</v>
      </c>
      <c r="D1555" s="188" t="s">
        <v>2865</v>
      </c>
      <c r="E1555" s="189">
        <v>39492</v>
      </c>
      <c r="F1555" s="190">
        <v>0</v>
      </c>
      <c r="G1555" s="190">
        <v>79.17</v>
      </c>
      <c r="H1555" s="191">
        <v>1524.87</v>
      </c>
      <c r="I1555" s="191">
        <v>309.25</v>
      </c>
      <c r="J1555" s="188" t="s">
        <v>624</v>
      </c>
      <c r="K1555" s="188" t="s">
        <v>338</v>
      </c>
      <c r="L1555" s="188" t="s">
        <v>1581</v>
      </c>
      <c r="M1555" s="192">
        <f t="shared" si="72"/>
        <v>38</v>
      </c>
      <c r="N1555" s="193">
        <f t="shared" si="73"/>
        <v>1.2327162489894907</v>
      </c>
      <c r="O1555" s="194">
        <f t="shared" si="74"/>
        <v>3.2439901289197125E-2</v>
      </c>
    </row>
    <row r="1556" spans="1:15" ht="12.75" customHeight="1">
      <c r="A1556" s="188" t="s">
        <v>620</v>
      </c>
      <c r="B1556" s="188" t="s">
        <v>1394</v>
      </c>
      <c r="C1556" s="188" t="s">
        <v>641</v>
      </c>
      <c r="D1556" s="188" t="s">
        <v>2866</v>
      </c>
      <c r="E1556" s="189">
        <v>39289</v>
      </c>
      <c r="F1556" s="190">
        <v>0</v>
      </c>
      <c r="G1556" s="190">
        <v>104.32</v>
      </c>
      <c r="H1556" s="191">
        <v>1321.93</v>
      </c>
      <c r="I1556" s="191">
        <v>407.5</v>
      </c>
      <c r="J1556" s="188" t="s">
        <v>652</v>
      </c>
      <c r="K1556" s="188" t="s">
        <v>338</v>
      </c>
      <c r="L1556" s="188" t="s">
        <v>2867</v>
      </c>
      <c r="M1556" s="192">
        <f t="shared" si="72"/>
        <v>25</v>
      </c>
      <c r="N1556" s="193">
        <f t="shared" si="73"/>
        <v>0.81100000000000005</v>
      </c>
      <c r="O1556" s="194">
        <f t="shared" si="74"/>
        <v>3.2440000000000004E-2</v>
      </c>
    </row>
    <row r="1557" spans="1:15" ht="12.75" customHeight="1">
      <c r="A1557" s="188" t="s">
        <v>620</v>
      </c>
      <c r="B1557" s="188" t="s">
        <v>1394</v>
      </c>
      <c r="C1557" s="188" t="s">
        <v>641</v>
      </c>
      <c r="D1557" s="188" t="s">
        <v>2868</v>
      </c>
      <c r="E1557" s="189">
        <v>39583</v>
      </c>
      <c r="F1557" s="190">
        <v>0</v>
      </c>
      <c r="G1557" s="190">
        <v>128</v>
      </c>
      <c r="H1557" s="191">
        <v>1753</v>
      </c>
      <c r="I1557" s="191">
        <v>500</v>
      </c>
      <c r="J1557" s="188" t="s">
        <v>639</v>
      </c>
      <c r="K1557" s="188" t="s">
        <v>338</v>
      </c>
      <c r="L1557" s="188" t="s">
        <v>756</v>
      </c>
      <c r="M1557" s="192">
        <f t="shared" si="72"/>
        <v>27</v>
      </c>
      <c r="N1557" s="193">
        <f t="shared" si="73"/>
        <v>0.87649999999999995</v>
      </c>
      <c r="O1557" s="194">
        <f t="shared" si="74"/>
        <v>3.2462962962962964E-2</v>
      </c>
    </row>
    <row r="1558" spans="1:15" ht="12.75" customHeight="1">
      <c r="A1558" s="188" t="s">
        <v>620</v>
      </c>
      <c r="B1558" s="188" t="s">
        <v>1394</v>
      </c>
      <c r="C1558" s="188" t="s">
        <v>641</v>
      </c>
      <c r="D1558" s="188" t="s">
        <v>2869</v>
      </c>
      <c r="E1558" s="189">
        <v>39296</v>
      </c>
      <c r="F1558" s="190">
        <v>0</v>
      </c>
      <c r="G1558" s="190">
        <v>70.400000000000006</v>
      </c>
      <c r="H1558" s="191">
        <v>1001.88</v>
      </c>
      <c r="I1558" s="191">
        <v>275</v>
      </c>
      <c r="J1558" s="188" t="s">
        <v>750</v>
      </c>
      <c r="K1558" s="188" t="s">
        <v>338</v>
      </c>
      <c r="L1558" s="188" t="s">
        <v>557</v>
      </c>
      <c r="M1558" s="192">
        <f t="shared" si="72"/>
        <v>28</v>
      </c>
      <c r="N1558" s="193">
        <f t="shared" si="73"/>
        <v>0.91079999999999994</v>
      </c>
      <c r="O1558" s="194">
        <f t="shared" si="74"/>
        <v>3.2528571428571428E-2</v>
      </c>
    </row>
    <row r="1559" spans="1:15" ht="12.75" customHeight="1">
      <c r="A1559" s="188" t="s">
        <v>620</v>
      </c>
      <c r="B1559" s="188" t="s">
        <v>1394</v>
      </c>
      <c r="C1559" s="188" t="s">
        <v>641</v>
      </c>
      <c r="D1559" s="188" t="s">
        <v>2870</v>
      </c>
      <c r="E1559" s="189">
        <v>39269</v>
      </c>
      <c r="F1559" s="190">
        <v>0</v>
      </c>
      <c r="G1559" s="190">
        <v>96.51</v>
      </c>
      <c r="H1559" s="191">
        <v>1864.04</v>
      </c>
      <c r="I1559" s="191">
        <v>377</v>
      </c>
      <c r="J1559" s="188" t="s">
        <v>624</v>
      </c>
      <c r="K1559" s="188" t="s">
        <v>338</v>
      </c>
      <c r="L1559" s="188" t="s">
        <v>2871</v>
      </c>
      <c r="M1559" s="192">
        <f t="shared" si="72"/>
        <v>38</v>
      </c>
      <c r="N1559" s="193">
        <f t="shared" si="73"/>
        <v>1.2361007957559682</v>
      </c>
      <c r="O1559" s="194">
        <f t="shared" si="74"/>
        <v>3.2528968309367585E-2</v>
      </c>
    </row>
    <row r="1560" spans="1:15" ht="12.75" customHeight="1">
      <c r="A1560" s="188" t="s">
        <v>620</v>
      </c>
      <c r="B1560" s="188" t="s">
        <v>1394</v>
      </c>
      <c r="C1560" s="188" t="s">
        <v>641</v>
      </c>
      <c r="D1560" s="188" t="s">
        <v>2872</v>
      </c>
      <c r="E1560" s="189">
        <v>39380</v>
      </c>
      <c r="F1560" s="190">
        <v>0</v>
      </c>
      <c r="G1560" s="190">
        <v>55.94</v>
      </c>
      <c r="H1560" s="191">
        <v>598.1</v>
      </c>
      <c r="I1560" s="191">
        <v>218.5</v>
      </c>
      <c r="J1560" s="188" t="s">
        <v>879</v>
      </c>
      <c r="K1560" s="188" t="s">
        <v>338</v>
      </c>
      <c r="L1560" s="188" t="s">
        <v>2873</v>
      </c>
      <c r="M1560" s="192">
        <f t="shared" si="72"/>
        <v>21</v>
      </c>
      <c r="N1560" s="193">
        <f t="shared" si="73"/>
        <v>0.68432494279176204</v>
      </c>
      <c r="O1560" s="194">
        <f t="shared" si="74"/>
        <v>3.2586902037702953E-2</v>
      </c>
    </row>
    <row r="1561" spans="1:15" ht="12.75" customHeight="1">
      <c r="A1561" s="188" t="s">
        <v>620</v>
      </c>
      <c r="B1561" s="188" t="s">
        <v>1394</v>
      </c>
      <c r="C1561" s="188" t="s">
        <v>641</v>
      </c>
      <c r="D1561" s="188" t="s">
        <v>2874</v>
      </c>
      <c r="E1561" s="189">
        <v>39339</v>
      </c>
      <c r="F1561" s="190">
        <v>0</v>
      </c>
      <c r="G1561" s="190">
        <v>91.39</v>
      </c>
      <c r="H1561" s="191">
        <v>931.91</v>
      </c>
      <c r="I1561" s="191">
        <v>357</v>
      </c>
      <c r="J1561" s="188" t="s">
        <v>560</v>
      </c>
      <c r="K1561" s="188" t="s">
        <v>338</v>
      </c>
      <c r="L1561" s="188" t="s">
        <v>2875</v>
      </c>
      <c r="M1561" s="192">
        <f t="shared" si="72"/>
        <v>20</v>
      </c>
      <c r="N1561" s="193">
        <f t="shared" si="73"/>
        <v>0.65259803921568627</v>
      </c>
      <c r="O1561" s="194">
        <f t="shared" si="74"/>
        <v>3.2629901960784316E-2</v>
      </c>
    </row>
    <row r="1562" spans="1:15" ht="12.75" customHeight="1">
      <c r="A1562" s="188" t="s">
        <v>620</v>
      </c>
      <c r="B1562" s="188" t="s">
        <v>1394</v>
      </c>
      <c r="C1562" s="188" t="s">
        <v>641</v>
      </c>
      <c r="D1562" s="188" t="s">
        <v>2876</v>
      </c>
      <c r="E1562" s="189">
        <v>39219</v>
      </c>
      <c r="F1562" s="190">
        <v>0</v>
      </c>
      <c r="G1562" s="190">
        <v>74.37</v>
      </c>
      <c r="H1562" s="191">
        <v>1440.88</v>
      </c>
      <c r="I1562" s="191">
        <v>290.5</v>
      </c>
      <c r="J1562" s="188" t="s">
        <v>624</v>
      </c>
      <c r="K1562" s="188" t="s">
        <v>338</v>
      </c>
      <c r="L1562" s="188" t="s">
        <v>346</v>
      </c>
      <c r="M1562" s="192">
        <f t="shared" si="72"/>
        <v>38</v>
      </c>
      <c r="N1562" s="193">
        <f t="shared" si="73"/>
        <v>1.24</v>
      </c>
      <c r="O1562" s="194">
        <f t="shared" si="74"/>
        <v>3.2631578947368421E-2</v>
      </c>
    </row>
    <row r="1563" spans="1:15" ht="12.75" customHeight="1">
      <c r="A1563" s="188" t="s">
        <v>620</v>
      </c>
      <c r="B1563" s="188" t="s">
        <v>1394</v>
      </c>
      <c r="C1563" s="188" t="s">
        <v>641</v>
      </c>
      <c r="D1563" s="188" t="s">
        <v>2877</v>
      </c>
      <c r="E1563" s="189">
        <v>39548</v>
      </c>
      <c r="F1563" s="190">
        <v>0</v>
      </c>
      <c r="G1563" s="190">
        <v>106.94</v>
      </c>
      <c r="H1563" s="191">
        <v>1366</v>
      </c>
      <c r="I1563" s="191">
        <v>417.75</v>
      </c>
      <c r="J1563" s="188" t="s">
        <v>652</v>
      </c>
      <c r="K1563" s="188" t="s">
        <v>338</v>
      </c>
      <c r="L1563" s="188" t="s">
        <v>2878</v>
      </c>
      <c r="M1563" s="192">
        <f t="shared" si="72"/>
        <v>25</v>
      </c>
      <c r="N1563" s="193">
        <f t="shared" si="73"/>
        <v>0.81747456612806702</v>
      </c>
      <c r="O1563" s="194">
        <f t="shared" si="74"/>
        <v>3.2698982645122679E-2</v>
      </c>
    </row>
    <row r="1564" spans="1:15" ht="12.75" customHeight="1">
      <c r="A1564" s="188" t="s">
        <v>620</v>
      </c>
      <c r="B1564" s="188" t="s">
        <v>1394</v>
      </c>
      <c r="C1564" s="188" t="s">
        <v>641</v>
      </c>
      <c r="D1564" s="188" t="s">
        <v>2879</v>
      </c>
      <c r="E1564" s="189">
        <v>39555</v>
      </c>
      <c r="F1564" s="190">
        <v>0</v>
      </c>
      <c r="G1564" s="190">
        <v>85.76</v>
      </c>
      <c r="H1564" s="191">
        <v>1185</v>
      </c>
      <c r="I1564" s="191">
        <v>335</v>
      </c>
      <c r="J1564" s="188" t="s">
        <v>639</v>
      </c>
      <c r="K1564" s="188" t="s">
        <v>338</v>
      </c>
      <c r="L1564" s="188" t="s">
        <v>815</v>
      </c>
      <c r="M1564" s="192">
        <f t="shared" si="72"/>
        <v>27</v>
      </c>
      <c r="N1564" s="193">
        <f t="shared" si="73"/>
        <v>0.88432835820895528</v>
      </c>
      <c r="O1564" s="194">
        <f t="shared" si="74"/>
        <v>3.2752902155887234E-2</v>
      </c>
    </row>
    <row r="1565" spans="1:15" ht="12.75" customHeight="1">
      <c r="A1565" s="188" t="s">
        <v>620</v>
      </c>
      <c r="B1565" s="188" t="s">
        <v>1394</v>
      </c>
      <c r="C1565" s="188" t="s">
        <v>641</v>
      </c>
      <c r="D1565" s="188" t="s">
        <v>2880</v>
      </c>
      <c r="E1565" s="189">
        <v>39639</v>
      </c>
      <c r="F1565" s="190">
        <v>0</v>
      </c>
      <c r="G1565" s="190">
        <v>34.56</v>
      </c>
      <c r="H1565" s="191">
        <v>460</v>
      </c>
      <c r="I1565" s="191">
        <v>135</v>
      </c>
      <c r="J1565" s="188" t="s">
        <v>361</v>
      </c>
      <c r="K1565" s="188" t="s">
        <v>338</v>
      </c>
      <c r="L1565" s="188" t="s">
        <v>1081</v>
      </c>
      <c r="M1565" s="192">
        <f t="shared" si="72"/>
        <v>26</v>
      </c>
      <c r="N1565" s="193">
        <f t="shared" si="73"/>
        <v>0.85185185185185186</v>
      </c>
      <c r="O1565" s="194">
        <f t="shared" si="74"/>
        <v>3.2763532763532763E-2</v>
      </c>
    </row>
    <row r="1566" spans="1:15" ht="12.75" customHeight="1">
      <c r="A1566" s="188" t="s">
        <v>620</v>
      </c>
      <c r="B1566" s="188" t="s">
        <v>1394</v>
      </c>
      <c r="C1566" s="188" t="s">
        <v>641</v>
      </c>
      <c r="D1566" s="188" t="s">
        <v>2881</v>
      </c>
      <c r="E1566" s="189">
        <v>39562</v>
      </c>
      <c r="F1566" s="190">
        <v>0</v>
      </c>
      <c r="G1566" s="190">
        <v>100.99</v>
      </c>
      <c r="H1566" s="191">
        <v>1189.83</v>
      </c>
      <c r="I1566" s="191">
        <v>394.5</v>
      </c>
      <c r="J1566" s="188" t="s">
        <v>571</v>
      </c>
      <c r="K1566" s="188" t="s">
        <v>338</v>
      </c>
      <c r="L1566" s="188" t="s">
        <v>393</v>
      </c>
      <c r="M1566" s="192">
        <f t="shared" si="72"/>
        <v>23</v>
      </c>
      <c r="N1566" s="193">
        <f t="shared" si="73"/>
        <v>0.75401140684410639</v>
      </c>
      <c r="O1566" s="194">
        <f t="shared" si="74"/>
        <v>3.2783104645395932E-2</v>
      </c>
    </row>
    <row r="1567" spans="1:15" ht="12.75" customHeight="1">
      <c r="A1567" s="188" t="s">
        <v>620</v>
      </c>
      <c r="B1567" s="188" t="s">
        <v>1394</v>
      </c>
      <c r="C1567" s="188" t="s">
        <v>641</v>
      </c>
      <c r="D1567" s="188" t="s">
        <v>2882</v>
      </c>
      <c r="E1567" s="189">
        <v>39282</v>
      </c>
      <c r="F1567" s="190">
        <v>0</v>
      </c>
      <c r="G1567" s="190">
        <v>124.93</v>
      </c>
      <c r="H1567" s="191">
        <v>1855.96</v>
      </c>
      <c r="I1567" s="191">
        <v>488</v>
      </c>
      <c r="J1567" s="188" t="s">
        <v>715</v>
      </c>
      <c r="K1567" s="188" t="s">
        <v>338</v>
      </c>
      <c r="L1567" s="188" t="s">
        <v>2883</v>
      </c>
      <c r="M1567" s="192">
        <f t="shared" si="72"/>
        <v>29</v>
      </c>
      <c r="N1567" s="193">
        <f t="shared" si="73"/>
        <v>0.95079918032786892</v>
      </c>
      <c r="O1567" s="194">
        <f t="shared" si="74"/>
        <v>3.2786178631995483E-2</v>
      </c>
    </row>
    <row r="1568" spans="1:15" ht="12.75" customHeight="1">
      <c r="A1568" s="188" t="s">
        <v>620</v>
      </c>
      <c r="B1568" s="188" t="s">
        <v>1394</v>
      </c>
      <c r="C1568" s="188" t="s">
        <v>641</v>
      </c>
      <c r="D1568" s="188" t="s">
        <v>2884</v>
      </c>
      <c r="E1568" s="189">
        <v>39317</v>
      </c>
      <c r="F1568" s="190">
        <v>0</v>
      </c>
      <c r="G1568" s="190">
        <v>67.2</v>
      </c>
      <c r="H1568" s="191">
        <v>861</v>
      </c>
      <c r="I1568" s="191">
        <v>262.5</v>
      </c>
      <c r="J1568" s="188" t="s">
        <v>652</v>
      </c>
      <c r="K1568" s="188" t="s">
        <v>338</v>
      </c>
      <c r="L1568" s="188" t="s">
        <v>1139</v>
      </c>
      <c r="M1568" s="192">
        <f t="shared" si="72"/>
        <v>25</v>
      </c>
      <c r="N1568" s="193">
        <f t="shared" si="73"/>
        <v>0.82</v>
      </c>
      <c r="O1568" s="194">
        <f t="shared" si="74"/>
        <v>3.2799999999999996E-2</v>
      </c>
    </row>
    <row r="1569" spans="1:15" ht="12.75" customHeight="1">
      <c r="A1569" s="188" t="s">
        <v>620</v>
      </c>
      <c r="B1569" s="188" t="s">
        <v>1394</v>
      </c>
      <c r="C1569" s="188" t="s">
        <v>641</v>
      </c>
      <c r="D1569" s="188" t="s">
        <v>2885</v>
      </c>
      <c r="E1569" s="189">
        <v>39436</v>
      </c>
      <c r="F1569" s="190">
        <v>0</v>
      </c>
      <c r="G1569" s="190">
        <v>128</v>
      </c>
      <c r="H1569" s="191">
        <v>1640</v>
      </c>
      <c r="I1569" s="191">
        <v>500</v>
      </c>
      <c r="J1569" s="188" t="s">
        <v>652</v>
      </c>
      <c r="K1569" s="188" t="s">
        <v>338</v>
      </c>
      <c r="L1569" s="188" t="s">
        <v>756</v>
      </c>
      <c r="M1569" s="192">
        <f t="shared" si="72"/>
        <v>25</v>
      </c>
      <c r="N1569" s="193">
        <f t="shared" si="73"/>
        <v>0.82</v>
      </c>
      <c r="O1569" s="194">
        <f t="shared" si="74"/>
        <v>3.2799999999999996E-2</v>
      </c>
    </row>
    <row r="1570" spans="1:15" ht="12.75" customHeight="1">
      <c r="A1570" s="188" t="s">
        <v>620</v>
      </c>
      <c r="B1570" s="188" t="s">
        <v>1394</v>
      </c>
      <c r="C1570" s="188" t="s">
        <v>641</v>
      </c>
      <c r="D1570" s="188" t="s">
        <v>2886</v>
      </c>
      <c r="E1570" s="189">
        <v>39240</v>
      </c>
      <c r="F1570" s="190">
        <v>0</v>
      </c>
      <c r="G1570" s="190">
        <v>92.8</v>
      </c>
      <c r="H1570" s="191">
        <v>1812.07</v>
      </c>
      <c r="I1570" s="191">
        <v>362.5</v>
      </c>
      <c r="J1570" s="188" t="s">
        <v>639</v>
      </c>
      <c r="K1570" s="188" t="s">
        <v>648</v>
      </c>
      <c r="L1570" s="188" t="s">
        <v>920</v>
      </c>
      <c r="M1570" s="192">
        <f t="shared" si="72"/>
        <v>38</v>
      </c>
      <c r="N1570" s="193">
        <f t="shared" si="73"/>
        <v>1.249703448275862</v>
      </c>
      <c r="O1570" s="194">
        <f t="shared" si="74"/>
        <v>3.2886932849364788E-2</v>
      </c>
    </row>
    <row r="1571" spans="1:15" ht="12.75" customHeight="1">
      <c r="A1571" s="188" t="s">
        <v>620</v>
      </c>
      <c r="B1571" s="188" t="s">
        <v>1394</v>
      </c>
      <c r="C1571" s="188" t="s">
        <v>641</v>
      </c>
      <c r="D1571" s="188" t="s">
        <v>2887</v>
      </c>
      <c r="E1571" s="189">
        <v>39261</v>
      </c>
      <c r="F1571" s="190">
        <v>0</v>
      </c>
      <c r="G1571" s="190">
        <v>38.4</v>
      </c>
      <c r="H1571" s="191">
        <v>750</v>
      </c>
      <c r="I1571" s="191">
        <v>150</v>
      </c>
      <c r="J1571" s="188" t="s">
        <v>624</v>
      </c>
      <c r="K1571" s="188" t="s">
        <v>338</v>
      </c>
      <c r="L1571" s="188" t="s">
        <v>677</v>
      </c>
      <c r="M1571" s="192">
        <f t="shared" si="72"/>
        <v>38</v>
      </c>
      <c r="N1571" s="193">
        <f t="shared" si="73"/>
        <v>1.25</v>
      </c>
      <c r="O1571" s="194">
        <f t="shared" si="74"/>
        <v>3.2894736842105261E-2</v>
      </c>
    </row>
    <row r="1572" spans="1:15" ht="12.75" customHeight="1">
      <c r="A1572" s="188" t="s">
        <v>620</v>
      </c>
      <c r="B1572" s="188" t="s">
        <v>1394</v>
      </c>
      <c r="C1572" s="188" t="s">
        <v>641</v>
      </c>
      <c r="D1572" s="188" t="s">
        <v>2888</v>
      </c>
      <c r="E1572" s="189">
        <v>39380</v>
      </c>
      <c r="F1572" s="190">
        <v>0</v>
      </c>
      <c r="G1572" s="190">
        <v>55.3</v>
      </c>
      <c r="H1572" s="191">
        <v>1080</v>
      </c>
      <c r="I1572" s="191">
        <v>216</v>
      </c>
      <c r="J1572" s="188" t="s">
        <v>624</v>
      </c>
      <c r="K1572" s="188" t="s">
        <v>338</v>
      </c>
      <c r="L1572" s="188" t="s">
        <v>1342</v>
      </c>
      <c r="M1572" s="192">
        <f t="shared" si="72"/>
        <v>38</v>
      </c>
      <c r="N1572" s="193">
        <f t="shared" si="73"/>
        <v>1.25</v>
      </c>
      <c r="O1572" s="194">
        <f t="shared" si="74"/>
        <v>3.2894736842105261E-2</v>
      </c>
    </row>
    <row r="1573" spans="1:15" ht="12.75" customHeight="1">
      <c r="A1573" s="188" t="s">
        <v>620</v>
      </c>
      <c r="B1573" s="188" t="s">
        <v>1394</v>
      </c>
      <c r="C1573" s="188" t="s">
        <v>641</v>
      </c>
      <c r="D1573" s="188" t="s">
        <v>2889</v>
      </c>
      <c r="E1573" s="189">
        <v>39359</v>
      </c>
      <c r="F1573" s="190">
        <v>0</v>
      </c>
      <c r="G1573" s="190">
        <v>58.37</v>
      </c>
      <c r="H1573" s="191">
        <v>600</v>
      </c>
      <c r="I1573" s="191">
        <v>228</v>
      </c>
      <c r="J1573" s="188" t="s">
        <v>560</v>
      </c>
      <c r="K1573" s="188" t="s">
        <v>338</v>
      </c>
      <c r="L1573" s="188" t="s">
        <v>1808</v>
      </c>
      <c r="M1573" s="192">
        <f t="shared" si="72"/>
        <v>20</v>
      </c>
      <c r="N1573" s="193">
        <f t="shared" si="73"/>
        <v>0.65789473684210531</v>
      </c>
      <c r="O1573" s="194">
        <f t="shared" si="74"/>
        <v>3.2894736842105268E-2</v>
      </c>
    </row>
    <row r="1574" spans="1:15" ht="12.75" customHeight="1">
      <c r="A1574" s="188" t="s">
        <v>620</v>
      </c>
      <c r="B1574" s="188" t="s">
        <v>1394</v>
      </c>
      <c r="C1574" s="188" t="s">
        <v>641</v>
      </c>
      <c r="D1574" s="188" t="s">
        <v>2890</v>
      </c>
      <c r="E1574" s="189">
        <v>39534</v>
      </c>
      <c r="F1574" s="190">
        <v>0</v>
      </c>
      <c r="G1574" s="190">
        <v>113.28</v>
      </c>
      <c r="H1574" s="191">
        <v>1165</v>
      </c>
      <c r="I1574" s="191">
        <v>442.5</v>
      </c>
      <c r="J1574" s="188" t="s">
        <v>560</v>
      </c>
      <c r="K1574" s="188" t="s">
        <v>338</v>
      </c>
      <c r="L1574" s="188" t="s">
        <v>2891</v>
      </c>
      <c r="M1574" s="192">
        <f t="shared" si="72"/>
        <v>20</v>
      </c>
      <c r="N1574" s="193">
        <f t="shared" si="73"/>
        <v>0.65819209039548021</v>
      </c>
      <c r="O1574" s="194">
        <f t="shared" si="74"/>
        <v>3.2909604519774011E-2</v>
      </c>
    </row>
    <row r="1575" spans="1:15" ht="12.75" customHeight="1">
      <c r="A1575" s="188" t="s">
        <v>620</v>
      </c>
      <c r="B1575" s="188" t="s">
        <v>1394</v>
      </c>
      <c r="C1575" s="188" t="s">
        <v>641</v>
      </c>
      <c r="D1575" s="188" t="s">
        <v>2892</v>
      </c>
      <c r="E1575" s="189">
        <v>39331</v>
      </c>
      <c r="F1575" s="190">
        <v>0</v>
      </c>
      <c r="G1575" s="190">
        <v>67.2</v>
      </c>
      <c r="H1575" s="191">
        <v>864.05</v>
      </c>
      <c r="I1575" s="191">
        <v>262.5</v>
      </c>
      <c r="J1575" s="188" t="s">
        <v>652</v>
      </c>
      <c r="K1575" s="188" t="s">
        <v>338</v>
      </c>
      <c r="L1575" s="188" t="s">
        <v>1139</v>
      </c>
      <c r="M1575" s="192">
        <f t="shared" si="72"/>
        <v>25</v>
      </c>
      <c r="N1575" s="193">
        <f t="shared" si="73"/>
        <v>0.82290476190476192</v>
      </c>
      <c r="O1575" s="194">
        <f t="shared" si="74"/>
        <v>3.2916190476190474E-2</v>
      </c>
    </row>
    <row r="1576" spans="1:15" ht="12.75" customHeight="1">
      <c r="A1576" s="188" t="s">
        <v>620</v>
      </c>
      <c r="B1576" s="188" t="s">
        <v>1394</v>
      </c>
      <c r="C1576" s="188" t="s">
        <v>641</v>
      </c>
      <c r="D1576" s="188" t="s">
        <v>2893</v>
      </c>
      <c r="E1576" s="189">
        <v>39380</v>
      </c>
      <c r="F1576" s="190">
        <v>0</v>
      </c>
      <c r="G1576" s="190">
        <v>36.799999999999997</v>
      </c>
      <c r="H1576" s="191">
        <v>625</v>
      </c>
      <c r="I1576" s="191">
        <v>143.75</v>
      </c>
      <c r="J1576" s="188" t="s">
        <v>742</v>
      </c>
      <c r="K1576" s="188" t="s">
        <v>338</v>
      </c>
      <c r="L1576" s="188" t="s">
        <v>2894</v>
      </c>
      <c r="M1576" s="192">
        <f t="shared" si="72"/>
        <v>33</v>
      </c>
      <c r="N1576" s="193">
        <f t="shared" si="73"/>
        <v>1.0869565217391304</v>
      </c>
      <c r="O1576" s="194">
        <f t="shared" si="74"/>
        <v>3.2938076416337281E-2</v>
      </c>
    </row>
    <row r="1577" spans="1:15" ht="12.75" customHeight="1">
      <c r="A1577" s="188" t="s">
        <v>620</v>
      </c>
      <c r="B1577" s="188" t="s">
        <v>1394</v>
      </c>
      <c r="C1577" s="188" t="s">
        <v>641</v>
      </c>
      <c r="D1577" s="188" t="s">
        <v>2895</v>
      </c>
      <c r="E1577" s="189">
        <v>39407</v>
      </c>
      <c r="F1577" s="190">
        <v>0</v>
      </c>
      <c r="G1577" s="190">
        <v>86.4</v>
      </c>
      <c r="H1577" s="191">
        <v>890</v>
      </c>
      <c r="I1577" s="191">
        <v>337.5</v>
      </c>
      <c r="J1577" s="188" t="s">
        <v>560</v>
      </c>
      <c r="K1577" s="188" t="s">
        <v>338</v>
      </c>
      <c r="L1577" s="188" t="s">
        <v>707</v>
      </c>
      <c r="M1577" s="192">
        <f t="shared" si="72"/>
        <v>20</v>
      </c>
      <c r="N1577" s="193">
        <f t="shared" si="73"/>
        <v>0.65925925925925921</v>
      </c>
      <c r="O1577" s="194">
        <f t="shared" si="74"/>
        <v>3.2962962962962958E-2</v>
      </c>
    </row>
    <row r="1578" spans="1:15" ht="12.75" customHeight="1">
      <c r="A1578" s="188" t="s">
        <v>620</v>
      </c>
      <c r="B1578" s="188" t="s">
        <v>1394</v>
      </c>
      <c r="C1578" s="188" t="s">
        <v>641</v>
      </c>
      <c r="D1578" s="188" t="s">
        <v>2896</v>
      </c>
      <c r="E1578" s="189">
        <v>39407</v>
      </c>
      <c r="F1578" s="190">
        <v>0</v>
      </c>
      <c r="G1578" s="190">
        <v>88.96</v>
      </c>
      <c r="H1578" s="191">
        <v>1374.75</v>
      </c>
      <c r="I1578" s="191">
        <v>347.5</v>
      </c>
      <c r="J1578" s="188" t="s">
        <v>635</v>
      </c>
      <c r="K1578" s="188" t="s">
        <v>338</v>
      </c>
      <c r="L1578" s="188" t="s">
        <v>2897</v>
      </c>
      <c r="M1578" s="192">
        <f t="shared" si="72"/>
        <v>30</v>
      </c>
      <c r="N1578" s="193">
        <f t="shared" si="73"/>
        <v>0.98902877697841729</v>
      </c>
      <c r="O1578" s="194">
        <f t="shared" si="74"/>
        <v>3.2967625899280574E-2</v>
      </c>
    </row>
    <row r="1579" spans="1:15" ht="12.75" customHeight="1">
      <c r="A1579" s="188" t="s">
        <v>620</v>
      </c>
      <c r="B1579" s="188" t="s">
        <v>1394</v>
      </c>
      <c r="C1579" s="188" t="s">
        <v>641</v>
      </c>
      <c r="D1579" s="188" t="s">
        <v>2898</v>
      </c>
      <c r="E1579" s="189">
        <v>39583</v>
      </c>
      <c r="F1579" s="190">
        <v>0</v>
      </c>
      <c r="G1579" s="190">
        <v>121.6</v>
      </c>
      <c r="H1579" s="191">
        <v>1695</v>
      </c>
      <c r="I1579" s="191">
        <v>475</v>
      </c>
      <c r="J1579" s="188" t="s">
        <v>639</v>
      </c>
      <c r="K1579" s="188" t="s">
        <v>338</v>
      </c>
      <c r="L1579" s="188" t="s">
        <v>1673</v>
      </c>
      <c r="M1579" s="192">
        <f t="shared" si="72"/>
        <v>27</v>
      </c>
      <c r="N1579" s="193">
        <f t="shared" si="73"/>
        <v>0.89210526315789473</v>
      </c>
      <c r="O1579" s="194">
        <f t="shared" si="74"/>
        <v>3.3040935672514621E-2</v>
      </c>
    </row>
    <row r="1580" spans="1:15" ht="12.75" customHeight="1">
      <c r="A1580" s="188" t="s">
        <v>620</v>
      </c>
      <c r="B1580" s="188" t="s">
        <v>1394</v>
      </c>
      <c r="C1580" s="188" t="s">
        <v>641</v>
      </c>
      <c r="D1580" s="188" t="s">
        <v>2899</v>
      </c>
      <c r="E1580" s="189">
        <v>39632</v>
      </c>
      <c r="F1580" s="190">
        <v>0</v>
      </c>
      <c r="G1580" s="190">
        <v>100.99</v>
      </c>
      <c r="H1580" s="191">
        <v>1097</v>
      </c>
      <c r="I1580" s="191">
        <v>394.5</v>
      </c>
      <c r="J1580" s="188" t="s">
        <v>879</v>
      </c>
      <c r="K1580" s="188" t="s">
        <v>338</v>
      </c>
      <c r="L1580" s="188" t="s">
        <v>393</v>
      </c>
      <c r="M1580" s="192">
        <f t="shared" si="72"/>
        <v>21</v>
      </c>
      <c r="N1580" s="193">
        <f t="shared" si="73"/>
        <v>0.6951837769328264</v>
      </c>
      <c r="O1580" s="194">
        <f t="shared" si="74"/>
        <v>3.3103989377753641E-2</v>
      </c>
    </row>
    <row r="1581" spans="1:15" ht="12.75" customHeight="1">
      <c r="A1581" s="188" t="s">
        <v>620</v>
      </c>
      <c r="B1581" s="188" t="s">
        <v>1394</v>
      </c>
      <c r="C1581" s="188" t="s">
        <v>641</v>
      </c>
      <c r="D1581" s="188" t="s">
        <v>2900</v>
      </c>
      <c r="E1581" s="189">
        <v>39447</v>
      </c>
      <c r="F1581" s="190">
        <v>0</v>
      </c>
      <c r="G1581" s="190">
        <v>93.95</v>
      </c>
      <c r="H1581" s="191">
        <v>1118</v>
      </c>
      <c r="I1581" s="191">
        <v>367</v>
      </c>
      <c r="J1581" s="188" t="s">
        <v>571</v>
      </c>
      <c r="K1581" s="188" t="s">
        <v>338</v>
      </c>
      <c r="L1581" s="188" t="s">
        <v>2901</v>
      </c>
      <c r="M1581" s="192">
        <f t="shared" si="72"/>
        <v>23</v>
      </c>
      <c r="N1581" s="193">
        <f t="shared" si="73"/>
        <v>0.76158038147138962</v>
      </c>
      <c r="O1581" s="194">
        <f t="shared" si="74"/>
        <v>3.3112190498756071E-2</v>
      </c>
    </row>
    <row r="1582" spans="1:15" ht="12.75" customHeight="1">
      <c r="A1582" s="188" t="s">
        <v>620</v>
      </c>
      <c r="B1582" s="188" t="s">
        <v>1394</v>
      </c>
      <c r="C1582" s="188" t="s">
        <v>641</v>
      </c>
      <c r="D1582" s="188" t="s">
        <v>2902</v>
      </c>
      <c r="E1582" s="189">
        <v>39507</v>
      </c>
      <c r="F1582" s="190">
        <v>0</v>
      </c>
      <c r="G1582" s="190">
        <v>96.13</v>
      </c>
      <c r="H1582" s="191">
        <v>1890</v>
      </c>
      <c r="I1582" s="191">
        <v>375.5</v>
      </c>
      <c r="J1582" s="188" t="s">
        <v>624</v>
      </c>
      <c r="K1582" s="188" t="s">
        <v>338</v>
      </c>
      <c r="L1582" s="188" t="s">
        <v>2903</v>
      </c>
      <c r="M1582" s="192">
        <f t="shared" si="72"/>
        <v>38</v>
      </c>
      <c r="N1582" s="193">
        <f t="shared" si="73"/>
        <v>1.2583222370173102</v>
      </c>
      <c r="O1582" s="194">
        <f t="shared" si="74"/>
        <v>3.3113743079402902E-2</v>
      </c>
    </row>
    <row r="1583" spans="1:15" ht="12.75" customHeight="1">
      <c r="A1583" s="188" t="s">
        <v>620</v>
      </c>
      <c r="B1583" s="188" t="s">
        <v>1394</v>
      </c>
      <c r="C1583" s="188" t="s">
        <v>641</v>
      </c>
      <c r="D1583" s="188" t="s">
        <v>2904</v>
      </c>
      <c r="E1583" s="189">
        <v>39380</v>
      </c>
      <c r="F1583" s="190">
        <v>0</v>
      </c>
      <c r="G1583" s="190">
        <v>85.63</v>
      </c>
      <c r="H1583" s="191">
        <v>1329.7</v>
      </c>
      <c r="I1583" s="191">
        <v>334.5</v>
      </c>
      <c r="J1583" s="188" t="s">
        <v>635</v>
      </c>
      <c r="K1583" s="188" t="s">
        <v>338</v>
      </c>
      <c r="L1583" s="188" t="s">
        <v>2905</v>
      </c>
      <c r="M1583" s="192">
        <f t="shared" si="72"/>
        <v>30</v>
      </c>
      <c r="N1583" s="193">
        <f t="shared" si="73"/>
        <v>0.99379671150971605</v>
      </c>
      <c r="O1583" s="194">
        <f t="shared" si="74"/>
        <v>3.3126557050323871E-2</v>
      </c>
    </row>
    <row r="1584" spans="1:15" ht="12.75" customHeight="1">
      <c r="A1584" s="188" t="s">
        <v>620</v>
      </c>
      <c r="B1584" s="188" t="s">
        <v>1394</v>
      </c>
      <c r="C1584" s="188" t="s">
        <v>641</v>
      </c>
      <c r="D1584" s="188" t="s">
        <v>2906</v>
      </c>
      <c r="E1584" s="189">
        <v>39447</v>
      </c>
      <c r="F1584" s="190">
        <v>0</v>
      </c>
      <c r="G1584" s="190">
        <v>43.52</v>
      </c>
      <c r="H1584" s="191">
        <v>428</v>
      </c>
      <c r="I1584" s="191">
        <v>170</v>
      </c>
      <c r="J1584" s="188" t="s">
        <v>667</v>
      </c>
      <c r="K1584" s="188" t="s">
        <v>338</v>
      </c>
      <c r="L1584" s="188" t="s">
        <v>1611</v>
      </c>
      <c r="M1584" s="192">
        <f t="shared" si="72"/>
        <v>19</v>
      </c>
      <c r="N1584" s="193">
        <f t="shared" si="73"/>
        <v>0.62941176470588234</v>
      </c>
      <c r="O1584" s="194">
        <f t="shared" si="74"/>
        <v>3.3126934984520122E-2</v>
      </c>
    </row>
    <row r="1585" spans="1:15" ht="12.75" customHeight="1">
      <c r="A1585" s="188" t="s">
        <v>620</v>
      </c>
      <c r="B1585" s="188" t="s">
        <v>1394</v>
      </c>
      <c r="C1585" s="188" t="s">
        <v>641</v>
      </c>
      <c r="D1585" s="188" t="s">
        <v>2907</v>
      </c>
      <c r="E1585" s="189">
        <v>39416</v>
      </c>
      <c r="F1585" s="190">
        <v>0</v>
      </c>
      <c r="G1585" s="190">
        <v>112.96</v>
      </c>
      <c r="H1585" s="191">
        <v>1462</v>
      </c>
      <c r="I1585" s="191">
        <v>441.25</v>
      </c>
      <c r="J1585" s="188" t="s">
        <v>652</v>
      </c>
      <c r="K1585" s="188" t="s">
        <v>338</v>
      </c>
      <c r="L1585" s="188" t="s">
        <v>2908</v>
      </c>
      <c r="M1585" s="192">
        <f t="shared" si="72"/>
        <v>25</v>
      </c>
      <c r="N1585" s="193">
        <f t="shared" si="73"/>
        <v>0.82832861189801699</v>
      </c>
      <c r="O1585" s="194">
        <f t="shared" si="74"/>
        <v>3.3133144475920681E-2</v>
      </c>
    </row>
    <row r="1586" spans="1:15" ht="12.75" customHeight="1">
      <c r="A1586" s="188" t="s">
        <v>620</v>
      </c>
      <c r="B1586" s="188" t="s">
        <v>1394</v>
      </c>
      <c r="C1586" s="188" t="s">
        <v>641</v>
      </c>
      <c r="D1586" s="188" t="s">
        <v>2909</v>
      </c>
      <c r="E1586" s="189">
        <v>39395</v>
      </c>
      <c r="F1586" s="190">
        <v>0</v>
      </c>
      <c r="G1586" s="190">
        <v>103.74</v>
      </c>
      <c r="H1586" s="191">
        <v>1077</v>
      </c>
      <c r="I1586" s="191">
        <v>405.25</v>
      </c>
      <c r="J1586" s="188" t="s">
        <v>560</v>
      </c>
      <c r="K1586" s="188" t="s">
        <v>338</v>
      </c>
      <c r="L1586" s="188" t="s">
        <v>2910</v>
      </c>
      <c r="M1586" s="192">
        <f t="shared" si="72"/>
        <v>20</v>
      </c>
      <c r="N1586" s="193">
        <f t="shared" si="73"/>
        <v>0.66440468846391121</v>
      </c>
      <c r="O1586" s="194">
        <f t="shared" si="74"/>
        <v>3.3220234423195563E-2</v>
      </c>
    </row>
    <row r="1587" spans="1:15" ht="12.75" customHeight="1">
      <c r="A1587" s="188" t="s">
        <v>620</v>
      </c>
      <c r="B1587" s="188" t="s">
        <v>1394</v>
      </c>
      <c r="C1587" s="188" t="s">
        <v>641</v>
      </c>
      <c r="D1587" s="188" t="s">
        <v>2911</v>
      </c>
      <c r="E1587" s="189">
        <v>39492</v>
      </c>
      <c r="F1587" s="190">
        <v>0</v>
      </c>
      <c r="G1587" s="190">
        <v>66.819999999999993</v>
      </c>
      <c r="H1587" s="191">
        <v>1320</v>
      </c>
      <c r="I1587" s="191">
        <v>261</v>
      </c>
      <c r="J1587" s="188" t="s">
        <v>624</v>
      </c>
      <c r="K1587" s="188" t="s">
        <v>338</v>
      </c>
      <c r="L1587" s="188" t="s">
        <v>2912</v>
      </c>
      <c r="M1587" s="192">
        <f t="shared" si="72"/>
        <v>38</v>
      </c>
      <c r="N1587" s="193">
        <f t="shared" si="73"/>
        <v>1.264367816091954</v>
      </c>
      <c r="O1587" s="194">
        <f t="shared" si="74"/>
        <v>3.327283726557774E-2</v>
      </c>
    </row>
    <row r="1588" spans="1:15" ht="12.75" customHeight="1">
      <c r="A1588" s="188" t="s">
        <v>620</v>
      </c>
      <c r="B1588" s="188" t="s">
        <v>1394</v>
      </c>
      <c r="C1588" s="188" t="s">
        <v>641</v>
      </c>
      <c r="D1588" s="188" t="s">
        <v>2913</v>
      </c>
      <c r="E1588" s="189">
        <v>39429</v>
      </c>
      <c r="F1588" s="190">
        <v>0</v>
      </c>
      <c r="G1588" s="190">
        <v>115.2</v>
      </c>
      <c r="H1588" s="191">
        <v>1200</v>
      </c>
      <c r="I1588" s="191">
        <v>450</v>
      </c>
      <c r="J1588" s="188" t="s">
        <v>560</v>
      </c>
      <c r="K1588" s="188" t="s">
        <v>338</v>
      </c>
      <c r="L1588" s="188" t="s">
        <v>718</v>
      </c>
      <c r="M1588" s="192">
        <f t="shared" si="72"/>
        <v>20</v>
      </c>
      <c r="N1588" s="193">
        <f t="shared" si="73"/>
        <v>0.66666666666666663</v>
      </c>
      <c r="O1588" s="194">
        <f t="shared" si="74"/>
        <v>3.3333333333333333E-2</v>
      </c>
    </row>
    <row r="1589" spans="1:15" ht="12.75" customHeight="1">
      <c r="A1589" s="188" t="s">
        <v>620</v>
      </c>
      <c r="B1589" s="188" t="s">
        <v>1394</v>
      </c>
      <c r="C1589" s="188" t="s">
        <v>641</v>
      </c>
      <c r="D1589" s="188" t="s">
        <v>2914</v>
      </c>
      <c r="E1589" s="189">
        <v>39507</v>
      </c>
      <c r="F1589" s="190">
        <v>0</v>
      </c>
      <c r="G1589" s="190">
        <v>38.909999999999997</v>
      </c>
      <c r="H1589" s="191">
        <v>794</v>
      </c>
      <c r="I1589" s="191">
        <v>152</v>
      </c>
      <c r="J1589" s="188" t="s">
        <v>635</v>
      </c>
      <c r="K1589" s="188" t="s">
        <v>338</v>
      </c>
      <c r="L1589" s="188" t="s">
        <v>2915</v>
      </c>
      <c r="M1589" s="192">
        <f t="shared" si="72"/>
        <v>30</v>
      </c>
      <c r="N1589" s="193">
        <f t="shared" si="73"/>
        <v>1</v>
      </c>
      <c r="O1589" s="194">
        <f t="shared" si="74"/>
        <v>3.3333333333333333E-2</v>
      </c>
    </row>
    <row r="1590" spans="1:15" ht="12.75" customHeight="1">
      <c r="A1590" s="188" t="s">
        <v>620</v>
      </c>
      <c r="B1590" s="188" t="s">
        <v>1394</v>
      </c>
      <c r="C1590" s="188" t="s">
        <v>641</v>
      </c>
      <c r="D1590" s="188" t="s">
        <v>2916</v>
      </c>
      <c r="E1590" s="189">
        <v>39513</v>
      </c>
      <c r="F1590" s="190">
        <v>0</v>
      </c>
      <c r="G1590" s="190">
        <v>76.8</v>
      </c>
      <c r="H1590" s="191">
        <v>1080</v>
      </c>
      <c r="I1590" s="191">
        <v>300</v>
      </c>
      <c r="J1590" s="188" t="s">
        <v>639</v>
      </c>
      <c r="K1590" s="188" t="s">
        <v>338</v>
      </c>
      <c r="L1590" s="188" t="s">
        <v>632</v>
      </c>
      <c r="M1590" s="192">
        <f t="shared" si="72"/>
        <v>27</v>
      </c>
      <c r="N1590" s="193">
        <f t="shared" si="73"/>
        <v>0.9</v>
      </c>
      <c r="O1590" s="194">
        <f t="shared" si="74"/>
        <v>3.3333333333333333E-2</v>
      </c>
    </row>
    <row r="1591" spans="1:15" ht="12.75" customHeight="1">
      <c r="A1591" s="188" t="s">
        <v>620</v>
      </c>
      <c r="B1591" s="188" t="s">
        <v>1394</v>
      </c>
      <c r="C1591" s="188" t="s">
        <v>641</v>
      </c>
      <c r="D1591" s="188" t="s">
        <v>2917</v>
      </c>
      <c r="E1591" s="189">
        <v>39562</v>
      </c>
      <c r="F1591" s="190">
        <v>0</v>
      </c>
      <c r="G1591" s="190">
        <v>57.6</v>
      </c>
      <c r="H1591" s="191">
        <v>600</v>
      </c>
      <c r="I1591" s="191">
        <v>225</v>
      </c>
      <c r="J1591" s="188" t="s">
        <v>560</v>
      </c>
      <c r="K1591" s="188" t="s">
        <v>338</v>
      </c>
      <c r="L1591" s="188" t="s">
        <v>740</v>
      </c>
      <c r="M1591" s="192">
        <f t="shared" si="72"/>
        <v>20</v>
      </c>
      <c r="N1591" s="193">
        <f t="shared" si="73"/>
        <v>0.66666666666666663</v>
      </c>
      <c r="O1591" s="194">
        <f t="shared" si="74"/>
        <v>3.3333333333333333E-2</v>
      </c>
    </row>
    <row r="1592" spans="1:15" ht="12.75" customHeight="1">
      <c r="A1592" s="188" t="s">
        <v>620</v>
      </c>
      <c r="B1592" s="188" t="s">
        <v>1394</v>
      </c>
      <c r="C1592" s="188" t="s">
        <v>641</v>
      </c>
      <c r="D1592" s="188" t="s">
        <v>2918</v>
      </c>
      <c r="E1592" s="189">
        <v>39625</v>
      </c>
      <c r="F1592" s="190">
        <v>0</v>
      </c>
      <c r="G1592" s="190">
        <v>64.510000000000005</v>
      </c>
      <c r="H1592" s="191">
        <v>1850</v>
      </c>
      <c r="I1592" s="191">
        <v>252</v>
      </c>
      <c r="J1592" s="188" t="s">
        <v>635</v>
      </c>
      <c r="K1592" s="188" t="s">
        <v>338</v>
      </c>
      <c r="L1592" s="188" t="s">
        <v>1736</v>
      </c>
      <c r="M1592" s="192">
        <f t="shared" si="72"/>
        <v>30</v>
      </c>
      <c r="N1592" s="193">
        <f t="shared" si="73"/>
        <v>1</v>
      </c>
      <c r="O1592" s="194">
        <f t="shared" si="74"/>
        <v>3.3333333333333333E-2</v>
      </c>
    </row>
    <row r="1593" spans="1:15" ht="12.75" customHeight="1">
      <c r="A1593" s="188" t="s">
        <v>620</v>
      </c>
      <c r="B1593" s="188" t="s">
        <v>1394</v>
      </c>
      <c r="C1593" s="188" t="s">
        <v>641</v>
      </c>
      <c r="D1593" s="188" t="s">
        <v>2919</v>
      </c>
      <c r="E1593" s="189">
        <v>39639</v>
      </c>
      <c r="F1593" s="190">
        <v>0</v>
      </c>
      <c r="G1593" s="190">
        <v>87.04</v>
      </c>
      <c r="H1593" s="191">
        <v>1225</v>
      </c>
      <c r="I1593" s="191">
        <v>340</v>
      </c>
      <c r="J1593" s="188" t="s">
        <v>639</v>
      </c>
      <c r="K1593" s="188" t="s">
        <v>338</v>
      </c>
      <c r="L1593" s="188" t="s">
        <v>774</v>
      </c>
      <c r="M1593" s="192">
        <f t="shared" si="72"/>
        <v>27</v>
      </c>
      <c r="N1593" s="193">
        <f t="shared" si="73"/>
        <v>0.90073529411764708</v>
      </c>
      <c r="O1593" s="194">
        <f t="shared" si="74"/>
        <v>3.3360566448801747E-2</v>
      </c>
    </row>
    <row r="1594" spans="1:15" ht="12.75" customHeight="1">
      <c r="A1594" s="188" t="s">
        <v>620</v>
      </c>
      <c r="B1594" s="188" t="s">
        <v>1394</v>
      </c>
      <c r="C1594" s="188" t="s">
        <v>641</v>
      </c>
      <c r="D1594" s="188" t="s">
        <v>2920</v>
      </c>
      <c r="E1594" s="189">
        <v>39568</v>
      </c>
      <c r="F1594" s="190">
        <v>0</v>
      </c>
      <c r="G1594" s="190">
        <v>85.44</v>
      </c>
      <c r="H1594" s="191">
        <v>1116.2</v>
      </c>
      <c r="I1594" s="191">
        <v>333.75</v>
      </c>
      <c r="J1594" s="188" t="s">
        <v>652</v>
      </c>
      <c r="K1594" s="188" t="s">
        <v>338</v>
      </c>
      <c r="L1594" s="188" t="s">
        <v>2921</v>
      </c>
      <c r="M1594" s="192">
        <f t="shared" si="72"/>
        <v>25</v>
      </c>
      <c r="N1594" s="193">
        <f t="shared" si="73"/>
        <v>0.83610486891385771</v>
      </c>
      <c r="O1594" s="194">
        <f t="shared" si="74"/>
        <v>3.3444194756554309E-2</v>
      </c>
    </row>
    <row r="1595" spans="1:15" ht="12.75" customHeight="1">
      <c r="A1595" s="188" t="s">
        <v>620</v>
      </c>
      <c r="B1595" s="188" t="s">
        <v>1394</v>
      </c>
      <c r="C1595" s="188" t="s">
        <v>641</v>
      </c>
      <c r="D1595" s="188" t="s">
        <v>2920</v>
      </c>
      <c r="E1595" s="189">
        <v>39632</v>
      </c>
      <c r="F1595" s="190">
        <v>0</v>
      </c>
      <c r="G1595" s="190">
        <v>-85.44</v>
      </c>
      <c r="H1595" s="191">
        <v>1116.2</v>
      </c>
      <c r="I1595" s="191">
        <v>333.75</v>
      </c>
      <c r="J1595" s="188" t="s">
        <v>652</v>
      </c>
      <c r="K1595" s="188" t="s">
        <v>338</v>
      </c>
      <c r="L1595" s="188" t="s">
        <v>2921</v>
      </c>
      <c r="M1595" s="192">
        <f t="shared" si="72"/>
        <v>25</v>
      </c>
      <c r="N1595" s="193">
        <f t="shared" si="73"/>
        <v>0.83610486891385771</v>
      </c>
      <c r="O1595" s="194">
        <f t="shared" si="74"/>
        <v>3.3444194756554309E-2</v>
      </c>
    </row>
    <row r="1596" spans="1:15" ht="12.75" customHeight="1">
      <c r="A1596" s="188" t="s">
        <v>620</v>
      </c>
      <c r="B1596" s="188" t="s">
        <v>1394</v>
      </c>
      <c r="C1596" s="188" t="s">
        <v>641</v>
      </c>
      <c r="D1596" s="188" t="s">
        <v>2922</v>
      </c>
      <c r="E1596" s="189">
        <v>39632</v>
      </c>
      <c r="F1596" s="190">
        <v>0</v>
      </c>
      <c r="G1596" s="190">
        <v>85.44</v>
      </c>
      <c r="H1596" s="191">
        <v>1116.2</v>
      </c>
      <c r="I1596" s="191">
        <v>333.75</v>
      </c>
      <c r="J1596" s="188" t="s">
        <v>652</v>
      </c>
      <c r="K1596" s="188" t="s">
        <v>338</v>
      </c>
      <c r="L1596" s="188" t="s">
        <v>2921</v>
      </c>
      <c r="M1596" s="192">
        <f t="shared" si="72"/>
        <v>25</v>
      </c>
      <c r="N1596" s="193">
        <f t="shared" si="73"/>
        <v>0.83610486891385771</v>
      </c>
      <c r="O1596" s="194">
        <f t="shared" si="74"/>
        <v>3.3444194756554309E-2</v>
      </c>
    </row>
    <row r="1597" spans="1:15" ht="12.75" customHeight="1">
      <c r="A1597" s="188" t="s">
        <v>620</v>
      </c>
      <c r="B1597" s="188" t="s">
        <v>1394</v>
      </c>
      <c r="C1597" s="188" t="s">
        <v>641</v>
      </c>
      <c r="D1597" s="188" t="s">
        <v>2923</v>
      </c>
      <c r="E1597" s="189">
        <v>39353</v>
      </c>
      <c r="F1597" s="190">
        <v>0</v>
      </c>
      <c r="G1597" s="190">
        <v>77.760000000000005</v>
      </c>
      <c r="H1597" s="191">
        <v>775</v>
      </c>
      <c r="I1597" s="191">
        <v>303.75</v>
      </c>
      <c r="J1597" s="188" t="s">
        <v>667</v>
      </c>
      <c r="K1597" s="188" t="s">
        <v>338</v>
      </c>
      <c r="L1597" s="188" t="s">
        <v>2924</v>
      </c>
      <c r="M1597" s="192">
        <f t="shared" si="72"/>
        <v>19</v>
      </c>
      <c r="N1597" s="193">
        <f t="shared" si="73"/>
        <v>0.63786008230452673</v>
      </c>
      <c r="O1597" s="194">
        <f t="shared" si="74"/>
        <v>3.3571583279185614E-2</v>
      </c>
    </row>
    <row r="1598" spans="1:15" ht="12.75" customHeight="1">
      <c r="A1598" s="188" t="s">
        <v>620</v>
      </c>
      <c r="B1598" s="188" t="s">
        <v>1394</v>
      </c>
      <c r="C1598" s="188" t="s">
        <v>641</v>
      </c>
      <c r="D1598" s="188" t="s">
        <v>2925</v>
      </c>
      <c r="E1598" s="189">
        <v>39303</v>
      </c>
      <c r="F1598" s="190">
        <v>0</v>
      </c>
      <c r="G1598" s="190">
        <v>96.19</v>
      </c>
      <c r="H1598" s="191">
        <v>1262.07</v>
      </c>
      <c r="I1598" s="191">
        <v>375.75</v>
      </c>
      <c r="J1598" s="188" t="s">
        <v>652</v>
      </c>
      <c r="K1598" s="188" t="s">
        <v>338</v>
      </c>
      <c r="L1598" s="188" t="s">
        <v>2926</v>
      </c>
      <c r="M1598" s="192">
        <f t="shared" si="72"/>
        <v>25</v>
      </c>
      <c r="N1598" s="193">
        <f t="shared" si="73"/>
        <v>0.83970059880239512</v>
      </c>
      <c r="O1598" s="194">
        <f t="shared" si="74"/>
        <v>3.3588023952095807E-2</v>
      </c>
    </row>
    <row r="1599" spans="1:15" ht="12.75" customHeight="1">
      <c r="A1599" s="188" t="s">
        <v>620</v>
      </c>
      <c r="B1599" s="188" t="s">
        <v>1394</v>
      </c>
      <c r="C1599" s="188" t="s">
        <v>641</v>
      </c>
      <c r="D1599" s="188" t="s">
        <v>2927</v>
      </c>
      <c r="E1599" s="189">
        <v>39507</v>
      </c>
      <c r="F1599" s="190">
        <v>0</v>
      </c>
      <c r="G1599" s="190">
        <v>57.6</v>
      </c>
      <c r="H1599" s="191">
        <v>1150</v>
      </c>
      <c r="I1599" s="191">
        <v>225</v>
      </c>
      <c r="J1599" s="188" t="s">
        <v>624</v>
      </c>
      <c r="K1599" s="188" t="s">
        <v>338</v>
      </c>
      <c r="L1599" s="188" t="s">
        <v>740</v>
      </c>
      <c r="M1599" s="192">
        <f t="shared" si="72"/>
        <v>38</v>
      </c>
      <c r="N1599" s="193">
        <f t="shared" si="73"/>
        <v>1.2777777777777777</v>
      </c>
      <c r="O1599" s="194">
        <f t="shared" si="74"/>
        <v>3.3625730994152045E-2</v>
      </c>
    </row>
    <row r="1600" spans="1:15" ht="12.75" customHeight="1">
      <c r="A1600" s="188" t="s">
        <v>620</v>
      </c>
      <c r="B1600" s="188" t="s">
        <v>1394</v>
      </c>
      <c r="C1600" s="188" t="s">
        <v>641</v>
      </c>
      <c r="D1600" s="188" t="s">
        <v>2928</v>
      </c>
      <c r="E1600" s="189">
        <v>39527</v>
      </c>
      <c r="F1600" s="190">
        <v>0</v>
      </c>
      <c r="G1600" s="190">
        <v>78.34</v>
      </c>
      <c r="H1600" s="191">
        <v>1565</v>
      </c>
      <c r="I1600" s="191">
        <v>306</v>
      </c>
      <c r="J1600" s="188" t="s">
        <v>624</v>
      </c>
      <c r="K1600" s="188" t="s">
        <v>338</v>
      </c>
      <c r="L1600" s="188" t="s">
        <v>1781</v>
      </c>
      <c r="M1600" s="192">
        <f t="shared" si="72"/>
        <v>38</v>
      </c>
      <c r="N1600" s="193">
        <f t="shared" si="73"/>
        <v>1.27859477124183</v>
      </c>
      <c r="O1600" s="194">
        <f t="shared" si="74"/>
        <v>3.3647230822153422E-2</v>
      </c>
    </row>
    <row r="1601" spans="1:15" ht="12.75" customHeight="1">
      <c r="A1601" s="188" t="s">
        <v>620</v>
      </c>
      <c r="B1601" s="188" t="s">
        <v>1394</v>
      </c>
      <c r="C1601" s="188" t="s">
        <v>641</v>
      </c>
      <c r="D1601" s="188" t="s">
        <v>2929</v>
      </c>
      <c r="E1601" s="189">
        <v>39597</v>
      </c>
      <c r="F1601" s="190">
        <v>0</v>
      </c>
      <c r="G1601" s="190">
        <v>77.819999999999993</v>
      </c>
      <c r="H1601" s="191">
        <v>1555</v>
      </c>
      <c r="I1601" s="191">
        <v>304</v>
      </c>
      <c r="J1601" s="188" t="s">
        <v>624</v>
      </c>
      <c r="K1601" s="188" t="s">
        <v>338</v>
      </c>
      <c r="L1601" s="188" t="s">
        <v>1767</v>
      </c>
      <c r="M1601" s="192">
        <f t="shared" si="72"/>
        <v>38</v>
      </c>
      <c r="N1601" s="193">
        <f t="shared" si="73"/>
        <v>1.278782894736842</v>
      </c>
      <c r="O1601" s="194">
        <f t="shared" si="74"/>
        <v>3.3652181440443213E-2</v>
      </c>
    </row>
    <row r="1602" spans="1:15" ht="12.75" customHeight="1">
      <c r="A1602" s="188" t="s">
        <v>620</v>
      </c>
      <c r="B1602" s="188" t="s">
        <v>1394</v>
      </c>
      <c r="C1602" s="188" t="s">
        <v>641</v>
      </c>
      <c r="D1602" s="188" t="s">
        <v>2930</v>
      </c>
      <c r="E1602" s="189">
        <v>39407</v>
      </c>
      <c r="F1602" s="190">
        <v>0</v>
      </c>
      <c r="G1602" s="190">
        <v>105.41</v>
      </c>
      <c r="H1602" s="191">
        <v>1164.23</v>
      </c>
      <c r="I1602" s="191">
        <v>411.75</v>
      </c>
      <c r="J1602" s="188" t="s">
        <v>879</v>
      </c>
      <c r="K1602" s="188" t="s">
        <v>338</v>
      </c>
      <c r="L1602" s="188" t="s">
        <v>2838</v>
      </c>
      <c r="M1602" s="192">
        <f t="shared" ref="M1602:M1665" si="75">K1602-J1602</f>
        <v>21</v>
      </c>
      <c r="N1602" s="193">
        <f t="shared" ref="N1602:N1665" si="76">H1602/L1602</f>
        <v>0.70687917425622349</v>
      </c>
      <c r="O1602" s="194">
        <f t="shared" ref="O1602:O1665" si="77">N1602/M1602</f>
        <v>3.3660913059820163E-2</v>
      </c>
    </row>
    <row r="1603" spans="1:15" ht="12.75" customHeight="1">
      <c r="A1603" s="188" t="s">
        <v>620</v>
      </c>
      <c r="B1603" s="188" t="s">
        <v>1394</v>
      </c>
      <c r="C1603" s="188" t="s">
        <v>641</v>
      </c>
      <c r="D1603" s="188" t="s">
        <v>2931</v>
      </c>
      <c r="E1603" s="189">
        <v>39625</v>
      </c>
      <c r="F1603" s="190">
        <v>0</v>
      </c>
      <c r="G1603" s="190">
        <v>89.28</v>
      </c>
      <c r="H1603" s="191">
        <v>1175</v>
      </c>
      <c r="I1603" s="191">
        <v>348.75</v>
      </c>
      <c r="J1603" s="188" t="s">
        <v>652</v>
      </c>
      <c r="K1603" s="188" t="s">
        <v>338</v>
      </c>
      <c r="L1603" s="188" t="s">
        <v>2932</v>
      </c>
      <c r="M1603" s="192">
        <f t="shared" si="75"/>
        <v>25</v>
      </c>
      <c r="N1603" s="193">
        <f t="shared" si="76"/>
        <v>0.8422939068100358</v>
      </c>
      <c r="O1603" s="194">
        <f t="shared" si="77"/>
        <v>3.3691756272401431E-2</v>
      </c>
    </row>
    <row r="1604" spans="1:15" ht="12.75" customHeight="1">
      <c r="A1604" s="188" t="s">
        <v>620</v>
      </c>
      <c r="B1604" s="188" t="s">
        <v>1394</v>
      </c>
      <c r="C1604" s="188" t="s">
        <v>641</v>
      </c>
      <c r="D1604" s="188" t="s">
        <v>2933</v>
      </c>
      <c r="E1604" s="189">
        <v>39366</v>
      </c>
      <c r="F1604" s="190">
        <v>0</v>
      </c>
      <c r="G1604" s="190">
        <v>94.21</v>
      </c>
      <c r="H1604" s="191">
        <v>992</v>
      </c>
      <c r="I1604" s="191">
        <v>368</v>
      </c>
      <c r="J1604" s="188" t="s">
        <v>560</v>
      </c>
      <c r="K1604" s="188" t="s">
        <v>338</v>
      </c>
      <c r="L1604" s="188" t="s">
        <v>2934</v>
      </c>
      <c r="M1604" s="192">
        <f t="shared" si="75"/>
        <v>20</v>
      </c>
      <c r="N1604" s="193">
        <f t="shared" si="76"/>
        <v>0.67391304347826086</v>
      </c>
      <c r="O1604" s="194">
        <f t="shared" si="77"/>
        <v>3.3695652173913043E-2</v>
      </c>
    </row>
    <row r="1605" spans="1:15" ht="12.75" customHeight="1">
      <c r="A1605" s="188" t="s">
        <v>620</v>
      </c>
      <c r="B1605" s="188" t="s">
        <v>1394</v>
      </c>
      <c r="C1605" s="188" t="s">
        <v>641</v>
      </c>
      <c r="D1605" s="188" t="s">
        <v>2935</v>
      </c>
      <c r="E1605" s="189">
        <v>39562</v>
      </c>
      <c r="F1605" s="190">
        <v>0</v>
      </c>
      <c r="G1605" s="190">
        <v>70.27</v>
      </c>
      <c r="H1605" s="191">
        <v>740</v>
      </c>
      <c r="I1605" s="191">
        <v>274.5</v>
      </c>
      <c r="J1605" s="188" t="s">
        <v>560</v>
      </c>
      <c r="K1605" s="188" t="s">
        <v>338</v>
      </c>
      <c r="L1605" s="188" t="s">
        <v>2936</v>
      </c>
      <c r="M1605" s="192">
        <f t="shared" si="75"/>
        <v>20</v>
      </c>
      <c r="N1605" s="193">
        <f t="shared" si="76"/>
        <v>0.67395264116575593</v>
      </c>
      <c r="O1605" s="194">
        <f t="shared" si="77"/>
        <v>3.3697632058287796E-2</v>
      </c>
    </row>
    <row r="1606" spans="1:15" ht="12.75" customHeight="1">
      <c r="A1606" s="188" t="s">
        <v>620</v>
      </c>
      <c r="B1606" s="188" t="s">
        <v>1394</v>
      </c>
      <c r="C1606" s="188" t="s">
        <v>641</v>
      </c>
      <c r="D1606" s="188" t="s">
        <v>2937</v>
      </c>
      <c r="E1606" s="189">
        <v>39366</v>
      </c>
      <c r="F1606" s="190">
        <v>0</v>
      </c>
      <c r="G1606" s="190">
        <v>81.28</v>
      </c>
      <c r="H1606" s="191">
        <v>985</v>
      </c>
      <c r="I1606" s="191">
        <v>317.5</v>
      </c>
      <c r="J1606" s="188" t="s">
        <v>571</v>
      </c>
      <c r="K1606" s="188" t="s">
        <v>338</v>
      </c>
      <c r="L1606" s="188" t="s">
        <v>1090</v>
      </c>
      <c r="M1606" s="192">
        <f t="shared" si="75"/>
        <v>23</v>
      </c>
      <c r="N1606" s="193">
        <f t="shared" si="76"/>
        <v>0.77559055118110232</v>
      </c>
      <c r="O1606" s="194">
        <f t="shared" si="77"/>
        <v>3.372132831222184E-2</v>
      </c>
    </row>
    <row r="1607" spans="1:15" ht="12.75" customHeight="1">
      <c r="A1607" s="188" t="s">
        <v>620</v>
      </c>
      <c r="B1607" s="188" t="s">
        <v>1394</v>
      </c>
      <c r="C1607" s="188" t="s">
        <v>641</v>
      </c>
      <c r="D1607" s="188" t="s">
        <v>2938</v>
      </c>
      <c r="E1607" s="189">
        <v>39303</v>
      </c>
      <c r="F1607" s="190">
        <v>0</v>
      </c>
      <c r="G1607" s="190">
        <v>61.44</v>
      </c>
      <c r="H1607" s="191">
        <v>875.04</v>
      </c>
      <c r="I1607" s="191">
        <v>240</v>
      </c>
      <c r="J1607" s="188" t="s">
        <v>639</v>
      </c>
      <c r="K1607" s="188" t="s">
        <v>338</v>
      </c>
      <c r="L1607" s="188" t="s">
        <v>1146</v>
      </c>
      <c r="M1607" s="192">
        <f t="shared" si="75"/>
        <v>27</v>
      </c>
      <c r="N1607" s="193">
        <f t="shared" si="76"/>
        <v>0.91149999999999998</v>
      </c>
      <c r="O1607" s="194">
        <f t="shared" si="77"/>
        <v>3.375925925925926E-2</v>
      </c>
    </row>
    <row r="1608" spans="1:15" ht="12.75" customHeight="1">
      <c r="A1608" s="188" t="s">
        <v>620</v>
      </c>
      <c r="B1608" s="188" t="s">
        <v>1394</v>
      </c>
      <c r="C1608" s="188" t="s">
        <v>641</v>
      </c>
      <c r="D1608" s="188" t="s">
        <v>2939</v>
      </c>
      <c r="E1608" s="189">
        <v>39359</v>
      </c>
      <c r="F1608" s="190">
        <v>0</v>
      </c>
      <c r="G1608" s="190">
        <v>102.53</v>
      </c>
      <c r="H1608" s="191">
        <v>1081.99</v>
      </c>
      <c r="I1608" s="191">
        <v>400.5</v>
      </c>
      <c r="J1608" s="188" t="s">
        <v>560</v>
      </c>
      <c r="K1608" s="188" t="s">
        <v>338</v>
      </c>
      <c r="L1608" s="188" t="s">
        <v>2940</v>
      </c>
      <c r="M1608" s="192">
        <f t="shared" si="75"/>
        <v>20</v>
      </c>
      <c r="N1608" s="193">
        <f t="shared" si="76"/>
        <v>0.67539950062421972</v>
      </c>
      <c r="O1608" s="194">
        <f t="shared" si="77"/>
        <v>3.3769975031210986E-2</v>
      </c>
    </row>
    <row r="1609" spans="1:15" ht="12.75" customHeight="1">
      <c r="A1609" s="188" t="s">
        <v>620</v>
      </c>
      <c r="B1609" s="188" t="s">
        <v>1394</v>
      </c>
      <c r="C1609" s="188" t="s">
        <v>641</v>
      </c>
      <c r="D1609" s="188" t="s">
        <v>2941</v>
      </c>
      <c r="E1609" s="189">
        <v>39492</v>
      </c>
      <c r="F1609" s="190">
        <v>0</v>
      </c>
      <c r="G1609" s="190">
        <v>66.430000000000007</v>
      </c>
      <c r="H1609" s="191">
        <v>1333</v>
      </c>
      <c r="I1609" s="191">
        <v>259.5</v>
      </c>
      <c r="J1609" s="188" t="s">
        <v>624</v>
      </c>
      <c r="K1609" s="188" t="s">
        <v>338</v>
      </c>
      <c r="L1609" s="188" t="s">
        <v>1266</v>
      </c>
      <c r="M1609" s="192">
        <f t="shared" si="75"/>
        <v>38</v>
      </c>
      <c r="N1609" s="193">
        <f t="shared" si="76"/>
        <v>1.2842003853564548</v>
      </c>
      <c r="O1609" s="194">
        <f t="shared" si="77"/>
        <v>3.3794746983064596E-2</v>
      </c>
    </row>
    <row r="1610" spans="1:15" ht="12.75" customHeight="1">
      <c r="A1610" s="188" t="s">
        <v>620</v>
      </c>
      <c r="B1610" s="188" t="s">
        <v>1394</v>
      </c>
      <c r="C1610" s="188" t="s">
        <v>641</v>
      </c>
      <c r="D1610" s="188" t="s">
        <v>2942</v>
      </c>
      <c r="E1610" s="189">
        <v>39339</v>
      </c>
      <c r="F1610" s="190">
        <v>0</v>
      </c>
      <c r="G1610" s="190">
        <v>86.4</v>
      </c>
      <c r="H1610" s="191">
        <v>916</v>
      </c>
      <c r="I1610" s="191">
        <v>337.5</v>
      </c>
      <c r="J1610" s="188" t="s">
        <v>560</v>
      </c>
      <c r="K1610" s="188" t="s">
        <v>338</v>
      </c>
      <c r="L1610" s="188" t="s">
        <v>707</v>
      </c>
      <c r="M1610" s="192">
        <f t="shared" si="75"/>
        <v>20</v>
      </c>
      <c r="N1610" s="193">
        <f t="shared" si="76"/>
        <v>0.67851851851851852</v>
      </c>
      <c r="O1610" s="194">
        <f t="shared" si="77"/>
        <v>3.3925925925925929E-2</v>
      </c>
    </row>
    <row r="1611" spans="1:15" ht="12.75" customHeight="1">
      <c r="A1611" s="188" t="s">
        <v>620</v>
      </c>
      <c r="B1611" s="188" t="s">
        <v>1394</v>
      </c>
      <c r="C1611" s="188" t="s">
        <v>641</v>
      </c>
      <c r="D1611" s="188" t="s">
        <v>2943</v>
      </c>
      <c r="E1611" s="189">
        <v>39639</v>
      </c>
      <c r="F1611" s="190">
        <v>0</v>
      </c>
      <c r="G1611" s="190">
        <v>89.34</v>
      </c>
      <c r="H1611" s="191">
        <v>900</v>
      </c>
      <c r="I1611" s="191">
        <v>349</v>
      </c>
      <c r="J1611" s="188" t="s">
        <v>667</v>
      </c>
      <c r="K1611" s="188" t="s">
        <v>338</v>
      </c>
      <c r="L1611" s="188" t="s">
        <v>2138</v>
      </c>
      <c r="M1611" s="192">
        <f t="shared" si="75"/>
        <v>19</v>
      </c>
      <c r="N1611" s="193">
        <f t="shared" si="76"/>
        <v>0.64469914040114618</v>
      </c>
      <c r="O1611" s="194">
        <f t="shared" si="77"/>
        <v>3.393153370532348E-2</v>
      </c>
    </row>
    <row r="1612" spans="1:15" ht="12.75" customHeight="1">
      <c r="A1612" s="188" t="s">
        <v>620</v>
      </c>
      <c r="B1612" s="188" t="s">
        <v>1394</v>
      </c>
      <c r="C1612" s="188" t="s">
        <v>641</v>
      </c>
      <c r="D1612" s="188" t="s">
        <v>2944</v>
      </c>
      <c r="E1612" s="189">
        <v>39507</v>
      </c>
      <c r="F1612" s="190">
        <v>0</v>
      </c>
      <c r="G1612" s="190">
        <v>50.37</v>
      </c>
      <c r="H1612" s="191">
        <v>1015</v>
      </c>
      <c r="I1612" s="191">
        <v>196.75</v>
      </c>
      <c r="J1612" s="188" t="s">
        <v>624</v>
      </c>
      <c r="K1612" s="188" t="s">
        <v>338</v>
      </c>
      <c r="L1612" s="188" t="s">
        <v>2945</v>
      </c>
      <c r="M1612" s="192">
        <f t="shared" si="75"/>
        <v>38</v>
      </c>
      <c r="N1612" s="193">
        <f t="shared" si="76"/>
        <v>1.289707750952986</v>
      </c>
      <c r="O1612" s="194">
        <f t="shared" si="77"/>
        <v>3.3939677656657528E-2</v>
      </c>
    </row>
    <row r="1613" spans="1:15" ht="12.75" customHeight="1">
      <c r="A1613" s="188" t="s">
        <v>620</v>
      </c>
      <c r="B1613" s="188" t="s">
        <v>1394</v>
      </c>
      <c r="C1613" s="188" t="s">
        <v>641</v>
      </c>
      <c r="D1613" s="188" t="s">
        <v>2946</v>
      </c>
      <c r="E1613" s="189">
        <v>39247</v>
      </c>
      <c r="F1613" s="190">
        <v>0</v>
      </c>
      <c r="G1613" s="190">
        <v>98.05</v>
      </c>
      <c r="H1613" s="191">
        <v>1302.05</v>
      </c>
      <c r="I1613" s="191">
        <v>383</v>
      </c>
      <c r="J1613" s="188" t="s">
        <v>652</v>
      </c>
      <c r="K1613" s="188" t="s">
        <v>338</v>
      </c>
      <c r="L1613" s="188" t="s">
        <v>2947</v>
      </c>
      <c r="M1613" s="192">
        <f t="shared" si="75"/>
        <v>25</v>
      </c>
      <c r="N1613" s="193">
        <f t="shared" si="76"/>
        <v>0.8499020887728459</v>
      </c>
      <c r="O1613" s="194">
        <f t="shared" si="77"/>
        <v>3.3996083550913839E-2</v>
      </c>
    </row>
    <row r="1614" spans="1:15" ht="12.75" customHeight="1">
      <c r="A1614" s="188" t="s">
        <v>620</v>
      </c>
      <c r="B1614" s="188" t="s">
        <v>1394</v>
      </c>
      <c r="C1614" s="188" t="s">
        <v>641</v>
      </c>
      <c r="D1614" s="188" t="s">
        <v>2948</v>
      </c>
      <c r="E1614" s="189">
        <v>39219</v>
      </c>
      <c r="F1614" s="190">
        <v>0</v>
      </c>
      <c r="G1614" s="190">
        <v>66.56</v>
      </c>
      <c r="H1614" s="191">
        <v>884</v>
      </c>
      <c r="I1614" s="191">
        <v>260</v>
      </c>
      <c r="J1614" s="188" t="s">
        <v>652</v>
      </c>
      <c r="K1614" s="188" t="s">
        <v>338</v>
      </c>
      <c r="L1614" s="188" t="s">
        <v>808</v>
      </c>
      <c r="M1614" s="192">
        <f t="shared" si="75"/>
        <v>25</v>
      </c>
      <c r="N1614" s="193">
        <f t="shared" si="76"/>
        <v>0.85</v>
      </c>
      <c r="O1614" s="194">
        <f t="shared" si="77"/>
        <v>3.4000000000000002E-2</v>
      </c>
    </row>
    <row r="1615" spans="1:15" ht="12.75" customHeight="1">
      <c r="A1615" s="188" t="s">
        <v>620</v>
      </c>
      <c r="B1615" s="188" t="s">
        <v>1394</v>
      </c>
      <c r="C1615" s="188" t="s">
        <v>641</v>
      </c>
      <c r="D1615" s="188" t="s">
        <v>2949</v>
      </c>
      <c r="E1615" s="189">
        <v>39219</v>
      </c>
      <c r="F1615" s="190">
        <v>0</v>
      </c>
      <c r="G1615" s="190">
        <v>57.6</v>
      </c>
      <c r="H1615" s="191">
        <v>765</v>
      </c>
      <c r="I1615" s="191">
        <v>225</v>
      </c>
      <c r="J1615" s="188" t="s">
        <v>652</v>
      </c>
      <c r="K1615" s="188" t="s">
        <v>338</v>
      </c>
      <c r="L1615" s="188" t="s">
        <v>740</v>
      </c>
      <c r="M1615" s="192">
        <f t="shared" si="75"/>
        <v>25</v>
      </c>
      <c r="N1615" s="193">
        <f t="shared" si="76"/>
        <v>0.85</v>
      </c>
      <c r="O1615" s="194">
        <f t="shared" si="77"/>
        <v>3.4000000000000002E-2</v>
      </c>
    </row>
    <row r="1616" spans="1:15" ht="12.75" customHeight="1">
      <c r="A1616" s="188" t="s">
        <v>620</v>
      </c>
      <c r="B1616" s="188" t="s">
        <v>1394</v>
      </c>
      <c r="C1616" s="188" t="s">
        <v>641</v>
      </c>
      <c r="D1616" s="188" t="s">
        <v>2950</v>
      </c>
      <c r="E1616" s="189">
        <v>39447</v>
      </c>
      <c r="F1616" s="190">
        <v>0</v>
      </c>
      <c r="G1616" s="190">
        <v>99.58</v>
      </c>
      <c r="H1616" s="191">
        <v>1269.8499999999999</v>
      </c>
      <c r="I1616" s="191">
        <v>389</v>
      </c>
      <c r="J1616" s="188" t="s">
        <v>1052</v>
      </c>
      <c r="K1616" s="188" t="s">
        <v>338</v>
      </c>
      <c r="L1616" s="188" t="s">
        <v>2951</v>
      </c>
      <c r="M1616" s="192">
        <f t="shared" si="75"/>
        <v>24</v>
      </c>
      <c r="N1616" s="193">
        <f t="shared" si="76"/>
        <v>0.81609897172236501</v>
      </c>
      <c r="O1616" s="194">
        <f t="shared" si="77"/>
        <v>3.4004123821765209E-2</v>
      </c>
    </row>
    <row r="1617" spans="1:15" ht="12.75" customHeight="1">
      <c r="A1617" s="188" t="s">
        <v>620</v>
      </c>
      <c r="B1617" s="188" t="s">
        <v>1394</v>
      </c>
      <c r="C1617" s="188" t="s">
        <v>641</v>
      </c>
      <c r="D1617" s="188" t="s">
        <v>2952</v>
      </c>
      <c r="E1617" s="189">
        <v>39447</v>
      </c>
      <c r="F1617" s="190">
        <v>0</v>
      </c>
      <c r="G1617" s="190">
        <v>19.579999999999998</v>
      </c>
      <c r="H1617" s="191">
        <v>396.78</v>
      </c>
      <c r="I1617" s="191">
        <v>76.5</v>
      </c>
      <c r="J1617" s="188" t="s">
        <v>624</v>
      </c>
      <c r="K1617" s="188" t="s">
        <v>338</v>
      </c>
      <c r="L1617" s="188" t="s">
        <v>2953</v>
      </c>
      <c r="M1617" s="192">
        <f t="shared" si="75"/>
        <v>38</v>
      </c>
      <c r="N1617" s="193">
        <f t="shared" si="76"/>
        <v>1.2966666666666666</v>
      </c>
      <c r="O1617" s="194">
        <f t="shared" si="77"/>
        <v>3.412280701754386E-2</v>
      </c>
    </row>
    <row r="1618" spans="1:15" ht="12.75" customHeight="1">
      <c r="A1618" s="188" t="s">
        <v>620</v>
      </c>
      <c r="B1618" s="188" t="s">
        <v>1394</v>
      </c>
      <c r="C1618" s="188" t="s">
        <v>641</v>
      </c>
      <c r="D1618" s="188" t="s">
        <v>2954</v>
      </c>
      <c r="E1618" s="189">
        <v>39422</v>
      </c>
      <c r="F1618" s="190">
        <v>0</v>
      </c>
      <c r="G1618" s="190">
        <v>68.48</v>
      </c>
      <c r="H1618" s="191">
        <v>769</v>
      </c>
      <c r="I1618" s="191">
        <v>267.5</v>
      </c>
      <c r="J1618" s="188" t="s">
        <v>879</v>
      </c>
      <c r="K1618" s="188" t="s">
        <v>338</v>
      </c>
      <c r="L1618" s="188" t="s">
        <v>2955</v>
      </c>
      <c r="M1618" s="192">
        <f t="shared" si="75"/>
        <v>21</v>
      </c>
      <c r="N1618" s="193">
        <f t="shared" si="76"/>
        <v>0.71869158878504669</v>
      </c>
      <c r="O1618" s="194">
        <f t="shared" si="77"/>
        <v>3.4223408989764129E-2</v>
      </c>
    </row>
    <row r="1619" spans="1:15" ht="12.75" customHeight="1">
      <c r="A1619" s="188" t="s">
        <v>620</v>
      </c>
      <c r="B1619" s="188" t="s">
        <v>1394</v>
      </c>
      <c r="C1619" s="188" t="s">
        <v>641</v>
      </c>
      <c r="D1619" s="188" t="s">
        <v>2956</v>
      </c>
      <c r="E1619" s="189">
        <v>39339</v>
      </c>
      <c r="F1619" s="190">
        <v>0</v>
      </c>
      <c r="G1619" s="190">
        <v>43.01</v>
      </c>
      <c r="H1619" s="191">
        <v>875</v>
      </c>
      <c r="I1619" s="191">
        <v>168</v>
      </c>
      <c r="J1619" s="188" t="s">
        <v>624</v>
      </c>
      <c r="K1619" s="188" t="s">
        <v>338</v>
      </c>
      <c r="L1619" s="188" t="s">
        <v>2957</v>
      </c>
      <c r="M1619" s="192">
        <f t="shared" si="75"/>
        <v>38</v>
      </c>
      <c r="N1619" s="193">
        <f t="shared" si="76"/>
        <v>1.3020833333333333</v>
      </c>
      <c r="O1619" s="194">
        <f t="shared" si="77"/>
        <v>3.4265350877192978E-2</v>
      </c>
    </row>
    <row r="1620" spans="1:15" ht="12.75" customHeight="1">
      <c r="A1620" s="188" t="s">
        <v>620</v>
      </c>
      <c r="B1620" s="188" t="s">
        <v>1394</v>
      </c>
      <c r="C1620" s="188" t="s">
        <v>641</v>
      </c>
      <c r="D1620" s="188" t="s">
        <v>2958</v>
      </c>
      <c r="E1620" s="189">
        <v>39447</v>
      </c>
      <c r="F1620" s="190">
        <v>0</v>
      </c>
      <c r="G1620" s="190">
        <v>82.37</v>
      </c>
      <c r="H1620" s="191">
        <v>1323</v>
      </c>
      <c r="I1620" s="191">
        <v>321.75</v>
      </c>
      <c r="J1620" s="188" t="s">
        <v>635</v>
      </c>
      <c r="K1620" s="188" t="s">
        <v>338</v>
      </c>
      <c r="L1620" s="188" t="s">
        <v>2516</v>
      </c>
      <c r="M1620" s="192">
        <f t="shared" si="75"/>
        <v>30</v>
      </c>
      <c r="N1620" s="193">
        <f t="shared" si="76"/>
        <v>1.0279720279720279</v>
      </c>
      <c r="O1620" s="194">
        <f t="shared" si="77"/>
        <v>3.4265734265734267E-2</v>
      </c>
    </row>
    <row r="1621" spans="1:15" ht="12.75" customHeight="1">
      <c r="A1621" s="188" t="s">
        <v>620</v>
      </c>
      <c r="B1621" s="188" t="s">
        <v>1394</v>
      </c>
      <c r="C1621" s="188" t="s">
        <v>641</v>
      </c>
      <c r="D1621" s="188" t="s">
        <v>2959</v>
      </c>
      <c r="E1621" s="189">
        <v>39534</v>
      </c>
      <c r="F1621" s="190">
        <v>0</v>
      </c>
      <c r="G1621" s="190">
        <v>128</v>
      </c>
      <c r="H1621" s="191">
        <v>1440</v>
      </c>
      <c r="I1621" s="191">
        <v>500</v>
      </c>
      <c r="J1621" s="188" t="s">
        <v>879</v>
      </c>
      <c r="K1621" s="188" t="s">
        <v>338</v>
      </c>
      <c r="L1621" s="188" t="s">
        <v>756</v>
      </c>
      <c r="M1621" s="192">
        <f t="shared" si="75"/>
        <v>21</v>
      </c>
      <c r="N1621" s="193">
        <f t="shared" si="76"/>
        <v>0.72</v>
      </c>
      <c r="O1621" s="194">
        <f t="shared" si="77"/>
        <v>3.4285714285714287E-2</v>
      </c>
    </row>
    <row r="1622" spans="1:15" ht="12.75" customHeight="1">
      <c r="A1622" s="188" t="s">
        <v>620</v>
      </c>
      <c r="B1622" s="188" t="s">
        <v>1394</v>
      </c>
      <c r="C1622" s="188" t="s">
        <v>641</v>
      </c>
      <c r="D1622" s="188" t="s">
        <v>2959</v>
      </c>
      <c r="E1622" s="189">
        <v>39583</v>
      </c>
      <c r="F1622" s="190">
        <v>0</v>
      </c>
      <c r="G1622" s="190">
        <v>-128</v>
      </c>
      <c r="H1622" s="191">
        <v>1440</v>
      </c>
      <c r="I1622" s="191">
        <v>500</v>
      </c>
      <c r="J1622" s="188" t="s">
        <v>879</v>
      </c>
      <c r="K1622" s="188" t="s">
        <v>338</v>
      </c>
      <c r="L1622" s="188" t="s">
        <v>756</v>
      </c>
      <c r="M1622" s="192">
        <f t="shared" si="75"/>
        <v>21</v>
      </c>
      <c r="N1622" s="193">
        <f t="shared" si="76"/>
        <v>0.72</v>
      </c>
      <c r="O1622" s="194">
        <f t="shared" si="77"/>
        <v>3.4285714285714287E-2</v>
      </c>
    </row>
    <row r="1623" spans="1:15" ht="12.75" customHeight="1">
      <c r="A1623" s="188" t="s">
        <v>620</v>
      </c>
      <c r="B1623" s="188" t="s">
        <v>1394</v>
      </c>
      <c r="C1623" s="188" t="s">
        <v>641</v>
      </c>
      <c r="D1623" s="188" t="s">
        <v>2960</v>
      </c>
      <c r="E1623" s="189">
        <v>39429</v>
      </c>
      <c r="F1623" s="190">
        <v>0</v>
      </c>
      <c r="G1623" s="190">
        <v>74.37</v>
      </c>
      <c r="H1623" s="191">
        <v>797</v>
      </c>
      <c r="I1623" s="191">
        <v>290.5</v>
      </c>
      <c r="J1623" s="188" t="s">
        <v>560</v>
      </c>
      <c r="K1623" s="188" t="s">
        <v>338</v>
      </c>
      <c r="L1623" s="188" t="s">
        <v>346</v>
      </c>
      <c r="M1623" s="192">
        <f t="shared" si="75"/>
        <v>20</v>
      </c>
      <c r="N1623" s="193">
        <f t="shared" si="76"/>
        <v>0.68588640275387258</v>
      </c>
      <c r="O1623" s="194">
        <f t="shared" si="77"/>
        <v>3.429432013769363E-2</v>
      </c>
    </row>
    <row r="1624" spans="1:15" ht="12.75" customHeight="1">
      <c r="A1624" s="188" t="s">
        <v>620</v>
      </c>
      <c r="B1624" s="188" t="s">
        <v>1394</v>
      </c>
      <c r="C1624" s="188" t="s">
        <v>641</v>
      </c>
      <c r="D1624" s="188" t="s">
        <v>2961</v>
      </c>
      <c r="E1624" s="189">
        <v>39401</v>
      </c>
      <c r="F1624" s="190">
        <v>0</v>
      </c>
      <c r="G1624" s="190">
        <v>79.87</v>
      </c>
      <c r="H1624" s="191">
        <v>1288</v>
      </c>
      <c r="I1624" s="191">
        <v>312</v>
      </c>
      <c r="J1624" s="188" t="s">
        <v>635</v>
      </c>
      <c r="K1624" s="188" t="s">
        <v>338</v>
      </c>
      <c r="L1624" s="188" t="s">
        <v>2101</v>
      </c>
      <c r="M1624" s="192">
        <f t="shared" si="75"/>
        <v>30</v>
      </c>
      <c r="N1624" s="193">
        <f t="shared" si="76"/>
        <v>1.0320512820512822</v>
      </c>
      <c r="O1624" s="194">
        <f t="shared" si="77"/>
        <v>3.4401709401709404E-2</v>
      </c>
    </row>
    <row r="1625" spans="1:15" ht="12.75" customHeight="1">
      <c r="A1625" s="188" t="s">
        <v>620</v>
      </c>
      <c r="B1625" s="188" t="s">
        <v>1394</v>
      </c>
      <c r="C1625" s="188" t="s">
        <v>641</v>
      </c>
      <c r="D1625" s="188" t="s">
        <v>2962</v>
      </c>
      <c r="E1625" s="189">
        <v>39447</v>
      </c>
      <c r="F1625" s="190">
        <v>0</v>
      </c>
      <c r="G1625" s="190">
        <v>75.010000000000005</v>
      </c>
      <c r="H1625" s="191">
        <v>928</v>
      </c>
      <c r="I1625" s="191">
        <v>293</v>
      </c>
      <c r="J1625" s="188" t="s">
        <v>571</v>
      </c>
      <c r="K1625" s="188" t="s">
        <v>338</v>
      </c>
      <c r="L1625" s="188" t="s">
        <v>1738</v>
      </c>
      <c r="M1625" s="192">
        <f t="shared" si="75"/>
        <v>23</v>
      </c>
      <c r="N1625" s="193">
        <f t="shared" si="76"/>
        <v>0.79180887372013653</v>
      </c>
      <c r="O1625" s="194">
        <f t="shared" si="77"/>
        <v>3.4426472770440718E-2</v>
      </c>
    </row>
    <row r="1626" spans="1:15" ht="12.75" customHeight="1">
      <c r="A1626" s="188" t="s">
        <v>620</v>
      </c>
      <c r="B1626" s="188" t="s">
        <v>1394</v>
      </c>
      <c r="C1626" s="188" t="s">
        <v>641</v>
      </c>
      <c r="D1626" s="188" t="s">
        <v>2963</v>
      </c>
      <c r="E1626" s="189">
        <v>39429</v>
      </c>
      <c r="F1626" s="190">
        <v>0</v>
      </c>
      <c r="G1626" s="190">
        <v>73.28</v>
      </c>
      <c r="H1626" s="191">
        <v>1500</v>
      </c>
      <c r="I1626" s="191">
        <v>286.25</v>
      </c>
      <c r="J1626" s="188" t="s">
        <v>624</v>
      </c>
      <c r="K1626" s="188" t="s">
        <v>338</v>
      </c>
      <c r="L1626" s="188" t="s">
        <v>2964</v>
      </c>
      <c r="M1626" s="192">
        <f t="shared" si="75"/>
        <v>38</v>
      </c>
      <c r="N1626" s="193">
        <f t="shared" si="76"/>
        <v>1.3100436681222707</v>
      </c>
      <c r="O1626" s="194">
        <f t="shared" si="77"/>
        <v>3.4474833371638702E-2</v>
      </c>
    </row>
    <row r="1627" spans="1:15" ht="12.75" customHeight="1">
      <c r="A1627" s="188" t="s">
        <v>620</v>
      </c>
      <c r="B1627" s="188" t="s">
        <v>1394</v>
      </c>
      <c r="C1627" s="188" t="s">
        <v>641</v>
      </c>
      <c r="D1627" s="188" t="s">
        <v>2965</v>
      </c>
      <c r="E1627" s="189">
        <v>39507</v>
      </c>
      <c r="F1627" s="190">
        <v>0</v>
      </c>
      <c r="G1627" s="190">
        <v>49.15</v>
      </c>
      <c r="H1627" s="191">
        <v>1008</v>
      </c>
      <c r="I1627" s="191">
        <v>192</v>
      </c>
      <c r="J1627" s="188" t="s">
        <v>624</v>
      </c>
      <c r="K1627" s="188" t="s">
        <v>338</v>
      </c>
      <c r="L1627" s="188" t="s">
        <v>1741</v>
      </c>
      <c r="M1627" s="192">
        <f t="shared" si="75"/>
        <v>38</v>
      </c>
      <c r="N1627" s="193">
        <f t="shared" si="76"/>
        <v>1.3125</v>
      </c>
      <c r="O1627" s="194">
        <f t="shared" si="77"/>
        <v>3.453947368421053E-2</v>
      </c>
    </row>
    <row r="1628" spans="1:15" ht="12.75" customHeight="1">
      <c r="A1628" s="188" t="s">
        <v>620</v>
      </c>
      <c r="B1628" s="188" t="s">
        <v>1394</v>
      </c>
      <c r="C1628" s="188" t="s">
        <v>641</v>
      </c>
      <c r="D1628" s="188" t="s">
        <v>2966</v>
      </c>
      <c r="E1628" s="189">
        <v>39485</v>
      </c>
      <c r="F1628" s="190">
        <v>0</v>
      </c>
      <c r="G1628" s="190">
        <v>55.3</v>
      </c>
      <c r="H1628" s="191">
        <v>628</v>
      </c>
      <c r="I1628" s="191">
        <v>216</v>
      </c>
      <c r="J1628" s="188" t="s">
        <v>879</v>
      </c>
      <c r="K1628" s="188" t="s">
        <v>338</v>
      </c>
      <c r="L1628" s="188" t="s">
        <v>1342</v>
      </c>
      <c r="M1628" s="192">
        <f t="shared" si="75"/>
        <v>21</v>
      </c>
      <c r="N1628" s="193">
        <f t="shared" si="76"/>
        <v>0.72685185185185186</v>
      </c>
      <c r="O1628" s="194">
        <f t="shared" si="77"/>
        <v>3.4611992945326277E-2</v>
      </c>
    </row>
    <row r="1629" spans="1:15" ht="12.75" customHeight="1">
      <c r="A1629" s="188" t="s">
        <v>620</v>
      </c>
      <c r="B1629" s="188" t="s">
        <v>1394</v>
      </c>
      <c r="C1629" s="188" t="s">
        <v>641</v>
      </c>
      <c r="D1629" s="188" t="s">
        <v>2967</v>
      </c>
      <c r="E1629" s="189">
        <v>39485</v>
      </c>
      <c r="F1629" s="190">
        <v>0</v>
      </c>
      <c r="G1629" s="190">
        <v>134.4</v>
      </c>
      <c r="H1629" s="191">
        <v>2769</v>
      </c>
      <c r="I1629" s="191">
        <v>525</v>
      </c>
      <c r="J1629" s="188" t="s">
        <v>624</v>
      </c>
      <c r="K1629" s="188" t="s">
        <v>338</v>
      </c>
      <c r="L1629" s="188" t="s">
        <v>701</v>
      </c>
      <c r="M1629" s="192">
        <f t="shared" si="75"/>
        <v>38</v>
      </c>
      <c r="N1629" s="193">
        <f t="shared" si="76"/>
        <v>1.3185714285714285</v>
      </c>
      <c r="O1629" s="194">
        <f t="shared" si="77"/>
        <v>3.4699248120300751E-2</v>
      </c>
    </row>
    <row r="1630" spans="1:15" ht="12.75" customHeight="1">
      <c r="A1630" s="188" t="s">
        <v>620</v>
      </c>
      <c r="B1630" s="188" t="s">
        <v>1394</v>
      </c>
      <c r="C1630" s="188" t="s">
        <v>641</v>
      </c>
      <c r="D1630" s="188" t="s">
        <v>2968</v>
      </c>
      <c r="E1630" s="189">
        <v>39269</v>
      </c>
      <c r="F1630" s="190">
        <v>0</v>
      </c>
      <c r="G1630" s="190">
        <v>96.64</v>
      </c>
      <c r="H1630" s="191">
        <v>1047.94</v>
      </c>
      <c r="I1630" s="191">
        <v>377.5</v>
      </c>
      <c r="J1630" s="188" t="s">
        <v>560</v>
      </c>
      <c r="K1630" s="188" t="s">
        <v>338</v>
      </c>
      <c r="L1630" s="188" t="s">
        <v>2506</v>
      </c>
      <c r="M1630" s="192">
        <f t="shared" si="75"/>
        <v>20</v>
      </c>
      <c r="N1630" s="193">
        <f t="shared" si="76"/>
        <v>0.69400000000000006</v>
      </c>
      <c r="O1630" s="194">
        <f t="shared" si="77"/>
        <v>3.4700000000000002E-2</v>
      </c>
    </row>
    <row r="1631" spans="1:15" ht="12.75" customHeight="1">
      <c r="A1631" s="188" t="s">
        <v>620</v>
      </c>
      <c r="B1631" s="188" t="s">
        <v>1394</v>
      </c>
      <c r="C1631" s="188" t="s">
        <v>641</v>
      </c>
      <c r="D1631" s="188" t="s">
        <v>2969</v>
      </c>
      <c r="E1631" s="189">
        <v>39632</v>
      </c>
      <c r="F1631" s="190">
        <v>0</v>
      </c>
      <c r="G1631" s="190">
        <v>70.66</v>
      </c>
      <c r="H1631" s="191">
        <v>575</v>
      </c>
      <c r="I1631" s="191">
        <v>276</v>
      </c>
      <c r="J1631" s="188" t="s">
        <v>522</v>
      </c>
      <c r="K1631" s="188" t="s">
        <v>338</v>
      </c>
      <c r="L1631" s="188" t="s">
        <v>1030</v>
      </c>
      <c r="M1631" s="192">
        <f t="shared" si="75"/>
        <v>15</v>
      </c>
      <c r="N1631" s="193">
        <f t="shared" si="76"/>
        <v>0.52083333333333337</v>
      </c>
      <c r="O1631" s="194">
        <f t="shared" si="77"/>
        <v>3.4722222222222224E-2</v>
      </c>
    </row>
    <row r="1632" spans="1:15" ht="12.75" customHeight="1">
      <c r="A1632" s="188" t="s">
        <v>620</v>
      </c>
      <c r="B1632" s="188" t="s">
        <v>1394</v>
      </c>
      <c r="C1632" s="188" t="s">
        <v>641</v>
      </c>
      <c r="D1632" s="188" t="s">
        <v>2970</v>
      </c>
      <c r="E1632" s="189">
        <v>39555</v>
      </c>
      <c r="F1632" s="190">
        <v>0</v>
      </c>
      <c r="G1632" s="190">
        <v>99.2</v>
      </c>
      <c r="H1632" s="191">
        <v>1401.32</v>
      </c>
      <c r="I1632" s="191">
        <v>387.5</v>
      </c>
      <c r="J1632" s="188" t="s">
        <v>361</v>
      </c>
      <c r="K1632" s="188" t="s">
        <v>338</v>
      </c>
      <c r="L1632" s="188" t="s">
        <v>1474</v>
      </c>
      <c r="M1632" s="192">
        <f t="shared" si="75"/>
        <v>26</v>
      </c>
      <c r="N1632" s="193">
        <f t="shared" si="76"/>
        <v>0.90407741935483865</v>
      </c>
      <c r="O1632" s="194">
        <f t="shared" si="77"/>
        <v>3.4772208436724565E-2</v>
      </c>
    </row>
    <row r="1633" spans="1:15" ht="12.75" customHeight="1">
      <c r="A1633" s="188" t="s">
        <v>620</v>
      </c>
      <c r="B1633" s="188" t="s">
        <v>1394</v>
      </c>
      <c r="C1633" s="188" t="s">
        <v>641</v>
      </c>
      <c r="D1633" s="188" t="s">
        <v>2971</v>
      </c>
      <c r="E1633" s="189">
        <v>39380</v>
      </c>
      <c r="F1633" s="190">
        <v>0</v>
      </c>
      <c r="G1633" s="190">
        <v>51.84</v>
      </c>
      <c r="H1633" s="191">
        <v>845</v>
      </c>
      <c r="I1633" s="191">
        <v>202.5</v>
      </c>
      <c r="J1633" s="188" t="s">
        <v>624</v>
      </c>
      <c r="K1633" s="188" t="s">
        <v>257</v>
      </c>
      <c r="L1633" s="188" t="s">
        <v>1883</v>
      </c>
      <c r="M1633" s="192">
        <f t="shared" si="75"/>
        <v>30</v>
      </c>
      <c r="N1633" s="193">
        <f t="shared" si="76"/>
        <v>1.0432098765432098</v>
      </c>
      <c r="O1633" s="194">
        <f t="shared" si="77"/>
        <v>3.4773662551440328E-2</v>
      </c>
    </row>
    <row r="1634" spans="1:15" ht="12.75" customHeight="1">
      <c r="A1634" s="188" t="s">
        <v>620</v>
      </c>
      <c r="B1634" s="188" t="s">
        <v>1394</v>
      </c>
      <c r="C1634" s="188" t="s">
        <v>641</v>
      </c>
      <c r="D1634" s="188" t="s">
        <v>2972</v>
      </c>
      <c r="E1634" s="189">
        <v>39339</v>
      </c>
      <c r="F1634" s="190">
        <v>0</v>
      </c>
      <c r="G1634" s="190">
        <v>54.02</v>
      </c>
      <c r="H1634" s="191">
        <v>1112</v>
      </c>
      <c r="I1634" s="191">
        <v>211</v>
      </c>
      <c r="J1634" s="188" t="s">
        <v>624</v>
      </c>
      <c r="K1634" s="188" t="s">
        <v>338</v>
      </c>
      <c r="L1634" s="188" t="s">
        <v>906</v>
      </c>
      <c r="M1634" s="192">
        <f t="shared" si="75"/>
        <v>38</v>
      </c>
      <c r="N1634" s="193">
        <f t="shared" si="76"/>
        <v>1.3238095238095238</v>
      </c>
      <c r="O1634" s="194">
        <f t="shared" si="77"/>
        <v>3.4837092731829576E-2</v>
      </c>
    </row>
    <row r="1635" spans="1:15" ht="12.75" customHeight="1">
      <c r="A1635" s="188" t="s">
        <v>620</v>
      </c>
      <c r="B1635" s="188" t="s">
        <v>1394</v>
      </c>
      <c r="C1635" s="188" t="s">
        <v>641</v>
      </c>
      <c r="D1635" s="188" t="s">
        <v>2973</v>
      </c>
      <c r="E1635" s="189">
        <v>39401</v>
      </c>
      <c r="F1635" s="190">
        <v>0</v>
      </c>
      <c r="G1635" s="190">
        <v>57.6</v>
      </c>
      <c r="H1635" s="191">
        <v>853</v>
      </c>
      <c r="I1635" s="191">
        <v>225</v>
      </c>
      <c r="J1635" s="188" t="s">
        <v>639</v>
      </c>
      <c r="K1635" s="188" t="s">
        <v>338</v>
      </c>
      <c r="L1635" s="188" t="s">
        <v>740</v>
      </c>
      <c r="M1635" s="192">
        <f t="shared" si="75"/>
        <v>27</v>
      </c>
      <c r="N1635" s="193">
        <f t="shared" si="76"/>
        <v>0.94777777777777783</v>
      </c>
      <c r="O1635" s="194">
        <f t="shared" si="77"/>
        <v>3.5102880658436218E-2</v>
      </c>
    </row>
    <row r="1636" spans="1:15" ht="12.75" customHeight="1">
      <c r="A1636" s="188" t="s">
        <v>620</v>
      </c>
      <c r="B1636" s="188" t="s">
        <v>1394</v>
      </c>
      <c r="C1636" s="188" t="s">
        <v>641</v>
      </c>
      <c r="D1636" s="188" t="s">
        <v>2974</v>
      </c>
      <c r="E1636" s="189">
        <v>39471</v>
      </c>
      <c r="F1636" s="190">
        <v>0</v>
      </c>
      <c r="G1636" s="190">
        <v>120.9</v>
      </c>
      <c r="H1636" s="191">
        <v>2520</v>
      </c>
      <c r="I1636" s="191">
        <v>472.25</v>
      </c>
      <c r="J1636" s="188" t="s">
        <v>624</v>
      </c>
      <c r="K1636" s="188" t="s">
        <v>338</v>
      </c>
      <c r="L1636" s="188" t="s">
        <v>2975</v>
      </c>
      <c r="M1636" s="192">
        <f t="shared" si="75"/>
        <v>38</v>
      </c>
      <c r="N1636" s="193">
        <f t="shared" si="76"/>
        <v>1.3340391741662254</v>
      </c>
      <c r="O1636" s="194">
        <f t="shared" si="77"/>
        <v>3.5106294057005931E-2</v>
      </c>
    </row>
    <row r="1637" spans="1:15" ht="12.75" customHeight="1">
      <c r="A1637" s="188" t="s">
        <v>620</v>
      </c>
      <c r="B1637" s="188" t="s">
        <v>1394</v>
      </c>
      <c r="C1637" s="188" t="s">
        <v>641</v>
      </c>
      <c r="D1637" s="188" t="s">
        <v>2976</v>
      </c>
      <c r="E1637" s="189">
        <v>39520</v>
      </c>
      <c r="F1637" s="190">
        <v>0</v>
      </c>
      <c r="G1637" s="190">
        <v>120.9</v>
      </c>
      <c r="H1637" s="191">
        <v>1327.79</v>
      </c>
      <c r="I1637" s="191">
        <v>472.25</v>
      </c>
      <c r="J1637" s="188" t="s">
        <v>560</v>
      </c>
      <c r="K1637" s="188" t="s">
        <v>338</v>
      </c>
      <c r="L1637" s="188" t="s">
        <v>2975</v>
      </c>
      <c r="M1637" s="192">
        <f t="shared" si="75"/>
        <v>20</v>
      </c>
      <c r="N1637" s="193">
        <f t="shared" si="76"/>
        <v>0.70290629962943352</v>
      </c>
      <c r="O1637" s="194">
        <f t="shared" si="77"/>
        <v>3.5145314981471679E-2</v>
      </c>
    </row>
    <row r="1638" spans="1:15" ht="12.75" customHeight="1">
      <c r="A1638" s="188" t="s">
        <v>620</v>
      </c>
      <c r="B1638" s="188" t="s">
        <v>1394</v>
      </c>
      <c r="C1638" s="188" t="s">
        <v>641</v>
      </c>
      <c r="D1638" s="188" t="s">
        <v>2977</v>
      </c>
      <c r="E1638" s="189">
        <v>39527</v>
      </c>
      <c r="F1638" s="190">
        <v>0</v>
      </c>
      <c r="G1638" s="190">
        <v>80.64</v>
      </c>
      <c r="H1638" s="191">
        <v>1063.03</v>
      </c>
      <c r="I1638" s="191">
        <v>315</v>
      </c>
      <c r="J1638" s="188" t="s">
        <v>1052</v>
      </c>
      <c r="K1638" s="188" t="s">
        <v>338</v>
      </c>
      <c r="L1638" s="188" t="s">
        <v>680</v>
      </c>
      <c r="M1638" s="192">
        <f t="shared" si="75"/>
        <v>24</v>
      </c>
      <c r="N1638" s="193">
        <f t="shared" si="76"/>
        <v>0.84367460317460319</v>
      </c>
      <c r="O1638" s="194">
        <f t="shared" si="77"/>
        <v>3.5153108465608464E-2</v>
      </c>
    </row>
    <row r="1639" spans="1:15" ht="12.75" customHeight="1">
      <c r="A1639" s="188" t="s">
        <v>620</v>
      </c>
      <c r="B1639" s="188" t="s">
        <v>1394</v>
      </c>
      <c r="C1639" s="188" t="s">
        <v>641</v>
      </c>
      <c r="D1639" s="188" t="s">
        <v>2978</v>
      </c>
      <c r="E1639" s="189">
        <v>39275</v>
      </c>
      <c r="F1639" s="190">
        <v>0</v>
      </c>
      <c r="G1639" s="190">
        <v>59.58</v>
      </c>
      <c r="H1639" s="191">
        <v>1051.01</v>
      </c>
      <c r="I1639" s="191">
        <v>232.75</v>
      </c>
      <c r="J1639" s="188" t="s">
        <v>353</v>
      </c>
      <c r="K1639" s="188" t="s">
        <v>338</v>
      </c>
      <c r="L1639" s="188" t="s">
        <v>2979</v>
      </c>
      <c r="M1639" s="192">
        <f t="shared" si="75"/>
        <v>32</v>
      </c>
      <c r="N1639" s="193">
        <f t="shared" si="76"/>
        <v>1.1289044038668099</v>
      </c>
      <c r="O1639" s="194">
        <f t="shared" si="77"/>
        <v>3.5278262620837809E-2</v>
      </c>
    </row>
    <row r="1640" spans="1:15" ht="12.75" customHeight="1">
      <c r="A1640" s="188" t="s">
        <v>620</v>
      </c>
      <c r="B1640" s="188" t="s">
        <v>1394</v>
      </c>
      <c r="C1640" s="188" t="s">
        <v>641</v>
      </c>
      <c r="D1640" s="188" t="s">
        <v>2980</v>
      </c>
      <c r="E1640" s="189">
        <v>39310</v>
      </c>
      <c r="F1640" s="190">
        <v>0</v>
      </c>
      <c r="G1640" s="190">
        <v>70.400000000000006</v>
      </c>
      <c r="H1640" s="191">
        <v>932.58</v>
      </c>
      <c r="I1640" s="191">
        <v>275</v>
      </c>
      <c r="J1640" s="188" t="s">
        <v>1052</v>
      </c>
      <c r="K1640" s="188" t="s">
        <v>338</v>
      </c>
      <c r="L1640" s="188" t="s">
        <v>557</v>
      </c>
      <c r="M1640" s="192">
        <f t="shared" si="75"/>
        <v>24</v>
      </c>
      <c r="N1640" s="193">
        <f t="shared" si="76"/>
        <v>0.8478</v>
      </c>
      <c r="O1640" s="194">
        <f t="shared" si="77"/>
        <v>3.5325000000000002E-2</v>
      </c>
    </row>
    <row r="1641" spans="1:15" ht="12.75" customHeight="1">
      <c r="A1641" s="188" t="s">
        <v>620</v>
      </c>
      <c r="B1641" s="188" t="s">
        <v>1394</v>
      </c>
      <c r="C1641" s="188" t="s">
        <v>641</v>
      </c>
      <c r="D1641" s="188" t="s">
        <v>2981</v>
      </c>
      <c r="E1641" s="189">
        <v>39380</v>
      </c>
      <c r="F1641" s="190">
        <v>0</v>
      </c>
      <c r="G1641" s="190">
        <v>135.22999999999999</v>
      </c>
      <c r="H1641" s="191">
        <v>1494.1</v>
      </c>
      <c r="I1641" s="191">
        <v>528.25</v>
      </c>
      <c r="J1641" s="188" t="s">
        <v>560</v>
      </c>
      <c r="K1641" s="188" t="s">
        <v>338</v>
      </c>
      <c r="L1641" s="188" t="s">
        <v>2982</v>
      </c>
      <c r="M1641" s="192">
        <f t="shared" si="75"/>
        <v>20</v>
      </c>
      <c r="N1641" s="193">
        <f t="shared" si="76"/>
        <v>0.70709891150023663</v>
      </c>
      <c r="O1641" s="194">
        <f t="shared" si="77"/>
        <v>3.5354945575011829E-2</v>
      </c>
    </row>
    <row r="1642" spans="1:15" ht="12.75" customHeight="1">
      <c r="A1642" s="188" t="s">
        <v>620</v>
      </c>
      <c r="B1642" s="188" t="s">
        <v>1394</v>
      </c>
      <c r="C1642" s="188" t="s">
        <v>641</v>
      </c>
      <c r="D1642" s="188" t="s">
        <v>2983</v>
      </c>
      <c r="E1642" s="189">
        <v>39247</v>
      </c>
      <c r="F1642" s="190">
        <v>0</v>
      </c>
      <c r="G1642" s="190">
        <v>84.99</v>
      </c>
      <c r="H1642" s="191">
        <v>1409.01</v>
      </c>
      <c r="I1642" s="191">
        <v>332</v>
      </c>
      <c r="J1642" s="188" t="s">
        <v>635</v>
      </c>
      <c r="K1642" s="188" t="s">
        <v>338</v>
      </c>
      <c r="L1642" s="188" t="s">
        <v>2984</v>
      </c>
      <c r="M1642" s="192">
        <f t="shared" si="75"/>
        <v>30</v>
      </c>
      <c r="N1642" s="193">
        <f t="shared" si="76"/>
        <v>1.0610015060240965</v>
      </c>
      <c r="O1642" s="194">
        <f t="shared" si="77"/>
        <v>3.536671686746988E-2</v>
      </c>
    </row>
    <row r="1643" spans="1:15" ht="12.75" customHeight="1">
      <c r="A1643" s="188" t="s">
        <v>620</v>
      </c>
      <c r="B1643" s="188" t="s">
        <v>1394</v>
      </c>
      <c r="C1643" s="188" t="s">
        <v>641</v>
      </c>
      <c r="D1643" s="188" t="s">
        <v>2985</v>
      </c>
      <c r="E1643" s="189">
        <v>39415</v>
      </c>
      <c r="F1643" s="190">
        <v>0</v>
      </c>
      <c r="G1643" s="190">
        <v>43.52</v>
      </c>
      <c r="H1643" s="191">
        <v>915</v>
      </c>
      <c r="I1643" s="191">
        <v>170</v>
      </c>
      <c r="J1643" s="188" t="s">
        <v>624</v>
      </c>
      <c r="K1643" s="188" t="s">
        <v>338</v>
      </c>
      <c r="L1643" s="188" t="s">
        <v>1611</v>
      </c>
      <c r="M1643" s="192">
        <f t="shared" si="75"/>
        <v>38</v>
      </c>
      <c r="N1643" s="193">
        <f t="shared" si="76"/>
        <v>1.3455882352941178</v>
      </c>
      <c r="O1643" s="194">
        <f t="shared" si="77"/>
        <v>3.5410216718266253E-2</v>
      </c>
    </row>
    <row r="1644" spans="1:15" ht="12.75" customHeight="1">
      <c r="A1644" s="188" t="s">
        <v>620</v>
      </c>
      <c r="B1644" s="188" t="s">
        <v>1394</v>
      </c>
      <c r="C1644" s="188" t="s">
        <v>641</v>
      </c>
      <c r="D1644" s="188" t="s">
        <v>2986</v>
      </c>
      <c r="E1644" s="189">
        <v>39555</v>
      </c>
      <c r="F1644" s="190">
        <v>0</v>
      </c>
      <c r="G1644" s="190">
        <v>96</v>
      </c>
      <c r="H1644" s="191">
        <v>1171.05</v>
      </c>
      <c r="I1644" s="191">
        <v>375</v>
      </c>
      <c r="J1644" s="188" t="s">
        <v>710</v>
      </c>
      <c r="K1644" s="188" t="s">
        <v>338</v>
      </c>
      <c r="L1644" s="188" t="s">
        <v>746</v>
      </c>
      <c r="M1644" s="192">
        <f t="shared" si="75"/>
        <v>22</v>
      </c>
      <c r="N1644" s="193">
        <f t="shared" si="76"/>
        <v>0.78069999999999995</v>
      </c>
      <c r="O1644" s="194">
        <f t="shared" si="77"/>
        <v>3.5486363636363635E-2</v>
      </c>
    </row>
    <row r="1645" spans="1:15" ht="12.75" customHeight="1">
      <c r="A1645" s="188" t="s">
        <v>620</v>
      </c>
      <c r="B1645" s="188" t="s">
        <v>1394</v>
      </c>
      <c r="C1645" s="188" t="s">
        <v>641</v>
      </c>
      <c r="D1645" s="188" t="s">
        <v>2987</v>
      </c>
      <c r="E1645" s="189">
        <v>39331</v>
      </c>
      <c r="F1645" s="190">
        <v>0</v>
      </c>
      <c r="G1645" s="190">
        <v>9.4700000000000006</v>
      </c>
      <c r="H1645" s="191">
        <v>199.99</v>
      </c>
      <c r="I1645" s="191">
        <v>37</v>
      </c>
      <c r="J1645" s="188" t="s">
        <v>624</v>
      </c>
      <c r="K1645" s="188" t="s">
        <v>338</v>
      </c>
      <c r="L1645" s="188" t="s">
        <v>460</v>
      </c>
      <c r="M1645" s="192">
        <f t="shared" si="75"/>
        <v>38</v>
      </c>
      <c r="N1645" s="193">
        <f t="shared" si="76"/>
        <v>1.3512837837837839</v>
      </c>
      <c r="O1645" s="194">
        <f t="shared" si="77"/>
        <v>3.5560099573257474E-2</v>
      </c>
    </row>
    <row r="1646" spans="1:15" ht="12.75" customHeight="1">
      <c r="A1646" s="188" t="s">
        <v>620</v>
      </c>
      <c r="B1646" s="188" t="s">
        <v>1394</v>
      </c>
      <c r="C1646" s="188" t="s">
        <v>641</v>
      </c>
      <c r="D1646" s="188" t="s">
        <v>2988</v>
      </c>
      <c r="E1646" s="189">
        <v>39562</v>
      </c>
      <c r="F1646" s="190">
        <v>0</v>
      </c>
      <c r="G1646" s="190">
        <v>111.04</v>
      </c>
      <c r="H1646" s="191">
        <v>1235</v>
      </c>
      <c r="I1646" s="191">
        <v>433.75</v>
      </c>
      <c r="J1646" s="188" t="s">
        <v>560</v>
      </c>
      <c r="K1646" s="188" t="s">
        <v>338</v>
      </c>
      <c r="L1646" s="188" t="s">
        <v>2989</v>
      </c>
      <c r="M1646" s="192">
        <f t="shared" si="75"/>
        <v>20</v>
      </c>
      <c r="N1646" s="193">
        <f t="shared" si="76"/>
        <v>0.71181556195965423</v>
      </c>
      <c r="O1646" s="194">
        <f t="shared" si="77"/>
        <v>3.5590778097982709E-2</v>
      </c>
    </row>
    <row r="1647" spans="1:15" ht="12.75" customHeight="1">
      <c r="A1647" s="188" t="s">
        <v>620</v>
      </c>
      <c r="B1647" s="188" t="s">
        <v>1394</v>
      </c>
      <c r="C1647" s="188" t="s">
        <v>641</v>
      </c>
      <c r="D1647" s="188" t="s">
        <v>2990</v>
      </c>
      <c r="E1647" s="189">
        <v>39478</v>
      </c>
      <c r="F1647" s="190">
        <v>0</v>
      </c>
      <c r="G1647" s="190">
        <v>40.32</v>
      </c>
      <c r="H1647" s="191">
        <v>762.75</v>
      </c>
      <c r="I1647" s="191">
        <v>157.5</v>
      </c>
      <c r="J1647" s="188" t="s">
        <v>353</v>
      </c>
      <c r="K1647" s="188" t="s">
        <v>327</v>
      </c>
      <c r="L1647" s="188" t="s">
        <v>972</v>
      </c>
      <c r="M1647" s="192">
        <f t="shared" si="75"/>
        <v>34</v>
      </c>
      <c r="N1647" s="193">
        <f t="shared" si="76"/>
        <v>1.2107142857142856</v>
      </c>
      <c r="O1647" s="194">
        <f t="shared" si="77"/>
        <v>3.560924369747899E-2</v>
      </c>
    </row>
    <row r="1648" spans="1:15" ht="12.75" customHeight="1">
      <c r="A1648" s="188" t="s">
        <v>620</v>
      </c>
      <c r="B1648" s="188" t="s">
        <v>1394</v>
      </c>
      <c r="C1648" s="188" t="s">
        <v>641</v>
      </c>
      <c r="D1648" s="188" t="s">
        <v>2991</v>
      </c>
      <c r="E1648" s="189">
        <v>39324</v>
      </c>
      <c r="F1648" s="190">
        <v>0</v>
      </c>
      <c r="G1648" s="190">
        <v>76.8</v>
      </c>
      <c r="H1648" s="191">
        <v>855</v>
      </c>
      <c r="I1648" s="191">
        <v>300</v>
      </c>
      <c r="J1648" s="188" t="s">
        <v>560</v>
      </c>
      <c r="K1648" s="188" t="s">
        <v>338</v>
      </c>
      <c r="L1648" s="188" t="s">
        <v>632</v>
      </c>
      <c r="M1648" s="192">
        <f t="shared" si="75"/>
        <v>20</v>
      </c>
      <c r="N1648" s="193">
        <f t="shared" si="76"/>
        <v>0.71250000000000002</v>
      </c>
      <c r="O1648" s="194">
        <f t="shared" si="77"/>
        <v>3.5625000000000004E-2</v>
      </c>
    </row>
    <row r="1649" spans="1:15" ht="12.75" customHeight="1">
      <c r="A1649" s="188" t="s">
        <v>620</v>
      </c>
      <c r="B1649" s="188" t="s">
        <v>1394</v>
      </c>
      <c r="C1649" s="188" t="s">
        <v>641</v>
      </c>
      <c r="D1649" s="188" t="s">
        <v>2992</v>
      </c>
      <c r="E1649" s="189">
        <v>39247</v>
      </c>
      <c r="F1649" s="190">
        <v>0</v>
      </c>
      <c r="G1649" s="190">
        <v>82.62</v>
      </c>
      <c r="H1649" s="191">
        <v>919.97</v>
      </c>
      <c r="I1649" s="191">
        <v>322.75</v>
      </c>
      <c r="J1649" s="188" t="s">
        <v>560</v>
      </c>
      <c r="K1649" s="188" t="s">
        <v>338</v>
      </c>
      <c r="L1649" s="188" t="s">
        <v>1862</v>
      </c>
      <c r="M1649" s="192">
        <f t="shared" si="75"/>
        <v>20</v>
      </c>
      <c r="N1649" s="193">
        <f t="shared" si="76"/>
        <v>0.71260263361735088</v>
      </c>
      <c r="O1649" s="194">
        <f t="shared" si="77"/>
        <v>3.5630131680867545E-2</v>
      </c>
    </row>
    <row r="1650" spans="1:15" ht="12.75" customHeight="1">
      <c r="A1650" s="188" t="s">
        <v>620</v>
      </c>
      <c r="B1650" s="188" t="s">
        <v>1394</v>
      </c>
      <c r="C1650" s="188" t="s">
        <v>641</v>
      </c>
      <c r="D1650" s="188" t="s">
        <v>2993</v>
      </c>
      <c r="E1650" s="189">
        <v>39507</v>
      </c>
      <c r="F1650" s="190">
        <v>0</v>
      </c>
      <c r="G1650" s="190">
        <v>78.209999999999994</v>
      </c>
      <c r="H1650" s="191">
        <v>871</v>
      </c>
      <c r="I1650" s="191">
        <v>305.5</v>
      </c>
      <c r="J1650" s="188" t="s">
        <v>560</v>
      </c>
      <c r="K1650" s="188" t="s">
        <v>338</v>
      </c>
      <c r="L1650" s="188" t="s">
        <v>2502</v>
      </c>
      <c r="M1650" s="192">
        <f t="shared" si="75"/>
        <v>20</v>
      </c>
      <c r="N1650" s="193">
        <f t="shared" si="76"/>
        <v>0.71276595744680848</v>
      </c>
      <c r="O1650" s="194">
        <f t="shared" si="77"/>
        <v>3.5638297872340421E-2</v>
      </c>
    </row>
    <row r="1651" spans="1:15" ht="12.75" customHeight="1">
      <c r="A1651" s="188" t="s">
        <v>620</v>
      </c>
      <c r="B1651" s="188" t="s">
        <v>1394</v>
      </c>
      <c r="C1651" s="188" t="s">
        <v>641</v>
      </c>
      <c r="D1651" s="188" t="s">
        <v>2994</v>
      </c>
      <c r="E1651" s="189">
        <v>39632</v>
      </c>
      <c r="F1651" s="190">
        <v>0</v>
      </c>
      <c r="G1651" s="190">
        <v>86.59</v>
      </c>
      <c r="H1651" s="191">
        <v>1302.82</v>
      </c>
      <c r="I1651" s="191">
        <v>338.25</v>
      </c>
      <c r="J1651" s="188" t="s">
        <v>639</v>
      </c>
      <c r="K1651" s="188" t="s">
        <v>338</v>
      </c>
      <c r="L1651" s="188" t="s">
        <v>2995</v>
      </c>
      <c r="M1651" s="192">
        <f t="shared" si="75"/>
        <v>27</v>
      </c>
      <c r="N1651" s="193">
        <f t="shared" si="76"/>
        <v>0.96291204730229119</v>
      </c>
      <c r="O1651" s="194">
        <f t="shared" si="77"/>
        <v>3.5663409159344121E-2</v>
      </c>
    </row>
    <row r="1652" spans="1:15" ht="12.75" customHeight="1">
      <c r="A1652" s="188" t="s">
        <v>620</v>
      </c>
      <c r="B1652" s="188" t="s">
        <v>1394</v>
      </c>
      <c r="C1652" s="188" t="s">
        <v>641</v>
      </c>
      <c r="D1652" s="188" t="s">
        <v>2996</v>
      </c>
      <c r="E1652" s="189">
        <v>39611</v>
      </c>
      <c r="F1652" s="190">
        <v>0</v>
      </c>
      <c r="G1652" s="190">
        <v>73.73</v>
      </c>
      <c r="H1652" s="191">
        <v>988</v>
      </c>
      <c r="I1652" s="191">
        <v>288</v>
      </c>
      <c r="J1652" s="188" t="s">
        <v>1052</v>
      </c>
      <c r="K1652" s="188" t="s">
        <v>338</v>
      </c>
      <c r="L1652" s="188" t="s">
        <v>952</v>
      </c>
      <c r="M1652" s="192">
        <f t="shared" si="75"/>
        <v>24</v>
      </c>
      <c r="N1652" s="193">
        <f t="shared" si="76"/>
        <v>0.85763888888888884</v>
      </c>
      <c r="O1652" s="194">
        <f t="shared" si="77"/>
        <v>3.5734953703703699E-2</v>
      </c>
    </row>
    <row r="1653" spans="1:15" ht="12.75" customHeight="1">
      <c r="A1653" s="188" t="s">
        <v>620</v>
      </c>
      <c r="B1653" s="188" t="s">
        <v>1394</v>
      </c>
      <c r="C1653" s="188" t="s">
        <v>641</v>
      </c>
      <c r="D1653" s="188" t="s">
        <v>2997</v>
      </c>
      <c r="E1653" s="189">
        <v>39310</v>
      </c>
      <c r="F1653" s="190">
        <v>0</v>
      </c>
      <c r="G1653" s="190">
        <v>118.02</v>
      </c>
      <c r="H1653" s="191">
        <v>1515.95</v>
      </c>
      <c r="I1653" s="191">
        <v>461</v>
      </c>
      <c r="J1653" s="188" t="s">
        <v>571</v>
      </c>
      <c r="K1653" s="188" t="s">
        <v>338</v>
      </c>
      <c r="L1653" s="188" t="s">
        <v>2788</v>
      </c>
      <c r="M1653" s="192">
        <f t="shared" si="75"/>
        <v>23</v>
      </c>
      <c r="N1653" s="193">
        <f t="shared" si="76"/>
        <v>0.82209869848156181</v>
      </c>
      <c r="O1653" s="194">
        <f t="shared" si="77"/>
        <v>3.5743421673111384E-2</v>
      </c>
    </row>
    <row r="1654" spans="1:15" ht="12.75" customHeight="1">
      <c r="A1654" s="188" t="s">
        <v>620</v>
      </c>
      <c r="B1654" s="188" t="s">
        <v>1394</v>
      </c>
      <c r="C1654" s="188" t="s">
        <v>641</v>
      </c>
      <c r="D1654" s="188" t="s">
        <v>2998</v>
      </c>
      <c r="E1654" s="189">
        <v>39310</v>
      </c>
      <c r="F1654" s="190">
        <v>0</v>
      </c>
      <c r="G1654" s="190">
        <v>85.31</v>
      </c>
      <c r="H1654" s="191">
        <v>1524.95</v>
      </c>
      <c r="I1654" s="191">
        <v>333.25</v>
      </c>
      <c r="J1654" s="188" t="s">
        <v>353</v>
      </c>
      <c r="K1654" s="188" t="s">
        <v>338</v>
      </c>
      <c r="L1654" s="188" t="s">
        <v>1647</v>
      </c>
      <c r="M1654" s="192">
        <f t="shared" si="75"/>
        <v>32</v>
      </c>
      <c r="N1654" s="193">
        <f t="shared" si="76"/>
        <v>1.1439984996249062</v>
      </c>
      <c r="O1654" s="194">
        <f t="shared" si="77"/>
        <v>3.5749953113278318E-2</v>
      </c>
    </row>
    <row r="1655" spans="1:15" ht="12.75" customHeight="1">
      <c r="A1655" s="188" t="s">
        <v>620</v>
      </c>
      <c r="B1655" s="188" t="s">
        <v>1394</v>
      </c>
      <c r="C1655" s="188" t="s">
        <v>641</v>
      </c>
      <c r="D1655" s="188" t="s">
        <v>2999</v>
      </c>
      <c r="E1655" s="189">
        <v>39443</v>
      </c>
      <c r="F1655" s="190">
        <v>0</v>
      </c>
      <c r="G1655" s="190">
        <v>135.68</v>
      </c>
      <c r="H1655" s="191">
        <v>1895</v>
      </c>
      <c r="I1655" s="191">
        <v>530</v>
      </c>
      <c r="J1655" s="188" t="s">
        <v>652</v>
      </c>
      <c r="K1655" s="188" t="s">
        <v>338</v>
      </c>
      <c r="L1655" s="188" t="s">
        <v>2563</v>
      </c>
      <c r="M1655" s="192">
        <f t="shared" si="75"/>
        <v>25</v>
      </c>
      <c r="N1655" s="193">
        <f t="shared" si="76"/>
        <v>0.89386792452830188</v>
      </c>
      <c r="O1655" s="194">
        <f t="shared" si="77"/>
        <v>3.5754716981132077E-2</v>
      </c>
    </row>
    <row r="1656" spans="1:15" ht="12.75" customHeight="1">
      <c r="A1656" s="188" t="s">
        <v>620</v>
      </c>
      <c r="B1656" s="188" t="s">
        <v>1394</v>
      </c>
      <c r="C1656" s="188" t="s">
        <v>641</v>
      </c>
      <c r="D1656" s="188" t="s">
        <v>3000</v>
      </c>
      <c r="E1656" s="189">
        <v>39555</v>
      </c>
      <c r="F1656" s="190">
        <v>0</v>
      </c>
      <c r="G1656" s="190">
        <v>91.2</v>
      </c>
      <c r="H1656" s="191">
        <v>1121</v>
      </c>
      <c r="I1656" s="191">
        <v>356.25</v>
      </c>
      <c r="J1656" s="188" t="s">
        <v>710</v>
      </c>
      <c r="K1656" s="188" t="s">
        <v>338</v>
      </c>
      <c r="L1656" s="188" t="s">
        <v>2123</v>
      </c>
      <c r="M1656" s="192">
        <f t="shared" si="75"/>
        <v>22</v>
      </c>
      <c r="N1656" s="193">
        <f t="shared" si="76"/>
        <v>0.78666666666666663</v>
      </c>
      <c r="O1656" s="194">
        <f t="shared" si="77"/>
        <v>3.5757575757575759E-2</v>
      </c>
    </row>
    <row r="1657" spans="1:15" ht="12.75" customHeight="1">
      <c r="A1657" s="188" t="s">
        <v>620</v>
      </c>
      <c r="B1657" s="188" t="s">
        <v>1394</v>
      </c>
      <c r="C1657" s="188" t="s">
        <v>641</v>
      </c>
      <c r="D1657" s="188" t="s">
        <v>3001</v>
      </c>
      <c r="E1657" s="189">
        <v>39534</v>
      </c>
      <c r="F1657" s="190">
        <v>0</v>
      </c>
      <c r="G1657" s="190">
        <v>96</v>
      </c>
      <c r="H1657" s="191">
        <v>1073</v>
      </c>
      <c r="I1657" s="191">
        <v>375</v>
      </c>
      <c r="J1657" s="188" t="s">
        <v>560</v>
      </c>
      <c r="K1657" s="188" t="s">
        <v>338</v>
      </c>
      <c r="L1657" s="188" t="s">
        <v>746</v>
      </c>
      <c r="M1657" s="192">
        <f t="shared" si="75"/>
        <v>20</v>
      </c>
      <c r="N1657" s="193">
        <f t="shared" si="76"/>
        <v>0.71533333333333338</v>
      </c>
      <c r="O1657" s="194">
        <f t="shared" si="77"/>
        <v>3.5766666666666669E-2</v>
      </c>
    </row>
    <row r="1658" spans="1:15" ht="12.75" customHeight="1">
      <c r="A1658" s="188" t="s">
        <v>620</v>
      </c>
      <c r="B1658" s="188" t="s">
        <v>1394</v>
      </c>
      <c r="C1658" s="188" t="s">
        <v>641</v>
      </c>
      <c r="D1658" s="188" t="s">
        <v>3002</v>
      </c>
      <c r="E1658" s="189">
        <v>39303</v>
      </c>
      <c r="F1658" s="190">
        <v>0</v>
      </c>
      <c r="G1658" s="190">
        <v>105.98</v>
      </c>
      <c r="H1658" s="191">
        <v>1421.68</v>
      </c>
      <c r="I1658" s="191">
        <v>414</v>
      </c>
      <c r="J1658" s="188" t="s">
        <v>1052</v>
      </c>
      <c r="K1658" s="188" t="s">
        <v>338</v>
      </c>
      <c r="L1658" s="188" t="s">
        <v>852</v>
      </c>
      <c r="M1658" s="192">
        <f t="shared" si="75"/>
        <v>24</v>
      </c>
      <c r="N1658" s="193">
        <f t="shared" si="76"/>
        <v>0.85850241545893724</v>
      </c>
      <c r="O1658" s="194">
        <f t="shared" si="77"/>
        <v>3.5770933977455718E-2</v>
      </c>
    </row>
    <row r="1659" spans="1:15" ht="12.75" customHeight="1">
      <c r="A1659" s="188" t="s">
        <v>620</v>
      </c>
      <c r="B1659" s="188" t="s">
        <v>1394</v>
      </c>
      <c r="C1659" s="188" t="s">
        <v>641</v>
      </c>
      <c r="D1659" s="188" t="s">
        <v>3003</v>
      </c>
      <c r="E1659" s="189">
        <v>39447</v>
      </c>
      <c r="F1659" s="190">
        <v>0</v>
      </c>
      <c r="G1659" s="190">
        <v>49.92</v>
      </c>
      <c r="H1659" s="191">
        <v>754</v>
      </c>
      <c r="I1659" s="191">
        <v>195</v>
      </c>
      <c r="J1659" s="188" t="s">
        <v>639</v>
      </c>
      <c r="K1659" s="188" t="s">
        <v>338</v>
      </c>
      <c r="L1659" s="188" t="s">
        <v>656</v>
      </c>
      <c r="M1659" s="192">
        <f t="shared" si="75"/>
        <v>27</v>
      </c>
      <c r="N1659" s="193">
        <f t="shared" si="76"/>
        <v>0.96666666666666667</v>
      </c>
      <c r="O1659" s="194">
        <f t="shared" si="77"/>
        <v>3.580246913580247E-2</v>
      </c>
    </row>
    <row r="1660" spans="1:15" ht="12.75" customHeight="1">
      <c r="A1660" s="188" t="s">
        <v>620</v>
      </c>
      <c r="B1660" s="188" t="s">
        <v>1394</v>
      </c>
      <c r="C1660" s="188" t="s">
        <v>641</v>
      </c>
      <c r="D1660" s="188" t="s">
        <v>3004</v>
      </c>
      <c r="E1660" s="189">
        <v>39359</v>
      </c>
      <c r="F1660" s="190">
        <v>0</v>
      </c>
      <c r="G1660" s="190">
        <v>66.05</v>
      </c>
      <c r="H1660" s="191">
        <v>740</v>
      </c>
      <c r="I1660" s="191">
        <v>258</v>
      </c>
      <c r="J1660" s="188" t="s">
        <v>560</v>
      </c>
      <c r="K1660" s="188" t="s">
        <v>338</v>
      </c>
      <c r="L1660" s="188" t="s">
        <v>908</v>
      </c>
      <c r="M1660" s="192">
        <f t="shared" si="75"/>
        <v>20</v>
      </c>
      <c r="N1660" s="193">
        <f t="shared" si="76"/>
        <v>0.71705426356589153</v>
      </c>
      <c r="O1660" s="194">
        <f t="shared" si="77"/>
        <v>3.5852713178294575E-2</v>
      </c>
    </row>
    <row r="1661" spans="1:15" ht="12.75" customHeight="1">
      <c r="A1661" s="188" t="s">
        <v>620</v>
      </c>
      <c r="B1661" s="188" t="s">
        <v>1394</v>
      </c>
      <c r="C1661" s="188" t="s">
        <v>641</v>
      </c>
      <c r="D1661" s="188" t="s">
        <v>3005</v>
      </c>
      <c r="E1661" s="189">
        <v>39345</v>
      </c>
      <c r="F1661" s="190">
        <v>0</v>
      </c>
      <c r="G1661" s="190">
        <v>71.739999999999995</v>
      </c>
      <c r="H1661" s="191">
        <v>765</v>
      </c>
      <c r="I1661" s="191">
        <v>280.25</v>
      </c>
      <c r="J1661" s="188" t="s">
        <v>667</v>
      </c>
      <c r="K1661" s="188" t="s">
        <v>338</v>
      </c>
      <c r="L1661" s="188" t="s">
        <v>3006</v>
      </c>
      <c r="M1661" s="192">
        <f t="shared" si="75"/>
        <v>19</v>
      </c>
      <c r="N1661" s="193">
        <f t="shared" si="76"/>
        <v>0.68242640499553975</v>
      </c>
      <c r="O1661" s="194">
        <f t="shared" si="77"/>
        <v>3.5917179210291562E-2</v>
      </c>
    </row>
    <row r="1662" spans="1:15" ht="12.75" customHeight="1">
      <c r="A1662" s="188" t="s">
        <v>620</v>
      </c>
      <c r="B1662" s="188" t="s">
        <v>1394</v>
      </c>
      <c r="C1662" s="188" t="s">
        <v>641</v>
      </c>
      <c r="D1662" s="188" t="s">
        <v>3007</v>
      </c>
      <c r="E1662" s="189">
        <v>39219</v>
      </c>
      <c r="F1662" s="190">
        <v>0</v>
      </c>
      <c r="G1662" s="190">
        <v>62.46</v>
      </c>
      <c r="H1662" s="191">
        <v>946.72</v>
      </c>
      <c r="I1662" s="191">
        <v>244</v>
      </c>
      <c r="J1662" s="188" t="s">
        <v>639</v>
      </c>
      <c r="K1662" s="188" t="s">
        <v>338</v>
      </c>
      <c r="L1662" s="188" t="s">
        <v>2140</v>
      </c>
      <c r="M1662" s="192">
        <f t="shared" si="75"/>
        <v>27</v>
      </c>
      <c r="N1662" s="193">
        <f t="shared" si="76"/>
        <v>0.97</v>
      </c>
      <c r="O1662" s="194">
        <f t="shared" si="77"/>
        <v>3.5925925925925924E-2</v>
      </c>
    </row>
    <row r="1663" spans="1:15" ht="12.75" customHeight="1">
      <c r="A1663" s="188" t="s">
        <v>620</v>
      </c>
      <c r="B1663" s="188" t="s">
        <v>1394</v>
      </c>
      <c r="C1663" s="188" t="s">
        <v>641</v>
      </c>
      <c r="D1663" s="188" t="s">
        <v>3008</v>
      </c>
      <c r="E1663" s="189">
        <v>39366</v>
      </c>
      <c r="F1663" s="190">
        <v>0</v>
      </c>
      <c r="G1663" s="190">
        <v>97.28</v>
      </c>
      <c r="H1663" s="191">
        <v>1094</v>
      </c>
      <c r="I1663" s="191">
        <v>380</v>
      </c>
      <c r="J1663" s="188" t="s">
        <v>560</v>
      </c>
      <c r="K1663" s="188" t="s">
        <v>338</v>
      </c>
      <c r="L1663" s="188" t="s">
        <v>1452</v>
      </c>
      <c r="M1663" s="192">
        <f t="shared" si="75"/>
        <v>20</v>
      </c>
      <c r="N1663" s="193">
        <f t="shared" si="76"/>
        <v>0.71973684210526312</v>
      </c>
      <c r="O1663" s="194">
        <f t="shared" si="77"/>
        <v>3.5986842105263157E-2</v>
      </c>
    </row>
    <row r="1664" spans="1:15" ht="12.75" customHeight="1">
      <c r="A1664" s="188" t="s">
        <v>620</v>
      </c>
      <c r="B1664" s="188" t="s">
        <v>1394</v>
      </c>
      <c r="C1664" s="188" t="s">
        <v>641</v>
      </c>
      <c r="D1664" s="188" t="s">
        <v>3009</v>
      </c>
      <c r="E1664" s="189">
        <v>39422</v>
      </c>
      <c r="F1664" s="190">
        <v>0</v>
      </c>
      <c r="G1664" s="190">
        <v>89.6</v>
      </c>
      <c r="H1664" s="191">
        <v>1012</v>
      </c>
      <c r="I1664" s="191">
        <v>350</v>
      </c>
      <c r="J1664" s="188" t="s">
        <v>560</v>
      </c>
      <c r="K1664" s="188" t="s">
        <v>338</v>
      </c>
      <c r="L1664" s="188" t="s">
        <v>754</v>
      </c>
      <c r="M1664" s="192">
        <f t="shared" si="75"/>
        <v>20</v>
      </c>
      <c r="N1664" s="193">
        <f t="shared" si="76"/>
        <v>0.72285714285714286</v>
      </c>
      <c r="O1664" s="194">
        <f t="shared" si="77"/>
        <v>3.6142857142857143E-2</v>
      </c>
    </row>
    <row r="1665" spans="1:15" ht="12.75" customHeight="1">
      <c r="A1665" s="188" t="s">
        <v>620</v>
      </c>
      <c r="B1665" s="188" t="s">
        <v>1394</v>
      </c>
      <c r="C1665" s="188" t="s">
        <v>641</v>
      </c>
      <c r="D1665" s="188" t="s">
        <v>3010</v>
      </c>
      <c r="E1665" s="189">
        <v>39282</v>
      </c>
      <c r="F1665" s="190">
        <v>0</v>
      </c>
      <c r="G1665" s="190">
        <v>82.94</v>
      </c>
      <c r="H1665" s="191">
        <v>938.95</v>
      </c>
      <c r="I1665" s="191">
        <v>324</v>
      </c>
      <c r="J1665" s="188" t="s">
        <v>560</v>
      </c>
      <c r="K1665" s="188" t="s">
        <v>338</v>
      </c>
      <c r="L1665" s="188" t="s">
        <v>1319</v>
      </c>
      <c r="M1665" s="192">
        <f t="shared" si="75"/>
        <v>20</v>
      </c>
      <c r="N1665" s="193">
        <f t="shared" si="76"/>
        <v>0.72449845679012348</v>
      </c>
      <c r="O1665" s="194">
        <f t="shared" si="77"/>
        <v>3.6224922839506173E-2</v>
      </c>
    </row>
    <row r="1666" spans="1:15" ht="12.75" customHeight="1">
      <c r="A1666" s="188" t="s">
        <v>620</v>
      </c>
      <c r="B1666" s="188" t="s">
        <v>1394</v>
      </c>
      <c r="C1666" s="188" t="s">
        <v>641</v>
      </c>
      <c r="D1666" s="188" t="s">
        <v>3011</v>
      </c>
      <c r="E1666" s="189">
        <v>39562</v>
      </c>
      <c r="F1666" s="190">
        <v>0</v>
      </c>
      <c r="G1666" s="190">
        <v>88</v>
      </c>
      <c r="H1666" s="191">
        <v>1145.67</v>
      </c>
      <c r="I1666" s="191">
        <v>343.75</v>
      </c>
      <c r="J1666" s="188" t="s">
        <v>571</v>
      </c>
      <c r="K1666" s="188" t="s">
        <v>338</v>
      </c>
      <c r="L1666" s="188" t="s">
        <v>1271</v>
      </c>
      <c r="M1666" s="192">
        <f t="shared" ref="M1666:M1729" si="78">K1666-J1666</f>
        <v>23</v>
      </c>
      <c r="N1666" s="193">
        <f t="shared" ref="N1666:N1729" si="79">H1666/L1666</f>
        <v>0.83321454545454554</v>
      </c>
      <c r="O1666" s="194">
        <f t="shared" ref="O1666:O1729" si="80">N1666/M1666</f>
        <v>3.6226719367588936E-2</v>
      </c>
    </row>
    <row r="1667" spans="1:15" ht="12.75" customHeight="1">
      <c r="A1667" s="188" t="s">
        <v>620</v>
      </c>
      <c r="B1667" s="188" t="s">
        <v>1394</v>
      </c>
      <c r="C1667" s="188" t="s">
        <v>641</v>
      </c>
      <c r="D1667" s="188" t="s">
        <v>3012</v>
      </c>
      <c r="E1667" s="189">
        <v>39507</v>
      </c>
      <c r="F1667" s="190">
        <v>0</v>
      </c>
      <c r="G1667" s="190">
        <v>24.96</v>
      </c>
      <c r="H1667" s="191">
        <v>325</v>
      </c>
      <c r="I1667" s="191">
        <v>97.5</v>
      </c>
      <c r="J1667" s="188" t="s">
        <v>571</v>
      </c>
      <c r="K1667" s="188" t="s">
        <v>338</v>
      </c>
      <c r="L1667" s="188" t="s">
        <v>3013</v>
      </c>
      <c r="M1667" s="192">
        <f t="shared" si="78"/>
        <v>23</v>
      </c>
      <c r="N1667" s="193">
        <f t="shared" si="79"/>
        <v>0.83333333333333337</v>
      </c>
      <c r="O1667" s="194">
        <f t="shared" si="80"/>
        <v>3.6231884057971016E-2</v>
      </c>
    </row>
    <row r="1668" spans="1:15" ht="12.75" customHeight="1">
      <c r="A1668" s="188" t="s">
        <v>620</v>
      </c>
      <c r="B1668" s="188" t="s">
        <v>1394</v>
      </c>
      <c r="C1668" s="188" t="s">
        <v>641</v>
      </c>
      <c r="D1668" s="188" t="s">
        <v>3014</v>
      </c>
      <c r="E1668" s="189">
        <v>39520</v>
      </c>
      <c r="F1668" s="190">
        <v>0</v>
      </c>
      <c r="G1668" s="190">
        <v>80</v>
      </c>
      <c r="H1668" s="191">
        <v>1224</v>
      </c>
      <c r="I1668" s="191">
        <v>312.5</v>
      </c>
      <c r="J1668" s="188" t="s">
        <v>639</v>
      </c>
      <c r="K1668" s="188" t="s">
        <v>338</v>
      </c>
      <c r="L1668" s="188" t="s">
        <v>716</v>
      </c>
      <c r="M1668" s="192">
        <f t="shared" si="78"/>
        <v>27</v>
      </c>
      <c r="N1668" s="193">
        <f t="shared" si="79"/>
        <v>0.97919999999999996</v>
      </c>
      <c r="O1668" s="194">
        <f t="shared" si="80"/>
        <v>3.6266666666666662E-2</v>
      </c>
    </row>
    <row r="1669" spans="1:15" ht="12.75" customHeight="1">
      <c r="A1669" s="188" t="s">
        <v>620</v>
      </c>
      <c r="B1669" s="188" t="s">
        <v>1394</v>
      </c>
      <c r="C1669" s="188" t="s">
        <v>641</v>
      </c>
      <c r="D1669" s="188" t="s">
        <v>3015</v>
      </c>
      <c r="E1669" s="189">
        <v>39416</v>
      </c>
      <c r="F1669" s="190">
        <v>0</v>
      </c>
      <c r="G1669" s="190">
        <v>105.6</v>
      </c>
      <c r="H1669" s="191">
        <v>1377.94</v>
      </c>
      <c r="I1669" s="191">
        <v>412.5</v>
      </c>
      <c r="J1669" s="188" t="s">
        <v>571</v>
      </c>
      <c r="K1669" s="188" t="s">
        <v>338</v>
      </c>
      <c r="L1669" s="188" t="s">
        <v>885</v>
      </c>
      <c r="M1669" s="192">
        <f t="shared" si="78"/>
        <v>23</v>
      </c>
      <c r="N1669" s="193">
        <f t="shared" si="79"/>
        <v>0.83511515151515159</v>
      </c>
      <c r="O1669" s="194">
        <f t="shared" si="80"/>
        <v>3.6309354413702241E-2</v>
      </c>
    </row>
    <row r="1670" spans="1:15" ht="12.75" customHeight="1">
      <c r="A1670" s="188" t="s">
        <v>620</v>
      </c>
      <c r="B1670" s="188" t="s">
        <v>1394</v>
      </c>
      <c r="C1670" s="188" t="s">
        <v>641</v>
      </c>
      <c r="D1670" s="188" t="s">
        <v>3016</v>
      </c>
      <c r="E1670" s="189">
        <v>39353</v>
      </c>
      <c r="F1670" s="190">
        <v>0</v>
      </c>
      <c r="G1670" s="190">
        <v>36.86</v>
      </c>
      <c r="H1670" s="191">
        <v>794.88</v>
      </c>
      <c r="I1670" s="191">
        <v>144</v>
      </c>
      <c r="J1670" s="188" t="s">
        <v>624</v>
      </c>
      <c r="K1670" s="188" t="s">
        <v>338</v>
      </c>
      <c r="L1670" s="188" t="s">
        <v>3017</v>
      </c>
      <c r="M1670" s="192">
        <f t="shared" si="78"/>
        <v>38</v>
      </c>
      <c r="N1670" s="193">
        <f t="shared" si="79"/>
        <v>1.38</v>
      </c>
      <c r="O1670" s="194">
        <f t="shared" si="80"/>
        <v>3.6315789473684211E-2</v>
      </c>
    </row>
    <row r="1671" spans="1:15" ht="12.75" customHeight="1">
      <c r="A1671" s="188" t="s">
        <v>620</v>
      </c>
      <c r="B1671" s="188" t="s">
        <v>1394</v>
      </c>
      <c r="C1671" s="188" t="s">
        <v>641</v>
      </c>
      <c r="D1671" s="188" t="s">
        <v>3018</v>
      </c>
      <c r="E1671" s="189">
        <v>39534</v>
      </c>
      <c r="F1671" s="190">
        <v>0</v>
      </c>
      <c r="G1671" s="190">
        <v>48.64</v>
      </c>
      <c r="H1671" s="191">
        <v>552</v>
      </c>
      <c r="I1671" s="191">
        <v>190</v>
      </c>
      <c r="J1671" s="188" t="s">
        <v>560</v>
      </c>
      <c r="K1671" s="188" t="s">
        <v>338</v>
      </c>
      <c r="L1671" s="188" t="s">
        <v>759</v>
      </c>
      <c r="M1671" s="192">
        <f t="shared" si="78"/>
        <v>20</v>
      </c>
      <c r="N1671" s="193">
        <f t="shared" si="79"/>
        <v>0.72631578947368425</v>
      </c>
      <c r="O1671" s="194">
        <f t="shared" si="80"/>
        <v>3.6315789473684211E-2</v>
      </c>
    </row>
    <row r="1672" spans="1:15" ht="12.75" customHeight="1">
      <c r="A1672" s="188" t="s">
        <v>620</v>
      </c>
      <c r="B1672" s="188" t="s">
        <v>1394</v>
      </c>
      <c r="C1672" s="188" t="s">
        <v>641</v>
      </c>
      <c r="D1672" s="188" t="s">
        <v>3019</v>
      </c>
      <c r="E1672" s="189">
        <v>39416</v>
      </c>
      <c r="F1672" s="190">
        <v>0</v>
      </c>
      <c r="G1672" s="190">
        <v>108.03</v>
      </c>
      <c r="H1672" s="191">
        <v>1350</v>
      </c>
      <c r="I1672" s="191">
        <v>422</v>
      </c>
      <c r="J1672" s="188" t="s">
        <v>710</v>
      </c>
      <c r="K1672" s="188" t="s">
        <v>338</v>
      </c>
      <c r="L1672" s="188" t="s">
        <v>1095</v>
      </c>
      <c r="M1672" s="192">
        <f t="shared" si="78"/>
        <v>22</v>
      </c>
      <c r="N1672" s="193">
        <f t="shared" si="79"/>
        <v>0.79976303317535546</v>
      </c>
      <c r="O1672" s="194">
        <f t="shared" si="80"/>
        <v>3.6352865144334341E-2</v>
      </c>
    </row>
    <row r="1673" spans="1:15" ht="12.75" customHeight="1">
      <c r="A1673" s="188" t="s">
        <v>620</v>
      </c>
      <c r="B1673" s="188" t="s">
        <v>1394</v>
      </c>
      <c r="C1673" s="188" t="s">
        <v>641</v>
      </c>
      <c r="D1673" s="188" t="s">
        <v>3020</v>
      </c>
      <c r="E1673" s="189">
        <v>39331</v>
      </c>
      <c r="F1673" s="190">
        <v>0</v>
      </c>
      <c r="G1673" s="190">
        <v>106.24</v>
      </c>
      <c r="H1673" s="191">
        <v>1328</v>
      </c>
      <c r="I1673" s="191">
        <v>415</v>
      </c>
      <c r="J1673" s="188" t="s">
        <v>710</v>
      </c>
      <c r="K1673" s="188" t="s">
        <v>338</v>
      </c>
      <c r="L1673" s="188" t="s">
        <v>1298</v>
      </c>
      <c r="M1673" s="192">
        <f t="shared" si="78"/>
        <v>22</v>
      </c>
      <c r="N1673" s="193">
        <f t="shared" si="79"/>
        <v>0.8</v>
      </c>
      <c r="O1673" s="194">
        <f t="shared" si="80"/>
        <v>3.6363636363636369E-2</v>
      </c>
    </row>
    <row r="1674" spans="1:15" ht="12.75" customHeight="1">
      <c r="A1674" s="188" t="s">
        <v>620</v>
      </c>
      <c r="B1674" s="188" t="s">
        <v>1394</v>
      </c>
      <c r="C1674" s="188" t="s">
        <v>641</v>
      </c>
      <c r="D1674" s="188" t="s">
        <v>3021</v>
      </c>
      <c r="E1674" s="189">
        <v>39353</v>
      </c>
      <c r="F1674" s="190">
        <v>0</v>
      </c>
      <c r="G1674" s="190">
        <v>61.44</v>
      </c>
      <c r="H1674" s="191">
        <v>945</v>
      </c>
      <c r="I1674" s="191">
        <v>240</v>
      </c>
      <c r="J1674" s="188" t="s">
        <v>639</v>
      </c>
      <c r="K1674" s="188" t="s">
        <v>338</v>
      </c>
      <c r="L1674" s="188" t="s">
        <v>1146</v>
      </c>
      <c r="M1674" s="192">
        <f t="shared" si="78"/>
        <v>27</v>
      </c>
      <c r="N1674" s="193">
        <f t="shared" si="79"/>
        <v>0.984375</v>
      </c>
      <c r="O1674" s="194">
        <f t="shared" si="80"/>
        <v>3.6458333333333336E-2</v>
      </c>
    </row>
    <row r="1675" spans="1:15" ht="12.75" customHeight="1">
      <c r="A1675" s="188" t="s">
        <v>620</v>
      </c>
      <c r="B1675" s="188" t="s">
        <v>1394</v>
      </c>
      <c r="C1675" s="188" t="s">
        <v>641</v>
      </c>
      <c r="D1675" s="188" t="s">
        <v>3022</v>
      </c>
      <c r="E1675" s="189">
        <v>39219</v>
      </c>
      <c r="F1675" s="190">
        <v>0</v>
      </c>
      <c r="G1675" s="190">
        <v>49.41</v>
      </c>
      <c r="H1675" s="191">
        <v>563.55999999999995</v>
      </c>
      <c r="I1675" s="191">
        <v>193</v>
      </c>
      <c r="J1675" s="188" t="s">
        <v>560</v>
      </c>
      <c r="K1675" s="188" t="s">
        <v>338</v>
      </c>
      <c r="L1675" s="188" t="s">
        <v>3023</v>
      </c>
      <c r="M1675" s="192">
        <f t="shared" si="78"/>
        <v>20</v>
      </c>
      <c r="N1675" s="193">
        <f t="shared" si="79"/>
        <v>0.73</v>
      </c>
      <c r="O1675" s="194">
        <f t="shared" si="80"/>
        <v>3.6499999999999998E-2</v>
      </c>
    </row>
    <row r="1676" spans="1:15" ht="12.75" customHeight="1">
      <c r="A1676" s="188" t="s">
        <v>620</v>
      </c>
      <c r="B1676" s="188" t="s">
        <v>1394</v>
      </c>
      <c r="C1676" s="188" t="s">
        <v>641</v>
      </c>
      <c r="D1676" s="188" t="s">
        <v>3024</v>
      </c>
      <c r="E1676" s="189">
        <v>39416</v>
      </c>
      <c r="F1676" s="190">
        <v>0</v>
      </c>
      <c r="G1676" s="190">
        <v>70.400000000000006</v>
      </c>
      <c r="H1676" s="191">
        <v>1045</v>
      </c>
      <c r="I1676" s="191">
        <v>275</v>
      </c>
      <c r="J1676" s="188" t="s">
        <v>361</v>
      </c>
      <c r="K1676" s="188" t="s">
        <v>338</v>
      </c>
      <c r="L1676" s="188" t="s">
        <v>557</v>
      </c>
      <c r="M1676" s="192">
        <f t="shared" si="78"/>
        <v>26</v>
      </c>
      <c r="N1676" s="193">
        <f t="shared" si="79"/>
        <v>0.95</v>
      </c>
      <c r="O1676" s="194">
        <f t="shared" si="80"/>
        <v>3.6538461538461534E-2</v>
      </c>
    </row>
    <row r="1677" spans="1:15" ht="12.75" customHeight="1">
      <c r="A1677" s="188" t="s">
        <v>620</v>
      </c>
      <c r="B1677" s="188" t="s">
        <v>1394</v>
      </c>
      <c r="C1677" s="188" t="s">
        <v>641</v>
      </c>
      <c r="D1677" s="188" t="s">
        <v>3025</v>
      </c>
      <c r="E1677" s="189">
        <v>39407</v>
      </c>
      <c r="F1677" s="190">
        <v>0</v>
      </c>
      <c r="G1677" s="190">
        <v>80</v>
      </c>
      <c r="H1677" s="191">
        <v>1142</v>
      </c>
      <c r="I1677" s="191">
        <v>312.5</v>
      </c>
      <c r="J1677" s="188" t="s">
        <v>652</v>
      </c>
      <c r="K1677" s="188" t="s">
        <v>338</v>
      </c>
      <c r="L1677" s="188" t="s">
        <v>716</v>
      </c>
      <c r="M1677" s="192">
        <f t="shared" si="78"/>
        <v>25</v>
      </c>
      <c r="N1677" s="193">
        <f t="shared" si="79"/>
        <v>0.91359999999999997</v>
      </c>
      <c r="O1677" s="194">
        <f t="shared" si="80"/>
        <v>3.6544E-2</v>
      </c>
    </row>
    <row r="1678" spans="1:15" ht="12.75" customHeight="1">
      <c r="A1678" s="188" t="s">
        <v>620</v>
      </c>
      <c r="B1678" s="188" t="s">
        <v>1394</v>
      </c>
      <c r="C1678" s="188" t="s">
        <v>641</v>
      </c>
      <c r="D1678" s="188" t="s">
        <v>3026</v>
      </c>
      <c r="E1678" s="189">
        <v>39324</v>
      </c>
      <c r="F1678" s="190">
        <v>0</v>
      </c>
      <c r="G1678" s="190">
        <v>13.82</v>
      </c>
      <c r="H1678" s="191">
        <v>300</v>
      </c>
      <c r="I1678" s="191">
        <v>54</v>
      </c>
      <c r="J1678" s="188" t="s">
        <v>624</v>
      </c>
      <c r="K1678" s="188" t="s">
        <v>338</v>
      </c>
      <c r="L1678" s="188" t="s">
        <v>3027</v>
      </c>
      <c r="M1678" s="192">
        <f t="shared" si="78"/>
        <v>38</v>
      </c>
      <c r="N1678" s="193">
        <f t="shared" si="79"/>
        <v>1.3888888888888888</v>
      </c>
      <c r="O1678" s="194">
        <f t="shared" si="80"/>
        <v>3.6549707602339179E-2</v>
      </c>
    </row>
    <row r="1679" spans="1:15" ht="12.75" customHeight="1">
      <c r="A1679" s="188" t="s">
        <v>620</v>
      </c>
      <c r="B1679" s="188" t="s">
        <v>1394</v>
      </c>
      <c r="C1679" s="188" t="s">
        <v>641</v>
      </c>
      <c r="D1679" s="188" t="s">
        <v>3028</v>
      </c>
      <c r="E1679" s="189">
        <v>39359</v>
      </c>
      <c r="F1679" s="190">
        <v>0</v>
      </c>
      <c r="G1679" s="190">
        <v>76.8</v>
      </c>
      <c r="H1679" s="191">
        <v>1010</v>
      </c>
      <c r="I1679" s="191">
        <v>300</v>
      </c>
      <c r="J1679" s="188" t="s">
        <v>571</v>
      </c>
      <c r="K1679" s="188" t="s">
        <v>338</v>
      </c>
      <c r="L1679" s="188" t="s">
        <v>632</v>
      </c>
      <c r="M1679" s="192">
        <f t="shared" si="78"/>
        <v>23</v>
      </c>
      <c r="N1679" s="193">
        <f t="shared" si="79"/>
        <v>0.84166666666666667</v>
      </c>
      <c r="O1679" s="194">
        <f t="shared" si="80"/>
        <v>3.6594202898550726E-2</v>
      </c>
    </row>
    <row r="1680" spans="1:15" ht="12.75" customHeight="1">
      <c r="A1680" s="188" t="s">
        <v>620</v>
      </c>
      <c r="B1680" s="188" t="s">
        <v>1394</v>
      </c>
      <c r="C1680" s="188" t="s">
        <v>641</v>
      </c>
      <c r="D1680" s="188" t="s">
        <v>3029</v>
      </c>
      <c r="E1680" s="189">
        <v>39289</v>
      </c>
      <c r="F1680" s="190">
        <v>0</v>
      </c>
      <c r="G1680" s="190">
        <v>43.26</v>
      </c>
      <c r="H1680" s="191">
        <v>568.99</v>
      </c>
      <c r="I1680" s="191">
        <v>169</v>
      </c>
      <c r="J1680" s="188" t="s">
        <v>571</v>
      </c>
      <c r="K1680" s="188" t="s">
        <v>338</v>
      </c>
      <c r="L1680" s="188" t="s">
        <v>1374</v>
      </c>
      <c r="M1680" s="192">
        <f t="shared" si="78"/>
        <v>23</v>
      </c>
      <c r="N1680" s="193">
        <f t="shared" si="79"/>
        <v>0.84170118343195266</v>
      </c>
      <c r="O1680" s="194">
        <f t="shared" si="80"/>
        <v>3.6595703627476203E-2</v>
      </c>
    </row>
    <row r="1681" spans="1:15" ht="12.75" customHeight="1">
      <c r="A1681" s="188" t="s">
        <v>620</v>
      </c>
      <c r="B1681" s="188" t="s">
        <v>1394</v>
      </c>
      <c r="C1681" s="188" t="s">
        <v>641</v>
      </c>
      <c r="D1681" s="188" t="s">
        <v>3030</v>
      </c>
      <c r="E1681" s="189">
        <v>39317</v>
      </c>
      <c r="F1681" s="190">
        <v>0</v>
      </c>
      <c r="G1681" s="190">
        <v>82.24</v>
      </c>
      <c r="H1681" s="191">
        <v>1081.97</v>
      </c>
      <c r="I1681" s="191">
        <v>321.25</v>
      </c>
      <c r="J1681" s="188" t="s">
        <v>571</v>
      </c>
      <c r="K1681" s="188" t="s">
        <v>338</v>
      </c>
      <c r="L1681" s="188" t="s">
        <v>3031</v>
      </c>
      <c r="M1681" s="192">
        <f t="shared" si="78"/>
        <v>23</v>
      </c>
      <c r="N1681" s="193">
        <f t="shared" si="79"/>
        <v>0.84199999999999997</v>
      </c>
      <c r="O1681" s="194">
        <f t="shared" si="80"/>
        <v>3.6608695652173909E-2</v>
      </c>
    </row>
    <row r="1682" spans="1:15" ht="12.75" customHeight="1">
      <c r="A1682" s="188" t="s">
        <v>620</v>
      </c>
      <c r="B1682" s="188" t="s">
        <v>1394</v>
      </c>
      <c r="C1682" s="188" t="s">
        <v>641</v>
      </c>
      <c r="D1682" s="188" t="s">
        <v>3032</v>
      </c>
      <c r="E1682" s="189">
        <v>39478</v>
      </c>
      <c r="F1682" s="190">
        <v>0</v>
      </c>
      <c r="G1682" s="190">
        <v>73.599999999999994</v>
      </c>
      <c r="H1682" s="191">
        <v>1137</v>
      </c>
      <c r="I1682" s="191">
        <v>287.5</v>
      </c>
      <c r="J1682" s="188" t="s">
        <v>639</v>
      </c>
      <c r="K1682" s="188" t="s">
        <v>338</v>
      </c>
      <c r="L1682" s="188" t="s">
        <v>697</v>
      </c>
      <c r="M1682" s="192">
        <f t="shared" si="78"/>
        <v>27</v>
      </c>
      <c r="N1682" s="193">
        <f t="shared" si="79"/>
        <v>0.98869565217391309</v>
      </c>
      <c r="O1682" s="194">
        <f t="shared" si="80"/>
        <v>3.6618357487922706E-2</v>
      </c>
    </row>
    <row r="1683" spans="1:15" ht="12.75" customHeight="1">
      <c r="A1683" s="188" t="s">
        <v>620</v>
      </c>
      <c r="B1683" s="188" t="s">
        <v>1394</v>
      </c>
      <c r="C1683" s="188" t="s">
        <v>641</v>
      </c>
      <c r="D1683" s="188" t="s">
        <v>3033</v>
      </c>
      <c r="E1683" s="189">
        <v>39366</v>
      </c>
      <c r="F1683" s="190">
        <v>0</v>
      </c>
      <c r="G1683" s="190">
        <v>77.31</v>
      </c>
      <c r="H1683" s="191">
        <v>885.1</v>
      </c>
      <c r="I1683" s="191">
        <v>302</v>
      </c>
      <c r="J1683" s="188" t="s">
        <v>560</v>
      </c>
      <c r="K1683" s="188" t="s">
        <v>338</v>
      </c>
      <c r="L1683" s="188" t="s">
        <v>845</v>
      </c>
      <c r="M1683" s="192">
        <f t="shared" si="78"/>
        <v>20</v>
      </c>
      <c r="N1683" s="193">
        <f t="shared" si="79"/>
        <v>0.73269867549668877</v>
      </c>
      <c r="O1683" s="194">
        <f t="shared" si="80"/>
        <v>3.6634933774834441E-2</v>
      </c>
    </row>
    <row r="1684" spans="1:15" ht="12.75" customHeight="1">
      <c r="A1684" s="188" t="s">
        <v>620</v>
      </c>
      <c r="B1684" s="188" t="s">
        <v>1394</v>
      </c>
      <c r="C1684" s="188" t="s">
        <v>641</v>
      </c>
      <c r="D1684" s="188" t="s">
        <v>3034</v>
      </c>
      <c r="E1684" s="189">
        <v>39247</v>
      </c>
      <c r="F1684" s="190">
        <v>0</v>
      </c>
      <c r="G1684" s="190">
        <v>61.95</v>
      </c>
      <c r="H1684" s="191">
        <v>886.98</v>
      </c>
      <c r="I1684" s="191">
        <v>242</v>
      </c>
      <c r="J1684" s="188" t="s">
        <v>652</v>
      </c>
      <c r="K1684" s="188" t="s">
        <v>338</v>
      </c>
      <c r="L1684" s="188" t="s">
        <v>2777</v>
      </c>
      <c r="M1684" s="192">
        <f t="shared" si="78"/>
        <v>25</v>
      </c>
      <c r="N1684" s="193">
        <f t="shared" si="79"/>
        <v>0.91630165289256205</v>
      </c>
      <c r="O1684" s="194">
        <f t="shared" si="80"/>
        <v>3.6652066115702479E-2</v>
      </c>
    </row>
    <row r="1685" spans="1:15" ht="12.75" customHeight="1">
      <c r="A1685" s="188" t="s">
        <v>620</v>
      </c>
      <c r="B1685" s="188" t="s">
        <v>1394</v>
      </c>
      <c r="C1685" s="188" t="s">
        <v>641</v>
      </c>
      <c r="D1685" s="188" t="s">
        <v>3035</v>
      </c>
      <c r="E1685" s="189">
        <v>39261</v>
      </c>
      <c r="F1685" s="190">
        <v>0</v>
      </c>
      <c r="G1685" s="190">
        <v>75.52</v>
      </c>
      <c r="H1685" s="191">
        <v>994.98</v>
      </c>
      <c r="I1685" s="191">
        <v>295</v>
      </c>
      <c r="J1685" s="188" t="s">
        <v>571</v>
      </c>
      <c r="K1685" s="188" t="s">
        <v>338</v>
      </c>
      <c r="L1685" s="188" t="s">
        <v>447</v>
      </c>
      <c r="M1685" s="192">
        <f t="shared" si="78"/>
        <v>23</v>
      </c>
      <c r="N1685" s="193">
        <f t="shared" si="79"/>
        <v>0.84320338983050847</v>
      </c>
      <c r="O1685" s="194">
        <f t="shared" si="80"/>
        <v>3.6661016949152539E-2</v>
      </c>
    </row>
    <row r="1686" spans="1:15" ht="12.75" customHeight="1">
      <c r="A1686" s="188" t="s">
        <v>620</v>
      </c>
      <c r="B1686" s="188" t="s">
        <v>1394</v>
      </c>
      <c r="C1686" s="188" t="s">
        <v>641</v>
      </c>
      <c r="D1686" s="188" t="s">
        <v>3036</v>
      </c>
      <c r="E1686" s="189">
        <v>39275</v>
      </c>
      <c r="F1686" s="190">
        <v>0</v>
      </c>
      <c r="G1686" s="190">
        <v>91.39</v>
      </c>
      <c r="H1686" s="191">
        <v>1048.01</v>
      </c>
      <c r="I1686" s="191">
        <v>357</v>
      </c>
      <c r="J1686" s="188" t="s">
        <v>560</v>
      </c>
      <c r="K1686" s="188" t="s">
        <v>338</v>
      </c>
      <c r="L1686" s="188" t="s">
        <v>2875</v>
      </c>
      <c r="M1686" s="192">
        <f t="shared" si="78"/>
        <v>20</v>
      </c>
      <c r="N1686" s="193">
        <f t="shared" si="79"/>
        <v>0.73390056022408967</v>
      </c>
      <c r="O1686" s="194">
        <f t="shared" si="80"/>
        <v>3.6695028011204486E-2</v>
      </c>
    </row>
    <row r="1687" spans="1:15" ht="12.75" customHeight="1">
      <c r="A1687" s="188" t="s">
        <v>620</v>
      </c>
      <c r="B1687" s="188" t="s">
        <v>1394</v>
      </c>
      <c r="C1687" s="188" t="s">
        <v>641</v>
      </c>
      <c r="D1687" s="188" t="s">
        <v>3037</v>
      </c>
      <c r="E1687" s="189">
        <v>39562</v>
      </c>
      <c r="F1687" s="190">
        <v>0</v>
      </c>
      <c r="G1687" s="190">
        <v>97.92</v>
      </c>
      <c r="H1687" s="191">
        <v>1912</v>
      </c>
      <c r="I1687" s="191">
        <v>382.5</v>
      </c>
      <c r="J1687" s="188" t="s">
        <v>571</v>
      </c>
      <c r="K1687" s="188" t="s">
        <v>648</v>
      </c>
      <c r="L1687" s="188" t="s">
        <v>1077</v>
      </c>
      <c r="M1687" s="192">
        <f t="shared" si="78"/>
        <v>34</v>
      </c>
      <c r="N1687" s="193">
        <f t="shared" si="79"/>
        <v>1.2496732026143791</v>
      </c>
      <c r="O1687" s="194">
        <f t="shared" si="80"/>
        <v>3.6755094194540559E-2</v>
      </c>
    </row>
    <row r="1688" spans="1:15" ht="12.75" customHeight="1">
      <c r="A1688" s="188" t="s">
        <v>620</v>
      </c>
      <c r="B1688" s="188" t="s">
        <v>1394</v>
      </c>
      <c r="C1688" s="188" t="s">
        <v>641</v>
      </c>
      <c r="D1688" s="188" t="s">
        <v>3038</v>
      </c>
      <c r="E1688" s="189">
        <v>39583</v>
      </c>
      <c r="F1688" s="190">
        <v>0</v>
      </c>
      <c r="G1688" s="190">
        <v>93.12</v>
      </c>
      <c r="H1688" s="191">
        <v>1445</v>
      </c>
      <c r="I1688" s="191">
        <v>363.75</v>
      </c>
      <c r="J1688" s="188" t="s">
        <v>639</v>
      </c>
      <c r="K1688" s="188" t="s">
        <v>338</v>
      </c>
      <c r="L1688" s="188" t="s">
        <v>3039</v>
      </c>
      <c r="M1688" s="192">
        <f t="shared" si="78"/>
        <v>27</v>
      </c>
      <c r="N1688" s="193">
        <f t="shared" si="79"/>
        <v>0.99312714776632305</v>
      </c>
      <c r="O1688" s="194">
        <f t="shared" si="80"/>
        <v>3.6782486954308261E-2</v>
      </c>
    </row>
    <row r="1689" spans="1:15" ht="12.75" customHeight="1">
      <c r="A1689" s="188" t="s">
        <v>620</v>
      </c>
      <c r="B1689" s="188" t="s">
        <v>1394</v>
      </c>
      <c r="C1689" s="188" t="s">
        <v>641</v>
      </c>
      <c r="D1689" s="188" t="s">
        <v>3040</v>
      </c>
      <c r="E1689" s="189">
        <v>39568</v>
      </c>
      <c r="F1689" s="190">
        <v>0</v>
      </c>
      <c r="G1689" s="190">
        <v>52.16</v>
      </c>
      <c r="H1689" s="191">
        <v>810</v>
      </c>
      <c r="I1689" s="191">
        <v>203.75</v>
      </c>
      <c r="J1689" s="188" t="s">
        <v>639</v>
      </c>
      <c r="K1689" s="188" t="s">
        <v>338</v>
      </c>
      <c r="L1689" s="188" t="s">
        <v>3041</v>
      </c>
      <c r="M1689" s="192">
        <f t="shared" si="78"/>
        <v>27</v>
      </c>
      <c r="N1689" s="193">
        <f t="shared" si="79"/>
        <v>0.99386503067484666</v>
      </c>
      <c r="O1689" s="194">
        <f t="shared" si="80"/>
        <v>3.6809815950920248E-2</v>
      </c>
    </row>
    <row r="1690" spans="1:15" ht="12.75" customHeight="1">
      <c r="A1690" s="188" t="s">
        <v>620</v>
      </c>
      <c r="B1690" s="188" t="s">
        <v>1394</v>
      </c>
      <c r="C1690" s="188" t="s">
        <v>641</v>
      </c>
      <c r="D1690" s="188" t="s">
        <v>3042</v>
      </c>
      <c r="E1690" s="189">
        <v>39632</v>
      </c>
      <c r="F1690" s="190">
        <v>0</v>
      </c>
      <c r="G1690" s="190">
        <v>76.540000000000006</v>
      </c>
      <c r="H1690" s="191">
        <v>970.94</v>
      </c>
      <c r="I1690" s="191">
        <v>299</v>
      </c>
      <c r="J1690" s="188" t="s">
        <v>710</v>
      </c>
      <c r="K1690" s="188" t="s">
        <v>338</v>
      </c>
      <c r="L1690" s="188" t="s">
        <v>812</v>
      </c>
      <c r="M1690" s="192">
        <f t="shared" si="78"/>
        <v>22</v>
      </c>
      <c r="N1690" s="193">
        <f t="shared" si="79"/>
        <v>0.81182274247491648</v>
      </c>
      <c r="O1690" s="194">
        <f t="shared" si="80"/>
        <v>3.6901033748859842E-2</v>
      </c>
    </row>
    <row r="1691" spans="1:15" ht="12.75" customHeight="1">
      <c r="A1691" s="188" t="s">
        <v>620</v>
      </c>
      <c r="B1691" s="188" t="s">
        <v>1394</v>
      </c>
      <c r="C1691" s="188" t="s">
        <v>641</v>
      </c>
      <c r="D1691" s="188" t="s">
        <v>3043</v>
      </c>
      <c r="E1691" s="189">
        <v>39429</v>
      </c>
      <c r="F1691" s="190">
        <v>0</v>
      </c>
      <c r="G1691" s="190">
        <v>109.63</v>
      </c>
      <c r="H1691" s="191">
        <v>1454.29</v>
      </c>
      <c r="I1691" s="191">
        <v>428.25</v>
      </c>
      <c r="J1691" s="188" t="s">
        <v>571</v>
      </c>
      <c r="K1691" s="188" t="s">
        <v>338</v>
      </c>
      <c r="L1691" s="188" t="s">
        <v>871</v>
      </c>
      <c r="M1691" s="192">
        <f t="shared" si="78"/>
        <v>23</v>
      </c>
      <c r="N1691" s="193">
        <f t="shared" si="79"/>
        <v>0.8489725627553999</v>
      </c>
      <c r="O1691" s="194">
        <f t="shared" si="80"/>
        <v>3.6911850554582605E-2</v>
      </c>
    </row>
    <row r="1692" spans="1:15" ht="12.75" customHeight="1">
      <c r="A1692" s="188" t="s">
        <v>620</v>
      </c>
      <c r="B1692" s="188" t="s">
        <v>1394</v>
      </c>
      <c r="C1692" s="188" t="s">
        <v>641</v>
      </c>
      <c r="D1692" s="188" t="s">
        <v>3044</v>
      </c>
      <c r="E1692" s="189">
        <v>39447</v>
      </c>
      <c r="F1692" s="190">
        <v>0</v>
      </c>
      <c r="G1692" s="190">
        <v>56.32</v>
      </c>
      <c r="H1692" s="191">
        <v>1235</v>
      </c>
      <c r="I1692" s="191">
        <v>220</v>
      </c>
      <c r="J1692" s="188" t="s">
        <v>624</v>
      </c>
      <c r="K1692" s="188" t="s">
        <v>338</v>
      </c>
      <c r="L1692" s="188" t="s">
        <v>1213</v>
      </c>
      <c r="M1692" s="192">
        <f t="shared" si="78"/>
        <v>38</v>
      </c>
      <c r="N1692" s="193">
        <f t="shared" si="79"/>
        <v>1.4034090909090908</v>
      </c>
      <c r="O1692" s="194">
        <f t="shared" si="80"/>
        <v>3.6931818181818177E-2</v>
      </c>
    </row>
    <row r="1693" spans="1:15" ht="12.75" customHeight="1">
      <c r="A1693" s="188" t="s">
        <v>620</v>
      </c>
      <c r="B1693" s="188" t="s">
        <v>1394</v>
      </c>
      <c r="C1693" s="188" t="s">
        <v>641</v>
      </c>
      <c r="D1693" s="188" t="s">
        <v>3045</v>
      </c>
      <c r="E1693" s="189">
        <v>39555</v>
      </c>
      <c r="F1693" s="190">
        <v>0</v>
      </c>
      <c r="G1693" s="190">
        <v>96</v>
      </c>
      <c r="H1693" s="191">
        <v>1275</v>
      </c>
      <c r="I1693" s="191">
        <v>375</v>
      </c>
      <c r="J1693" s="188" t="s">
        <v>571</v>
      </c>
      <c r="K1693" s="188" t="s">
        <v>338</v>
      </c>
      <c r="L1693" s="188" t="s">
        <v>746</v>
      </c>
      <c r="M1693" s="192">
        <f t="shared" si="78"/>
        <v>23</v>
      </c>
      <c r="N1693" s="193">
        <f t="shared" si="79"/>
        <v>0.85</v>
      </c>
      <c r="O1693" s="194">
        <f t="shared" si="80"/>
        <v>3.6956521739130437E-2</v>
      </c>
    </row>
    <row r="1694" spans="1:15" ht="12.75" customHeight="1">
      <c r="A1694" s="188" t="s">
        <v>620</v>
      </c>
      <c r="B1694" s="188" t="s">
        <v>1394</v>
      </c>
      <c r="C1694" s="188" t="s">
        <v>641</v>
      </c>
      <c r="D1694" s="188" t="s">
        <v>3046</v>
      </c>
      <c r="E1694" s="189">
        <v>39447</v>
      </c>
      <c r="F1694" s="190">
        <v>0</v>
      </c>
      <c r="G1694" s="190">
        <v>105.6</v>
      </c>
      <c r="H1694" s="191">
        <v>1220</v>
      </c>
      <c r="I1694" s="191">
        <v>412.5</v>
      </c>
      <c r="J1694" s="188" t="s">
        <v>560</v>
      </c>
      <c r="K1694" s="188" t="s">
        <v>338</v>
      </c>
      <c r="L1694" s="188" t="s">
        <v>885</v>
      </c>
      <c r="M1694" s="192">
        <f t="shared" si="78"/>
        <v>20</v>
      </c>
      <c r="N1694" s="193">
        <f t="shared" si="79"/>
        <v>0.73939393939393938</v>
      </c>
      <c r="O1694" s="194">
        <f t="shared" si="80"/>
        <v>3.6969696969696972E-2</v>
      </c>
    </row>
    <row r="1695" spans="1:15" ht="12.75" customHeight="1">
      <c r="A1695" s="188" t="s">
        <v>620</v>
      </c>
      <c r="B1695" s="188" t="s">
        <v>1394</v>
      </c>
      <c r="C1695" s="188" t="s">
        <v>641</v>
      </c>
      <c r="D1695" s="188" t="s">
        <v>3047</v>
      </c>
      <c r="E1695" s="189">
        <v>39282</v>
      </c>
      <c r="F1695" s="190">
        <v>0</v>
      </c>
      <c r="G1695" s="190">
        <v>128.38</v>
      </c>
      <c r="H1695" s="191">
        <v>3638.08</v>
      </c>
      <c r="I1695" s="191">
        <v>501.5</v>
      </c>
      <c r="J1695" s="188" t="s">
        <v>624</v>
      </c>
      <c r="K1695" s="188" t="s">
        <v>648</v>
      </c>
      <c r="L1695" s="188" t="s">
        <v>3048</v>
      </c>
      <c r="M1695" s="192">
        <f t="shared" si="78"/>
        <v>49</v>
      </c>
      <c r="N1695" s="193">
        <f t="shared" si="79"/>
        <v>1.8135992023928216</v>
      </c>
      <c r="O1695" s="194">
        <f t="shared" si="80"/>
        <v>3.7012228620261663E-2</v>
      </c>
    </row>
    <row r="1696" spans="1:15" ht="12.75" customHeight="1">
      <c r="A1696" s="188" t="s">
        <v>620</v>
      </c>
      <c r="B1696" s="188" t="s">
        <v>1394</v>
      </c>
      <c r="C1696" s="188" t="s">
        <v>641</v>
      </c>
      <c r="D1696" s="188" t="s">
        <v>3049</v>
      </c>
      <c r="E1696" s="189">
        <v>39303</v>
      </c>
      <c r="F1696" s="190">
        <v>0</v>
      </c>
      <c r="G1696" s="190">
        <v>68.290000000000006</v>
      </c>
      <c r="H1696" s="191">
        <v>789.9</v>
      </c>
      <c r="I1696" s="191">
        <v>266.75</v>
      </c>
      <c r="J1696" s="188" t="s">
        <v>560</v>
      </c>
      <c r="K1696" s="188" t="s">
        <v>338</v>
      </c>
      <c r="L1696" s="188" t="s">
        <v>3050</v>
      </c>
      <c r="M1696" s="192">
        <f t="shared" si="78"/>
        <v>20</v>
      </c>
      <c r="N1696" s="193">
        <f t="shared" si="79"/>
        <v>0.74029990627928766</v>
      </c>
      <c r="O1696" s="194">
        <f t="shared" si="80"/>
        <v>3.7014995313964384E-2</v>
      </c>
    </row>
    <row r="1697" spans="1:15" ht="12.75" customHeight="1">
      <c r="A1697" s="188" t="s">
        <v>620</v>
      </c>
      <c r="B1697" s="188" t="s">
        <v>1394</v>
      </c>
      <c r="C1697" s="188" t="s">
        <v>641</v>
      </c>
      <c r="D1697" s="188" t="s">
        <v>3051</v>
      </c>
      <c r="E1697" s="189">
        <v>39359</v>
      </c>
      <c r="F1697" s="190">
        <v>0</v>
      </c>
      <c r="G1697" s="190">
        <v>106.5</v>
      </c>
      <c r="H1697" s="191">
        <v>1496</v>
      </c>
      <c r="I1697" s="191">
        <v>416</v>
      </c>
      <c r="J1697" s="188" t="s">
        <v>639</v>
      </c>
      <c r="K1697" s="188" t="s">
        <v>338</v>
      </c>
      <c r="L1697" s="188" t="s">
        <v>3052</v>
      </c>
      <c r="M1697" s="192">
        <f t="shared" si="78"/>
        <v>27</v>
      </c>
      <c r="N1697" s="193">
        <f t="shared" si="79"/>
        <v>1</v>
      </c>
      <c r="O1697" s="194">
        <f t="shared" si="80"/>
        <v>3.7037037037037035E-2</v>
      </c>
    </row>
    <row r="1698" spans="1:15" ht="12.75" customHeight="1">
      <c r="A1698" s="188" t="s">
        <v>620</v>
      </c>
      <c r="B1698" s="188" t="s">
        <v>1394</v>
      </c>
      <c r="C1698" s="188" t="s">
        <v>641</v>
      </c>
      <c r="D1698" s="188" t="s">
        <v>3053</v>
      </c>
      <c r="E1698" s="189">
        <v>39499</v>
      </c>
      <c r="F1698" s="190">
        <v>0</v>
      </c>
      <c r="G1698" s="190">
        <v>51.2</v>
      </c>
      <c r="H1698" s="191">
        <v>800</v>
      </c>
      <c r="I1698" s="191">
        <v>200</v>
      </c>
      <c r="J1698" s="188" t="s">
        <v>639</v>
      </c>
      <c r="K1698" s="188" t="s">
        <v>338</v>
      </c>
      <c r="L1698" s="188" t="s">
        <v>752</v>
      </c>
      <c r="M1698" s="192">
        <f t="shared" si="78"/>
        <v>27</v>
      </c>
      <c r="N1698" s="193">
        <f t="shared" si="79"/>
        <v>1</v>
      </c>
      <c r="O1698" s="194">
        <f t="shared" si="80"/>
        <v>3.7037037037037035E-2</v>
      </c>
    </row>
    <row r="1699" spans="1:15" ht="12.75" customHeight="1">
      <c r="A1699" s="188" t="s">
        <v>620</v>
      </c>
      <c r="B1699" s="188" t="s">
        <v>1394</v>
      </c>
      <c r="C1699" s="188" t="s">
        <v>641</v>
      </c>
      <c r="D1699" s="188" t="s">
        <v>3054</v>
      </c>
      <c r="E1699" s="189">
        <v>39499</v>
      </c>
      <c r="F1699" s="190">
        <v>0</v>
      </c>
      <c r="G1699" s="190">
        <v>51.2</v>
      </c>
      <c r="H1699" s="191">
        <v>800</v>
      </c>
      <c r="I1699" s="191">
        <v>200</v>
      </c>
      <c r="J1699" s="188" t="s">
        <v>639</v>
      </c>
      <c r="K1699" s="188" t="s">
        <v>338</v>
      </c>
      <c r="L1699" s="188" t="s">
        <v>752</v>
      </c>
      <c r="M1699" s="192">
        <f t="shared" si="78"/>
        <v>27</v>
      </c>
      <c r="N1699" s="193">
        <f t="shared" si="79"/>
        <v>1</v>
      </c>
      <c r="O1699" s="194">
        <f t="shared" si="80"/>
        <v>3.7037037037037035E-2</v>
      </c>
    </row>
    <row r="1700" spans="1:15" ht="12.75" customHeight="1">
      <c r="A1700" s="188" t="s">
        <v>620</v>
      </c>
      <c r="B1700" s="188" t="s">
        <v>1394</v>
      </c>
      <c r="C1700" s="188" t="s">
        <v>641</v>
      </c>
      <c r="D1700" s="188" t="s">
        <v>3055</v>
      </c>
      <c r="E1700" s="189">
        <v>39618</v>
      </c>
      <c r="F1700" s="190">
        <v>0</v>
      </c>
      <c r="G1700" s="190">
        <v>168.96</v>
      </c>
      <c r="H1700" s="191">
        <v>1957.38</v>
      </c>
      <c r="I1700" s="191">
        <v>660</v>
      </c>
      <c r="J1700" s="188" t="s">
        <v>560</v>
      </c>
      <c r="K1700" s="188" t="s">
        <v>338</v>
      </c>
      <c r="L1700" s="188" t="s">
        <v>3056</v>
      </c>
      <c r="M1700" s="192">
        <f t="shared" si="78"/>
        <v>20</v>
      </c>
      <c r="N1700" s="193">
        <f t="shared" si="79"/>
        <v>0.74143181818181825</v>
      </c>
      <c r="O1700" s="194">
        <f t="shared" si="80"/>
        <v>3.7071590909090915E-2</v>
      </c>
    </row>
    <row r="1701" spans="1:15" ht="12.75" customHeight="1">
      <c r="A1701" s="188" t="s">
        <v>620</v>
      </c>
      <c r="B1701" s="188" t="s">
        <v>1394</v>
      </c>
      <c r="C1701" s="188" t="s">
        <v>641</v>
      </c>
      <c r="D1701" s="188" t="s">
        <v>3057</v>
      </c>
      <c r="E1701" s="189">
        <v>39478</v>
      </c>
      <c r="F1701" s="190">
        <v>0</v>
      </c>
      <c r="G1701" s="190">
        <v>64.959999999999994</v>
      </c>
      <c r="H1701" s="191">
        <v>1430</v>
      </c>
      <c r="I1701" s="191">
        <v>253.75</v>
      </c>
      <c r="J1701" s="188" t="s">
        <v>624</v>
      </c>
      <c r="K1701" s="188" t="s">
        <v>338</v>
      </c>
      <c r="L1701" s="188" t="s">
        <v>2073</v>
      </c>
      <c r="M1701" s="192">
        <f t="shared" si="78"/>
        <v>38</v>
      </c>
      <c r="N1701" s="193">
        <f t="shared" si="79"/>
        <v>1.4088669950738917</v>
      </c>
      <c r="O1701" s="194">
        <f t="shared" si="80"/>
        <v>3.707544723878662E-2</v>
      </c>
    </row>
    <row r="1702" spans="1:15" ht="12.75" customHeight="1">
      <c r="A1702" s="188" t="s">
        <v>620</v>
      </c>
      <c r="B1702" s="188" t="s">
        <v>1394</v>
      </c>
      <c r="C1702" s="188" t="s">
        <v>641</v>
      </c>
      <c r="D1702" s="188" t="s">
        <v>3058</v>
      </c>
      <c r="E1702" s="189">
        <v>39247</v>
      </c>
      <c r="F1702" s="190">
        <v>0</v>
      </c>
      <c r="G1702" s="190">
        <v>84.93</v>
      </c>
      <c r="H1702" s="191">
        <v>1132.06</v>
      </c>
      <c r="I1702" s="191">
        <v>331.75</v>
      </c>
      <c r="J1702" s="188" t="s">
        <v>571</v>
      </c>
      <c r="K1702" s="188" t="s">
        <v>338</v>
      </c>
      <c r="L1702" s="188" t="s">
        <v>2051</v>
      </c>
      <c r="M1702" s="192">
        <f t="shared" si="78"/>
        <v>23</v>
      </c>
      <c r="N1702" s="193">
        <f t="shared" si="79"/>
        <v>0.85309721175584019</v>
      </c>
      <c r="O1702" s="194">
        <f t="shared" si="80"/>
        <v>3.7091183119819141E-2</v>
      </c>
    </row>
    <row r="1703" spans="1:15" ht="12.75" customHeight="1">
      <c r="A1703" s="188" t="s">
        <v>620</v>
      </c>
      <c r="B1703" s="188" t="s">
        <v>1394</v>
      </c>
      <c r="C1703" s="188" t="s">
        <v>641</v>
      </c>
      <c r="D1703" s="188" t="s">
        <v>3059</v>
      </c>
      <c r="E1703" s="189">
        <v>39499</v>
      </c>
      <c r="F1703" s="190">
        <v>0</v>
      </c>
      <c r="G1703" s="190">
        <v>106.94</v>
      </c>
      <c r="H1703" s="191">
        <v>1368</v>
      </c>
      <c r="I1703" s="191">
        <v>417.75</v>
      </c>
      <c r="J1703" s="188" t="s">
        <v>710</v>
      </c>
      <c r="K1703" s="188" t="s">
        <v>338</v>
      </c>
      <c r="L1703" s="188" t="s">
        <v>2878</v>
      </c>
      <c r="M1703" s="192">
        <f t="shared" si="78"/>
        <v>22</v>
      </c>
      <c r="N1703" s="193">
        <f t="shared" si="79"/>
        <v>0.81867145421903054</v>
      </c>
      <c r="O1703" s="194">
        <f t="shared" si="80"/>
        <v>3.721233882813775E-2</v>
      </c>
    </row>
    <row r="1704" spans="1:15" ht="12.75" customHeight="1">
      <c r="A1704" s="188" t="s">
        <v>620</v>
      </c>
      <c r="B1704" s="188" t="s">
        <v>1394</v>
      </c>
      <c r="C1704" s="188" t="s">
        <v>641</v>
      </c>
      <c r="D1704" s="188" t="s">
        <v>3060</v>
      </c>
      <c r="E1704" s="189">
        <v>39422</v>
      </c>
      <c r="F1704" s="190">
        <v>0</v>
      </c>
      <c r="G1704" s="190">
        <v>72.319999999999993</v>
      </c>
      <c r="H1704" s="191">
        <v>800</v>
      </c>
      <c r="I1704" s="191">
        <v>282.5</v>
      </c>
      <c r="J1704" s="188" t="s">
        <v>667</v>
      </c>
      <c r="K1704" s="188" t="s">
        <v>338</v>
      </c>
      <c r="L1704" s="188" t="s">
        <v>1749</v>
      </c>
      <c r="M1704" s="192">
        <f t="shared" si="78"/>
        <v>19</v>
      </c>
      <c r="N1704" s="193">
        <f t="shared" si="79"/>
        <v>0.70796460176991149</v>
      </c>
      <c r="O1704" s="194">
        <f t="shared" si="80"/>
        <v>3.7261294829995344E-2</v>
      </c>
    </row>
    <row r="1705" spans="1:15" ht="12.75" customHeight="1">
      <c r="A1705" s="188" t="s">
        <v>620</v>
      </c>
      <c r="B1705" s="188" t="s">
        <v>1394</v>
      </c>
      <c r="C1705" s="188" t="s">
        <v>641</v>
      </c>
      <c r="D1705" s="188" t="s">
        <v>3061</v>
      </c>
      <c r="E1705" s="189">
        <v>39499</v>
      </c>
      <c r="F1705" s="190">
        <v>0</v>
      </c>
      <c r="G1705" s="190">
        <v>64.64</v>
      </c>
      <c r="H1705" s="191">
        <v>1434</v>
      </c>
      <c r="I1705" s="191">
        <v>252.5</v>
      </c>
      <c r="J1705" s="188" t="s">
        <v>624</v>
      </c>
      <c r="K1705" s="188" t="s">
        <v>338</v>
      </c>
      <c r="L1705" s="188" t="s">
        <v>992</v>
      </c>
      <c r="M1705" s="192">
        <f t="shared" si="78"/>
        <v>38</v>
      </c>
      <c r="N1705" s="193">
        <f t="shared" si="79"/>
        <v>1.4198019801980197</v>
      </c>
      <c r="O1705" s="194">
        <f t="shared" si="80"/>
        <v>3.7363210005211048E-2</v>
      </c>
    </row>
    <row r="1706" spans="1:15" ht="12.75" customHeight="1">
      <c r="A1706" s="188" t="s">
        <v>620</v>
      </c>
      <c r="B1706" s="188" t="s">
        <v>1394</v>
      </c>
      <c r="C1706" s="188" t="s">
        <v>641</v>
      </c>
      <c r="D1706" s="188" t="s">
        <v>3062</v>
      </c>
      <c r="E1706" s="189">
        <v>39611</v>
      </c>
      <c r="F1706" s="190">
        <v>0</v>
      </c>
      <c r="G1706" s="190">
        <v>112</v>
      </c>
      <c r="H1706" s="191">
        <v>1377.62</v>
      </c>
      <c r="I1706" s="191">
        <v>437.5</v>
      </c>
      <c r="J1706" s="188" t="s">
        <v>879</v>
      </c>
      <c r="K1706" s="188" t="s">
        <v>338</v>
      </c>
      <c r="L1706" s="188" t="s">
        <v>727</v>
      </c>
      <c r="M1706" s="192">
        <f t="shared" si="78"/>
        <v>21</v>
      </c>
      <c r="N1706" s="193">
        <f t="shared" si="79"/>
        <v>0.78721142857142856</v>
      </c>
      <c r="O1706" s="194">
        <f t="shared" si="80"/>
        <v>3.7486258503401357E-2</v>
      </c>
    </row>
    <row r="1707" spans="1:15" ht="12.75" customHeight="1">
      <c r="A1707" s="188" t="s">
        <v>620</v>
      </c>
      <c r="B1707" s="188" t="s">
        <v>1394</v>
      </c>
      <c r="C1707" s="188" t="s">
        <v>641</v>
      </c>
      <c r="D1707" s="188" t="s">
        <v>3063</v>
      </c>
      <c r="E1707" s="189">
        <v>39611</v>
      </c>
      <c r="F1707" s="190">
        <v>0</v>
      </c>
      <c r="G1707" s="190">
        <v>51.2</v>
      </c>
      <c r="H1707" s="191">
        <v>900</v>
      </c>
      <c r="I1707" s="191">
        <v>200</v>
      </c>
      <c r="J1707" s="188" t="s">
        <v>635</v>
      </c>
      <c r="K1707" s="188" t="s">
        <v>338</v>
      </c>
      <c r="L1707" s="188" t="s">
        <v>752</v>
      </c>
      <c r="M1707" s="192">
        <f t="shared" si="78"/>
        <v>30</v>
      </c>
      <c r="N1707" s="193">
        <f t="shared" si="79"/>
        <v>1.125</v>
      </c>
      <c r="O1707" s="194">
        <f t="shared" si="80"/>
        <v>3.7499999999999999E-2</v>
      </c>
    </row>
    <row r="1708" spans="1:15" ht="12.75" customHeight="1">
      <c r="A1708" s="188" t="s">
        <v>620</v>
      </c>
      <c r="B1708" s="188" t="s">
        <v>1394</v>
      </c>
      <c r="C1708" s="188" t="s">
        <v>641</v>
      </c>
      <c r="D1708" s="188" t="s">
        <v>3064</v>
      </c>
      <c r="E1708" s="189">
        <v>39583</v>
      </c>
      <c r="F1708" s="190">
        <v>0</v>
      </c>
      <c r="G1708" s="190">
        <v>44.03</v>
      </c>
      <c r="H1708" s="191">
        <v>981</v>
      </c>
      <c r="I1708" s="191">
        <v>172</v>
      </c>
      <c r="J1708" s="188" t="s">
        <v>624</v>
      </c>
      <c r="K1708" s="188" t="s">
        <v>338</v>
      </c>
      <c r="L1708" s="188" t="s">
        <v>3065</v>
      </c>
      <c r="M1708" s="192">
        <f t="shared" si="78"/>
        <v>38</v>
      </c>
      <c r="N1708" s="193">
        <f t="shared" si="79"/>
        <v>1.4258720930232558</v>
      </c>
      <c r="O1708" s="194">
        <f t="shared" si="80"/>
        <v>3.7522949816401467E-2</v>
      </c>
    </row>
    <row r="1709" spans="1:15" ht="12.75" customHeight="1">
      <c r="A1709" s="188" t="s">
        <v>620</v>
      </c>
      <c r="B1709" s="188" t="s">
        <v>1394</v>
      </c>
      <c r="C1709" s="188" t="s">
        <v>641</v>
      </c>
      <c r="D1709" s="188" t="s">
        <v>3066</v>
      </c>
      <c r="E1709" s="189">
        <v>39317</v>
      </c>
      <c r="F1709" s="190">
        <v>0</v>
      </c>
      <c r="G1709" s="190">
        <v>71.040000000000006</v>
      </c>
      <c r="H1709" s="191">
        <v>1041.96</v>
      </c>
      <c r="I1709" s="191">
        <v>277.5</v>
      </c>
      <c r="J1709" s="188" t="s">
        <v>652</v>
      </c>
      <c r="K1709" s="188" t="s">
        <v>338</v>
      </c>
      <c r="L1709" s="188" t="s">
        <v>923</v>
      </c>
      <c r="M1709" s="192">
        <f t="shared" si="78"/>
        <v>25</v>
      </c>
      <c r="N1709" s="193">
        <f t="shared" si="79"/>
        <v>0.93870270270270273</v>
      </c>
      <c r="O1709" s="194">
        <f t="shared" si="80"/>
        <v>3.7548108108108109E-2</v>
      </c>
    </row>
    <row r="1710" spans="1:15" ht="12.75" customHeight="1">
      <c r="A1710" s="188" t="s">
        <v>620</v>
      </c>
      <c r="B1710" s="188" t="s">
        <v>1394</v>
      </c>
      <c r="C1710" s="188" t="s">
        <v>641</v>
      </c>
      <c r="D1710" s="188" t="s">
        <v>3067</v>
      </c>
      <c r="E1710" s="189">
        <v>39611</v>
      </c>
      <c r="F1710" s="190">
        <v>0</v>
      </c>
      <c r="G1710" s="190">
        <v>90.94</v>
      </c>
      <c r="H1710" s="191">
        <v>1388</v>
      </c>
      <c r="I1710" s="191">
        <v>355.25</v>
      </c>
      <c r="J1710" s="188" t="s">
        <v>361</v>
      </c>
      <c r="K1710" s="188" t="s">
        <v>338</v>
      </c>
      <c r="L1710" s="188" t="s">
        <v>3068</v>
      </c>
      <c r="M1710" s="192">
        <f t="shared" si="78"/>
        <v>26</v>
      </c>
      <c r="N1710" s="193">
        <f t="shared" si="79"/>
        <v>0.97677691766361718</v>
      </c>
      <c r="O1710" s="194">
        <f t="shared" si="80"/>
        <v>3.75683429870622E-2</v>
      </c>
    </row>
    <row r="1711" spans="1:15" ht="12.75" customHeight="1">
      <c r="A1711" s="188" t="s">
        <v>620</v>
      </c>
      <c r="B1711" s="188" t="s">
        <v>1394</v>
      </c>
      <c r="C1711" s="188" t="s">
        <v>641</v>
      </c>
      <c r="D1711" s="188" t="s">
        <v>3069</v>
      </c>
      <c r="E1711" s="189">
        <v>39352</v>
      </c>
      <c r="F1711" s="190">
        <v>0</v>
      </c>
      <c r="G1711" s="190">
        <v>37.119999999999997</v>
      </c>
      <c r="H1711" s="191">
        <v>655</v>
      </c>
      <c r="I1711" s="191">
        <v>145</v>
      </c>
      <c r="J1711" s="188" t="s">
        <v>635</v>
      </c>
      <c r="K1711" s="188" t="s">
        <v>338</v>
      </c>
      <c r="L1711" s="188" t="s">
        <v>517</v>
      </c>
      <c r="M1711" s="192">
        <f t="shared" si="78"/>
        <v>30</v>
      </c>
      <c r="N1711" s="193">
        <f t="shared" si="79"/>
        <v>1.1293103448275863</v>
      </c>
      <c r="O1711" s="194">
        <f t="shared" si="80"/>
        <v>3.7643678160919541E-2</v>
      </c>
    </row>
    <row r="1712" spans="1:15" ht="12.75" customHeight="1">
      <c r="A1712" s="188" t="s">
        <v>620</v>
      </c>
      <c r="B1712" s="188" t="s">
        <v>1394</v>
      </c>
      <c r="C1712" s="188" t="s">
        <v>641</v>
      </c>
      <c r="D1712" s="188" t="s">
        <v>3070</v>
      </c>
      <c r="E1712" s="189">
        <v>39513</v>
      </c>
      <c r="F1712" s="190">
        <v>0</v>
      </c>
      <c r="G1712" s="190">
        <v>76.8</v>
      </c>
      <c r="H1712" s="191">
        <v>904</v>
      </c>
      <c r="I1712" s="191">
        <v>300</v>
      </c>
      <c r="J1712" s="188" t="s">
        <v>560</v>
      </c>
      <c r="K1712" s="188" t="s">
        <v>338</v>
      </c>
      <c r="L1712" s="188" t="s">
        <v>632</v>
      </c>
      <c r="M1712" s="192">
        <f t="shared" si="78"/>
        <v>20</v>
      </c>
      <c r="N1712" s="193">
        <f t="shared" si="79"/>
        <v>0.7533333333333333</v>
      </c>
      <c r="O1712" s="194">
        <f t="shared" si="80"/>
        <v>3.7666666666666668E-2</v>
      </c>
    </row>
    <row r="1713" spans="1:15" ht="12.75" customHeight="1">
      <c r="A1713" s="188" t="s">
        <v>620</v>
      </c>
      <c r="B1713" s="188" t="s">
        <v>1394</v>
      </c>
      <c r="C1713" s="188" t="s">
        <v>641</v>
      </c>
      <c r="D1713" s="188" t="s">
        <v>3071</v>
      </c>
      <c r="E1713" s="189">
        <v>39583</v>
      </c>
      <c r="F1713" s="190">
        <v>0</v>
      </c>
      <c r="G1713" s="190">
        <v>89.92</v>
      </c>
      <c r="H1713" s="191">
        <v>1326.15</v>
      </c>
      <c r="I1713" s="191">
        <v>351.25</v>
      </c>
      <c r="J1713" s="188" t="s">
        <v>652</v>
      </c>
      <c r="K1713" s="188" t="s">
        <v>338</v>
      </c>
      <c r="L1713" s="188" t="s">
        <v>2146</v>
      </c>
      <c r="M1713" s="192">
        <f t="shared" si="78"/>
        <v>25</v>
      </c>
      <c r="N1713" s="193">
        <f t="shared" si="79"/>
        <v>0.9438790035587189</v>
      </c>
      <c r="O1713" s="194">
        <f t="shared" si="80"/>
        <v>3.7755160142348754E-2</v>
      </c>
    </row>
    <row r="1714" spans="1:15" ht="12.75" customHeight="1">
      <c r="A1714" s="188" t="s">
        <v>620</v>
      </c>
      <c r="B1714" s="188" t="s">
        <v>1394</v>
      </c>
      <c r="C1714" s="188" t="s">
        <v>641</v>
      </c>
      <c r="D1714" s="188" t="s">
        <v>3072</v>
      </c>
      <c r="E1714" s="189">
        <v>39632</v>
      </c>
      <c r="F1714" s="190">
        <v>0</v>
      </c>
      <c r="G1714" s="190">
        <v>54.4</v>
      </c>
      <c r="H1714" s="191">
        <v>643</v>
      </c>
      <c r="I1714" s="191">
        <v>212.5</v>
      </c>
      <c r="J1714" s="188" t="s">
        <v>560</v>
      </c>
      <c r="K1714" s="188" t="s">
        <v>338</v>
      </c>
      <c r="L1714" s="188" t="s">
        <v>1170</v>
      </c>
      <c r="M1714" s="192">
        <f t="shared" si="78"/>
        <v>20</v>
      </c>
      <c r="N1714" s="193">
        <f t="shared" si="79"/>
        <v>0.75647058823529412</v>
      </c>
      <c r="O1714" s="194">
        <f t="shared" si="80"/>
        <v>3.7823529411764707E-2</v>
      </c>
    </row>
    <row r="1715" spans="1:15" ht="12.75" customHeight="1">
      <c r="A1715" s="188" t="s">
        <v>620</v>
      </c>
      <c r="B1715" s="188" t="s">
        <v>1394</v>
      </c>
      <c r="C1715" s="188" t="s">
        <v>641</v>
      </c>
      <c r="D1715" s="188" t="s">
        <v>3073</v>
      </c>
      <c r="E1715" s="189">
        <v>39436</v>
      </c>
      <c r="F1715" s="190">
        <v>0</v>
      </c>
      <c r="G1715" s="190">
        <v>75.33</v>
      </c>
      <c r="H1715" s="191">
        <v>1205.71</v>
      </c>
      <c r="I1715" s="191">
        <v>294.25</v>
      </c>
      <c r="J1715" s="188" t="s">
        <v>639</v>
      </c>
      <c r="K1715" s="188" t="s">
        <v>338</v>
      </c>
      <c r="L1715" s="188" t="s">
        <v>3074</v>
      </c>
      <c r="M1715" s="192">
        <f t="shared" si="78"/>
        <v>27</v>
      </c>
      <c r="N1715" s="193">
        <f t="shared" si="79"/>
        <v>1.0243925233644859</v>
      </c>
      <c r="O1715" s="194">
        <f t="shared" si="80"/>
        <v>3.7940463828314293E-2</v>
      </c>
    </row>
    <row r="1716" spans="1:15" ht="12.75" customHeight="1">
      <c r="A1716" s="188" t="s">
        <v>620</v>
      </c>
      <c r="B1716" s="188" t="s">
        <v>1394</v>
      </c>
      <c r="C1716" s="188" t="s">
        <v>641</v>
      </c>
      <c r="D1716" s="188" t="s">
        <v>3075</v>
      </c>
      <c r="E1716" s="189">
        <v>39310</v>
      </c>
      <c r="F1716" s="190">
        <v>0</v>
      </c>
      <c r="G1716" s="190">
        <v>56.45</v>
      </c>
      <c r="H1716" s="191">
        <v>905.99</v>
      </c>
      <c r="I1716" s="191">
        <v>220.5</v>
      </c>
      <c r="J1716" s="188" t="s">
        <v>639</v>
      </c>
      <c r="K1716" s="188" t="s">
        <v>338</v>
      </c>
      <c r="L1716" s="188" t="s">
        <v>3076</v>
      </c>
      <c r="M1716" s="192">
        <f t="shared" si="78"/>
        <v>27</v>
      </c>
      <c r="N1716" s="193">
        <f t="shared" si="79"/>
        <v>1.0271995464852608</v>
      </c>
      <c r="O1716" s="194">
        <f t="shared" si="80"/>
        <v>3.8044427647602248E-2</v>
      </c>
    </row>
    <row r="1717" spans="1:15" ht="12.75" customHeight="1">
      <c r="A1717" s="188" t="s">
        <v>620</v>
      </c>
      <c r="B1717" s="188" t="s">
        <v>1394</v>
      </c>
      <c r="C1717" s="188" t="s">
        <v>641</v>
      </c>
      <c r="D1717" s="188" t="s">
        <v>3077</v>
      </c>
      <c r="E1717" s="189">
        <v>39507</v>
      </c>
      <c r="F1717" s="190">
        <v>0</v>
      </c>
      <c r="G1717" s="190">
        <v>86.53</v>
      </c>
      <c r="H1717" s="191">
        <v>1288</v>
      </c>
      <c r="I1717" s="191">
        <v>338</v>
      </c>
      <c r="J1717" s="188" t="s">
        <v>652</v>
      </c>
      <c r="K1717" s="188" t="s">
        <v>338</v>
      </c>
      <c r="L1717" s="188" t="s">
        <v>927</v>
      </c>
      <c r="M1717" s="192">
        <f t="shared" si="78"/>
        <v>25</v>
      </c>
      <c r="N1717" s="193">
        <f t="shared" si="79"/>
        <v>0.9526627218934911</v>
      </c>
      <c r="O1717" s="194">
        <f t="shared" si="80"/>
        <v>3.8106508875739645E-2</v>
      </c>
    </row>
    <row r="1718" spans="1:15" ht="12.75" customHeight="1">
      <c r="A1718" s="188" t="s">
        <v>620</v>
      </c>
      <c r="B1718" s="188" t="s">
        <v>1394</v>
      </c>
      <c r="C1718" s="188" t="s">
        <v>641</v>
      </c>
      <c r="D1718" s="188" t="s">
        <v>3078</v>
      </c>
      <c r="E1718" s="189">
        <v>39310</v>
      </c>
      <c r="F1718" s="190">
        <v>0</v>
      </c>
      <c r="G1718" s="190">
        <v>55.17</v>
      </c>
      <c r="H1718" s="191">
        <v>755.97</v>
      </c>
      <c r="I1718" s="191">
        <v>215.5</v>
      </c>
      <c r="J1718" s="188" t="s">
        <v>571</v>
      </c>
      <c r="K1718" s="188" t="s">
        <v>338</v>
      </c>
      <c r="L1718" s="188" t="s">
        <v>3079</v>
      </c>
      <c r="M1718" s="192">
        <f t="shared" si="78"/>
        <v>23</v>
      </c>
      <c r="N1718" s="193">
        <f t="shared" si="79"/>
        <v>0.87699535962877029</v>
      </c>
      <c r="O1718" s="194">
        <f t="shared" si="80"/>
        <v>3.813023302733784E-2</v>
      </c>
    </row>
    <row r="1719" spans="1:15" ht="12.75" customHeight="1">
      <c r="A1719" s="188" t="s">
        <v>620</v>
      </c>
      <c r="B1719" s="188" t="s">
        <v>1394</v>
      </c>
      <c r="C1719" s="188" t="s">
        <v>641</v>
      </c>
      <c r="D1719" s="188" t="s">
        <v>3080</v>
      </c>
      <c r="E1719" s="189">
        <v>39395</v>
      </c>
      <c r="F1719" s="190">
        <v>0</v>
      </c>
      <c r="G1719" s="190">
        <v>50.43</v>
      </c>
      <c r="H1719" s="191">
        <v>601.01</v>
      </c>
      <c r="I1719" s="191">
        <v>197</v>
      </c>
      <c r="J1719" s="188" t="s">
        <v>560</v>
      </c>
      <c r="K1719" s="188" t="s">
        <v>338</v>
      </c>
      <c r="L1719" s="188" t="s">
        <v>3081</v>
      </c>
      <c r="M1719" s="192">
        <f t="shared" si="78"/>
        <v>20</v>
      </c>
      <c r="N1719" s="193">
        <f t="shared" si="79"/>
        <v>0.76270304568527914</v>
      </c>
      <c r="O1719" s="194">
        <f t="shared" si="80"/>
        <v>3.8135152284263958E-2</v>
      </c>
    </row>
    <row r="1720" spans="1:15" ht="12.75" customHeight="1">
      <c r="A1720" s="188" t="s">
        <v>620</v>
      </c>
      <c r="B1720" s="188" t="s">
        <v>1394</v>
      </c>
      <c r="C1720" s="188" t="s">
        <v>641</v>
      </c>
      <c r="D1720" s="188" t="s">
        <v>3082</v>
      </c>
      <c r="E1720" s="189">
        <v>39499</v>
      </c>
      <c r="F1720" s="190">
        <v>0</v>
      </c>
      <c r="G1720" s="190">
        <v>51.2</v>
      </c>
      <c r="H1720" s="191">
        <v>580</v>
      </c>
      <c r="I1720" s="191">
        <v>200</v>
      </c>
      <c r="J1720" s="188" t="s">
        <v>667</v>
      </c>
      <c r="K1720" s="188" t="s">
        <v>338</v>
      </c>
      <c r="L1720" s="188" t="s">
        <v>752</v>
      </c>
      <c r="M1720" s="192">
        <f t="shared" si="78"/>
        <v>19</v>
      </c>
      <c r="N1720" s="193">
        <f t="shared" si="79"/>
        <v>0.72499999999999998</v>
      </c>
      <c r="O1720" s="194">
        <f t="shared" si="80"/>
        <v>3.8157894736842106E-2</v>
      </c>
    </row>
    <row r="1721" spans="1:15" ht="12.75" customHeight="1">
      <c r="A1721" s="188" t="s">
        <v>620</v>
      </c>
      <c r="B1721" s="188" t="s">
        <v>1394</v>
      </c>
      <c r="C1721" s="188" t="s">
        <v>641</v>
      </c>
      <c r="D1721" s="188" t="s">
        <v>3083</v>
      </c>
      <c r="E1721" s="189">
        <v>39275</v>
      </c>
      <c r="F1721" s="190">
        <v>0</v>
      </c>
      <c r="G1721" s="190">
        <v>89.6</v>
      </c>
      <c r="H1721" s="191">
        <v>1122.94</v>
      </c>
      <c r="I1721" s="191">
        <v>350</v>
      </c>
      <c r="J1721" s="188" t="s">
        <v>879</v>
      </c>
      <c r="K1721" s="188" t="s">
        <v>338</v>
      </c>
      <c r="L1721" s="188" t="s">
        <v>754</v>
      </c>
      <c r="M1721" s="192">
        <f t="shared" si="78"/>
        <v>21</v>
      </c>
      <c r="N1721" s="193">
        <f t="shared" si="79"/>
        <v>0.80210000000000004</v>
      </c>
      <c r="O1721" s="194">
        <f t="shared" si="80"/>
        <v>3.8195238095238095E-2</v>
      </c>
    </row>
    <row r="1722" spans="1:15" ht="12.75" customHeight="1">
      <c r="A1722" s="188" t="s">
        <v>620</v>
      </c>
      <c r="B1722" s="188" t="s">
        <v>1394</v>
      </c>
      <c r="C1722" s="188" t="s">
        <v>641</v>
      </c>
      <c r="D1722" s="188" t="s">
        <v>3084</v>
      </c>
      <c r="E1722" s="189">
        <v>39373</v>
      </c>
      <c r="F1722" s="190">
        <v>0</v>
      </c>
      <c r="G1722" s="190">
        <v>39.17</v>
      </c>
      <c r="H1722" s="191">
        <v>890</v>
      </c>
      <c r="I1722" s="191">
        <v>153</v>
      </c>
      <c r="J1722" s="188" t="s">
        <v>624</v>
      </c>
      <c r="K1722" s="188" t="s">
        <v>338</v>
      </c>
      <c r="L1722" s="188" t="s">
        <v>3085</v>
      </c>
      <c r="M1722" s="192">
        <f t="shared" si="78"/>
        <v>38</v>
      </c>
      <c r="N1722" s="193">
        <f t="shared" si="79"/>
        <v>1.4542483660130718</v>
      </c>
      <c r="O1722" s="194">
        <f t="shared" si="80"/>
        <v>3.8269693842449257E-2</v>
      </c>
    </row>
    <row r="1723" spans="1:15" ht="12.75" customHeight="1">
      <c r="A1723" s="188" t="s">
        <v>620</v>
      </c>
      <c r="B1723" s="188" t="s">
        <v>1394</v>
      </c>
      <c r="C1723" s="188" t="s">
        <v>641</v>
      </c>
      <c r="D1723" s="188" t="s">
        <v>3086</v>
      </c>
      <c r="E1723" s="189">
        <v>39583</v>
      </c>
      <c r="F1723" s="190">
        <v>0</v>
      </c>
      <c r="G1723" s="190">
        <v>85.89</v>
      </c>
      <c r="H1723" s="191">
        <v>1182</v>
      </c>
      <c r="I1723" s="191">
        <v>335.5</v>
      </c>
      <c r="J1723" s="188" t="s">
        <v>571</v>
      </c>
      <c r="K1723" s="188" t="s">
        <v>338</v>
      </c>
      <c r="L1723" s="188" t="s">
        <v>914</v>
      </c>
      <c r="M1723" s="192">
        <f t="shared" si="78"/>
        <v>23</v>
      </c>
      <c r="N1723" s="193">
        <f t="shared" si="79"/>
        <v>0.88077496274217582</v>
      </c>
      <c r="O1723" s="194">
        <f t="shared" si="80"/>
        <v>3.8294563597485905E-2</v>
      </c>
    </row>
    <row r="1724" spans="1:15" ht="12.75" customHeight="1">
      <c r="A1724" s="188" t="s">
        <v>620</v>
      </c>
      <c r="B1724" s="188" t="s">
        <v>1394</v>
      </c>
      <c r="C1724" s="188" t="s">
        <v>641</v>
      </c>
      <c r="D1724" s="188" t="s">
        <v>3087</v>
      </c>
      <c r="E1724" s="189">
        <v>39339</v>
      </c>
      <c r="F1724" s="190">
        <v>0</v>
      </c>
      <c r="G1724" s="190">
        <v>22.4</v>
      </c>
      <c r="H1724" s="191">
        <v>510</v>
      </c>
      <c r="I1724" s="191">
        <v>87.5</v>
      </c>
      <c r="J1724" s="188" t="s">
        <v>624</v>
      </c>
      <c r="K1724" s="188" t="s">
        <v>338</v>
      </c>
      <c r="L1724" s="188" t="s">
        <v>1137</v>
      </c>
      <c r="M1724" s="192">
        <f t="shared" si="78"/>
        <v>38</v>
      </c>
      <c r="N1724" s="193">
        <f t="shared" si="79"/>
        <v>1.4571428571428571</v>
      </c>
      <c r="O1724" s="194">
        <f t="shared" si="80"/>
        <v>3.8345864661654135E-2</v>
      </c>
    </row>
    <row r="1725" spans="1:15" ht="12.75" customHeight="1">
      <c r="A1725" s="188" t="s">
        <v>620</v>
      </c>
      <c r="B1725" s="188" t="s">
        <v>1394</v>
      </c>
      <c r="C1725" s="188" t="s">
        <v>641</v>
      </c>
      <c r="D1725" s="188" t="s">
        <v>3088</v>
      </c>
      <c r="E1725" s="189">
        <v>39447</v>
      </c>
      <c r="F1725" s="190">
        <v>0</v>
      </c>
      <c r="G1725" s="190">
        <v>60.8</v>
      </c>
      <c r="H1725" s="191">
        <v>1095</v>
      </c>
      <c r="I1725" s="191">
        <v>237.5</v>
      </c>
      <c r="J1725" s="188" t="s">
        <v>635</v>
      </c>
      <c r="K1725" s="188" t="s">
        <v>338</v>
      </c>
      <c r="L1725" s="188" t="s">
        <v>1164</v>
      </c>
      <c r="M1725" s="192">
        <f t="shared" si="78"/>
        <v>30</v>
      </c>
      <c r="N1725" s="193">
        <f t="shared" si="79"/>
        <v>1.1526315789473685</v>
      </c>
      <c r="O1725" s="194">
        <f t="shared" si="80"/>
        <v>3.8421052631578946E-2</v>
      </c>
    </row>
    <row r="1726" spans="1:15" ht="12.75" customHeight="1">
      <c r="A1726" s="188" t="s">
        <v>620</v>
      </c>
      <c r="B1726" s="188" t="s">
        <v>1394</v>
      </c>
      <c r="C1726" s="188" t="s">
        <v>641</v>
      </c>
      <c r="D1726" s="188" t="s">
        <v>3089</v>
      </c>
      <c r="E1726" s="189">
        <v>39548</v>
      </c>
      <c r="F1726" s="190">
        <v>0</v>
      </c>
      <c r="G1726" s="190">
        <v>61.44</v>
      </c>
      <c r="H1726" s="191">
        <v>1296</v>
      </c>
      <c r="I1726" s="191">
        <v>240</v>
      </c>
      <c r="J1726" s="188" t="s">
        <v>829</v>
      </c>
      <c r="K1726" s="188" t="s">
        <v>338</v>
      </c>
      <c r="L1726" s="188" t="s">
        <v>1146</v>
      </c>
      <c r="M1726" s="192">
        <f t="shared" si="78"/>
        <v>35</v>
      </c>
      <c r="N1726" s="193">
        <f t="shared" si="79"/>
        <v>1.35</v>
      </c>
      <c r="O1726" s="194">
        <f t="shared" si="80"/>
        <v>3.8571428571428576E-2</v>
      </c>
    </row>
    <row r="1727" spans="1:15" ht="12.75" customHeight="1">
      <c r="A1727" s="188" t="s">
        <v>620</v>
      </c>
      <c r="B1727" s="188" t="s">
        <v>1394</v>
      </c>
      <c r="C1727" s="188" t="s">
        <v>641</v>
      </c>
      <c r="D1727" s="188" t="s">
        <v>3090</v>
      </c>
      <c r="E1727" s="189">
        <v>39447</v>
      </c>
      <c r="F1727" s="190">
        <v>0</v>
      </c>
      <c r="G1727" s="190">
        <v>59.9</v>
      </c>
      <c r="H1727" s="191">
        <v>976</v>
      </c>
      <c r="I1727" s="191">
        <v>234</v>
      </c>
      <c r="J1727" s="188" t="s">
        <v>639</v>
      </c>
      <c r="K1727" s="188" t="s">
        <v>338</v>
      </c>
      <c r="L1727" s="188" t="s">
        <v>1618</v>
      </c>
      <c r="M1727" s="192">
        <f t="shared" si="78"/>
        <v>27</v>
      </c>
      <c r="N1727" s="193">
        <f t="shared" si="79"/>
        <v>1.0427350427350428</v>
      </c>
      <c r="O1727" s="194">
        <f t="shared" si="80"/>
        <v>3.8619816397594181E-2</v>
      </c>
    </row>
    <row r="1728" spans="1:15" ht="12.75" customHeight="1">
      <c r="A1728" s="188" t="s">
        <v>620</v>
      </c>
      <c r="B1728" s="188" t="s">
        <v>1394</v>
      </c>
      <c r="C1728" s="188" t="s">
        <v>641</v>
      </c>
      <c r="D1728" s="188" t="s">
        <v>3091</v>
      </c>
      <c r="E1728" s="189">
        <v>39513</v>
      </c>
      <c r="F1728" s="190">
        <v>0</v>
      </c>
      <c r="G1728" s="190">
        <v>71.81</v>
      </c>
      <c r="H1728" s="191">
        <v>867</v>
      </c>
      <c r="I1728" s="191">
        <v>280.5</v>
      </c>
      <c r="J1728" s="188" t="s">
        <v>560</v>
      </c>
      <c r="K1728" s="188" t="s">
        <v>338</v>
      </c>
      <c r="L1728" s="188" t="s">
        <v>3092</v>
      </c>
      <c r="M1728" s="192">
        <f t="shared" si="78"/>
        <v>20</v>
      </c>
      <c r="N1728" s="193">
        <f t="shared" si="79"/>
        <v>0.77272727272727271</v>
      </c>
      <c r="O1728" s="194">
        <f t="shared" si="80"/>
        <v>3.8636363636363635E-2</v>
      </c>
    </row>
    <row r="1729" spans="1:15" ht="12.75" customHeight="1">
      <c r="A1729" s="188" t="s">
        <v>620</v>
      </c>
      <c r="B1729" s="188" t="s">
        <v>1394</v>
      </c>
      <c r="C1729" s="188" t="s">
        <v>641</v>
      </c>
      <c r="D1729" s="188" t="s">
        <v>3093</v>
      </c>
      <c r="E1729" s="189">
        <v>39261</v>
      </c>
      <c r="F1729" s="190">
        <v>0</v>
      </c>
      <c r="G1729" s="190">
        <v>80.64</v>
      </c>
      <c r="H1729" s="191">
        <v>1120.01</v>
      </c>
      <c r="I1729" s="191">
        <v>315</v>
      </c>
      <c r="J1729" s="188" t="s">
        <v>571</v>
      </c>
      <c r="K1729" s="188" t="s">
        <v>338</v>
      </c>
      <c r="L1729" s="188" t="s">
        <v>680</v>
      </c>
      <c r="M1729" s="192">
        <f t="shared" si="78"/>
        <v>23</v>
      </c>
      <c r="N1729" s="193">
        <f t="shared" si="79"/>
        <v>0.88889682539682535</v>
      </c>
      <c r="O1729" s="194">
        <f t="shared" si="80"/>
        <v>3.8647688060731537E-2</v>
      </c>
    </row>
    <row r="1730" spans="1:15" ht="12.75" customHeight="1">
      <c r="A1730" s="188" t="s">
        <v>620</v>
      </c>
      <c r="B1730" s="188" t="s">
        <v>1394</v>
      </c>
      <c r="C1730" s="188" t="s">
        <v>641</v>
      </c>
      <c r="D1730" s="188" t="s">
        <v>3094</v>
      </c>
      <c r="E1730" s="189">
        <v>39212</v>
      </c>
      <c r="F1730" s="190">
        <v>0</v>
      </c>
      <c r="G1730" s="190">
        <v>59.9</v>
      </c>
      <c r="H1730" s="191">
        <v>833.04</v>
      </c>
      <c r="I1730" s="191">
        <v>234</v>
      </c>
      <c r="J1730" s="188" t="s">
        <v>571</v>
      </c>
      <c r="K1730" s="188" t="s">
        <v>338</v>
      </c>
      <c r="L1730" s="188" t="s">
        <v>1618</v>
      </c>
      <c r="M1730" s="192">
        <f t="shared" ref="M1730:M1793" si="81">K1730-J1730</f>
        <v>23</v>
      </c>
      <c r="N1730" s="193">
        <f t="shared" ref="N1730:N1793" si="82">H1730/L1730</f>
        <v>0.89</v>
      </c>
      <c r="O1730" s="194">
        <f t="shared" ref="O1730:O1793" si="83">N1730/M1730</f>
        <v>3.8695652173913041E-2</v>
      </c>
    </row>
    <row r="1731" spans="1:15" ht="12.75" customHeight="1">
      <c r="A1731" s="188" t="s">
        <v>620</v>
      </c>
      <c r="B1731" s="188" t="s">
        <v>1394</v>
      </c>
      <c r="C1731" s="188" t="s">
        <v>641</v>
      </c>
      <c r="D1731" s="188" t="s">
        <v>3095</v>
      </c>
      <c r="E1731" s="189">
        <v>39447</v>
      </c>
      <c r="F1731" s="190">
        <v>0</v>
      </c>
      <c r="G1731" s="190">
        <v>15.23</v>
      </c>
      <c r="H1731" s="191">
        <v>350</v>
      </c>
      <c r="I1731" s="191">
        <v>59.5</v>
      </c>
      <c r="J1731" s="188" t="s">
        <v>624</v>
      </c>
      <c r="K1731" s="188" t="s">
        <v>338</v>
      </c>
      <c r="L1731" s="188" t="s">
        <v>3096</v>
      </c>
      <c r="M1731" s="192">
        <f t="shared" si="81"/>
        <v>38</v>
      </c>
      <c r="N1731" s="193">
        <f t="shared" si="82"/>
        <v>1.4705882352941178</v>
      </c>
      <c r="O1731" s="194">
        <f t="shared" si="83"/>
        <v>3.8699690402476783E-2</v>
      </c>
    </row>
    <row r="1732" spans="1:15" ht="12.75" customHeight="1">
      <c r="A1732" s="188" t="s">
        <v>620</v>
      </c>
      <c r="B1732" s="188" t="s">
        <v>1394</v>
      </c>
      <c r="C1732" s="188" t="s">
        <v>641</v>
      </c>
      <c r="D1732" s="188" t="s">
        <v>3097</v>
      </c>
      <c r="E1732" s="189">
        <v>39520</v>
      </c>
      <c r="F1732" s="190">
        <v>0</v>
      </c>
      <c r="G1732" s="190">
        <v>93.76</v>
      </c>
      <c r="H1732" s="191">
        <v>1134</v>
      </c>
      <c r="I1732" s="191">
        <v>366.25</v>
      </c>
      <c r="J1732" s="188" t="s">
        <v>560</v>
      </c>
      <c r="K1732" s="188" t="s">
        <v>338</v>
      </c>
      <c r="L1732" s="188" t="s">
        <v>3098</v>
      </c>
      <c r="M1732" s="192">
        <f t="shared" si="81"/>
        <v>20</v>
      </c>
      <c r="N1732" s="193">
        <f t="shared" si="82"/>
        <v>0.77406143344709899</v>
      </c>
      <c r="O1732" s="194">
        <f t="shared" si="83"/>
        <v>3.8703071672354948E-2</v>
      </c>
    </row>
    <row r="1733" spans="1:15" ht="12.75" customHeight="1">
      <c r="A1733" s="188" t="s">
        <v>620</v>
      </c>
      <c r="B1733" s="188" t="s">
        <v>1394</v>
      </c>
      <c r="C1733" s="188" t="s">
        <v>641</v>
      </c>
      <c r="D1733" s="188" t="s">
        <v>3099</v>
      </c>
      <c r="E1733" s="189">
        <v>39590</v>
      </c>
      <c r="F1733" s="190">
        <v>0</v>
      </c>
      <c r="G1733" s="190">
        <v>102.4</v>
      </c>
      <c r="H1733" s="191">
        <v>1672.45</v>
      </c>
      <c r="I1733" s="191">
        <v>400</v>
      </c>
      <c r="J1733" s="188" t="s">
        <v>639</v>
      </c>
      <c r="K1733" s="188" t="s">
        <v>338</v>
      </c>
      <c r="L1733" s="188" t="s">
        <v>625</v>
      </c>
      <c r="M1733" s="192">
        <f t="shared" si="81"/>
        <v>27</v>
      </c>
      <c r="N1733" s="193">
        <f t="shared" si="82"/>
        <v>1.0452812499999999</v>
      </c>
      <c r="O1733" s="194">
        <f t="shared" si="83"/>
        <v>3.8714120370370371E-2</v>
      </c>
    </row>
    <row r="1734" spans="1:15" ht="12.75" customHeight="1">
      <c r="A1734" s="188" t="s">
        <v>620</v>
      </c>
      <c r="B1734" s="188" t="s">
        <v>1394</v>
      </c>
      <c r="C1734" s="188" t="s">
        <v>641</v>
      </c>
      <c r="D1734" s="188" t="s">
        <v>3100</v>
      </c>
      <c r="E1734" s="189">
        <v>39407</v>
      </c>
      <c r="F1734" s="190">
        <v>0</v>
      </c>
      <c r="G1734" s="190">
        <v>131.19999999999999</v>
      </c>
      <c r="H1734" s="191">
        <v>1588</v>
      </c>
      <c r="I1734" s="191">
        <v>512.5</v>
      </c>
      <c r="J1734" s="188" t="s">
        <v>560</v>
      </c>
      <c r="K1734" s="188" t="s">
        <v>338</v>
      </c>
      <c r="L1734" s="188" t="s">
        <v>3101</v>
      </c>
      <c r="M1734" s="192">
        <f t="shared" si="81"/>
        <v>20</v>
      </c>
      <c r="N1734" s="193">
        <f t="shared" si="82"/>
        <v>0.77463414634146344</v>
      </c>
      <c r="O1734" s="194">
        <f t="shared" si="83"/>
        <v>3.873170731707317E-2</v>
      </c>
    </row>
    <row r="1735" spans="1:15" ht="12.75" customHeight="1">
      <c r="A1735" s="188" t="s">
        <v>620</v>
      </c>
      <c r="B1735" s="188" t="s">
        <v>1394</v>
      </c>
      <c r="C1735" s="188" t="s">
        <v>641</v>
      </c>
      <c r="D1735" s="188" t="s">
        <v>3102</v>
      </c>
      <c r="E1735" s="189">
        <v>39507</v>
      </c>
      <c r="F1735" s="190">
        <v>0</v>
      </c>
      <c r="G1735" s="190">
        <v>43.01</v>
      </c>
      <c r="H1735" s="191">
        <v>495</v>
      </c>
      <c r="I1735" s="191">
        <v>168</v>
      </c>
      <c r="J1735" s="188" t="s">
        <v>667</v>
      </c>
      <c r="K1735" s="188" t="s">
        <v>338</v>
      </c>
      <c r="L1735" s="188" t="s">
        <v>2957</v>
      </c>
      <c r="M1735" s="192">
        <f t="shared" si="81"/>
        <v>19</v>
      </c>
      <c r="N1735" s="193">
        <f t="shared" si="82"/>
        <v>0.7366071428571429</v>
      </c>
      <c r="O1735" s="194">
        <f t="shared" si="83"/>
        <v>3.8768796992481203E-2</v>
      </c>
    </row>
    <row r="1736" spans="1:15" ht="12.75" customHeight="1">
      <c r="A1736" s="188" t="s">
        <v>620</v>
      </c>
      <c r="B1736" s="188" t="s">
        <v>1394</v>
      </c>
      <c r="C1736" s="188" t="s">
        <v>641</v>
      </c>
      <c r="D1736" s="188" t="s">
        <v>3103</v>
      </c>
      <c r="E1736" s="189">
        <v>39639</v>
      </c>
      <c r="F1736" s="190">
        <v>0</v>
      </c>
      <c r="G1736" s="190">
        <v>56.32</v>
      </c>
      <c r="H1736" s="191">
        <v>650</v>
      </c>
      <c r="I1736" s="191">
        <v>220</v>
      </c>
      <c r="J1736" s="188" t="s">
        <v>624</v>
      </c>
      <c r="K1736" s="188" t="s">
        <v>667</v>
      </c>
      <c r="L1736" s="188" t="s">
        <v>1213</v>
      </c>
      <c r="M1736" s="192">
        <f t="shared" si="81"/>
        <v>19</v>
      </c>
      <c r="N1736" s="193">
        <f t="shared" si="82"/>
        <v>0.73863636363636365</v>
      </c>
      <c r="O1736" s="194">
        <f t="shared" si="83"/>
        <v>3.8875598086124404E-2</v>
      </c>
    </row>
    <row r="1737" spans="1:15" ht="12.75" customHeight="1">
      <c r="A1737" s="188" t="s">
        <v>620</v>
      </c>
      <c r="B1737" s="188" t="s">
        <v>1394</v>
      </c>
      <c r="C1737" s="188" t="s">
        <v>641</v>
      </c>
      <c r="D1737" s="188" t="s">
        <v>3104</v>
      </c>
      <c r="E1737" s="189">
        <v>39395</v>
      </c>
      <c r="F1737" s="190">
        <v>0</v>
      </c>
      <c r="G1737" s="190">
        <v>66.56</v>
      </c>
      <c r="H1737" s="191">
        <v>1092</v>
      </c>
      <c r="I1737" s="191">
        <v>260</v>
      </c>
      <c r="J1737" s="188" t="s">
        <v>639</v>
      </c>
      <c r="K1737" s="188" t="s">
        <v>338</v>
      </c>
      <c r="L1737" s="188" t="s">
        <v>808</v>
      </c>
      <c r="M1737" s="192">
        <f t="shared" si="81"/>
        <v>27</v>
      </c>
      <c r="N1737" s="193">
        <f t="shared" si="82"/>
        <v>1.05</v>
      </c>
      <c r="O1737" s="194">
        <f t="shared" si="83"/>
        <v>3.888888888888889E-2</v>
      </c>
    </row>
    <row r="1738" spans="1:15" ht="12.75" customHeight="1">
      <c r="A1738" s="188" t="s">
        <v>620</v>
      </c>
      <c r="B1738" s="188" t="s">
        <v>1394</v>
      </c>
      <c r="C1738" s="188" t="s">
        <v>641</v>
      </c>
      <c r="D1738" s="188" t="s">
        <v>3105</v>
      </c>
      <c r="E1738" s="189">
        <v>39499</v>
      </c>
      <c r="F1738" s="190">
        <v>0</v>
      </c>
      <c r="G1738" s="190">
        <v>115.2</v>
      </c>
      <c r="H1738" s="191">
        <v>1400</v>
      </c>
      <c r="I1738" s="191">
        <v>450</v>
      </c>
      <c r="J1738" s="188" t="s">
        <v>560</v>
      </c>
      <c r="K1738" s="188" t="s">
        <v>338</v>
      </c>
      <c r="L1738" s="188" t="s">
        <v>718</v>
      </c>
      <c r="M1738" s="192">
        <f t="shared" si="81"/>
        <v>20</v>
      </c>
      <c r="N1738" s="193">
        <f t="shared" si="82"/>
        <v>0.77777777777777779</v>
      </c>
      <c r="O1738" s="194">
        <f t="shared" si="83"/>
        <v>3.888888888888889E-2</v>
      </c>
    </row>
    <row r="1739" spans="1:15" ht="12.75" customHeight="1">
      <c r="A1739" s="188" t="s">
        <v>620</v>
      </c>
      <c r="B1739" s="188" t="s">
        <v>1394</v>
      </c>
      <c r="C1739" s="188" t="s">
        <v>641</v>
      </c>
      <c r="D1739" s="188" t="s">
        <v>3106</v>
      </c>
      <c r="E1739" s="189">
        <v>39303</v>
      </c>
      <c r="F1739" s="190">
        <v>0</v>
      </c>
      <c r="G1739" s="190">
        <v>88.83</v>
      </c>
      <c r="H1739" s="191">
        <v>1080.97</v>
      </c>
      <c r="I1739" s="191">
        <v>347</v>
      </c>
      <c r="J1739" s="188" t="s">
        <v>560</v>
      </c>
      <c r="K1739" s="188" t="s">
        <v>338</v>
      </c>
      <c r="L1739" s="188" t="s">
        <v>3107</v>
      </c>
      <c r="M1739" s="192">
        <f t="shared" si="81"/>
        <v>20</v>
      </c>
      <c r="N1739" s="193">
        <f t="shared" si="82"/>
        <v>0.7787968299711816</v>
      </c>
      <c r="O1739" s="194">
        <f t="shared" si="83"/>
        <v>3.8939841498559079E-2</v>
      </c>
    </row>
    <row r="1740" spans="1:15" ht="12.75" customHeight="1">
      <c r="A1740" s="188" t="s">
        <v>620</v>
      </c>
      <c r="B1740" s="188" t="s">
        <v>1394</v>
      </c>
      <c r="C1740" s="188" t="s">
        <v>641</v>
      </c>
      <c r="D1740" s="188" t="s">
        <v>3108</v>
      </c>
      <c r="E1740" s="189">
        <v>39499</v>
      </c>
      <c r="F1740" s="190">
        <v>0</v>
      </c>
      <c r="G1740" s="190">
        <v>12.03</v>
      </c>
      <c r="H1740" s="191">
        <v>219.72</v>
      </c>
      <c r="I1740" s="191">
        <v>47</v>
      </c>
      <c r="J1740" s="188" t="s">
        <v>624</v>
      </c>
      <c r="K1740" s="188" t="s">
        <v>257</v>
      </c>
      <c r="L1740" s="188" t="s">
        <v>3109</v>
      </c>
      <c r="M1740" s="192">
        <f t="shared" si="81"/>
        <v>30</v>
      </c>
      <c r="N1740" s="193">
        <f t="shared" si="82"/>
        <v>1.1687234042553192</v>
      </c>
      <c r="O1740" s="194">
        <f t="shared" si="83"/>
        <v>3.895744680851064E-2</v>
      </c>
    </row>
    <row r="1741" spans="1:15" ht="12.75" customHeight="1">
      <c r="A1741" s="188" t="s">
        <v>620</v>
      </c>
      <c r="B1741" s="188" t="s">
        <v>1394</v>
      </c>
      <c r="C1741" s="188" t="s">
        <v>641</v>
      </c>
      <c r="D1741" s="188" t="s">
        <v>3110</v>
      </c>
      <c r="E1741" s="189">
        <v>39219</v>
      </c>
      <c r="F1741" s="190">
        <v>0</v>
      </c>
      <c r="G1741" s="190">
        <v>49.92</v>
      </c>
      <c r="H1741" s="191">
        <v>975</v>
      </c>
      <c r="I1741" s="191">
        <v>195</v>
      </c>
      <c r="J1741" s="188" t="s">
        <v>353</v>
      </c>
      <c r="K1741" s="188" t="s">
        <v>338</v>
      </c>
      <c r="L1741" s="188" t="s">
        <v>656</v>
      </c>
      <c r="M1741" s="192">
        <f t="shared" si="81"/>
        <v>32</v>
      </c>
      <c r="N1741" s="193">
        <f t="shared" si="82"/>
        <v>1.25</v>
      </c>
      <c r="O1741" s="194">
        <f t="shared" si="83"/>
        <v>3.90625E-2</v>
      </c>
    </row>
    <row r="1742" spans="1:15" ht="12.75" customHeight="1">
      <c r="A1742" s="188" t="s">
        <v>620</v>
      </c>
      <c r="B1742" s="188" t="s">
        <v>1394</v>
      </c>
      <c r="C1742" s="188" t="s">
        <v>641</v>
      </c>
      <c r="D1742" s="188" t="s">
        <v>3111</v>
      </c>
      <c r="E1742" s="189">
        <v>39296</v>
      </c>
      <c r="F1742" s="190">
        <v>0</v>
      </c>
      <c r="G1742" s="190">
        <v>104</v>
      </c>
      <c r="H1742" s="191">
        <v>1271.08</v>
      </c>
      <c r="I1742" s="191">
        <v>406.25</v>
      </c>
      <c r="J1742" s="188" t="s">
        <v>560</v>
      </c>
      <c r="K1742" s="188" t="s">
        <v>338</v>
      </c>
      <c r="L1742" s="188" t="s">
        <v>3112</v>
      </c>
      <c r="M1742" s="192">
        <f t="shared" si="81"/>
        <v>20</v>
      </c>
      <c r="N1742" s="193">
        <f t="shared" si="82"/>
        <v>0.78220307692307689</v>
      </c>
      <c r="O1742" s="194">
        <f t="shared" si="83"/>
        <v>3.9110153846153843E-2</v>
      </c>
    </row>
    <row r="1743" spans="1:15" ht="12.75" customHeight="1">
      <c r="A1743" s="188" t="s">
        <v>620</v>
      </c>
      <c r="B1743" s="188" t="s">
        <v>1394</v>
      </c>
      <c r="C1743" s="188" t="s">
        <v>641</v>
      </c>
      <c r="D1743" s="188" t="s">
        <v>3113</v>
      </c>
      <c r="E1743" s="189">
        <v>39254</v>
      </c>
      <c r="F1743" s="190">
        <v>0</v>
      </c>
      <c r="G1743" s="190">
        <v>77.760000000000005</v>
      </c>
      <c r="H1743" s="191">
        <v>1284.98</v>
      </c>
      <c r="I1743" s="191">
        <v>303.75</v>
      </c>
      <c r="J1743" s="188" t="s">
        <v>639</v>
      </c>
      <c r="K1743" s="188" t="s">
        <v>338</v>
      </c>
      <c r="L1743" s="188" t="s">
        <v>2924</v>
      </c>
      <c r="M1743" s="192">
        <f t="shared" si="81"/>
        <v>27</v>
      </c>
      <c r="N1743" s="193">
        <f t="shared" si="82"/>
        <v>1.0575967078189301</v>
      </c>
      <c r="O1743" s="194">
        <f t="shared" si="83"/>
        <v>3.9170248437738149E-2</v>
      </c>
    </row>
    <row r="1744" spans="1:15" ht="12.75" customHeight="1">
      <c r="A1744" s="188" t="s">
        <v>620</v>
      </c>
      <c r="B1744" s="188" t="s">
        <v>1394</v>
      </c>
      <c r="C1744" s="188" t="s">
        <v>641</v>
      </c>
      <c r="D1744" s="188" t="s">
        <v>3114</v>
      </c>
      <c r="E1744" s="189">
        <v>39447</v>
      </c>
      <c r="F1744" s="190">
        <v>0</v>
      </c>
      <c r="G1744" s="190">
        <v>107.52</v>
      </c>
      <c r="H1744" s="191">
        <v>1317</v>
      </c>
      <c r="I1744" s="191">
        <v>420</v>
      </c>
      <c r="J1744" s="188" t="s">
        <v>560</v>
      </c>
      <c r="K1744" s="188" t="s">
        <v>338</v>
      </c>
      <c r="L1744" s="188" t="s">
        <v>2325</v>
      </c>
      <c r="M1744" s="192">
        <f t="shared" si="81"/>
        <v>20</v>
      </c>
      <c r="N1744" s="193">
        <f t="shared" si="82"/>
        <v>0.78392857142857142</v>
      </c>
      <c r="O1744" s="194">
        <f t="shared" si="83"/>
        <v>3.919642857142857E-2</v>
      </c>
    </row>
    <row r="1745" spans="1:15" ht="12.75" customHeight="1">
      <c r="A1745" s="188" t="s">
        <v>620</v>
      </c>
      <c r="B1745" s="188" t="s">
        <v>1394</v>
      </c>
      <c r="C1745" s="188" t="s">
        <v>641</v>
      </c>
      <c r="D1745" s="188" t="s">
        <v>3115</v>
      </c>
      <c r="E1745" s="189">
        <v>39443</v>
      </c>
      <c r="F1745" s="190">
        <v>0</v>
      </c>
      <c r="G1745" s="190">
        <v>101.95</v>
      </c>
      <c r="H1745" s="191">
        <v>1562</v>
      </c>
      <c r="I1745" s="191">
        <v>398.25</v>
      </c>
      <c r="J1745" s="188" t="s">
        <v>652</v>
      </c>
      <c r="K1745" s="188" t="s">
        <v>338</v>
      </c>
      <c r="L1745" s="188" t="s">
        <v>295</v>
      </c>
      <c r="M1745" s="192">
        <f t="shared" si="81"/>
        <v>25</v>
      </c>
      <c r="N1745" s="193">
        <f t="shared" si="82"/>
        <v>0.98053986189579412</v>
      </c>
      <c r="O1745" s="194">
        <f t="shared" si="83"/>
        <v>3.9221594475831761E-2</v>
      </c>
    </row>
    <row r="1746" spans="1:15" ht="12.75" customHeight="1">
      <c r="A1746" s="188" t="s">
        <v>620</v>
      </c>
      <c r="B1746" s="188" t="s">
        <v>1394</v>
      </c>
      <c r="C1746" s="188" t="s">
        <v>641</v>
      </c>
      <c r="D1746" s="188" t="s">
        <v>3116</v>
      </c>
      <c r="E1746" s="189">
        <v>39429</v>
      </c>
      <c r="F1746" s="190">
        <v>0</v>
      </c>
      <c r="G1746" s="190">
        <v>87.42</v>
      </c>
      <c r="H1746" s="191">
        <v>1348</v>
      </c>
      <c r="I1746" s="191">
        <v>341.5</v>
      </c>
      <c r="J1746" s="188" t="s">
        <v>652</v>
      </c>
      <c r="K1746" s="188" t="s">
        <v>338</v>
      </c>
      <c r="L1746" s="188" t="s">
        <v>961</v>
      </c>
      <c r="M1746" s="192">
        <f t="shared" si="81"/>
        <v>25</v>
      </c>
      <c r="N1746" s="193">
        <f t="shared" si="82"/>
        <v>0.98682284040995605</v>
      </c>
      <c r="O1746" s="194">
        <f t="shared" si="83"/>
        <v>3.9472913616398243E-2</v>
      </c>
    </row>
    <row r="1747" spans="1:15" ht="12.75" customHeight="1">
      <c r="A1747" s="188" t="s">
        <v>620</v>
      </c>
      <c r="B1747" s="188" t="s">
        <v>1394</v>
      </c>
      <c r="C1747" s="188" t="s">
        <v>641</v>
      </c>
      <c r="D1747" s="188" t="s">
        <v>3117</v>
      </c>
      <c r="E1747" s="189">
        <v>39219</v>
      </c>
      <c r="F1747" s="190">
        <v>0</v>
      </c>
      <c r="G1747" s="190">
        <v>68.349999999999994</v>
      </c>
      <c r="H1747" s="191">
        <v>843.72</v>
      </c>
      <c r="I1747" s="191">
        <v>267</v>
      </c>
      <c r="J1747" s="188" t="s">
        <v>560</v>
      </c>
      <c r="K1747" s="188" t="s">
        <v>338</v>
      </c>
      <c r="L1747" s="188" t="s">
        <v>3118</v>
      </c>
      <c r="M1747" s="192">
        <f t="shared" si="81"/>
        <v>20</v>
      </c>
      <c r="N1747" s="193">
        <f t="shared" si="82"/>
        <v>0.79</v>
      </c>
      <c r="O1747" s="194">
        <f t="shared" si="83"/>
        <v>3.95E-2</v>
      </c>
    </row>
    <row r="1748" spans="1:15" ht="12.75" customHeight="1">
      <c r="A1748" s="188" t="s">
        <v>620</v>
      </c>
      <c r="B1748" s="188" t="s">
        <v>1394</v>
      </c>
      <c r="C1748" s="188" t="s">
        <v>641</v>
      </c>
      <c r="D1748" s="188" t="s">
        <v>3119</v>
      </c>
      <c r="E1748" s="189">
        <v>39492</v>
      </c>
      <c r="F1748" s="190">
        <v>0</v>
      </c>
      <c r="G1748" s="190">
        <v>88.26</v>
      </c>
      <c r="H1748" s="191">
        <v>1095</v>
      </c>
      <c r="I1748" s="191">
        <v>344.75</v>
      </c>
      <c r="J1748" s="188" t="s">
        <v>560</v>
      </c>
      <c r="K1748" s="188" t="s">
        <v>338</v>
      </c>
      <c r="L1748" s="188" t="s">
        <v>3120</v>
      </c>
      <c r="M1748" s="192">
        <f t="shared" si="81"/>
        <v>20</v>
      </c>
      <c r="N1748" s="193">
        <f t="shared" si="82"/>
        <v>0.79405366207396666</v>
      </c>
      <c r="O1748" s="194">
        <f t="shared" si="83"/>
        <v>3.970268310369833E-2</v>
      </c>
    </row>
    <row r="1749" spans="1:15" ht="12.75" customHeight="1">
      <c r="A1749" s="188" t="s">
        <v>620</v>
      </c>
      <c r="B1749" s="188" t="s">
        <v>1394</v>
      </c>
      <c r="C1749" s="188" t="s">
        <v>641</v>
      </c>
      <c r="D1749" s="188" t="s">
        <v>3121</v>
      </c>
      <c r="E1749" s="189">
        <v>39507</v>
      </c>
      <c r="F1749" s="190">
        <v>0</v>
      </c>
      <c r="G1749" s="190">
        <v>103.94</v>
      </c>
      <c r="H1749" s="191">
        <v>1294</v>
      </c>
      <c r="I1749" s="191">
        <v>406</v>
      </c>
      <c r="J1749" s="188" t="s">
        <v>560</v>
      </c>
      <c r="K1749" s="188" t="s">
        <v>338</v>
      </c>
      <c r="L1749" s="188" t="s">
        <v>786</v>
      </c>
      <c r="M1749" s="192">
        <f t="shared" si="81"/>
        <v>20</v>
      </c>
      <c r="N1749" s="193">
        <f t="shared" si="82"/>
        <v>0.79679802955665024</v>
      </c>
      <c r="O1749" s="194">
        <f t="shared" si="83"/>
        <v>3.9839901477832514E-2</v>
      </c>
    </row>
    <row r="1750" spans="1:15" ht="12.75" customHeight="1">
      <c r="A1750" s="188" t="s">
        <v>620</v>
      </c>
      <c r="B1750" s="188" t="s">
        <v>1394</v>
      </c>
      <c r="C1750" s="188" t="s">
        <v>641</v>
      </c>
      <c r="D1750" s="188" t="s">
        <v>3122</v>
      </c>
      <c r="E1750" s="189">
        <v>39422</v>
      </c>
      <c r="F1750" s="190">
        <v>0</v>
      </c>
      <c r="G1750" s="190">
        <v>71.36</v>
      </c>
      <c r="H1750" s="191">
        <v>1200</v>
      </c>
      <c r="I1750" s="191">
        <v>278.75</v>
      </c>
      <c r="J1750" s="188" t="s">
        <v>639</v>
      </c>
      <c r="K1750" s="188" t="s">
        <v>338</v>
      </c>
      <c r="L1750" s="188" t="s">
        <v>3123</v>
      </c>
      <c r="M1750" s="192">
        <f t="shared" si="81"/>
        <v>27</v>
      </c>
      <c r="N1750" s="193">
        <f t="shared" si="82"/>
        <v>1.0762331838565022</v>
      </c>
      <c r="O1750" s="194">
        <f t="shared" si="83"/>
        <v>3.9860488290981565E-2</v>
      </c>
    </row>
    <row r="1751" spans="1:15" ht="12.75" customHeight="1">
      <c r="A1751" s="188" t="s">
        <v>620</v>
      </c>
      <c r="B1751" s="188" t="s">
        <v>1394</v>
      </c>
      <c r="C1751" s="188" t="s">
        <v>641</v>
      </c>
      <c r="D1751" s="188" t="s">
        <v>3124</v>
      </c>
      <c r="E1751" s="189">
        <v>39422</v>
      </c>
      <c r="F1751" s="190">
        <v>0</v>
      </c>
      <c r="G1751" s="190">
        <v>32.9</v>
      </c>
      <c r="H1751" s="191">
        <v>472</v>
      </c>
      <c r="I1751" s="191">
        <v>128.5</v>
      </c>
      <c r="J1751" s="188" t="s">
        <v>571</v>
      </c>
      <c r="K1751" s="188" t="s">
        <v>338</v>
      </c>
      <c r="L1751" s="188" t="s">
        <v>3125</v>
      </c>
      <c r="M1751" s="192">
        <f t="shared" si="81"/>
        <v>23</v>
      </c>
      <c r="N1751" s="193">
        <f t="shared" si="82"/>
        <v>0.91828793774319062</v>
      </c>
      <c r="O1751" s="194">
        <f t="shared" si="83"/>
        <v>3.9925562510573505E-2</v>
      </c>
    </row>
    <row r="1752" spans="1:15" ht="12.75" customHeight="1">
      <c r="A1752" s="188" t="s">
        <v>620</v>
      </c>
      <c r="B1752" s="188" t="s">
        <v>1394</v>
      </c>
      <c r="C1752" s="188" t="s">
        <v>641</v>
      </c>
      <c r="D1752" s="188" t="s">
        <v>3124</v>
      </c>
      <c r="E1752" s="189">
        <v>39562</v>
      </c>
      <c r="F1752" s="190">
        <v>0</v>
      </c>
      <c r="G1752" s="190">
        <v>-32.9</v>
      </c>
      <c r="H1752" s="191">
        <v>472</v>
      </c>
      <c r="I1752" s="191">
        <v>128.5</v>
      </c>
      <c r="J1752" s="188" t="s">
        <v>571</v>
      </c>
      <c r="K1752" s="188" t="s">
        <v>338</v>
      </c>
      <c r="L1752" s="188" t="s">
        <v>3125</v>
      </c>
      <c r="M1752" s="192">
        <f t="shared" si="81"/>
        <v>23</v>
      </c>
      <c r="N1752" s="193">
        <f t="shared" si="82"/>
        <v>0.91828793774319062</v>
      </c>
      <c r="O1752" s="194">
        <f t="shared" si="83"/>
        <v>3.9925562510573505E-2</v>
      </c>
    </row>
    <row r="1753" spans="1:15" ht="12.75" customHeight="1">
      <c r="A1753" s="188" t="s">
        <v>620</v>
      </c>
      <c r="B1753" s="188" t="s">
        <v>1394</v>
      </c>
      <c r="C1753" s="188" t="s">
        <v>641</v>
      </c>
      <c r="D1753" s="188" t="s">
        <v>3124</v>
      </c>
      <c r="E1753" s="189">
        <v>39562</v>
      </c>
      <c r="F1753" s="190">
        <v>0</v>
      </c>
      <c r="G1753" s="190">
        <v>32.9</v>
      </c>
      <c r="H1753" s="191">
        <v>472</v>
      </c>
      <c r="I1753" s="191">
        <v>128.5</v>
      </c>
      <c r="J1753" s="188" t="s">
        <v>571</v>
      </c>
      <c r="K1753" s="188" t="s">
        <v>338</v>
      </c>
      <c r="L1753" s="188" t="s">
        <v>3125</v>
      </c>
      <c r="M1753" s="192">
        <f t="shared" si="81"/>
        <v>23</v>
      </c>
      <c r="N1753" s="193">
        <f t="shared" si="82"/>
        <v>0.91828793774319062</v>
      </c>
      <c r="O1753" s="194">
        <f t="shared" si="83"/>
        <v>3.9925562510573505E-2</v>
      </c>
    </row>
    <row r="1754" spans="1:15" ht="12.75" customHeight="1">
      <c r="A1754" s="188" t="s">
        <v>620</v>
      </c>
      <c r="B1754" s="188" t="s">
        <v>1394</v>
      </c>
      <c r="C1754" s="188" t="s">
        <v>641</v>
      </c>
      <c r="D1754" s="188" t="s">
        <v>3126</v>
      </c>
      <c r="E1754" s="189">
        <v>39598</v>
      </c>
      <c r="F1754" s="190">
        <v>0</v>
      </c>
      <c r="G1754" s="190">
        <v>60.54</v>
      </c>
      <c r="H1754" s="191">
        <v>756</v>
      </c>
      <c r="I1754" s="191">
        <v>236.5</v>
      </c>
      <c r="J1754" s="188" t="s">
        <v>560</v>
      </c>
      <c r="K1754" s="188" t="s">
        <v>338</v>
      </c>
      <c r="L1754" s="188" t="s">
        <v>3127</v>
      </c>
      <c r="M1754" s="192">
        <f t="shared" si="81"/>
        <v>20</v>
      </c>
      <c r="N1754" s="193">
        <f t="shared" si="82"/>
        <v>0.79915433403805491</v>
      </c>
      <c r="O1754" s="194">
        <f t="shared" si="83"/>
        <v>3.9957716701902748E-2</v>
      </c>
    </row>
    <row r="1755" spans="1:15" ht="12.75" customHeight="1">
      <c r="A1755" s="188" t="s">
        <v>620</v>
      </c>
      <c r="B1755" s="188" t="s">
        <v>1394</v>
      </c>
      <c r="C1755" s="188" t="s">
        <v>641</v>
      </c>
      <c r="D1755" s="188" t="s">
        <v>3128</v>
      </c>
      <c r="E1755" s="189">
        <v>39407</v>
      </c>
      <c r="F1755" s="190">
        <v>0</v>
      </c>
      <c r="G1755" s="190">
        <v>95.3</v>
      </c>
      <c r="H1755" s="191">
        <v>1369.73</v>
      </c>
      <c r="I1755" s="191">
        <v>372.25</v>
      </c>
      <c r="J1755" s="188" t="s">
        <v>571</v>
      </c>
      <c r="K1755" s="188" t="s">
        <v>338</v>
      </c>
      <c r="L1755" s="188" t="s">
        <v>3129</v>
      </c>
      <c r="M1755" s="192">
        <f t="shared" si="81"/>
        <v>23</v>
      </c>
      <c r="N1755" s="193">
        <f t="shared" si="82"/>
        <v>0.91989926124916055</v>
      </c>
      <c r="O1755" s="194">
        <f t="shared" si="83"/>
        <v>3.9995620054311329E-2</v>
      </c>
    </row>
    <row r="1756" spans="1:15" ht="12.75" customHeight="1">
      <c r="A1756" s="188" t="s">
        <v>620</v>
      </c>
      <c r="B1756" s="188" t="s">
        <v>1394</v>
      </c>
      <c r="C1756" s="188" t="s">
        <v>641</v>
      </c>
      <c r="D1756" s="188" t="s">
        <v>3130</v>
      </c>
      <c r="E1756" s="189">
        <v>39395</v>
      </c>
      <c r="F1756" s="190">
        <v>0</v>
      </c>
      <c r="G1756" s="190">
        <v>26.56</v>
      </c>
      <c r="H1756" s="191">
        <v>415</v>
      </c>
      <c r="I1756" s="191">
        <v>103.75</v>
      </c>
      <c r="J1756" s="188" t="s">
        <v>652</v>
      </c>
      <c r="K1756" s="188" t="s">
        <v>338</v>
      </c>
      <c r="L1756" s="188" t="s">
        <v>3131</v>
      </c>
      <c r="M1756" s="192">
        <f t="shared" si="81"/>
        <v>25</v>
      </c>
      <c r="N1756" s="193">
        <f t="shared" si="82"/>
        <v>1</v>
      </c>
      <c r="O1756" s="194">
        <f t="shared" si="83"/>
        <v>0.04</v>
      </c>
    </row>
    <row r="1757" spans="1:15" ht="12.75" customHeight="1">
      <c r="A1757" s="188" t="s">
        <v>620</v>
      </c>
      <c r="B1757" s="188" t="s">
        <v>1394</v>
      </c>
      <c r="C1757" s="188" t="s">
        <v>641</v>
      </c>
      <c r="D1757" s="188" t="s">
        <v>3132</v>
      </c>
      <c r="E1757" s="189">
        <v>39447</v>
      </c>
      <c r="F1757" s="190">
        <v>0</v>
      </c>
      <c r="G1757" s="190">
        <v>48</v>
      </c>
      <c r="H1757" s="191">
        <v>660</v>
      </c>
      <c r="I1757" s="191">
        <v>187.5</v>
      </c>
      <c r="J1757" s="188" t="s">
        <v>710</v>
      </c>
      <c r="K1757" s="188" t="s">
        <v>338</v>
      </c>
      <c r="L1757" s="188" t="s">
        <v>1058</v>
      </c>
      <c r="M1757" s="192">
        <f t="shared" si="81"/>
        <v>22</v>
      </c>
      <c r="N1757" s="193">
        <f t="shared" si="82"/>
        <v>0.88</v>
      </c>
      <c r="O1757" s="194">
        <f t="shared" si="83"/>
        <v>0.04</v>
      </c>
    </row>
    <row r="1758" spans="1:15" ht="12.75" customHeight="1">
      <c r="A1758" s="188" t="s">
        <v>620</v>
      </c>
      <c r="B1758" s="188" t="s">
        <v>1394</v>
      </c>
      <c r="C1758" s="188" t="s">
        <v>641</v>
      </c>
      <c r="D1758" s="188" t="s">
        <v>3133</v>
      </c>
      <c r="E1758" s="189">
        <v>39534</v>
      </c>
      <c r="F1758" s="190">
        <v>0</v>
      </c>
      <c r="G1758" s="190">
        <v>140.80000000000001</v>
      </c>
      <c r="H1758" s="191">
        <v>1760</v>
      </c>
      <c r="I1758" s="191">
        <v>550</v>
      </c>
      <c r="J1758" s="188" t="s">
        <v>560</v>
      </c>
      <c r="K1758" s="188" t="s">
        <v>338</v>
      </c>
      <c r="L1758" s="188" t="s">
        <v>938</v>
      </c>
      <c r="M1758" s="192">
        <f t="shared" si="81"/>
        <v>20</v>
      </c>
      <c r="N1758" s="193">
        <f t="shared" si="82"/>
        <v>0.8</v>
      </c>
      <c r="O1758" s="194">
        <f t="shared" si="83"/>
        <v>0.04</v>
      </c>
    </row>
    <row r="1759" spans="1:15" ht="12.75" customHeight="1">
      <c r="A1759" s="188" t="s">
        <v>620</v>
      </c>
      <c r="B1759" s="188" t="s">
        <v>1394</v>
      </c>
      <c r="C1759" s="188" t="s">
        <v>641</v>
      </c>
      <c r="D1759" s="188" t="s">
        <v>3134</v>
      </c>
      <c r="E1759" s="189">
        <v>39447</v>
      </c>
      <c r="F1759" s="190">
        <v>0</v>
      </c>
      <c r="G1759" s="190">
        <v>78.08</v>
      </c>
      <c r="H1759" s="191">
        <v>1861.84</v>
      </c>
      <c r="I1759" s="191">
        <v>305</v>
      </c>
      <c r="J1759" s="188" t="s">
        <v>624</v>
      </c>
      <c r="K1759" s="188" t="s">
        <v>338</v>
      </c>
      <c r="L1759" s="188" t="s">
        <v>689</v>
      </c>
      <c r="M1759" s="192">
        <f t="shared" si="81"/>
        <v>38</v>
      </c>
      <c r="N1759" s="193">
        <f t="shared" si="82"/>
        <v>1.5260983606557377</v>
      </c>
      <c r="O1759" s="194">
        <f t="shared" si="83"/>
        <v>4.0160483175150995E-2</v>
      </c>
    </row>
    <row r="1760" spans="1:15" ht="12.75" customHeight="1">
      <c r="A1760" s="188" t="s">
        <v>620</v>
      </c>
      <c r="B1760" s="188" t="s">
        <v>1394</v>
      </c>
      <c r="C1760" s="188" t="s">
        <v>641</v>
      </c>
      <c r="D1760" s="188" t="s">
        <v>3135</v>
      </c>
      <c r="E1760" s="189">
        <v>39352</v>
      </c>
      <c r="F1760" s="190">
        <v>0</v>
      </c>
      <c r="G1760" s="190">
        <v>94.08</v>
      </c>
      <c r="H1760" s="191">
        <v>650</v>
      </c>
      <c r="I1760" s="191">
        <v>367.5</v>
      </c>
      <c r="J1760" s="188" t="s">
        <v>667</v>
      </c>
      <c r="K1760" s="188" t="s">
        <v>257</v>
      </c>
      <c r="L1760" s="188" t="s">
        <v>3136</v>
      </c>
      <c r="M1760" s="192">
        <f t="shared" si="81"/>
        <v>11</v>
      </c>
      <c r="N1760" s="193">
        <f t="shared" si="82"/>
        <v>0.44217687074829931</v>
      </c>
      <c r="O1760" s="194">
        <f t="shared" si="83"/>
        <v>4.0197897340754483E-2</v>
      </c>
    </row>
    <row r="1761" spans="1:15" ht="12.75" customHeight="1">
      <c r="A1761" s="188" t="s">
        <v>620</v>
      </c>
      <c r="B1761" s="188" t="s">
        <v>1394</v>
      </c>
      <c r="C1761" s="188" t="s">
        <v>641</v>
      </c>
      <c r="D1761" s="188" t="s">
        <v>3137</v>
      </c>
      <c r="E1761" s="189">
        <v>39576</v>
      </c>
      <c r="F1761" s="190">
        <v>0</v>
      </c>
      <c r="G1761" s="190">
        <v>51.46</v>
      </c>
      <c r="H1761" s="191">
        <v>680</v>
      </c>
      <c r="I1761" s="191">
        <v>201</v>
      </c>
      <c r="J1761" s="188" t="s">
        <v>879</v>
      </c>
      <c r="K1761" s="188" t="s">
        <v>338</v>
      </c>
      <c r="L1761" s="188" t="s">
        <v>3138</v>
      </c>
      <c r="M1761" s="192">
        <f t="shared" si="81"/>
        <v>21</v>
      </c>
      <c r="N1761" s="193">
        <f t="shared" si="82"/>
        <v>0.845771144278607</v>
      </c>
      <c r="O1761" s="194">
        <f t="shared" si="83"/>
        <v>4.0274816394219384E-2</v>
      </c>
    </row>
    <row r="1762" spans="1:15" ht="12.75" customHeight="1">
      <c r="A1762" s="188" t="s">
        <v>620</v>
      </c>
      <c r="B1762" s="188" t="s">
        <v>1394</v>
      </c>
      <c r="C1762" s="188" t="s">
        <v>641</v>
      </c>
      <c r="D1762" s="188" t="s">
        <v>3139</v>
      </c>
      <c r="E1762" s="189">
        <v>39562</v>
      </c>
      <c r="F1762" s="190">
        <v>0</v>
      </c>
      <c r="G1762" s="190">
        <v>78.400000000000006</v>
      </c>
      <c r="H1762" s="191">
        <v>990</v>
      </c>
      <c r="I1762" s="191">
        <v>306.25</v>
      </c>
      <c r="J1762" s="188" t="s">
        <v>560</v>
      </c>
      <c r="K1762" s="188" t="s">
        <v>338</v>
      </c>
      <c r="L1762" s="188" t="s">
        <v>1653</v>
      </c>
      <c r="M1762" s="192">
        <f t="shared" si="81"/>
        <v>20</v>
      </c>
      <c r="N1762" s="193">
        <f t="shared" si="82"/>
        <v>0.80816326530612248</v>
      </c>
      <c r="O1762" s="194">
        <f t="shared" si="83"/>
        <v>4.0408163265306121E-2</v>
      </c>
    </row>
    <row r="1763" spans="1:15" ht="12.75" customHeight="1">
      <c r="A1763" s="188" t="s">
        <v>620</v>
      </c>
      <c r="B1763" s="188" t="s">
        <v>1394</v>
      </c>
      <c r="C1763" s="188" t="s">
        <v>641</v>
      </c>
      <c r="D1763" s="188" t="s">
        <v>3140</v>
      </c>
      <c r="E1763" s="189">
        <v>39562</v>
      </c>
      <c r="F1763" s="190">
        <v>0</v>
      </c>
      <c r="G1763" s="190">
        <v>86.02</v>
      </c>
      <c r="H1763" s="191">
        <v>1358</v>
      </c>
      <c r="I1763" s="191">
        <v>336</v>
      </c>
      <c r="J1763" s="188" t="s">
        <v>652</v>
      </c>
      <c r="K1763" s="188" t="s">
        <v>338</v>
      </c>
      <c r="L1763" s="188" t="s">
        <v>764</v>
      </c>
      <c r="M1763" s="192">
        <f t="shared" si="81"/>
        <v>25</v>
      </c>
      <c r="N1763" s="193">
        <f t="shared" si="82"/>
        <v>1.0104166666666667</v>
      </c>
      <c r="O1763" s="194">
        <f t="shared" si="83"/>
        <v>4.041666666666667E-2</v>
      </c>
    </row>
    <row r="1764" spans="1:15" ht="12.75" customHeight="1">
      <c r="A1764" s="188" t="s">
        <v>620</v>
      </c>
      <c r="B1764" s="188" t="s">
        <v>1394</v>
      </c>
      <c r="C1764" s="188" t="s">
        <v>641</v>
      </c>
      <c r="D1764" s="188" t="s">
        <v>3141</v>
      </c>
      <c r="E1764" s="189">
        <v>39492</v>
      </c>
      <c r="F1764" s="190">
        <v>0</v>
      </c>
      <c r="G1764" s="190">
        <v>41.6</v>
      </c>
      <c r="H1764" s="191">
        <v>527</v>
      </c>
      <c r="I1764" s="191">
        <v>162.5</v>
      </c>
      <c r="J1764" s="188" t="s">
        <v>560</v>
      </c>
      <c r="K1764" s="188" t="s">
        <v>338</v>
      </c>
      <c r="L1764" s="188" t="s">
        <v>1774</v>
      </c>
      <c r="M1764" s="192">
        <f t="shared" si="81"/>
        <v>20</v>
      </c>
      <c r="N1764" s="193">
        <f t="shared" si="82"/>
        <v>0.8107692307692308</v>
      </c>
      <c r="O1764" s="194">
        <f t="shared" si="83"/>
        <v>4.0538461538461537E-2</v>
      </c>
    </row>
    <row r="1765" spans="1:15" ht="12.75" customHeight="1">
      <c r="A1765" s="188" t="s">
        <v>620</v>
      </c>
      <c r="B1765" s="188" t="s">
        <v>1394</v>
      </c>
      <c r="C1765" s="188" t="s">
        <v>641</v>
      </c>
      <c r="D1765" s="188" t="s">
        <v>3142</v>
      </c>
      <c r="E1765" s="189">
        <v>39339</v>
      </c>
      <c r="F1765" s="190">
        <v>0</v>
      </c>
      <c r="G1765" s="190">
        <v>68.67</v>
      </c>
      <c r="H1765" s="191">
        <v>1175</v>
      </c>
      <c r="I1765" s="191">
        <v>268.25</v>
      </c>
      <c r="J1765" s="188" t="s">
        <v>639</v>
      </c>
      <c r="K1765" s="188" t="s">
        <v>338</v>
      </c>
      <c r="L1765" s="188" t="s">
        <v>3143</v>
      </c>
      <c r="M1765" s="192">
        <f t="shared" si="81"/>
        <v>27</v>
      </c>
      <c r="N1765" s="193">
        <f t="shared" si="82"/>
        <v>1.0950605778191984</v>
      </c>
      <c r="O1765" s="194">
        <f t="shared" si="83"/>
        <v>4.0557799178488833E-2</v>
      </c>
    </row>
    <row r="1766" spans="1:15" ht="12.75" customHeight="1">
      <c r="A1766" s="188" t="s">
        <v>620</v>
      </c>
      <c r="B1766" s="188" t="s">
        <v>1394</v>
      </c>
      <c r="C1766" s="188" t="s">
        <v>641</v>
      </c>
      <c r="D1766" s="188" t="s">
        <v>3144</v>
      </c>
      <c r="E1766" s="189">
        <v>39275</v>
      </c>
      <c r="F1766" s="190">
        <v>0</v>
      </c>
      <c r="G1766" s="190">
        <v>94.72</v>
      </c>
      <c r="H1766" s="191">
        <v>1322.97</v>
      </c>
      <c r="I1766" s="191">
        <v>370</v>
      </c>
      <c r="J1766" s="188" t="s">
        <v>710</v>
      </c>
      <c r="K1766" s="188" t="s">
        <v>338</v>
      </c>
      <c r="L1766" s="188" t="s">
        <v>1479</v>
      </c>
      <c r="M1766" s="192">
        <f t="shared" si="81"/>
        <v>22</v>
      </c>
      <c r="N1766" s="193">
        <f t="shared" si="82"/>
        <v>0.89389864864864865</v>
      </c>
      <c r="O1766" s="194">
        <f t="shared" si="83"/>
        <v>4.0631756756756759E-2</v>
      </c>
    </row>
    <row r="1767" spans="1:15" ht="12.75" customHeight="1">
      <c r="A1767" s="188" t="s">
        <v>620</v>
      </c>
      <c r="B1767" s="188" t="s">
        <v>1394</v>
      </c>
      <c r="C1767" s="188" t="s">
        <v>641</v>
      </c>
      <c r="D1767" s="188" t="s">
        <v>3145</v>
      </c>
      <c r="E1767" s="189">
        <v>39331</v>
      </c>
      <c r="F1767" s="190">
        <v>0</v>
      </c>
      <c r="G1767" s="190">
        <v>48</v>
      </c>
      <c r="H1767" s="191">
        <v>1161.98</v>
      </c>
      <c r="I1767" s="191">
        <v>187.5</v>
      </c>
      <c r="J1767" s="188" t="s">
        <v>624</v>
      </c>
      <c r="K1767" s="188" t="s">
        <v>338</v>
      </c>
      <c r="L1767" s="188" t="s">
        <v>1058</v>
      </c>
      <c r="M1767" s="192">
        <f t="shared" si="81"/>
        <v>38</v>
      </c>
      <c r="N1767" s="193">
        <f t="shared" si="82"/>
        <v>1.5493066666666666</v>
      </c>
      <c r="O1767" s="194">
        <f t="shared" si="83"/>
        <v>4.0771228070175435E-2</v>
      </c>
    </row>
    <row r="1768" spans="1:15" ht="12.75" customHeight="1">
      <c r="A1768" s="188" t="s">
        <v>620</v>
      </c>
      <c r="B1768" s="188" t="s">
        <v>1394</v>
      </c>
      <c r="C1768" s="188" t="s">
        <v>641</v>
      </c>
      <c r="D1768" s="188" t="s">
        <v>3146</v>
      </c>
      <c r="E1768" s="189">
        <v>39447</v>
      </c>
      <c r="F1768" s="190">
        <v>0</v>
      </c>
      <c r="G1768" s="190">
        <v>69.12</v>
      </c>
      <c r="H1768" s="191">
        <v>1685</v>
      </c>
      <c r="I1768" s="191">
        <v>270</v>
      </c>
      <c r="J1768" s="188" t="s">
        <v>624</v>
      </c>
      <c r="K1768" s="188" t="s">
        <v>338</v>
      </c>
      <c r="L1768" s="188" t="s">
        <v>817</v>
      </c>
      <c r="M1768" s="192">
        <f t="shared" si="81"/>
        <v>38</v>
      </c>
      <c r="N1768" s="193">
        <f t="shared" si="82"/>
        <v>1.5601851851851851</v>
      </c>
      <c r="O1768" s="194">
        <f t="shared" si="83"/>
        <v>4.1057504873294348E-2</v>
      </c>
    </row>
    <row r="1769" spans="1:15" ht="12.75" customHeight="1">
      <c r="A1769" s="188" t="s">
        <v>620</v>
      </c>
      <c r="B1769" s="188" t="s">
        <v>1394</v>
      </c>
      <c r="C1769" s="188" t="s">
        <v>641</v>
      </c>
      <c r="D1769" s="188" t="s">
        <v>3147</v>
      </c>
      <c r="E1769" s="189">
        <v>39576</v>
      </c>
      <c r="F1769" s="190">
        <v>0</v>
      </c>
      <c r="G1769" s="190">
        <v>40</v>
      </c>
      <c r="H1769" s="191">
        <v>694</v>
      </c>
      <c r="I1769" s="191">
        <v>156.25</v>
      </c>
      <c r="J1769" s="188" t="s">
        <v>639</v>
      </c>
      <c r="K1769" s="188" t="s">
        <v>338</v>
      </c>
      <c r="L1769" s="188" t="s">
        <v>1823</v>
      </c>
      <c r="M1769" s="192">
        <f t="shared" si="81"/>
        <v>27</v>
      </c>
      <c r="N1769" s="193">
        <f t="shared" si="82"/>
        <v>1.1104000000000001</v>
      </c>
      <c r="O1769" s="194">
        <f t="shared" si="83"/>
        <v>4.1125925925925927E-2</v>
      </c>
    </row>
    <row r="1770" spans="1:15" ht="12.75" customHeight="1">
      <c r="A1770" s="188" t="s">
        <v>620</v>
      </c>
      <c r="B1770" s="188" t="s">
        <v>1394</v>
      </c>
      <c r="C1770" s="188" t="s">
        <v>641</v>
      </c>
      <c r="D1770" s="188" t="s">
        <v>3148</v>
      </c>
      <c r="E1770" s="189">
        <v>39429</v>
      </c>
      <c r="F1770" s="190">
        <v>0</v>
      </c>
      <c r="G1770" s="190">
        <v>160</v>
      </c>
      <c r="H1770" s="191">
        <v>1234</v>
      </c>
      <c r="I1770" s="191">
        <v>625</v>
      </c>
      <c r="J1770" s="188" t="s">
        <v>560</v>
      </c>
      <c r="K1770" s="188" t="s">
        <v>257</v>
      </c>
      <c r="L1770" s="188" t="s">
        <v>1570</v>
      </c>
      <c r="M1770" s="192">
        <f t="shared" si="81"/>
        <v>12</v>
      </c>
      <c r="N1770" s="193">
        <f t="shared" si="82"/>
        <v>0.49359999999999998</v>
      </c>
      <c r="O1770" s="194">
        <f t="shared" si="83"/>
        <v>4.1133333333333334E-2</v>
      </c>
    </row>
    <row r="1771" spans="1:15" ht="12.75" customHeight="1">
      <c r="A1771" s="188" t="s">
        <v>620</v>
      </c>
      <c r="B1771" s="188" t="s">
        <v>1394</v>
      </c>
      <c r="C1771" s="188" t="s">
        <v>641</v>
      </c>
      <c r="D1771" s="188" t="s">
        <v>3149</v>
      </c>
      <c r="E1771" s="189">
        <v>39380</v>
      </c>
      <c r="F1771" s="190">
        <v>0</v>
      </c>
      <c r="G1771" s="190">
        <v>66.56</v>
      </c>
      <c r="H1771" s="191">
        <v>1287</v>
      </c>
      <c r="I1771" s="191">
        <v>260</v>
      </c>
      <c r="J1771" s="188" t="s">
        <v>635</v>
      </c>
      <c r="K1771" s="188" t="s">
        <v>338</v>
      </c>
      <c r="L1771" s="188" t="s">
        <v>808</v>
      </c>
      <c r="M1771" s="192">
        <f t="shared" si="81"/>
        <v>30</v>
      </c>
      <c r="N1771" s="193">
        <f t="shared" si="82"/>
        <v>1.2375</v>
      </c>
      <c r="O1771" s="194">
        <f t="shared" si="83"/>
        <v>4.1250000000000002E-2</v>
      </c>
    </row>
    <row r="1772" spans="1:15" ht="12.75" customHeight="1">
      <c r="A1772" s="188" t="s">
        <v>620</v>
      </c>
      <c r="B1772" s="188" t="s">
        <v>1394</v>
      </c>
      <c r="C1772" s="188" t="s">
        <v>641</v>
      </c>
      <c r="D1772" s="188" t="s">
        <v>3150</v>
      </c>
      <c r="E1772" s="189">
        <v>39269</v>
      </c>
      <c r="F1772" s="190">
        <v>0</v>
      </c>
      <c r="G1772" s="190">
        <v>22.21</v>
      </c>
      <c r="H1772" s="191">
        <v>544.79</v>
      </c>
      <c r="I1772" s="191">
        <v>86.75</v>
      </c>
      <c r="J1772" s="188" t="s">
        <v>624</v>
      </c>
      <c r="K1772" s="188" t="s">
        <v>338</v>
      </c>
      <c r="L1772" s="188" t="s">
        <v>3151</v>
      </c>
      <c r="M1772" s="192">
        <f t="shared" si="81"/>
        <v>38</v>
      </c>
      <c r="N1772" s="193">
        <f t="shared" si="82"/>
        <v>1.5699999999999998</v>
      </c>
      <c r="O1772" s="194">
        <f t="shared" si="83"/>
        <v>4.1315789473684209E-2</v>
      </c>
    </row>
    <row r="1773" spans="1:15" ht="12.75" customHeight="1">
      <c r="A1773" s="188" t="s">
        <v>620</v>
      </c>
      <c r="B1773" s="188" t="s">
        <v>1394</v>
      </c>
      <c r="C1773" s="188" t="s">
        <v>641</v>
      </c>
      <c r="D1773" s="188" t="s">
        <v>3152</v>
      </c>
      <c r="E1773" s="189">
        <v>39625</v>
      </c>
      <c r="F1773" s="190">
        <v>0</v>
      </c>
      <c r="G1773" s="190">
        <v>61.44</v>
      </c>
      <c r="H1773" s="191">
        <v>794.05</v>
      </c>
      <c r="I1773" s="191">
        <v>240</v>
      </c>
      <c r="J1773" s="188" t="s">
        <v>560</v>
      </c>
      <c r="K1773" s="188" t="s">
        <v>338</v>
      </c>
      <c r="L1773" s="188" t="s">
        <v>1146</v>
      </c>
      <c r="M1773" s="192">
        <f t="shared" si="81"/>
        <v>20</v>
      </c>
      <c r="N1773" s="193">
        <f t="shared" si="82"/>
        <v>0.82713541666666657</v>
      </c>
      <c r="O1773" s="194">
        <f t="shared" si="83"/>
        <v>4.1356770833333327E-2</v>
      </c>
    </row>
    <row r="1774" spans="1:15" ht="12.75" customHeight="1">
      <c r="A1774" s="188" t="s">
        <v>620</v>
      </c>
      <c r="B1774" s="188" t="s">
        <v>1394</v>
      </c>
      <c r="C1774" s="188" t="s">
        <v>641</v>
      </c>
      <c r="D1774" s="188" t="s">
        <v>3153</v>
      </c>
      <c r="E1774" s="189">
        <v>39464</v>
      </c>
      <c r="F1774" s="190">
        <v>0</v>
      </c>
      <c r="G1774" s="190">
        <v>69.63</v>
      </c>
      <c r="H1774" s="191">
        <v>901</v>
      </c>
      <c r="I1774" s="191">
        <v>272</v>
      </c>
      <c r="J1774" s="188" t="s">
        <v>560</v>
      </c>
      <c r="K1774" s="188" t="s">
        <v>338</v>
      </c>
      <c r="L1774" s="188" t="s">
        <v>2389</v>
      </c>
      <c r="M1774" s="192">
        <f t="shared" si="81"/>
        <v>20</v>
      </c>
      <c r="N1774" s="193">
        <f t="shared" si="82"/>
        <v>0.828125</v>
      </c>
      <c r="O1774" s="194">
        <f t="shared" si="83"/>
        <v>4.1406249999999999E-2</v>
      </c>
    </row>
    <row r="1775" spans="1:15" ht="12.75" customHeight="1">
      <c r="A1775" s="188" t="s">
        <v>620</v>
      </c>
      <c r="B1775" s="188" t="s">
        <v>1394</v>
      </c>
      <c r="C1775" s="188" t="s">
        <v>641</v>
      </c>
      <c r="D1775" s="188" t="s">
        <v>3154</v>
      </c>
      <c r="E1775" s="189">
        <v>39436</v>
      </c>
      <c r="F1775" s="190">
        <v>0</v>
      </c>
      <c r="G1775" s="190">
        <v>28.42</v>
      </c>
      <c r="H1775" s="191">
        <v>368</v>
      </c>
      <c r="I1775" s="191">
        <v>111</v>
      </c>
      <c r="J1775" s="188" t="s">
        <v>560</v>
      </c>
      <c r="K1775" s="188" t="s">
        <v>338</v>
      </c>
      <c r="L1775" s="188" t="s">
        <v>500</v>
      </c>
      <c r="M1775" s="192">
        <f t="shared" si="81"/>
        <v>20</v>
      </c>
      <c r="N1775" s="193">
        <f t="shared" si="82"/>
        <v>0.8288288288288288</v>
      </c>
      <c r="O1775" s="194">
        <f t="shared" si="83"/>
        <v>4.1441441441441441E-2</v>
      </c>
    </row>
    <row r="1776" spans="1:15" ht="12.75" customHeight="1">
      <c r="A1776" s="188" t="s">
        <v>620</v>
      </c>
      <c r="B1776" s="188" t="s">
        <v>1394</v>
      </c>
      <c r="C1776" s="188" t="s">
        <v>641</v>
      </c>
      <c r="D1776" s="188" t="s">
        <v>3155</v>
      </c>
      <c r="E1776" s="189">
        <v>39485</v>
      </c>
      <c r="F1776" s="190">
        <v>0</v>
      </c>
      <c r="G1776" s="190">
        <v>75.78</v>
      </c>
      <c r="H1776" s="191">
        <v>1325</v>
      </c>
      <c r="I1776" s="191">
        <v>296</v>
      </c>
      <c r="J1776" s="188" t="s">
        <v>639</v>
      </c>
      <c r="K1776" s="188" t="s">
        <v>338</v>
      </c>
      <c r="L1776" s="188" t="s">
        <v>3156</v>
      </c>
      <c r="M1776" s="192">
        <f t="shared" si="81"/>
        <v>27</v>
      </c>
      <c r="N1776" s="193">
        <f t="shared" si="82"/>
        <v>1.1190878378378379</v>
      </c>
      <c r="O1776" s="194">
        <f t="shared" si="83"/>
        <v>4.1447697697697704E-2</v>
      </c>
    </row>
    <row r="1777" spans="1:15" ht="12.75" customHeight="1">
      <c r="A1777" s="188" t="s">
        <v>620</v>
      </c>
      <c r="B1777" s="188" t="s">
        <v>1394</v>
      </c>
      <c r="C1777" s="188" t="s">
        <v>641</v>
      </c>
      <c r="D1777" s="188" t="s">
        <v>3157</v>
      </c>
      <c r="E1777" s="189">
        <v>39632</v>
      </c>
      <c r="F1777" s="190">
        <v>0</v>
      </c>
      <c r="G1777" s="190">
        <v>96.58</v>
      </c>
      <c r="H1777" s="191">
        <v>1190</v>
      </c>
      <c r="I1777" s="191">
        <v>377.25</v>
      </c>
      <c r="J1777" s="188" t="s">
        <v>667</v>
      </c>
      <c r="K1777" s="188" t="s">
        <v>338</v>
      </c>
      <c r="L1777" s="188" t="s">
        <v>3158</v>
      </c>
      <c r="M1777" s="192">
        <f t="shared" si="81"/>
        <v>19</v>
      </c>
      <c r="N1777" s="193">
        <f t="shared" si="82"/>
        <v>0.78860172299536113</v>
      </c>
      <c r="O1777" s="194">
        <f t="shared" si="83"/>
        <v>4.150535384186111E-2</v>
      </c>
    </row>
    <row r="1778" spans="1:15" ht="12.75" customHeight="1">
      <c r="A1778" s="188" t="s">
        <v>620</v>
      </c>
      <c r="B1778" s="188" t="s">
        <v>1394</v>
      </c>
      <c r="C1778" s="188" t="s">
        <v>641</v>
      </c>
      <c r="D1778" s="188" t="s">
        <v>3159</v>
      </c>
      <c r="E1778" s="189">
        <v>39499</v>
      </c>
      <c r="F1778" s="190">
        <v>0</v>
      </c>
      <c r="G1778" s="190">
        <v>115.58</v>
      </c>
      <c r="H1778" s="191">
        <v>1735</v>
      </c>
      <c r="I1778" s="191">
        <v>451.5</v>
      </c>
      <c r="J1778" s="188" t="s">
        <v>571</v>
      </c>
      <c r="K1778" s="188" t="s">
        <v>338</v>
      </c>
      <c r="L1778" s="188" t="s">
        <v>3160</v>
      </c>
      <c r="M1778" s="192">
        <f t="shared" si="81"/>
        <v>23</v>
      </c>
      <c r="N1778" s="193">
        <f t="shared" si="82"/>
        <v>0.96068660022148389</v>
      </c>
      <c r="O1778" s="194">
        <f t="shared" si="83"/>
        <v>4.1768982618325387E-2</v>
      </c>
    </row>
    <row r="1779" spans="1:15" ht="12.75" customHeight="1">
      <c r="A1779" s="188" t="s">
        <v>620</v>
      </c>
      <c r="B1779" s="188" t="s">
        <v>1394</v>
      </c>
      <c r="C1779" s="188" t="s">
        <v>641</v>
      </c>
      <c r="D1779" s="188" t="s">
        <v>3161</v>
      </c>
      <c r="E1779" s="189">
        <v>39254</v>
      </c>
      <c r="F1779" s="190">
        <v>0</v>
      </c>
      <c r="G1779" s="190">
        <v>79.040000000000006</v>
      </c>
      <c r="H1779" s="191">
        <v>1548.2</v>
      </c>
      <c r="I1779" s="191">
        <v>308.75</v>
      </c>
      <c r="J1779" s="188" t="s">
        <v>635</v>
      </c>
      <c r="K1779" s="188" t="s">
        <v>338</v>
      </c>
      <c r="L1779" s="188" t="s">
        <v>3162</v>
      </c>
      <c r="M1779" s="192">
        <f t="shared" si="81"/>
        <v>30</v>
      </c>
      <c r="N1779" s="193">
        <f t="shared" si="82"/>
        <v>1.2536032388663969</v>
      </c>
      <c r="O1779" s="194">
        <f t="shared" si="83"/>
        <v>4.1786774628879898E-2</v>
      </c>
    </row>
    <row r="1780" spans="1:15" ht="12.75" customHeight="1">
      <c r="A1780" s="188" t="s">
        <v>620</v>
      </c>
      <c r="B1780" s="188" t="s">
        <v>1394</v>
      </c>
      <c r="C1780" s="188" t="s">
        <v>641</v>
      </c>
      <c r="D1780" s="188" t="s">
        <v>3163</v>
      </c>
      <c r="E1780" s="189">
        <v>39296</v>
      </c>
      <c r="F1780" s="190">
        <v>0</v>
      </c>
      <c r="G1780" s="190">
        <v>76.16</v>
      </c>
      <c r="H1780" s="191">
        <v>1246.05</v>
      </c>
      <c r="I1780" s="191">
        <v>297.5</v>
      </c>
      <c r="J1780" s="188" t="s">
        <v>652</v>
      </c>
      <c r="K1780" s="188" t="s">
        <v>338</v>
      </c>
      <c r="L1780" s="188" t="s">
        <v>519</v>
      </c>
      <c r="M1780" s="192">
        <f t="shared" si="81"/>
        <v>25</v>
      </c>
      <c r="N1780" s="193">
        <f t="shared" si="82"/>
        <v>1.0471008403361344</v>
      </c>
      <c r="O1780" s="194">
        <f t="shared" si="83"/>
        <v>4.1884033613445372E-2</v>
      </c>
    </row>
    <row r="1781" spans="1:15" ht="12.75" customHeight="1">
      <c r="A1781" s="188" t="s">
        <v>620</v>
      </c>
      <c r="B1781" s="188" t="s">
        <v>1394</v>
      </c>
      <c r="C1781" s="188" t="s">
        <v>641</v>
      </c>
      <c r="D1781" s="188" t="s">
        <v>3164</v>
      </c>
      <c r="E1781" s="189">
        <v>39611</v>
      </c>
      <c r="F1781" s="190">
        <v>0</v>
      </c>
      <c r="G1781" s="190">
        <v>55.3</v>
      </c>
      <c r="H1781" s="191">
        <v>723.97</v>
      </c>
      <c r="I1781" s="191">
        <v>216</v>
      </c>
      <c r="J1781" s="188" t="s">
        <v>560</v>
      </c>
      <c r="K1781" s="188" t="s">
        <v>338</v>
      </c>
      <c r="L1781" s="188" t="s">
        <v>1342</v>
      </c>
      <c r="M1781" s="192">
        <f t="shared" si="81"/>
        <v>20</v>
      </c>
      <c r="N1781" s="193">
        <f t="shared" si="82"/>
        <v>0.83792824074074079</v>
      </c>
      <c r="O1781" s="194">
        <f t="shared" si="83"/>
        <v>4.1896412037037041E-2</v>
      </c>
    </row>
    <row r="1782" spans="1:15" ht="12.75" customHeight="1">
      <c r="A1782" s="188" t="s">
        <v>620</v>
      </c>
      <c r="B1782" s="188" t="s">
        <v>1394</v>
      </c>
      <c r="C1782" s="188" t="s">
        <v>641</v>
      </c>
      <c r="D1782" s="188" t="s">
        <v>3165</v>
      </c>
      <c r="E1782" s="189">
        <v>39436</v>
      </c>
      <c r="F1782" s="190">
        <v>0</v>
      </c>
      <c r="G1782" s="190">
        <v>99.2</v>
      </c>
      <c r="H1782" s="191">
        <v>1300</v>
      </c>
      <c r="I1782" s="191">
        <v>387.5</v>
      </c>
      <c r="J1782" s="188" t="s">
        <v>560</v>
      </c>
      <c r="K1782" s="188" t="s">
        <v>338</v>
      </c>
      <c r="L1782" s="188" t="s">
        <v>1474</v>
      </c>
      <c r="M1782" s="192">
        <f t="shared" si="81"/>
        <v>20</v>
      </c>
      <c r="N1782" s="193">
        <f t="shared" si="82"/>
        <v>0.83870967741935487</v>
      </c>
      <c r="O1782" s="194">
        <f t="shared" si="83"/>
        <v>4.1935483870967745E-2</v>
      </c>
    </row>
    <row r="1783" spans="1:15" ht="12.75" customHeight="1">
      <c r="A1783" s="188" t="s">
        <v>620</v>
      </c>
      <c r="B1783" s="188" t="s">
        <v>1394</v>
      </c>
      <c r="C1783" s="188" t="s">
        <v>641</v>
      </c>
      <c r="D1783" s="188" t="s">
        <v>3166</v>
      </c>
      <c r="E1783" s="189">
        <v>39261</v>
      </c>
      <c r="F1783" s="190">
        <v>0</v>
      </c>
      <c r="G1783" s="190">
        <v>112</v>
      </c>
      <c r="H1783" s="191">
        <v>1394.93</v>
      </c>
      <c r="I1783" s="191">
        <v>437.5</v>
      </c>
      <c r="J1783" s="188" t="s">
        <v>667</v>
      </c>
      <c r="K1783" s="188" t="s">
        <v>338</v>
      </c>
      <c r="L1783" s="188" t="s">
        <v>727</v>
      </c>
      <c r="M1783" s="192">
        <f t="shared" si="81"/>
        <v>19</v>
      </c>
      <c r="N1783" s="193">
        <f t="shared" si="82"/>
        <v>0.79710285714285722</v>
      </c>
      <c r="O1783" s="194">
        <f t="shared" si="83"/>
        <v>4.1952781954887219E-2</v>
      </c>
    </row>
    <row r="1784" spans="1:15" ht="12.75" customHeight="1">
      <c r="A1784" s="188" t="s">
        <v>620</v>
      </c>
      <c r="B1784" s="188" t="s">
        <v>1394</v>
      </c>
      <c r="C1784" s="188" t="s">
        <v>641</v>
      </c>
      <c r="D1784" s="188" t="s">
        <v>3167</v>
      </c>
      <c r="E1784" s="189">
        <v>39395</v>
      </c>
      <c r="F1784" s="190">
        <v>0</v>
      </c>
      <c r="G1784" s="190">
        <v>87.74</v>
      </c>
      <c r="H1784" s="191">
        <v>1152.4100000000001</v>
      </c>
      <c r="I1784" s="191">
        <v>342.75</v>
      </c>
      <c r="J1784" s="188" t="s">
        <v>560</v>
      </c>
      <c r="K1784" s="188" t="s">
        <v>338</v>
      </c>
      <c r="L1784" s="188" t="s">
        <v>2220</v>
      </c>
      <c r="M1784" s="192">
        <f t="shared" si="81"/>
        <v>20</v>
      </c>
      <c r="N1784" s="193">
        <f t="shared" si="82"/>
        <v>0.84056163384390958</v>
      </c>
      <c r="O1784" s="194">
        <f t="shared" si="83"/>
        <v>4.2028081692195476E-2</v>
      </c>
    </row>
    <row r="1785" spans="1:15" ht="12.75" customHeight="1">
      <c r="A1785" s="188" t="s">
        <v>620</v>
      </c>
      <c r="B1785" s="188" t="s">
        <v>1394</v>
      </c>
      <c r="C1785" s="188" t="s">
        <v>641</v>
      </c>
      <c r="D1785" s="188" t="s">
        <v>3168</v>
      </c>
      <c r="E1785" s="189">
        <v>39568</v>
      </c>
      <c r="F1785" s="190">
        <v>0</v>
      </c>
      <c r="G1785" s="190">
        <v>16</v>
      </c>
      <c r="H1785" s="191">
        <v>201</v>
      </c>
      <c r="I1785" s="191">
        <v>62.5</v>
      </c>
      <c r="J1785" s="188" t="s">
        <v>667</v>
      </c>
      <c r="K1785" s="188" t="s">
        <v>338</v>
      </c>
      <c r="L1785" s="188" t="s">
        <v>2387</v>
      </c>
      <c r="M1785" s="192">
        <f t="shared" si="81"/>
        <v>19</v>
      </c>
      <c r="N1785" s="193">
        <f t="shared" si="82"/>
        <v>0.80400000000000005</v>
      </c>
      <c r="O1785" s="194">
        <f t="shared" si="83"/>
        <v>4.2315789473684216E-2</v>
      </c>
    </row>
    <row r="1786" spans="1:15" ht="12.75" customHeight="1">
      <c r="A1786" s="188" t="s">
        <v>620</v>
      </c>
      <c r="B1786" s="188" t="s">
        <v>1394</v>
      </c>
      <c r="C1786" s="188" t="s">
        <v>641</v>
      </c>
      <c r="D1786" s="188" t="s">
        <v>3169</v>
      </c>
      <c r="E1786" s="189">
        <v>39447</v>
      </c>
      <c r="F1786" s="190">
        <v>0</v>
      </c>
      <c r="G1786" s="190">
        <v>48.64</v>
      </c>
      <c r="H1786" s="191">
        <v>997</v>
      </c>
      <c r="I1786" s="191">
        <v>190</v>
      </c>
      <c r="J1786" s="188" t="s">
        <v>503</v>
      </c>
      <c r="K1786" s="188" t="s">
        <v>338</v>
      </c>
      <c r="L1786" s="188" t="s">
        <v>759</v>
      </c>
      <c r="M1786" s="192">
        <f t="shared" si="81"/>
        <v>31</v>
      </c>
      <c r="N1786" s="193">
        <f t="shared" si="82"/>
        <v>1.3118421052631579</v>
      </c>
      <c r="O1786" s="194">
        <f t="shared" si="83"/>
        <v>4.2317487266553482E-2</v>
      </c>
    </row>
    <row r="1787" spans="1:15" ht="12.75" customHeight="1">
      <c r="A1787" s="188" t="s">
        <v>620</v>
      </c>
      <c r="B1787" s="188" t="s">
        <v>1394</v>
      </c>
      <c r="C1787" s="188" t="s">
        <v>641</v>
      </c>
      <c r="D1787" s="188" t="s">
        <v>3170</v>
      </c>
      <c r="E1787" s="189">
        <v>39240</v>
      </c>
      <c r="F1787" s="190">
        <v>0</v>
      </c>
      <c r="G1787" s="190">
        <v>54.4</v>
      </c>
      <c r="H1787" s="191">
        <v>974.01</v>
      </c>
      <c r="I1787" s="191">
        <v>212.5</v>
      </c>
      <c r="J1787" s="188" t="s">
        <v>639</v>
      </c>
      <c r="K1787" s="188" t="s">
        <v>338</v>
      </c>
      <c r="L1787" s="188" t="s">
        <v>1170</v>
      </c>
      <c r="M1787" s="192">
        <f t="shared" si="81"/>
        <v>27</v>
      </c>
      <c r="N1787" s="193">
        <f t="shared" si="82"/>
        <v>1.1458941176470587</v>
      </c>
      <c r="O1787" s="194">
        <f t="shared" si="83"/>
        <v>4.244052287581699E-2</v>
      </c>
    </row>
    <row r="1788" spans="1:15" ht="12.75" customHeight="1">
      <c r="A1788" s="188" t="s">
        <v>620</v>
      </c>
      <c r="B1788" s="188" t="s">
        <v>1394</v>
      </c>
      <c r="C1788" s="188" t="s">
        <v>641</v>
      </c>
      <c r="D1788" s="188" t="s">
        <v>3171</v>
      </c>
      <c r="E1788" s="189">
        <v>39447</v>
      </c>
      <c r="F1788" s="190">
        <v>0</v>
      </c>
      <c r="G1788" s="190">
        <v>46.08</v>
      </c>
      <c r="H1788" s="191">
        <v>828</v>
      </c>
      <c r="I1788" s="191">
        <v>180</v>
      </c>
      <c r="J1788" s="188" t="s">
        <v>639</v>
      </c>
      <c r="K1788" s="188" t="s">
        <v>338</v>
      </c>
      <c r="L1788" s="188" t="s">
        <v>313</v>
      </c>
      <c r="M1788" s="192">
        <f t="shared" si="81"/>
        <v>27</v>
      </c>
      <c r="N1788" s="193">
        <f t="shared" si="82"/>
        <v>1.1499999999999999</v>
      </c>
      <c r="O1788" s="194">
        <f t="shared" si="83"/>
        <v>4.2592592592592592E-2</v>
      </c>
    </row>
    <row r="1789" spans="1:15" ht="12.75" customHeight="1">
      <c r="A1789" s="188" t="s">
        <v>620</v>
      </c>
      <c r="B1789" s="188" t="s">
        <v>1394</v>
      </c>
      <c r="C1789" s="188" t="s">
        <v>641</v>
      </c>
      <c r="D1789" s="188" t="s">
        <v>3172</v>
      </c>
      <c r="E1789" s="189">
        <v>39261</v>
      </c>
      <c r="F1789" s="190">
        <v>0</v>
      </c>
      <c r="G1789" s="190">
        <v>82.94</v>
      </c>
      <c r="H1789" s="191">
        <v>1104.97</v>
      </c>
      <c r="I1789" s="191">
        <v>324</v>
      </c>
      <c r="J1789" s="188" t="s">
        <v>560</v>
      </c>
      <c r="K1789" s="188" t="s">
        <v>338</v>
      </c>
      <c r="L1789" s="188" t="s">
        <v>1319</v>
      </c>
      <c r="M1789" s="192">
        <f t="shared" si="81"/>
        <v>20</v>
      </c>
      <c r="N1789" s="193">
        <f t="shared" si="82"/>
        <v>0.85260030864197534</v>
      </c>
      <c r="O1789" s="194">
        <f t="shared" si="83"/>
        <v>4.2630015432098767E-2</v>
      </c>
    </row>
    <row r="1790" spans="1:15" ht="12.75" customHeight="1">
      <c r="A1790" s="188" t="s">
        <v>620</v>
      </c>
      <c r="B1790" s="188" t="s">
        <v>1394</v>
      </c>
      <c r="C1790" s="188" t="s">
        <v>641</v>
      </c>
      <c r="D1790" s="188" t="s">
        <v>3173</v>
      </c>
      <c r="E1790" s="189">
        <v>39562</v>
      </c>
      <c r="F1790" s="190">
        <v>0</v>
      </c>
      <c r="G1790" s="190">
        <v>80</v>
      </c>
      <c r="H1790" s="191">
        <v>1230</v>
      </c>
      <c r="I1790" s="191">
        <v>312.5</v>
      </c>
      <c r="J1790" s="188" t="s">
        <v>571</v>
      </c>
      <c r="K1790" s="188" t="s">
        <v>338</v>
      </c>
      <c r="L1790" s="188" t="s">
        <v>716</v>
      </c>
      <c r="M1790" s="192">
        <f t="shared" si="81"/>
        <v>23</v>
      </c>
      <c r="N1790" s="193">
        <f t="shared" si="82"/>
        <v>0.98399999999999999</v>
      </c>
      <c r="O1790" s="194">
        <f t="shared" si="83"/>
        <v>4.2782608695652175E-2</v>
      </c>
    </row>
    <row r="1791" spans="1:15" ht="12.75" customHeight="1">
      <c r="A1791" s="188" t="s">
        <v>620</v>
      </c>
      <c r="B1791" s="188" t="s">
        <v>1394</v>
      </c>
      <c r="C1791" s="188" t="s">
        <v>641</v>
      </c>
      <c r="D1791" s="188" t="s">
        <v>3174</v>
      </c>
      <c r="E1791" s="189">
        <v>39471</v>
      </c>
      <c r="F1791" s="190">
        <v>0</v>
      </c>
      <c r="G1791" s="190">
        <v>51.2</v>
      </c>
      <c r="H1791" s="191">
        <v>686</v>
      </c>
      <c r="I1791" s="191">
        <v>200</v>
      </c>
      <c r="J1791" s="188" t="s">
        <v>560</v>
      </c>
      <c r="K1791" s="188" t="s">
        <v>338</v>
      </c>
      <c r="L1791" s="188" t="s">
        <v>752</v>
      </c>
      <c r="M1791" s="192">
        <f t="shared" si="81"/>
        <v>20</v>
      </c>
      <c r="N1791" s="193">
        <f t="shared" si="82"/>
        <v>0.85750000000000004</v>
      </c>
      <c r="O1791" s="194">
        <f t="shared" si="83"/>
        <v>4.2875000000000003E-2</v>
      </c>
    </row>
    <row r="1792" spans="1:15" ht="12.75" customHeight="1">
      <c r="A1792" s="188" t="s">
        <v>620</v>
      </c>
      <c r="B1792" s="188" t="s">
        <v>1394</v>
      </c>
      <c r="C1792" s="188" t="s">
        <v>641</v>
      </c>
      <c r="D1792" s="188" t="s">
        <v>3175</v>
      </c>
      <c r="E1792" s="189">
        <v>39359</v>
      </c>
      <c r="F1792" s="190">
        <v>0</v>
      </c>
      <c r="G1792" s="190">
        <v>44.48</v>
      </c>
      <c r="H1792" s="191">
        <v>596</v>
      </c>
      <c r="I1792" s="191">
        <v>173.75</v>
      </c>
      <c r="J1792" s="188" t="s">
        <v>560</v>
      </c>
      <c r="K1792" s="188" t="s">
        <v>338</v>
      </c>
      <c r="L1792" s="188" t="s">
        <v>3176</v>
      </c>
      <c r="M1792" s="192">
        <f t="shared" si="81"/>
        <v>20</v>
      </c>
      <c r="N1792" s="193">
        <f t="shared" si="82"/>
        <v>0.85755395683453239</v>
      </c>
      <c r="O1792" s="194">
        <f t="shared" si="83"/>
        <v>4.2877697841726618E-2</v>
      </c>
    </row>
    <row r="1793" spans="1:15" ht="12.75" customHeight="1">
      <c r="A1793" s="188" t="s">
        <v>620</v>
      </c>
      <c r="B1793" s="188" t="s">
        <v>1394</v>
      </c>
      <c r="C1793" s="188" t="s">
        <v>641</v>
      </c>
      <c r="D1793" s="188" t="s">
        <v>3177</v>
      </c>
      <c r="E1793" s="189">
        <v>39625</v>
      </c>
      <c r="F1793" s="190">
        <v>0</v>
      </c>
      <c r="G1793" s="190">
        <v>73.66</v>
      </c>
      <c r="H1793" s="191">
        <v>1877</v>
      </c>
      <c r="I1793" s="191">
        <v>287.75</v>
      </c>
      <c r="J1793" s="188" t="s">
        <v>624</v>
      </c>
      <c r="K1793" s="188" t="s">
        <v>338</v>
      </c>
      <c r="L1793" s="188" t="s">
        <v>929</v>
      </c>
      <c r="M1793" s="192">
        <f t="shared" si="81"/>
        <v>38</v>
      </c>
      <c r="N1793" s="193">
        <f t="shared" si="82"/>
        <v>1.6307558644656821</v>
      </c>
      <c r="O1793" s="194">
        <f t="shared" si="83"/>
        <v>4.2914628012254791E-2</v>
      </c>
    </row>
    <row r="1794" spans="1:15" ht="12.75" customHeight="1">
      <c r="A1794" s="188" t="s">
        <v>620</v>
      </c>
      <c r="B1794" s="188" t="s">
        <v>1394</v>
      </c>
      <c r="C1794" s="188" t="s">
        <v>641</v>
      </c>
      <c r="D1794" s="188" t="s">
        <v>3178</v>
      </c>
      <c r="E1794" s="189">
        <v>39485</v>
      </c>
      <c r="F1794" s="190">
        <v>0</v>
      </c>
      <c r="G1794" s="190">
        <v>81.790000000000006</v>
      </c>
      <c r="H1794" s="191">
        <v>2087</v>
      </c>
      <c r="I1794" s="191">
        <v>319.5</v>
      </c>
      <c r="J1794" s="188" t="s">
        <v>624</v>
      </c>
      <c r="K1794" s="188" t="s">
        <v>338</v>
      </c>
      <c r="L1794" s="188" t="s">
        <v>958</v>
      </c>
      <c r="M1794" s="192">
        <f t="shared" ref="M1794:M1857" si="84">K1794-J1794</f>
        <v>38</v>
      </c>
      <c r="N1794" s="193">
        <f t="shared" ref="N1794:N1857" si="85">H1794/L1794</f>
        <v>1.6330203442879498</v>
      </c>
      <c r="O1794" s="194">
        <f t="shared" ref="O1794:O1857" si="86">N1794/M1794</f>
        <v>4.2974219586524996E-2</v>
      </c>
    </row>
    <row r="1795" spans="1:15" ht="12.75" customHeight="1">
      <c r="A1795" s="188" t="s">
        <v>620</v>
      </c>
      <c r="B1795" s="188" t="s">
        <v>1394</v>
      </c>
      <c r="C1795" s="188" t="s">
        <v>641</v>
      </c>
      <c r="D1795" s="188" t="s">
        <v>3179</v>
      </c>
      <c r="E1795" s="189">
        <v>39282</v>
      </c>
      <c r="F1795" s="190">
        <v>0</v>
      </c>
      <c r="G1795" s="190">
        <v>76.8</v>
      </c>
      <c r="H1795" s="191">
        <v>1960.44</v>
      </c>
      <c r="I1795" s="191">
        <v>300</v>
      </c>
      <c r="J1795" s="188" t="s">
        <v>624</v>
      </c>
      <c r="K1795" s="188" t="s">
        <v>338</v>
      </c>
      <c r="L1795" s="188" t="s">
        <v>632</v>
      </c>
      <c r="M1795" s="192">
        <f t="shared" si="84"/>
        <v>38</v>
      </c>
      <c r="N1795" s="193">
        <f t="shared" si="85"/>
        <v>1.6337000000000002</v>
      </c>
      <c r="O1795" s="194">
        <f t="shared" si="86"/>
        <v>4.2992105263157901E-2</v>
      </c>
    </row>
    <row r="1796" spans="1:15" ht="12.75" customHeight="1">
      <c r="A1796" s="188" t="s">
        <v>620</v>
      </c>
      <c r="B1796" s="188" t="s">
        <v>1394</v>
      </c>
      <c r="C1796" s="188" t="s">
        <v>641</v>
      </c>
      <c r="D1796" s="188" t="s">
        <v>3180</v>
      </c>
      <c r="E1796" s="189">
        <v>39507</v>
      </c>
      <c r="F1796" s="190">
        <v>0</v>
      </c>
      <c r="G1796" s="190">
        <v>63.36</v>
      </c>
      <c r="H1796" s="191">
        <v>810</v>
      </c>
      <c r="I1796" s="191">
        <v>247.5</v>
      </c>
      <c r="J1796" s="188" t="s">
        <v>667</v>
      </c>
      <c r="K1796" s="188" t="s">
        <v>338</v>
      </c>
      <c r="L1796" s="188" t="s">
        <v>738</v>
      </c>
      <c r="M1796" s="192">
        <f t="shared" si="84"/>
        <v>19</v>
      </c>
      <c r="N1796" s="193">
        <f t="shared" si="85"/>
        <v>0.81818181818181823</v>
      </c>
      <c r="O1796" s="194">
        <f t="shared" si="86"/>
        <v>4.3062200956937802E-2</v>
      </c>
    </row>
    <row r="1797" spans="1:15" ht="12.75" customHeight="1">
      <c r="A1797" s="188" t="s">
        <v>620</v>
      </c>
      <c r="B1797" s="188" t="s">
        <v>1394</v>
      </c>
      <c r="C1797" s="188" t="s">
        <v>641</v>
      </c>
      <c r="D1797" s="188" t="s">
        <v>3181</v>
      </c>
      <c r="E1797" s="189">
        <v>39520</v>
      </c>
      <c r="F1797" s="190">
        <v>0</v>
      </c>
      <c r="G1797" s="190">
        <v>83.2</v>
      </c>
      <c r="H1797" s="191">
        <v>1124</v>
      </c>
      <c r="I1797" s="191">
        <v>325</v>
      </c>
      <c r="J1797" s="188" t="s">
        <v>560</v>
      </c>
      <c r="K1797" s="188" t="s">
        <v>338</v>
      </c>
      <c r="L1797" s="188" t="s">
        <v>699</v>
      </c>
      <c r="M1797" s="192">
        <f t="shared" si="84"/>
        <v>20</v>
      </c>
      <c r="N1797" s="193">
        <f t="shared" si="85"/>
        <v>0.86461538461538456</v>
      </c>
      <c r="O1797" s="194">
        <f t="shared" si="86"/>
        <v>4.3230769230769225E-2</v>
      </c>
    </row>
    <row r="1798" spans="1:15" ht="12.75" customHeight="1">
      <c r="A1798" s="188" t="s">
        <v>620</v>
      </c>
      <c r="B1798" s="188" t="s">
        <v>1394</v>
      </c>
      <c r="C1798" s="188" t="s">
        <v>641</v>
      </c>
      <c r="D1798" s="188" t="s">
        <v>3182</v>
      </c>
      <c r="E1798" s="189">
        <v>39576</v>
      </c>
      <c r="F1798" s="190">
        <v>0</v>
      </c>
      <c r="G1798" s="190">
        <v>41.6</v>
      </c>
      <c r="H1798" s="191">
        <v>618.52</v>
      </c>
      <c r="I1798" s="191">
        <v>162.5</v>
      </c>
      <c r="J1798" s="188" t="s">
        <v>710</v>
      </c>
      <c r="K1798" s="188" t="s">
        <v>338</v>
      </c>
      <c r="L1798" s="188" t="s">
        <v>1774</v>
      </c>
      <c r="M1798" s="192">
        <f t="shared" si="84"/>
        <v>22</v>
      </c>
      <c r="N1798" s="193">
        <f t="shared" si="85"/>
        <v>0.95156923076923072</v>
      </c>
      <c r="O1798" s="194">
        <f t="shared" si="86"/>
        <v>4.3253146853146851E-2</v>
      </c>
    </row>
    <row r="1799" spans="1:15" ht="12.75" customHeight="1">
      <c r="A1799" s="188" t="s">
        <v>620</v>
      </c>
      <c r="B1799" s="188" t="s">
        <v>1394</v>
      </c>
      <c r="C1799" s="188" t="s">
        <v>641</v>
      </c>
      <c r="D1799" s="188" t="s">
        <v>3183</v>
      </c>
      <c r="E1799" s="189">
        <v>39429</v>
      </c>
      <c r="F1799" s="190">
        <v>0</v>
      </c>
      <c r="G1799" s="190">
        <v>46.59</v>
      </c>
      <c r="H1799" s="191">
        <v>945</v>
      </c>
      <c r="I1799" s="191">
        <v>182</v>
      </c>
      <c r="J1799" s="188" t="s">
        <v>635</v>
      </c>
      <c r="K1799" s="188" t="s">
        <v>338</v>
      </c>
      <c r="L1799" s="188" t="s">
        <v>1249</v>
      </c>
      <c r="M1799" s="192">
        <f t="shared" si="84"/>
        <v>30</v>
      </c>
      <c r="N1799" s="193">
        <f t="shared" si="85"/>
        <v>1.2980769230769231</v>
      </c>
      <c r="O1799" s="194">
        <f t="shared" si="86"/>
        <v>4.3269230769230768E-2</v>
      </c>
    </row>
    <row r="1800" spans="1:15" ht="12.75" customHeight="1">
      <c r="A1800" s="188" t="s">
        <v>620</v>
      </c>
      <c r="B1800" s="188" t="s">
        <v>1394</v>
      </c>
      <c r="C1800" s="188" t="s">
        <v>641</v>
      </c>
      <c r="D1800" s="188" t="s">
        <v>3184</v>
      </c>
      <c r="E1800" s="189">
        <v>39499</v>
      </c>
      <c r="F1800" s="190">
        <v>0</v>
      </c>
      <c r="G1800" s="190">
        <v>91.14</v>
      </c>
      <c r="H1800" s="191">
        <v>1233</v>
      </c>
      <c r="I1800" s="191">
        <v>356</v>
      </c>
      <c r="J1800" s="188" t="s">
        <v>560</v>
      </c>
      <c r="K1800" s="188" t="s">
        <v>338</v>
      </c>
      <c r="L1800" s="188" t="s">
        <v>823</v>
      </c>
      <c r="M1800" s="192">
        <f t="shared" si="84"/>
        <v>20</v>
      </c>
      <c r="N1800" s="193">
        <f t="shared" si="85"/>
        <v>0.8658707865168539</v>
      </c>
      <c r="O1800" s="194">
        <f t="shared" si="86"/>
        <v>4.3293539325842692E-2</v>
      </c>
    </row>
    <row r="1801" spans="1:15" ht="12.75" customHeight="1">
      <c r="A1801" s="188" t="s">
        <v>620</v>
      </c>
      <c r="B1801" s="188" t="s">
        <v>1394</v>
      </c>
      <c r="C1801" s="188" t="s">
        <v>641</v>
      </c>
      <c r="D1801" s="188" t="s">
        <v>3185</v>
      </c>
      <c r="E1801" s="189">
        <v>39429</v>
      </c>
      <c r="F1801" s="190">
        <v>0</v>
      </c>
      <c r="G1801" s="190">
        <v>40.96</v>
      </c>
      <c r="H1801" s="191">
        <v>835</v>
      </c>
      <c r="I1801" s="191">
        <v>160</v>
      </c>
      <c r="J1801" s="188" t="s">
        <v>635</v>
      </c>
      <c r="K1801" s="188" t="s">
        <v>338</v>
      </c>
      <c r="L1801" s="188" t="s">
        <v>1849</v>
      </c>
      <c r="M1801" s="192">
        <f t="shared" si="84"/>
        <v>30</v>
      </c>
      <c r="N1801" s="193">
        <f t="shared" si="85"/>
        <v>1.3046875</v>
      </c>
      <c r="O1801" s="194">
        <f t="shared" si="86"/>
        <v>4.3489583333333331E-2</v>
      </c>
    </row>
    <row r="1802" spans="1:15" ht="12.75" customHeight="1">
      <c r="A1802" s="188" t="s">
        <v>620</v>
      </c>
      <c r="B1802" s="188" t="s">
        <v>1394</v>
      </c>
      <c r="C1802" s="188" t="s">
        <v>641</v>
      </c>
      <c r="D1802" s="188" t="s">
        <v>3186</v>
      </c>
      <c r="E1802" s="189">
        <v>39520</v>
      </c>
      <c r="F1802" s="190">
        <v>0</v>
      </c>
      <c r="G1802" s="190">
        <v>82.05</v>
      </c>
      <c r="H1802" s="191">
        <v>1060</v>
      </c>
      <c r="I1802" s="191">
        <v>320.5</v>
      </c>
      <c r="J1802" s="188" t="s">
        <v>667</v>
      </c>
      <c r="K1802" s="188" t="s">
        <v>338</v>
      </c>
      <c r="L1802" s="188" t="s">
        <v>383</v>
      </c>
      <c r="M1802" s="192">
        <f t="shared" si="84"/>
        <v>19</v>
      </c>
      <c r="N1802" s="193">
        <f t="shared" si="85"/>
        <v>0.82683307332293288</v>
      </c>
      <c r="O1802" s="194">
        <f t="shared" si="86"/>
        <v>4.3517530174891204E-2</v>
      </c>
    </row>
    <row r="1803" spans="1:15" ht="12.75" customHeight="1">
      <c r="A1803" s="188" t="s">
        <v>620</v>
      </c>
      <c r="B1803" s="188" t="s">
        <v>1394</v>
      </c>
      <c r="C1803" s="188" t="s">
        <v>641</v>
      </c>
      <c r="D1803" s="188" t="s">
        <v>3187</v>
      </c>
      <c r="E1803" s="189">
        <v>39583</v>
      </c>
      <c r="F1803" s="190">
        <v>0</v>
      </c>
      <c r="G1803" s="190">
        <v>58.24</v>
      </c>
      <c r="H1803" s="191">
        <v>1030.43</v>
      </c>
      <c r="I1803" s="191">
        <v>227.5</v>
      </c>
      <c r="J1803" s="188" t="s">
        <v>361</v>
      </c>
      <c r="K1803" s="188" t="s">
        <v>338</v>
      </c>
      <c r="L1803" s="188" t="s">
        <v>1518</v>
      </c>
      <c r="M1803" s="192">
        <f t="shared" si="84"/>
        <v>26</v>
      </c>
      <c r="N1803" s="193">
        <f t="shared" si="85"/>
        <v>1.1323406593406593</v>
      </c>
      <c r="O1803" s="194">
        <f t="shared" si="86"/>
        <v>4.3551563820794587E-2</v>
      </c>
    </row>
    <row r="1804" spans="1:15" ht="12.75" customHeight="1">
      <c r="A1804" s="188" t="s">
        <v>620</v>
      </c>
      <c r="B1804" s="188" t="s">
        <v>1394</v>
      </c>
      <c r="C1804" s="188" t="s">
        <v>641</v>
      </c>
      <c r="D1804" s="188" t="s">
        <v>3188</v>
      </c>
      <c r="E1804" s="189">
        <v>39499</v>
      </c>
      <c r="F1804" s="190">
        <v>0</v>
      </c>
      <c r="G1804" s="190">
        <v>115.2</v>
      </c>
      <c r="H1804" s="191">
        <v>1648</v>
      </c>
      <c r="I1804" s="191">
        <v>450</v>
      </c>
      <c r="J1804" s="188" t="s">
        <v>879</v>
      </c>
      <c r="K1804" s="188" t="s">
        <v>338</v>
      </c>
      <c r="L1804" s="188" t="s">
        <v>718</v>
      </c>
      <c r="M1804" s="192">
        <f t="shared" si="84"/>
        <v>21</v>
      </c>
      <c r="N1804" s="193">
        <f t="shared" si="85"/>
        <v>0.91555555555555557</v>
      </c>
      <c r="O1804" s="194">
        <f t="shared" si="86"/>
        <v>4.3597883597883601E-2</v>
      </c>
    </row>
    <row r="1805" spans="1:15" ht="12.75" customHeight="1">
      <c r="A1805" s="188" t="s">
        <v>620</v>
      </c>
      <c r="B1805" s="188" t="s">
        <v>1394</v>
      </c>
      <c r="C1805" s="188" t="s">
        <v>641</v>
      </c>
      <c r="D1805" s="188" t="s">
        <v>3189</v>
      </c>
      <c r="E1805" s="189">
        <v>39345</v>
      </c>
      <c r="F1805" s="190">
        <v>0</v>
      </c>
      <c r="G1805" s="190">
        <v>32</v>
      </c>
      <c r="H1805" s="191">
        <v>438</v>
      </c>
      <c r="I1805" s="191">
        <v>125</v>
      </c>
      <c r="J1805" s="188" t="s">
        <v>560</v>
      </c>
      <c r="K1805" s="188" t="s">
        <v>338</v>
      </c>
      <c r="L1805" s="188" t="s">
        <v>858</v>
      </c>
      <c r="M1805" s="192">
        <f t="shared" si="84"/>
        <v>20</v>
      </c>
      <c r="N1805" s="193">
        <f t="shared" si="85"/>
        <v>0.876</v>
      </c>
      <c r="O1805" s="194">
        <f t="shared" si="86"/>
        <v>4.3799999999999999E-2</v>
      </c>
    </row>
    <row r="1806" spans="1:15" ht="12.75" customHeight="1">
      <c r="A1806" s="188" t="s">
        <v>620</v>
      </c>
      <c r="B1806" s="188" t="s">
        <v>1394</v>
      </c>
      <c r="C1806" s="188" t="s">
        <v>641</v>
      </c>
      <c r="D1806" s="188" t="s">
        <v>3190</v>
      </c>
      <c r="E1806" s="189">
        <v>39447</v>
      </c>
      <c r="F1806" s="190">
        <v>0</v>
      </c>
      <c r="G1806" s="190">
        <v>92.8</v>
      </c>
      <c r="H1806" s="191">
        <v>1336</v>
      </c>
      <c r="I1806" s="191">
        <v>362.5</v>
      </c>
      <c r="J1806" s="188" t="s">
        <v>879</v>
      </c>
      <c r="K1806" s="188" t="s">
        <v>338</v>
      </c>
      <c r="L1806" s="188" t="s">
        <v>920</v>
      </c>
      <c r="M1806" s="192">
        <f t="shared" si="84"/>
        <v>21</v>
      </c>
      <c r="N1806" s="193">
        <f t="shared" si="85"/>
        <v>0.92137931034482756</v>
      </c>
      <c r="O1806" s="194">
        <f t="shared" si="86"/>
        <v>4.3875205254515597E-2</v>
      </c>
    </row>
    <row r="1807" spans="1:15" ht="12.75" customHeight="1">
      <c r="A1807" s="188" t="s">
        <v>620</v>
      </c>
      <c r="B1807" s="188" t="s">
        <v>1394</v>
      </c>
      <c r="C1807" s="188" t="s">
        <v>641</v>
      </c>
      <c r="D1807" s="188" t="s">
        <v>3191</v>
      </c>
      <c r="E1807" s="189">
        <v>39415</v>
      </c>
      <c r="F1807" s="190">
        <v>0</v>
      </c>
      <c r="G1807" s="190">
        <v>73.540000000000006</v>
      </c>
      <c r="H1807" s="191">
        <v>1723.5</v>
      </c>
      <c r="I1807" s="191">
        <v>287.25</v>
      </c>
      <c r="J1807" s="188" t="s">
        <v>720</v>
      </c>
      <c r="K1807" s="188" t="s">
        <v>338</v>
      </c>
      <c r="L1807" s="188" t="s">
        <v>1708</v>
      </c>
      <c r="M1807" s="192">
        <f t="shared" si="84"/>
        <v>34</v>
      </c>
      <c r="N1807" s="193">
        <f t="shared" si="85"/>
        <v>1.5</v>
      </c>
      <c r="O1807" s="194">
        <f t="shared" si="86"/>
        <v>4.4117647058823532E-2</v>
      </c>
    </row>
    <row r="1808" spans="1:15" ht="12.75" customHeight="1">
      <c r="A1808" s="188" t="s">
        <v>620</v>
      </c>
      <c r="B1808" s="188" t="s">
        <v>1394</v>
      </c>
      <c r="C1808" s="188" t="s">
        <v>641</v>
      </c>
      <c r="D1808" s="188" t="s">
        <v>3192</v>
      </c>
      <c r="E1808" s="189">
        <v>39618</v>
      </c>
      <c r="F1808" s="190">
        <v>0</v>
      </c>
      <c r="G1808" s="190">
        <v>49.92</v>
      </c>
      <c r="H1808" s="191">
        <v>836</v>
      </c>
      <c r="I1808" s="191">
        <v>195</v>
      </c>
      <c r="J1808" s="188" t="s">
        <v>1052</v>
      </c>
      <c r="K1808" s="188" t="s">
        <v>338</v>
      </c>
      <c r="L1808" s="188" t="s">
        <v>656</v>
      </c>
      <c r="M1808" s="192">
        <f t="shared" si="84"/>
        <v>24</v>
      </c>
      <c r="N1808" s="193">
        <f t="shared" si="85"/>
        <v>1.0717948717948718</v>
      </c>
      <c r="O1808" s="194">
        <f t="shared" si="86"/>
        <v>4.4658119658119659E-2</v>
      </c>
    </row>
    <row r="1809" spans="1:15" ht="12.75" customHeight="1">
      <c r="A1809" s="188" t="s">
        <v>620</v>
      </c>
      <c r="B1809" s="188" t="s">
        <v>1394</v>
      </c>
      <c r="C1809" s="188" t="s">
        <v>641</v>
      </c>
      <c r="D1809" s="188" t="s">
        <v>3193</v>
      </c>
      <c r="E1809" s="189">
        <v>39562</v>
      </c>
      <c r="F1809" s="190">
        <v>0</v>
      </c>
      <c r="G1809" s="190">
        <v>68.48</v>
      </c>
      <c r="H1809" s="191">
        <v>956.26</v>
      </c>
      <c r="I1809" s="191">
        <v>267.5</v>
      </c>
      <c r="J1809" s="188" t="s">
        <v>560</v>
      </c>
      <c r="K1809" s="188" t="s">
        <v>338</v>
      </c>
      <c r="L1809" s="188" t="s">
        <v>2955</v>
      </c>
      <c r="M1809" s="192">
        <f t="shared" si="84"/>
        <v>20</v>
      </c>
      <c r="N1809" s="193">
        <f t="shared" si="85"/>
        <v>0.89370093457943922</v>
      </c>
      <c r="O1809" s="194">
        <f t="shared" si="86"/>
        <v>4.4685046728971958E-2</v>
      </c>
    </row>
    <row r="1810" spans="1:15" ht="12.75" customHeight="1">
      <c r="A1810" s="188" t="s">
        <v>620</v>
      </c>
      <c r="B1810" s="188" t="s">
        <v>1394</v>
      </c>
      <c r="C1810" s="188" t="s">
        <v>641</v>
      </c>
      <c r="D1810" s="188" t="s">
        <v>3194</v>
      </c>
      <c r="E1810" s="189">
        <v>39548</v>
      </c>
      <c r="F1810" s="190">
        <v>0</v>
      </c>
      <c r="G1810" s="190">
        <v>117.12</v>
      </c>
      <c r="H1810" s="191">
        <v>2540</v>
      </c>
      <c r="I1810" s="191">
        <v>457.5</v>
      </c>
      <c r="J1810" s="188" t="s">
        <v>503</v>
      </c>
      <c r="K1810" s="188" t="s">
        <v>338</v>
      </c>
      <c r="L1810" s="188" t="s">
        <v>3195</v>
      </c>
      <c r="M1810" s="192">
        <f t="shared" si="84"/>
        <v>31</v>
      </c>
      <c r="N1810" s="193">
        <f t="shared" si="85"/>
        <v>1.3879781420765027</v>
      </c>
      <c r="O1810" s="194">
        <f t="shared" si="86"/>
        <v>4.4773488454080732E-2</v>
      </c>
    </row>
    <row r="1811" spans="1:15" ht="12.75" customHeight="1">
      <c r="A1811" s="188" t="s">
        <v>620</v>
      </c>
      <c r="B1811" s="188" t="s">
        <v>1394</v>
      </c>
      <c r="C1811" s="188" t="s">
        <v>641</v>
      </c>
      <c r="D1811" s="188" t="s">
        <v>3196</v>
      </c>
      <c r="E1811" s="189">
        <v>39226</v>
      </c>
      <c r="F1811" s="190">
        <v>0</v>
      </c>
      <c r="G1811" s="190">
        <v>21.12</v>
      </c>
      <c r="H1811" s="191">
        <v>399.99</v>
      </c>
      <c r="I1811" s="191">
        <v>82.5</v>
      </c>
      <c r="J1811" s="188" t="s">
        <v>639</v>
      </c>
      <c r="K1811" s="188" t="s">
        <v>338</v>
      </c>
      <c r="L1811" s="188" t="s">
        <v>3197</v>
      </c>
      <c r="M1811" s="192">
        <f t="shared" si="84"/>
        <v>27</v>
      </c>
      <c r="N1811" s="193">
        <f t="shared" si="85"/>
        <v>1.2120909090909091</v>
      </c>
      <c r="O1811" s="194">
        <f t="shared" si="86"/>
        <v>4.4892255892255893E-2</v>
      </c>
    </row>
    <row r="1812" spans="1:15" ht="12.75" customHeight="1">
      <c r="A1812" s="188" t="s">
        <v>620</v>
      </c>
      <c r="B1812" s="188" t="s">
        <v>1394</v>
      </c>
      <c r="C1812" s="188" t="s">
        <v>641</v>
      </c>
      <c r="D1812" s="188" t="s">
        <v>3198</v>
      </c>
      <c r="E1812" s="189">
        <v>39639</v>
      </c>
      <c r="F1812" s="190">
        <v>0</v>
      </c>
      <c r="G1812" s="190">
        <v>73.73</v>
      </c>
      <c r="H1812" s="191">
        <v>1552</v>
      </c>
      <c r="I1812" s="191">
        <v>288</v>
      </c>
      <c r="J1812" s="188" t="s">
        <v>635</v>
      </c>
      <c r="K1812" s="188" t="s">
        <v>338</v>
      </c>
      <c r="L1812" s="188" t="s">
        <v>952</v>
      </c>
      <c r="M1812" s="192">
        <f t="shared" si="84"/>
        <v>30</v>
      </c>
      <c r="N1812" s="193">
        <f t="shared" si="85"/>
        <v>1.3472222222222223</v>
      </c>
      <c r="O1812" s="194">
        <f t="shared" si="86"/>
        <v>4.490740740740741E-2</v>
      </c>
    </row>
    <row r="1813" spans="1:15" ht="12.75" customHeight="1">
      <c r="A1813" s="188" t="s">
        <v>620</v>
      </c>
      <c r="B1813" s="188" t="s">
        <v>1394</v>
      </c>
      <c r="C1813" s="188" t="s">
        <v>641</v>
      </c>
      <c r="D1813" s="188" t="s">
        <v>3199</v>
      </c>
      <c r="E1813" s="189">
        <v>39366</v>
      </c>
      <c r="F1813" s="190">
        <v>0</v>
      </c>
      <c r="G1813" s="190">
        <v>56.32</v>
      </c>
      <c r="H1813" s="191">
        <v>909</v>
      </c>
      <c r="I1813" s="191">
        <v>220</v>
      </c>
      <c r="J1813" s="188" t="s">
        <v>571</v>
      </c>
      <c r="K1813" s="188" t="s">
        <v>338</v>
      </c>
      <c r="L1813" s="188" t="s">
        <v>1213</v>
      </c>
      <c r="M1813" s="192">
        <f t="shared" si="84"/>
        <v>23</v>
      </c>
      <c r="N1813" s="193">
        <f t="shared" si="85"/>
        <v>1.0329545454545455</v>
      </c>
      <c r="O1813" s="194">
        <f t="shared" si="86"/>
        <v>4.4911067193675887E-2</v>
      </c>
    </row>
    <row r="1814" spans="1:15" ht="12.75" customHeight="1">
      <c r="A1814" s="188" t="s">
        <v>620</v>
      </c>
      <c r="B1814" s="188" t="s">
        <v>1394</v>
      </c>
      <c r="C1814" s="188" t="s">
        <v>641</v>
      </c>
      <c r="D1814" s="188" t="s">
        <v>3200</v>
      </c>
      <c r="E1814" s="189">
        <v>39527</v>
      </c>
      <c r="F1814" s="190">
        <v>0</v>
      </c>
      <c r="G1814" s="190">
        <v>56</v>
      </c>
      <c r="H1814" s="191">
        <v>1180</v>
      </c>
      <c r="I1814" s="191">
        <v>218.75</v>
      </c>
      <c r="J1814" s="188" t="s">
        <v>635</v>
      </c>
      <c r="K1814" s="188" t="s">
        <v>338</v>
      </c>
      <c r="L1814" s="188" t="s">
        <v>1511</v>
      </c>
      <c r="M1814" s="192">
        <f t="shared" si="84"/>
        <v>30</v>
      </c>
      <c r="N1814" s="193">
        <f t="shared" si="85"/>
        <v>1.3485714285714285</v>
      </c>
      <c r="O1814" s="194">
        <f t="shared" si="86"/>
        <v>4.4952380952380952E-2</v>
      </c>
    </row>
    <row r="1815" spans="1:15" ht="12.75" customHeight="1">
      <c r="A1815" s="188" t="s">
        <v>620</v>
      </c>
      <c r="B1815" s="188" t="s">
        <v>1394</v>
      </c>
      <c r="C1815" s="188" t="s">
        <v>641</v>
      </c>
      <c r="D1815" s="188" t="s">
        <v>3201</v>
      </c>
      <c r="E1815" s="189">
        <v>39447</v>
      </c>
      <c r="F1815" s="190">
        <v>0</v>
      </c>
      <c r="G1815" s="190">
        <v>72.959999999999994</v>
      </c>
      <c r="H1815" s="191">
        <v>1951</v>
      </c>
      <c r="I1815" s="191">
        <v>285</v>
      </c>
      <c r="J1815" s="188" t="s">
        <v>624</v>
      </c>
      <c r="K1815" s="188" t="s">
        <v>338</v>
      </c>
      <c r="L1815" s="188" t="s">
        <v>2347</v>
      </c>
      <c r="M1815" s="192">
        <f t="shared" si="84"/>
        <v>38</v>
      </c>
      <c r="N1815" s="193">
        <f t="shared" si="85"/>
        <v>1.7114035087719299</v>
      </c>
      <c r="O1815" s="194">
        <f t="shared" si="86"/>
        <v>4.5036934441366576E-2</v>
      </c>
    </row>
    <row r="1816" spans="1:15" ht="12.75" customHeight="1">
      <c r="A1816" s="188" t="s">
        <v>620</v>
      </c>
      <c r="B1816" s="188" t="s">
        <v>1394</v>
      </c>
      <c r="C1816" s="188" t="s">
        <v>641</v>
      </c>
      <c r="D1816" s="188" t="s">
        <v>3202</v>
      </c>
      <c r="E1816" s="189">
        <v>39353</v>
      </c>
      <c r="F1816" s="190">
        <v>0</v>
      </c>
      <c r="G1816" s="190">
        <v>66.94</v>
      </c>
      <c r="H1816" s="191">
        <v>1798</v>
      </c>
      <c r="I1816" s="191">
        <v>261.5</v>
      </c>
      <c r="J1816" s="188" t="s">
        <v>624</v>
      </c>
      <c r="K1816" s="188" t="s">
        <v>338</v>
      </c>
      <c r="L1816" s="188" t="s">
        <v>3203</v>
      </c>
      <c r="M1816" s="192">
        <f t="shared" si="84"/>
        <v>38</v>
      </c>
      <c r="N1816" s="193">
        <f t="shared" si="85"/>
        <v>1.7189292543021033</v>
      </c>
      <c r="O1816" s="194">
        <f t="shared" si="86"/>
        <v>4.5234980376371137E-2</v>
      </c>
    </row>
    <row r="1817" spans="1:15" ht="12.75" customHeight="1">
      <c r="A1817" s="188" t="s">
        <v>620</v>
      </c>
      <c r="B1817" s="188" t="s">
        <v>1394</v>
      </c>
      <c r="C1817" s="188" t="s">
        <v>641</v>
      </c>
      <c r="D1817" s="188" t="s">
        <v>3204</v>
      </c>
      <c r="E1817" s="189">
        <v>39212</v>
      </c>
      <c r="F1817" s="190">
        <v>0</v>
      </c>
      <c r="G1817" s="190">
        <v>96.77</v>
      </c>
      <c r="H1817" s="191">
        <v>1300.32</v>
      </c>
      <c r="I1817" s="191">
        <v>378</v>
      </c>
      <c r="J1817" s="188" t="s">
        <v>667</v>
      </c>
      <c r="K1817" s="188" t="s">
        <v>338</v>
      </c>
      <c r="L1817" s="188" t="s">
        <v>649</v>
      </c>
      <c r="M1817" s="192">
        <f t="shared" si="84"/>
        <v>19</v>
      </c>
      <c r="N1817" s="193">
        <f t="shared" si="85"/>
        <v>0.86</v>
      </c>
      <c r="O1817" s="194">
        <f t="shared" si="86"/>
        <v>4.5263157894736838E-2</v>
      </c>
    </row>
    <row r="1818" spans="1:15" ht="12.75" customHeight="1">
      <c r="A1818" s="188" t="s">
        <v>620</v>
      </c>
      <c r="B1818" s="188" t="s">
        <v>1394</v>
      </c>
      <c r="C1818" s="188" t="s">
        <v>641</v>
      </c>
      <c r="D1818" s="188" t="s">
        <v>3205</v>
      </c>
      <c r="E1818" s="189">
        <v>39261</v>
      </c>
      <c r="F1818" s="190">
        <v>0</v>
      </c>
      <c r="G1818" s="190">
        <v>36.86</v>
      </c>
      <c r="H1818" s="191">
        <v>783.01</v>
      </c>
      <c r="I1818" s="191">
        <v>144</v>
      </c>
      <c r="J1818" s="188" t="s">
        <v>635</v>
      </c>
      <c r="K1818" s="188" t="s">
        <v>338</v>
      </c>
      <c r="L1818" s="188" t="s">
        <v>3017</v>
      </c>
      <c r="M1818" s="192">
        <f t="shared" si="84"/>
        <v>30</v>
      </c>
      <c r="N1818" s="193">
        <f t="shared" si="85"/>
        <v>1.3593923611111112</v>
      </c>
      <c r="O1818" s="194">
        <f t="shared" si="86"/>
        <v>4.5313078703703706E-2</v>
      </c>
    </row>
    <row r="1819" spans="1:15" ht="12.75" customHeight="1">
      <c r="A1819" s="188" t="s">
        <v>620</v>
      </c>
      <c r="B1819" s="188" t="s">
        <v>1394</v>
      </c>
      <c r="C1819" s="188" t="s">
        <v>641</v>
      </c>
      <c r="D1819" s="188" t="s">
        <v>3206</v>
      </c>
      <c r="E1819" s="189">
        <v>39562</v>
      </c>
      <c r="F1819" s="190">
        <v>0</v>
      </c>
      <c r="G1819" s="190">
        <v>96</v>
      </c>
      <c r="H1819" s="191">
        <v>1496</v>
      </c>
      <c r="I1819" s="191">
        <v>375</v>
      </c>
      <c r="J1819" s="188" t="s">
        <v>710</v>
      </c>
      <c r="K1819" s="188" t="s">
        <v>338</v>
      </c>
      <c r="L1819" s="188" t="s">
        <v>746</v>
      </c>
      <c r="M1819" s="192">
        <f t="shared" si="84"/>
        <v>22</v>
      </c>
      <c r="N1819" s="193">
        <f t="shared" si="85"/>
        <v>0.99733333333333329</v>
      </c>
      <c r="O1819" s="194">
        <f t="shared" si="86"/>
        <v>4.533333333333333E-2</v>
      </c>
    </row>
    <row r="1820" spans="1:15" ht="12.75" customHeight="1">
      <c r="A1820" s="188" t="s">
        <v>620</v>
      </c>
      <c r="B1820" s="188" t="s">
        <v>1394</v>
      </c>
      <c r="C1820" s="188" t="s">
        <v>641</v>
      </c>
      <c r="D1820" s="188" t="s">
        <v>3207</v>
      </c>
      <c r="E1820" s="189">
        <v>39520</v>
      </c>
      <c r="F1820" s="190">
        <v>0</v>
      </c>
      <c r="G1820" s="190">
        <v>94.46</v>
      </c>
      <c r="H1820" s="191">
        <v>2345</v>
      </c>
      <c r="I1820" s="191">
        <v>369</v>
      </c>
      <c r="J1820" s="188" t="s">
        <v>829</v>
      </c>
      <c r="K1820" s="188" t="s">
        <v>338</v>
      </c>
      <c r="L1820" s="188" t="s">
        <v>1689</v>
      </c>
      <c r="M1820" s="192">
        <f t="shared" si="84"/>
        <v>35</v>
      </c>
      <c r="N1820" s="193">
        <f t="shared" si="85"/>
        <v>1.5887533875338753</v>
      </c>
      <c r="O1820" s="194">
        <f t="shared" si="86"/>
        <v>4.5392953929539293E-2</v>
      </c>
    </row>
    <row r="1821" spans="1:15" ht="12.75" customHeight="1">
      <c r="A1821" s="188" t="s">
        <v>620</v>
      </c>
      <c r="B1821" s="188" t="s">
        <v>1394</v>
      </c>
      <c r="C1821" s="188" t="s">
        <v>641</v>
      </c>
      <c r="D1821" s="188" t="s">
        <v>3208</v>
      </c>
      <c r="E1821" s="189">
        <v>39520</v>
      </c>
      <c r="F1821" s="190">
        <v>0</v>
      </c>
      <c r="G1821" s="190">
        <v>80</v>
      </c>
      <c r="H1821" s="191">
        <v>1139</v>
      </c>
      <c r="I1821" s="191">
        <v>312.5</v>
      </c>
      <c r="J1821" s="188" t="s">
        <v>560</v>
      </c>
      <c r="K1821" s="188" t="s">
        <v>338</v>
      </c>
      <c r="L1821" s="188" t="s">
        <v>716</v>
      </c>
      <c r="M1821" s="192">
        <f t="shared" si="84"/>
        <v>20</v>
      </c>
      <c r="N1821" s="193">
        <f t="shared" si="85"/>
        <v>0.91120000000000001</v>
      </c>
      <c r="O1821" s="194">
        <f t="shared" si="86"/>
        <v>4.5560000000000003E-2</v>
      </c>
    </row>
    <row r="1822" spans="1:15" ht="12.75" customHeight="1">
      <c r="A1822" s="188" t="s">
        <v>620</v>
      </c>
      <c r="B1822" s="188" t="s">
        <v>1394</v>
      </c>
      <c r="C1822" s="188" t="s">
        <v>641</v>
      </c>
      <c r="D1822" s="188" t="s">
        <v>3209</v>
      </c>
      <c r="E1822" s="189">
        <v>39275</v>
      </c>
      <c r="F1822" s="190">
        <v>0</v>
      </c>
      <c r="G1822" s="190">
        <v>50.69</v>
      </c>
      <c r="H1822" s="191">
        <v>1371.98</v>
      </c>
      <c r="I1822" s="191">
        <v>198</v>
      </c>
      <c r="J1822" s="188" t="s">
        <v>624</v>
      </c>
      <c r="K1822" s="188" t="s">
        <v>338</v>
      </c>
      <c r="L1822" s="188" t="s">
        <v>1583</v>
      </c>
      <c r="M1822" s="192">
        <f t="shared" si="84"/>
        <v>38</v>
      </c>
      <c r="N1822" s="193">
        <f t="shared" si="85"/>
        <v>1.7322979797979798</v>
      </c>
      <c r="O1822" s="194">
        <f t="shared" si="86"/>
        <v>4.5586788942052099E-2</v>
      </c>
    </row>
    <row r="1823" spans="1:15" ht="12.75" customHeight="1">
      <c r="A1823" s="188" t="s">
        <v>620</v>
      </c>
      <c r="B1823" s="188" t="s">
        <v>1394</v>
      </c>
      <c r="C1823" s="188" t="s">
        <v>641</v>
      </c>
      <c r="D1823" s="188" t="s">
        <v>3210</v>
      </c>
      <c r="E1823" s="189">
        <v>39520</v>
      </c>
      <c r="F1823" s="190">
        <v>0</v>
      </c>
      <c r="G1823" s="190">
        <v>23.3</v>
      </c>
      <c r="H1823" s="191">
        <v>350</v>
      </c>
      <c r="I1823" s="191">
        <v>91</v>
      </c>
      <c r="J1823" s="188" t="s">
        <v>879</v>
      </c>
      <c r="K1823" s="188" t="s">
        <v>338</v>
      </c>
      <c r="L1823" s="188" t="s">
        <v>3211</v>
      </c>
      <c r="M1823" s="192">
        <f t="shared" si="84"/>
        <v>21</v>
      </c>
      <c r="N1823" s="193">
        <f t="shared" si="85"/>
        <v>0.96153846153846156</v>
      </c>
      <c r="O1823" s="194">
        <f t="shared" si="86"/>
        <v>4.5787545787545791E-2</v>
      </c>
    </row>
    <row r="1824" spans="1:15" ht="12.75" customHeight="1">
      <c r="A1824" s="188" t="s">
        <v>620</v>
      </c>
      <c r="B1824" s="188" t="s">
        <v>1394</v>
      </c>
      <c r="C1824" s="188" t="s">
        <v>641</v>
      </c>
      <c r="D1824" s="188" t="s">
        <v>3210</v>
      </c>
      <c r="E1824" s="189">
        <v>39548</v>
      </c>
      <c r="F1824" s="190">
        <v>0</v>
      </c>
      <c r="G1824" s="190">
        <v>-23.3</v>
      </c>
      <c r="H1824" s="191">
        <v>350</v>
      </c>
      <c r="I1824" s="191">
        <v>91</v>
      </c>
      <c r="J1824" s="188" t="s">
        <v>879</v>
      </c>
      <c r="K1824" s="188" t="s">
        <v>338</v>
      </c>
      <c r="L1824" s="188" t="s">
        <v>3211</v>
      </c>
      <c r="M1824" s="192">
        <f t="shared" si="84"/>
        <v>21</v>
      </c>
      <c r="N1824" s="193">
        <f t="shared" si="85"/>
        <v>0.96153846153846156</v>
      </c>
      <c r="O1824" s="194">
        <f t="shared" si="86"/>
        <v>4.5787545787545791E-2</v>
      </c>
    </row>
    <row r="1825" spans="1:15" ht="12.75" customHeight="1">
      <c r="A1825" s="188" t="s">
        <v>620</v>
      </c>
      <c r="B1825" s="188" t="s">
        <v>1394</v>
      </c>
      <c r="C1825" s="188" t="s">
        <v>641</v>
      </c>
      <c r="D1825" s="188" t="s">
        <v>3212</v>
      </c>
      <c r="E1825" s="189">
        <v>39548</v>
      </c>
      <c r="F1825" s="190">
        <v>0</v>
      </c>
      <c r="G1825" s="190">
        <v>23.3</v>
      </c>
      <c r="H1825" s="191">
        <v>350</v>
      </c>
      <c r="I1825" s="191">
        <v>91</v>
      </c>
      <c r="J1825" s="188" t="s">
        <v>879</v>
      </c>
      <c r="K1825" s="188" t="s">
        <v>338</v>
      </c>
      <c r="L1825" s="188" t="s">
        <v>3211</v>
      </c>
      <c r="M1825" s="192">
        <f t="shared" si="84"/>
        <v>21</v>
      </c>
      <c r="N1825" s="193">
        <f t="shared" si="85"/>
        <v>0.96153846153846156</v>
      </c>
      <c r="O1825" s="194">
        <f t="shared" si="86"/>
        <v>4.5787545787545791E-2</v>
      </c>
    </row>
    <row r="1826" spans="1:15" ht="12.75" customHeight="1">
      <c r="A1826" s="188" t="s">
        <v>620</v>
      </c>
      <c r="B1826" s="188" t="s">
        <v>1394</v>
      </c>
      <c r="C1826" s="188" t="s">
        <v>641</v>
      </c>
      <c r="D1826" s="188" t="s">
        <v>3213</v>
      </c>
      <c r="E1826" s="189">
        <v>39436</v>
      </c>
      <c r="F1826" s="190">
        <v>0</v>
      </c>
      <c r="G1826" s="190">
        <v>92.8</v>
      </c>
      <c r="H1826" s="191">
        <v>1795</v>
      </c>
      <c r="I1826" s="191">
        <v>362.5</v>
      </c>
      <c r="J1826" s="188" t="s">
        <v>639</v>
      </c>
      <c r="K1826" s="188" t="s">
        <v>338</v>
      </c>
      <c r="L1826" s="188" t="s">
        <v>920</v>
      </c>
      <c r="M1826" s="192">
        <f t="shared" si="84"/>
        <v>27</v>
      </c>
      <c r="N1826" s="193">
        <f t="shared" si="85"/>
        <v>1.2379310344827585</v>
      </c>
      <c r="O1826" s="194">
        <f t="shared" si="86"/>
        <v>4.5849297573435505E-2</v>
      </c>
    </row>
    <row r="1827" spans="1:15" ht="12.75" customHeight="1">
      <c r="A1827" s="188" t="s">
        <v>620</v>
      </c>
      <c r="B1827" s="188" t="s">
        <v>1394</v>
      </c>
      <c r="C1827" s="188" t="s">
        <v>641</v>
      </c>
      <c r="D1827" s="188" t="s">
        <v>3214</v>
      </c>
      <c r="E1827" s="189">
        <v>39471</v>
      </c>
      <c r="F1827" s="190">
        <v>0</v>
      </c>
      <c r="G1827" s="190">
        <v>79.94</v>
      </c>
      <c r="H1827" s="191">
        <v>1548</v>
      </c>
      <c r="I1827" s="191">
        <v>312.25</v>
      </c>
      <c r="J1827" s="188" t="s">
        <v>639</v>
      </c>
      <c r="K1827" s="188" t="s">
        <v>338</v>
      </c>
      <c r="L1827" s="188" t="s">
        <v>3215</v>
      </c>
      <c r="M1827" s="192">
        <f t="shared" si="84"/>
        <v>27</v>
      </c>
      <c r="N1827" s="193">
        <f t="shared" si="85"/>
        <v>1.2393915132105684</v>
      </c>
      <c r="O1827" s="194">
        <f t="shared" si="86"/>
        <v>4.59033893781692E-2</v>
      </c>
    </row>
    <row r="1828" spans="1:15" ht="12.75" customHeight="1">
      <c r="A1828" s="188" t="s">
        <v>620</v>
      </c>
      <c r="B1828" s="188" t="s">
        <v>1394</v>
      </c>
      <c r="C1828" s="188" t="s">
        <v>641</v>
      </c>
      <c r="D1828" s="188" t="s">
        <v>3216</v>
      </c>
      <c r="E1828" s="189">
        <v>39576</v>
      </c>
      <c r="F1828" s="190">
        <v>0</v>
      </c>
      <c r="G1828" s="190">
        <v>75.52</v>
      </c>
      <c r="H1828" s="191">
        <v>1138</v>
      </c>
      <c r="I1828" s="191">
        <v>295</v>
      </c>
      <c r="J1828" s="188" t="s">
        <v>667</v>
      </c>
      <c r="K1828" s="188" t="s">
        <v>327</v>
      </c>
      <c r="L1828" s="188" t="s">
        <v>447</v>
      </c>
      <c r="M1828" s="192">
        <f t="shared" si="84"/>
        <v>21</v>
      </c>
      <c r="N1828" s="193">
        <f t="shared" si="85"/>
        <v>0.96440677966101696</v>
      </c>
      <c r="O1828" s="194">
        <f t="shared" si="86"/>
        <v>4.5924132364810334E-2</v>
      </c>
    </row>
    <row r="1829" spans="1:15" ht="12.75" customHeight="1">
      <c r="A1829" s="188" t="s">
        <v>620</v>
      </c>
      <c r="B1829" s="188" t="s">
        <v>1394</v>
      </c>
      <c r="C1829" s="188" t="s">
        <v>641</v>
      </c>
      <c r="D1829" s="188" t="s">
        <v>3217</v>
      </c>
      <c r="E1829" s="189">
        <v>39597</v>
      </c>
      <c r="F1829" s="190">
        <v>0</v>
      </c>
      <c r="G1829" s="190">
        <v>83.2</v>
      </c>
      <c r="H1829" s="191">
        <v>1613.45</v>
      </c>
      <c r="I1829" s="191">
        <v>325</v>
      </c>
      <c r="J1829" s="188" t="s">
        <v>639</v>
      </c>
      <c r="K1829" s="188" t="s">
        <v>338</v>
      </c>
      <c r="L1829" s="188" t="s">
        <v>699</v>
      </c>
      <c r="M1829" s="192">
        <f t="shared" si="84"/>
        <v>27</v>
      </c>
      <c r="N1829" s="193">
        <f t="shared" si="85"/>
        <v>1.2411153846153846</v>
      </c>
      <c r="O1829" s="194">
        <f t="shared" si="86"/>
        <v>4.5967236467236466E-2</v>
      </c>
    </row>
    <row r="1830" spans="1:15" ht="12.75" customHeight="1">
      <c r="A1830" s="188" t="s">
        <v>620</v>
      </c>
      <c r="B1830" s="188" t="s">
        <v>1394</v>
      </c>
      <c r="C1830" s="188" t="s">
        <v>641</v>
      </c>
      <c r="D1830" s="188" t="s">
        <v>3218</v>
      </c>
      <c r="E1830" s="189">
        <v>39282</v>
      </c>
      <c r="F1830" s="190">
        <v>0</v>
      </c>
      <c r="G1830" s="190">
        <v>99.84</v>
      </c>
      <c r="H1830" s="191">
        <v>1438.01</v>
      </c>
      <c r="I1830" s="191">
        <v>390</v>
      </c>
      <c r="J1830" s="188" t="s">
        <v>560</v>
      </c>
      <c r="K1830" s="188" t="s">
        <v>338</v>
      </c>
      <c r="L1830" s="188" t="s">
        <v>797</v>
      </c>
      <c r="M1830" s="192">
        <f t="shared" si="84"/>
        <v>20</v>
      </c>
      <c r="N1830" s="193">
        <f t="shared" si="85"/>
        <v>0.92180128205128209</v>
      </c>
      <c r="O1830" s="194">
        <f t="shared" si="86"/>
        <v>4.6090064102564103E-2</v>
      </c>
    </row>
    <row r="1831" spans="1:15" ht="12.75" customHeight="1">
      <c r="A1831" s="188" t="s">
        <v>620</v>
      </c>
      <c r="B1831" s="188" t="s">
        <v>1394</v>
      </c>
      <c r="C1831" s="188" t="s">
        <v>641</v>
      </c>
      <c r="D1831" s="188" t="s">
        <v>3219</v>
      </c>
      <c r="E1831" s="189">
        <v>39632</v>
      </c>
      <c r="F1831" s="190">
        <v>0</v>
      </c>
      <c r="G1831" s="190">
        <v>47.04</v>
      </c>
      <c r="H1831" s="191">
        <v>1020</v>
      </c>
      <c r="I1831" s="191">
        <v>183.75</v>
      </c>
      <c r="J1831" s="188" t="s">
        <v>635</v>
      </c>
      <c r="K1831" s="188" t="s">
        <v>338</v>
      </c>
      <c r="L1831" s="188" t="s">
        <v>1392</v>
      </c>
      <c r="M1831" s="192">
        <f t="shared" si="84"/>
        <v>30</v>
      </c>
      <c r="N1831" s="193">
        <f t="shared" si="85"/>
        <v>1.3877551020408163</v>
      </c>
      <c r="O1831" s="194">
        <f t="shared" si="86"/>
        <v>4.6258503401360541E-2</v>
      </c>
    </row>
    <row r="1832" spans="1:15" ht="12.75" customHeight="1">
      <c r="A1832" s="188" t="s">
        <v>620</v>
      </c>
      <c r="B1832" s="188" t="s">
        <v>1394</v>
      </c>
      <c r="C1832" s="188" t="s">
        <v>641</v>
      </c>
      <c r="D1832" s="188" t="s">
        <v>3220</v>
      </c>
      <c r="E1832" s="189">
        <v>39352</v>
      </c>
      <c r="F1832" s="190">
        <v>0</v>
      </c>
      <c r="G1832" s="190">
        <v>28.67</v>
      </c>
      <c r="H1832" s="191">
        <v>622</v>
      </c>
      <c r="I1832" s="191">
        <v>112</v>
      </c>
      <c r="J1832" s="188" t="s">
        <v>635</v>
      </c>
      <c r="K1832" s="188" t="s">
        <v>338</v>
      </c>
      <c r="L1832" s="188" t="s">
        <v>3221</v>
      </c>
      <c r="M1832" s="192">
        <f t="shared" si="84"/>
        <v>30</v>
      </c>
      <c r="N1832" s="193">
        <f t="shared" si="85"/>
        <v>1.3883928571428572</v>
      </c>
      <c r="O1832" s="194">
        <f t="shared" si="86"/>
        <v>4.6279761904761907E-2</v>
      </c>
    </row>
    <row r="1833" spans="1:15" ht="12.75" customHeight="1">
      <c r="A1833" s="188" t="s">
        <v>620</v>
      </c>
      <c r="B1833" s="188" t="s">
        <v>1394</v>
      </c>
      <c r="C1833" s="188" t="s">
        <v>641</v>
      </c>
      <c r="D1833" s="188" t="s">
        <v>3222</v>
      </c>
      <c r="E1833" s="189">
        <v>39359</v>
      </c>
      <c r="F1833" s="190">
        <v>0</v>
      </c>
      <c r="G1833" s="190">
        <v>78.849999999999994</v>
      </c>
      <c r="H1833" s="191">
        <v>1540</v>
      </c>
      <c r="I1833" s="191">
        <v>308</v>
      </c>
      <c r="J1833" s="188" t="s">
        <v>639</v>
      </c>
      <c r="K1833" s="188" t="s">
        <v>338</v>
      </c>
      <c r="L1833" s="188" t="s">
        <v>1965</v>
      </c>
      <c r="M1833" s="192">
        <f t="shared" si="84"/>
        <v>27</v>
      </c>
      <c r="N1833" s="193">
        <f t="shared" si="85"/>
        <v>1.25</v>
      </c>
      <c r="O1833" s="194">
        <f t="shared" si="86"/>
        <v>4.6296296296296294E-2</v>
      </c>
    </row>
    <row r="1834" spans="1:15" ht="12.75" customHeight="1">
      <c r="A1834" s="188" t="s">
        <v>620</v>
      </c>
      <c r="B1834" s="188" t="s">
        <v>1394</v>
      </c>
      <c r="C1834" s="188" t="s">
        <v>641</v>
      </c>
      <c r="D1834" s="188" t="s">
        <v>3223</v>
      </c>
      <c r="E1834" s="189">
        <v>39625</v>
      </c>
      <c r="F1834" s="190">
        <v>0</v>
      </c>
      <c r="G1834" s="190">
        <v>89.6</v>
      </c>
      <c r="H1834" s="191">
        <v>1750</v>
      </c>
      <c r="I1834" s="191">
        <v>350</v>
      </c>
      <c r="J1834" s="188" t="s">
        <v>639</v>
      </c>
      <c r="K1834" s="188" t="s">
        <v>338</v>
      </c>
      <c r="L1834" s="188" t="s">
        <v>754</v>
      </c>
      <c r="M1834" s="192">
        <f t="shared" si="84"/>
        <v>27</v>
      </c>
      <c r="N1834" s="193">
        <f t="shared" si="85"/>
        <v>1.25</v>
      </c>
      <c r="O1834" s="194">
        <f t="shared" si="86"/>
        <v>4.6296296296296294E-2</v>
      </c>
    </row>
    <row r="1835" spans="1:15" ht="12.75" customHeight="1">
      <c r="A1835" s="188" t="s">
        <v>620</v>
      </c>
      <c r="B1835" s="188" t="s">
        <v>1394</v>
      </c>
      <c r="C1835" s="188" t="s">
        <v>641</v>
      </c>
      <c r="D1835" s="188" t="s">
        <v>3224</v>
      </c>
      <c r="E1835" s="189">
        <v>39422</v>
      </c>
      <c r="F1835" s="190">
        <v>0</v>
      </c>
      <c r="G1835" s="190">
        <v>64</v>
      </c>
      <c r="H1835" s="191">
        <v>1389</v>
      </c>
      <c r="I1835" s="191">
        <v>250</v>
      </c>
      <c r="J1835" s="188" t="s">
        <v>635</v>
      </c>
      <c r="K1835" s="188" t="s">
        <v>338</v>
      </c>
      <c r="L1835" s="188" t="s">
        <v>636</v>
      </c>
      <c r="M1835" s="192">
        <f t="shared" si="84"/>
        <v>30</v>
      </c>
      <c r="N1835" s="193">
        <f t="shared" si="85"/>
        <v>1.389</v>
      </c>
      <c r="O1835" s="194">
        <f t="shared" si="86"/>
        <v>4.6300000000000001E-2</v>
      </c>
    </row>
    <row r="1836" spans="1:15" ht="12.75" customHeight="1">
      <c r="A1836" s="188" t="s">
        <v>620</v>
      </c>
      <c r="B1836" s="188" t="s">
        <v>1394</v>
      </c>
      <c r="C1836" s="188" t="s">
        <v>641</v>
      </c>
      <c r="D1836" s="188" t="s">
        <v>3225</v>
      </c>
      <c r="E1836" s="189">
        <v>39317</v>
      </c>
      <c r="F1836" s="190">
        <v>0</v>
      </c>
      <c r="G1836" s="190">
        <v>21.89</v>
      </c>
      <c r="H1836" s="191">
        <v>601.99</v>
      </c>
      <c r="I1836" s="191">
        <v>85.5</v>
      </c>
      <c r="J1836" s="188" t="s">
        <v>624</v>
      </c>
      <c r="K1836" s="188" t="s">
        <v>338</v>
      </c>
      <c r="L1836" s="188" t="s">
        <v>3226</v>
      </c>
      <c r="M1836" s="192">
        <f t="shared" si="84"/>
        <v>38</v>
      </c>
      <c r="N1836" s="193">
        <f t="shared" si="85"/>
        <v>1.7602046783625731</v>
      </c>
      <c r="O1836" s="194">
        <f t="shared" si="86"/>
        <v>4.6321175746383503E-2</v>
      </c>
    </row>
    <row r="1837" spans="1:15" ht="12.75" customHeight="1">
      <c r="A1837" s="188" t="s">
        <v>620</v>
      </c>
      <c r="B1837" s="188" t="s">
        <v>1394</v>
      </c>
      <c r="C1837" s="188" t="s">
        <v>641</v>
      </c>
      <c r="D1837" s="188" t="s">
        <v>3227</v>
      </c>
      <c r="E1837" s="189">
        <v>39352</v>
      </c>
      <c r="F1837" s="190">
        <v>0</v>
      </c>
      <c r="G1837" s="190">
        <v>57.98</v>
      </c>
      <c r="H1837" s="191">
        <v>840.23</v>
      </c>
      <c r="I1837" s="191">
        <v>226.5</v>
      </c>
      <c r="J1837" s="188" t="s">
        <v>560</v>
      </c>
      <c r="K1837" s="188" t="s">
        <v>338</v>
      </c>
      <c r="L1837" s="188" t="s">
        <v>3228</v>
      </c>
      <c r="M1837" s="192">
        <f t="shared" si="84"/>
        <v>20</v>
      </c>
      <c r="N1837" s="193">
        <f t="shared" si="85"/>
        <v>0.92740618101545258</v>
      </c>
      <c r="O1837" s="194">
        <f t="shared" si="86"/>
        <v>4.6370309050772628E-2</v>
      </c>
    </row>
    <row r="1838" spans="1:15" ht="12.75" customHeight="1">
      <c r="A1838" s="188" t="s">
        <v>620</v>
      </c>
      <c r="B1838" s="188" t="s">
        <v>1394</v>
      </c>
      <c r="C1838" s="188" t="s">
        <v>641</v>
      </c>
      <c r="D1838" s="188" t="s">
        <v>3229</v>
      </c>
      <c r="E1838" s="189">
        <v>39625</v>
      </c>
      <c r="F1838" s="190">
        <v>0</v>
      </c>
      <c r="G1838" s="190">
        <v>54.27</v>
      </c>
      <c r="H1838" s="191">
        <v>787</v>
      </c>
      <c r="I1838" s="191">
        <v>212</v>
      </c>
      <c r="J1838" s="188" t="s">
        <v>560</v>
      </c>
      <c r="K1838" s="188" t="s">
        <v>338</v>
      </c>
      <c r="L1838" s="188" t="s">
        <v>799</v>
      </c>
      <c r="M1838" s="192">
        <f t="shared" si="84"/>
        <v>20</v>
      </c>
      <c r="N1838" s="193">
        <f t="shared" si="85"/>
        <v>0.92806603773584906</v>
      </c>
      <c r="O1838" s="194">
        <f t="shared" si="86"/>
        <v>4.6403301886792453E-2</v>
      </c>
    </row>
    <row r="1839" spans="1:15" ht="12.75" customHeight="1">
      <c r="A1839" s="188" t="s">
        <v>620</v>
      </c>
      <c r="B1839" s="188" t="s">
        <v>1394</v>
      </c>
      <c r="C1839" s="188" t="s">
        <v>641</v>
      </c>
      <c r="D1839" s="188" t="s">
        <v>3230</v>
      </c>
      <c r="E1839" s="189">
        <v>39576</v>
      </c>
      <c r="F1839" s="190">
        <v>0</v>
      </c>
      <c r="G1839" s="190">
        <v>86.02</v>
      </c>
      <c r="H1839" s="191">
        <v>1690</v>
      </c>
      <c r="I1839" s="191">
        <v>336</v>
      </c>
      <c r="J1839" s="188" t="s">
        <v>639</v>
      </c>
      <c r="K1839" s="188" t="s">
        <v>338</v>
      </c>
      <c r="L1839" s="188" t="s">
        <v>764</v>
      </c>
      <c r="M1839" s="192">
        <f t="shared" si="84"/>
        <v>27</v>
      </c>
      <c r="N1839" s="193">
        <f t="shared" si="85"/>
        <v>1.2574404761904763</v>
      </c>
      <c r="O1839" s="194">
        <f t="shared" si="86"/>
        <v>4.6571869488536158E-2</v>
      </c>
    </row>
    <row r="1840" spans="1:15" ht="12.75" customHeight="1">
      <c r="A1840" s="188" t="s">
        <v>620</v>
      </c>
      <c r="B1840" s="188" t="s">
        <v>1394</v>
      </c>
      <c r="C1840" s="188" t="s">
        <v>641</v>
      </c>
      <c r="D1840" s="188" t="s">
        <v>3231</v>
      </c>
      <c r="E1840" s="189">
        <v>39632</v>
      </c>
      <c r="F1840" s="190">
        <v>0</v>
      </c>
      <c r="G1840" s="190">
        <v>54.14</v>
      </c>
      <c r="H1840" s="191">
        <v>1500</v>
      </c>
      <c r="I1840" s="191">
        <v>211.5</v>
      </c>
      <c r="J1840" s="188" t="s">
        <v>624</v>
      </c>
      <c r="K1840" s="188" t="s">
        <v>338</v>
      </c>
      <c r="L1840" s="188" t="s">
        <v>1005</v>
      </c>
      <c r="M1840" s="192">
        <f t="shared" si="84"/>
        <v>38</v>
      </c>
      <c r="N1840" s="193">
        <f t="shared" si="85"/>
        <v>1.7730496453900708</v>
      </c>
      <c r="O1840" s="194">
        <f t="shared" si="86"/>
        <v>4.6659201194475551E-2</v>
      </c>
    </row>
    <row r="1841" spans="1:15" ht="12.75" customHeight="1">
      <c r="A1841" s="188" t="s">
        <v>620</v>
      </c>
      <c r="B1841" s="188" t="s">
        <v>1394</v>
      </c>
      <c r="C1841" s="188" t="s">
        <v>641</v>
      </c>
      <c r="D1841" s="188" t="s">
        <v>3232</v>
      </c>
      <c r="E1841" s="189">
        <v>39513</v>
      </c>
      <c r="F1841" s="190">
        <v>0</v>
      </c>
      <c r="G1841" s="190">
        <v>83.2</v>
      </c>
      <c r="H1841" s="191">
        <v>1820</v>
      </c>
      <c r="I1841" s="191">
        <v>325</v>
      </c>
      <c r="J1841" s="188" t="s">
        <v>635</v>
      </c>
      <c r="K1841" s="188" t="s">
        <v>338</v>
      </c>
      <c r="L1841" s="188" t="s">
        <v>699</v>
      </c>
      <c r="M1841" s="192">
        <f t="shared" si="84"/>
        <v>30</v>
      </c>
      <c r="N1841" s="193">
        <f t="shared" si="85"/>
        <v>1.4</v>
      </c>
      <c r="O1841" s="194">
        <f t="shared" si="86"/>
        <v>4.6666666666666662E-2</v>
      </c>
    </row>
    <row r="1842" spans="1:15" ht="12.75" customHeight="1">
      <c r="A1842" s="188" t="s">
        <v>620</v>
      </c>
      <c r="B1842" s="188" t="s">
        <v>1394</v>
      </c>
      <c r="C1842" s="188" t="s">
        <v>641</v>
      </c>
      <c r="D1842" s="188" t="s">
        <v>3233</v>
      </c>
      <c r="E1842" s="189">
        <v>39471</v>
      </c>
      <c r="F1842" s="190">
        <v>0</v>
      </c>
      <c r="G1842" s="190">
        <v>51.2</v>
      </c>
      <c r="H1842" s="191">
        <v>784</v>
      </c>
      <c r="I1842" s="191">
        <v>200</v>
      </c>
      <c r="J1842" s="188" t="s">
        <v>667</v>
      </c>
      <c r="K1842" s="188" t="s">
        <v>327</v>
      </c>
      <c r="L1842" s="188" t="s">
        <v>752</v>
      </c>
      <c r="M1842" s="192">
        <f t="shared" si="84"/>
        <v>21</v>
      </c>
      <c r="N1842" s="193">
        <f t="shared" si="85"/>
        <v>0.98</v>
      </c>
      <c r="O1842" s="194">
        <f t="shared" si="86"/>
        <v>4.6666666666666669E-2</v>
      </c>
    </row>
    <row r="1843" spans="1:15" ht="12.75" customHeight="1">
      <c r="A1843" s="188" t="s">
        <v>620</v>
      </c>
      <c r="B1843" s="188" t="s">
        <v>1394</v>
      </c>
      <c r="C1843" s="188" t="s">
        <v>641</v>
      </c>
      <c r="D1843" s="188" t="s">
        <v>3234</v>
      </c>
      <c r="E1843" s="189">
        <v>39520</v>
      </c>
      <c r="F1843" s="190">
        <v>0</v>
      </c>
      <c r="G1843" s="190">
        <v>109.25</v>
      </c>
      <c r="H1843" s="191">
        <v>2390</v>
      </c>
      <c r="I1843" s="191">
        <v>426.75</v>
      </c>
      <c r="J1843" s="188" t="s">
        <v>635</v>
      </c>
      <c r="K1843" s="188" t="s">
        <v>338</v>
      </c>
      <c r="L1843" s="188" t="s">
        <v>3235</v>
      </c>
      <c r="M1843" s="192">
        <f t="shared" si="84"/>
        <v>30</v>
      </c>
      <c r="N1843" s="193">
        <f t="shared" si="85"/>
        <v>1.400117164616286</v>
      </c>
      <c r="O1843" s="194">
        <f t="shared" si="86"/>
        <v>4.6670572153876197E-2</v>
      </c>
    </row>
    <row r="1844" spans="1:15" ht="12.75" customHeight="1">
      <c r="A1844" s="188" t="s">
        <v>620</v>
      </c>
      <c r="B1844" s="188" t="s">
        <v>1394</v>
      </c>
      <c r="C1844" s="188" t="s">
        <v>641</v>
      </c>
      <c r="D1844" s="188" t="s">
        <v>3236</v>
      </c>
      <c r="E1844" s="189">
        <v>39590</v>
      </c>
      <c r="F1844" s="190">
        <v>0</v>
      </c>
      <c r="G1844" s="190">
        <v>79.94</v>
      </c>
      <c r="H1844" s="191">
        <v>1749.2</v>
      </c>
      <c r="I1844" s="191">
        <v>312.25</v>
      </c>
      <c r="J1844" s="188" t="s">
        <v>635</v>
      </c>
      <c r="K1844" s="188" t="s">
        <v>338</v>
      </c>
      <c r="L1844" s="188" t="s">
        <v>3215</v>
      </c>
      <c r="M1844" s="192">
        <f t="shared" si="84"/>
        <v>30</v>
      </c>
      <c r="N1844" s="193">
        <f t="shared" si="85"/>
        <v>1.400480384307446</v>
      </c>
      <c r="O1844" s="194">
        <f t="shared" si="86"/>
        <v>4.6682679476914866E-2</v>
      </c>
    </row>
    <row r="1845" spans="1:15" ht="12.75" customHeight="1">
      <c r="A1845" s="188" t="s">
        <v>620</v>
      </c>
      <c r="B1845" s="188" t="s">
        <v>1394</v>
      </c>
      <c r="C1845" s="188" t="s">
        <v>641</v>
      </c>
      <c r="D1845" s="188" t="s">
        <v>3237</v>
      </c>
      <c r="E1845" s="189">
        <v>39219</v>
      </c>
      <c r="F1845" s="190">
        <v>0</v>
      </c>
      <c r="G1845" s="190">
        <v>21.5</v>
      </c>
      <c r="H1845" s="191">
        <v>598.08000000000004</v>
      </c>
      <c r="I1845" s="191">
        <v>84</v>
      </c>
      <c r="J1845" s="188" t="s">
        <v>624</v>
      </c>
      <c r="K1845" s="188" t="s">
        <v>338</v>
      </c>
      <c r="L1845" s="188" t="s">
        <v>3238</v>
      </c>
      <c r="M1845" s="192">
        <f t="shared" si="84"/>
        <v>38</v>
      </c>
      <c r="N1845" s="193">
        <f t="shared" si="85"/>
        <v>1.78</v>
      </c>
      <c r="O1845" s="194">
        <f t="shared" si="86"/>
        <v>4.6842105263157893E-2</v>
      </c>
    </row>
    <row r="1846" spans="1:15" ht="12.75" customHeight="1">
      <c r="A1846" s="188" t="s">
        <v>620</v>
      </c>
      <c r="B1846" s="188" t="s">
        <v>1394</v>
      </c>
      <c r="C1846" s="188" t="s">
        <v>641</v>
      </c>
      <c r="D1846" s="188" t="s">
        <v>3239</v>
      </c>
      <c r="E1846" s="189">
        <v>39499</v>
      </c>
      <c r="F1846" s="190">
        <v>0</v>
      </c>
      <c r="G1846" s="190">
        <v>49.92</v>
      </c>
      <c r="H1846" s="191">
        <v>988</v>
      </c>
      <c r="I1846" s="191">
        <v>195</v>
      </c>
      <c r="J1846" s="188" t="s">
        <v>639</v>
      </c>
      <c r="K1846" s="188" t="s">
        <v>338</v>
      </c>
      <c r="L1846" s="188" t="s">
        <v>656</v>
      </c>
      <c r="M1846" s="192">
        <f t="shared" si="84"/>
        <v>27</v>
      </c>
      <c r="N1846" s="193">
        <f t="shared" si="85"/>
        <v>1.2666666666666666</v>
      </c>
      <c r="O1846" s="194">
        <f t="shared" si="86"/>
        <v>4.6913580246913576E-2</v>
      </c>
    </row>
    <row r="1847" spans="1:15" ht="12.75" customHeight="1">
      <c r="A1847" s="188" t="s">
        <v>620</v>
      </c>
      <c r="B1847" s="188" t="s">
        <v>1394</v>
      </c>
      <c r="C1847" s="188" t="s">
        <v>641</v>
      </c>
      <c r="D1847" s="188" t="s">
        <v>3240</v>
      </c>
      <c r="E1847" s="189">
        <v>39289</v>
      </c>
      <c r="F1847" s="190">
        <v>0</v>
      </c>
      <c r="G1847" s="190">
        <v>54.14</v>
      </c>
      <c r="H1847" s="191">
        <v>1193.96</v>
      </c>
      <c r="I1847" s="191">
        <v>211.5</v>
      </c>
      <c r="J1847" s="188" t="s">
        <v>635</v>
      </c>
      <c r="K1847" s="188" t="s">
        <v>338</v>
      </c>
      <c r="L1847" s="188" t="s">
        <v>1005</v>
      </c>
      <c r="M1847" s="192">
        <f t="shared" si="84"/>
        <v>30</v>
      </c>
      <c r="N1847" s="193">
        <f t="shared" si="85"/>
        <v>1.4113002364066194</v>
      </c>
      <c r="O1847" s="194">
        <f t="shared" si="86"/>
        <v>4.7043341213553982E-2</v>
      </c>
    </row>
    <row r="1848" spans="1:15" ht="12.75" customHeight="1">
      <c r="A1848" s="188" t="s">
        <v>620</v>
      </c>
      <c r="B1848" s="188" t="s">
        <v>1394</v>
      </c>
      <c r="C1848" s="188" t="s">
        <v>641</v>
      </c>
      <c r="D1848" s="188" t="s">
        <v>3241</v>
      </c>
      <c r="E1848" s="189">
        <v>39478</v>
      </c>
      <c r="F1848" s="190">
        <v>0</v>
      </c>
      <c r="G1848" s="190">
        <v>47.04</v>
      </c>
      <c r="H1848" s="191">
        <v>885</v>
      </c>
      <c r="I1848" s="191">
        <v>183.75</v>
      </c>
      <c r="J1848" s="188" t="s">
        <v>652</v>
      </c>
      <c r="K1848" s="188" t="s">
        <v>338</v>
      </c>
      <c r="L1848" s="188" t="s">
        <v>1058</v>
      </c>
      <c r="M1848" s="192">
        <f t="shared" si="84"/>
        <v>25</v>
      </c>
      <c r="N1848" s="193">
        <f t="shared" si="85"/>
        <v>1.18</v>
      </c>
      <c r="O1848" s="194">
        <f t="shared" si="86"/>
        <v>4.7199999999999999E-2</v>
      </c>
    </row>
    <row r="1849" spans="1:15" ht="12.75" customHeight="1">
      <c r="A1849" s="188" t="s">
        <v>620</v>
      </c>
      <c r="B1849" s="188" t="s">
        <v>1394</v>
      </c>
      <c r="C1849" s="188" t="s">
        <v>641</v>
      </c>
      <c r="D1849" s="188" t="s">
        <v>3242</v>
      </c>
      <c r="E1849" s="189">
        <v>39478</v>
      </c>
      <c r="F1849" s="190">
        <v>0</v>
      </c>
      <c r="G1849" s="190">
        <v>47.04</v>
      </c>
      <c r="H1849" s="191">
        <v>885</v>
      </c>
      <c r="I1849" s="191">
        <v>183.75</v>
      </c>
      <c r="J1849" s="188" t="s">
        <v>652</v>
      </c>
      <c r="K1849" s="188" t="s">
        <v>338</v>
      </c>
      <c r="L1849" s="188" t="s">
        <v>1058</v>
      </c>
      <c r="M1849" s="192">
        <f t="shared" si="84"/>
        <v>25</v>
      </c>
      <c r="N1849" s="193">
        <f t="shared" si="85"/>
        <v>1.18</v>
      </c>
      <c r="O1849" s="194">
        <f t="shared" si="86"/>
        <v>4.7199999999999999E-2</v>
      </c>
    </row>
    <row r="1850" spans="1:15" ht="12.75" customHeight="1">
      <c r="A1850" s="188" t="s">
        <v>620</v>
      </c>
      <c r="B1850" s="188" t="s">
        <v>1394</v>
      </c>
      <c r="C1850" s="188" t="s">
        <v>641</v>
      </c>
      <c r="D1850" s="188" t="s">
        <v>3243</v>
      </c>
      <c r="E1850" s="189">
        <v>39345</v>
      </c>
      <c r="F1850" s="190">
        <v>0</v>
      </c>
      <c r="G1850" s="190">
        <v>45.06</v>
      </c>
      <c r="H1850" s="191">
        <v>898.02</v>
      </c>
      <c r="I1850" s="191">
        <v>176</v>
      </c>
      <c r="J1850" s="188" t="s">
        <v>639</v>
      </c>
      <c r="K1850" s="188" t="s">
        <v>338</v>
      </c>
      <c r="L1850" s="188" t="s">
        <v>3244</v>
      </c>
      <c r="M1850" s="192">
        <f t="shared" si="84"/>
        <v>27</v>
      </c>
      <c r="N1850" s="193">
        <f t="shared" si="85"/>
        <v>1.2755965909090909</v>
      </c>
      <c r="O1850" s="194">
        <f t="shared" si="86"/>
        <v>4.7244318181818186E-2</v>
      </c>
    </row>
    <row r="1851" spans="1:15" ht="12.75" customHeight="1">
      <c r="A1851" s="188" t="s">
        <v>620</v>
      </c>
      <c r="B1851" s="188" t="s">
        <v>1394</v>
      </c>
      <c r="C1851" s="188" t="s">
        <v>641</v>
      </c>
      <c r="D1851" s="188" t="s">
        <v>3245</v>
      </c>
      <c r="E1851" s="189">
        <v>39387</v>
      </c>
      <c r="F1851" s="190">
        <v>0</v>
      </c>
      <c r="G1851" s="190">
        <v>32</v>
      </c>
      <c r="H1851" s="191">
        <v>900</v>
      </c>
      <c r="I1851" s="191">
        <v>125</v>
      </c>
      <c r="J1851" s="188" t="s">
        <v>624</v>
      </c>
      <c r="K1851" s="188" t="s">
        <v>338</v>
      </c>
      <c r="L1851" s="188" t="s">
        <v>858</v>
      </c>
      <c r="M1851" s="192">
        <f t="shared" si="84"/>
        <v>38</v>
      </c>
      <c r="N1851" s="193">
        <f t="shared" si="85"/>
        <v>1.8</v>
      </c>
      <c r="O1851" s="194">
        <f t="shared" si="86"/>
        <v>4.736842105263158E-2</v>
      </c>
    </row>
    <row r="1852" spans="1:15" ht="12.75" customHeight="1">
      <c r="A1852" s="188" t="s">
        <v>620</v>
      </c>
      <c r="B1852" s="188" t="s">
        <v>1394</v>
      </c>
      <c r="C1852" s="188" t="s">
        <v>641</v>
      </c>
      <c r="D1852" s="188" t="s">
        <v>3246</v>
      </c>
      <c r="E1852" s="189">
        <v>39289</v>
      </c>
      <c r="F1852" s="190">
        <v>0</v>
      </c>
      <c r="G1852" s="190">
        <v>7.3</v>
      </c>
      <c r="H1852" s="191">
        <v>124.26</v>
      </c>
      <c r="I1852" s="191">
        <v>28.5</v>
      </c>
      <c r="J1852" s="188" t="s">
        <v>624</v>
      </c>
      <c r="K1852" s="188" t="s">
        <v>522</v>
      </c>
      <c r="L1852" s="188" t="s">
        <v>407</v>
      </c>
      <c r="M1852" s="192">
        <f t="shared" si="84"/>
        <v>23</v>
      </c>
      <c r="N1852" s="193">
        <f t="shared" si="85"/>
        <v>1.0900000000000001</v>
      </c>
      <c r="O1852" s="194">
        <f t="shared" si="86"/>
        <v>4.739130434782609E-2</v>
      </c>
    </row>
    <row r="1853" spans="1:15" ht="12.75" customHeight="1">
      <c r="A1853" s="188" t="s">
        <v>620</v>
      </c>
      <c r="B1853" s="188" t="s">
        <v>1394</v>
      </c>
      <c r="C1853" s="188" t="s">
        <v>641</v>
      </c>
      <c r="D1853" s="188" t="s">
        <v>3247</v>
      </c>
      <c r="E1853" s="189">
        <v>39261</v>
      </c>
      <c r="F1853" s="190">
        <v>0</v>
      </c>
      <c r="G1853" s="190">
        <v>69.44</v>
      </c>
      <c r="H1853" s="191">
        <v>1548.95</v>
      </c>
      <c r="I1853" s="191">
        <v>271.25</v>
      </c>
      <c r="J1853" s="188" t="s">
        <v>639</v>
      </c>
      <c r="K1853" s="188" t="s">
        <v>733</v>
      </c>
      <c r="L1853" s="188" t="s">
        <v>3248</v>
      </c>
      <c r="M1853" s="192">
        <f t="shared" si="84"/>
        <v>30</v>
      </c>
      <c r="N1853" s="193">
        <f t="shared" si="85"/>
        <v>1.4276036866359447</v>
      </c>
      <c r="O1853" s="194">
        <f t="shared" si="86"/>
        <v>4.7586789554531488E-2</v>
      </c>
    </row>
    <row r="1854" spans="1:15" ht="12.75" customHeight="1">
      <c r="A1854" s="188" t="s">
        <v>620</v>
      </c>
      <c r="B1854" s="188" t="s">
        <v>1394</v>
      </c>
      <c r="C1854" s="188" t="s">
        <v>641</v>
      </c>
      <c r="D1854" s="188" t="s">
        <v>3249</v>
      </c>
      <c r="E1854" s="189">
        <v>39317</v>
      </c>
      <c r="F1854" s="190">
        <v>0</v>
      </c>
      <c r="G1854" s="190">
        <v>115.2</v>
      </c>
      <c r="H1854" s="191">
        <v>1713.96</v>
      </c>
      <c r="I1854" s="191">
        <v>450</v>
      </c>
      <c r="J1854" s="188" t="s">
        <v>560</v>
      </c>
      <c r="K1854" s="188" t="s">
        <v>338</v>
      </c>
      <c r="L1854" s="188" t="s">
        <v>718</v>
      </c>
      <c r="M1854" s="192">
        <f t="shared" si="84"/>
        <v>20</v>
      </c>
      <c r="N1854" s="193">
        <f t="shared" si="85"/>
        <v>0.95220000000000005</v>
      </c>
      <c r="O1854" s="194">
        <f t="shared" si="86"/>
        <v>4.761E-2</v>
      </c>
    </row>
    <row r="1855" spans="1:15" ht="12.75" customHeight="1">
      <c r="A1855" s="188" t="s">
        <v>620</v>
      </c>
      <c r="B1855" s="188" t="s">
        <v>1394</v>
      </c>
      <c r="C1855" s="188" t="s">
        <v>641</v>
      </c>
      <c r="D1855" s="188" t="s">
        <v>3250</v>
      </c>
      <c r="E1855" s="189">
        <v>39303</v>
      </c>
      <c r="F1855" s="190">
        <v>0</v>
      </c>
      <c r="G1855" s="190">
        <v>26.88</v>
      </c>
      <c r="H1855" s="191">
        <v>462</v>
      </c>
      <c r="I1855" s="191">
        <v>105</v>
      </c>
      <c r="J1855" s="188" t="s">
        <v>571</v>
      </c>
      <c r="K1855" s="188" t="s">
        <v>338</v>
      </c>
      <c r="L1855" s="188" t="s">
        <v>3251</v>
      </c>
      <c r="M1855" s="192">
        <f t="shared" si="84"/>
        <v>23</v>
      </c>
      <c r="N1855" s="193">
        <f t="shared" si="85"/>
        <v>1.1000000000000001</v>
      </c>
      <c r="O1855" s="194">
        <f t="shared" si="86"/>
        <v>4.7826086956521741E-2</v>
      </c>
    </row>
    <row r="1856" spans="1:15" ht="12.75" customHeight="1">
      <c r="A1856" s="188" t="s">
        <v>620</v>
      </c>
      <c r="B1856" s="188" t="s">
        <v>1394</v>
      </c>
      <c r="C1856" s="188" t="s">
        <v>641</v>
      </c>
      <c r="D1856" s="188" t="s">
        <v>3252</v>
      </c>
      <c r="E1856" s="189">
        <v>39548</v>
      </c>
      <c r="F1856" s="190">
        <v>0</v>
      </c>
      <c r="G1856" s="190">
        <v>48</v>
      </c>
      <c r="H1856" s="191">
        <v>1373.07</v>
      </c>
      <c r="I1856" s="191">
        <v>187.5</v>
      </c>
      <c r="J1856" s="188" t="s">
        <v>624</v>
      </c>
      <c r="K1856" s="188" t="s">
        <v>338</v>
      </c>
      <c r="L1856" s="188" t="s">
        <v>1058</v>
      </c>
      <c r="M1856" s="192">
        <f t="shared" si="84"/>
        <v>38</v>
      </c>
      <c r="N1856" s="193">
        <f t="shared" si="85"/>
        <v>1.8307599999999999</v>
      </c>
      <c r="O1856" s="194">
        <f t="shared" si="86"/>
        <v>4.8177894736842107E-2</v>
      </c>
    </row>
    <row r="1857" spans="1:15" ht="12.75" customHeight="1">
      <c r="A1857" s="188" t="s">
        <v>620</v>
      </c>
      <c r="B1857" s="188" t="s">
        <v>1394</v>
      </c>
      <c r="C1857" s="188" t="s">
        <v>641</v>
      </c>
      <c r="D1857" s="188" t="s">
        <v>3253</v>
      </c>
      <c r="E1857" s="189">
        <v>39324</v>
      </c>
      <c r="F1857" s="190">
        <v>0</v>
      </c>
      <c r="G1857" s="190">
        <v>76.03</v>
      </c>
      <c r="H1857" s="191">
        <v>1430.95</v>
      </c>
      <c r="I1857" s="191">
        <v>297</v>
      </c>
      <c r="J1857" s="188" t="s">
        <v>652</v>
      </c>
      <c r="K1857" s="188" t="s">
        <v>338</v>
      </c>
      <c r="L1857" s="188" t="s">
        <v>790</v>
      </c>
      <c r="M1857" s="192">
        <f t="shared" si="84"/>
        <v>25</v>
      </c>
      <c r="N1857" s="193">
        <f t="shared" si="85"/>
        <v>1.2045033670033671</v>
      </c>
      <c r="O1857" s="194">
        <f t="shared" si="86"/>
        <v>4.8180134680134684E-2</v>
      </c>
    </row>
    <row r="1858" spans="1:15" ht="12.75" customHeight="1">
      <c r="A1858" s="188" t="s">
        <v>620</v>
      </c>
      <c r="B1858" s="188" t="s">
        <v>1394</v>
      </c>
      <c r="C1858" s="188" t="s">
        <v>641</v>
      </c>
      <c r="D1858" s="188" t="s">
        <v>3254</v>
      </c>
      <c r="E1858" s="189">
        <v>39464</v>
      </c>
      <c r="F1858" s="190">
        <v>0</v>
      </c>
      <c r="G1858" s="190">
        <v>124.74</v>
      </c>
      <c r="H1858" s="191">
        <v>1892</v>
      </c>
      <c r="I1858" s="191">
        <v>487.25</v>
      </c>
      <c r="J1858" s="188" t="s">
        <v>560</v>
      </c>
      <c r="K1858" s="188" t="s">
        <v>338</v>
      </c>
      <c r="L1858" s="188" t="s">
        <v>3255</v>
      </c>
      <c r="M1858" s="192">
        <f t="shared" ref="M1858:M1921" si="87">K1858-J1858</f>
        <v>20</v>
      </c>
      <c r="N1858" s="193">
        <f t="shared" ref="N1858:N1921" si="88">H1858/L1858</f>
        <v>0.97075423293996921</v>
      </c>
      <c r="O1858" s="194">
        <f t="shared" ref="O1858:O1921" si="89">N1858/M1858</f>
        <v>4.8537711646998459E-2</v>
      </c>
    </row>
    <row r="1859" spans="1:15" ht="12.75" customHeight="1">
      <c r="A1859" s="188" t="s">
        <v>620</v>
      </c>
      <c r="B1859" s="188" t="s">
        <v>1394</v>
      </c>
      <c r="C1859" s="188" t="s">
        <v>641</v>
      </c>
      <c r="D1859" s="188" t="s">
        <v>3256</v>
      </c>
      <c r="E1859" s="189">
        <v>39568</v>
      </c>
      <c r="F1859" s="190">
        <v>0</v>
      </c>
      <c r="G1859" s="190">
        <v>51.84</v>
      </c>
      <c r="H1859" s="191">
        <v>1495</v>
      </c>
      <c r="I1859" s="191">
        <v>202.5</v>
      </c>
      <c r="J1859" s="188" t="s">
        <v>624</v>
      </c>
      <c r="K1859" s="188" t="s">
        <v>338</v>
      </c>
      <c r="L1859" s="188" t="s">
        <v>1883</v>
      </c>
      <c r="M1859" s="192">
        <f t="shared" si="87"/>
        <v>38</v>
      </c>
      <c r="N1859" s="193">
        <f t="shared" si="88"/>
        <v>1.845679012345679</v>
      </c>
      <c r="O1859" s="194">
        <f t="shared" si="89"/>
        <v>4.8570500324886287E-2</v>
      </c>
    </row>
    <row r="1860" spans="1:15" ht="12.75" customHeight="1">
      <c r="A1860" s="188" t="s">
        <v>620</v>
      </c>
      <c r="B1860" s="188" t="s">
        <v>1394</v>
      </c>
      <c r="C1860" s="188" t="s">
        <v>641</v>
      </c>
      <c r="D1860" s="188" t="s">
        <v>3257</v>
      </c>
      <c r="E1860" s="189">
        <v>39345</v>
      </c>
      <c r="F1860" s="190">
        <v>0</v>
      </c>
      <c r="G1860" s="190">
        <v>55.68</v>
      </c>
      <c r="H1860" s="191">
        <v>1606.02</v>
      </c>
      <c r="I1860" s="191">
        <v>217.5</v>
      </c>
      <c r="J1860" s="188" t="s">
        <v>624</v>
      </c>
      <c r="K1860" s="188" t="s">
        <v>338</v>
      </c>
      <c r="L1860" s="188" t="s">
        <v>1979</v>
      </c>
      <c r="M1860" s="192">
        <f t="shared" si="87"/>
        <v>38</v>
      </c>
      <c r="N1860" s="193">
        <f t="shared" si="88"/>
        <v>1.8460000000000001</v>
      </c>
      <c r="O1860" s="194">
        <f t="shared" si="89"/>
        <v>4.8578947368421055E-2</v>
      </c>
    </row>
    <row r="1861" spans="1:15" ht="12.75" customHeight="1">
      <c r="A1861" s="188" t="s">
        <v>620</v>
      </c>
      <c r="B1861" s="188" t="s">
        <v>1394</v>
      </c>
      <c r="C1861" s="188" t="s">
        <v>641</v>
      </c>
      <c r="D1861" s="188" t="s">
        <v>3258</v>
      </c>
      <c r="E1861" s="189">
        <v>39254</v>
      </c>
      <c r="F1861" s="190">
        <v>0</v>
      </c>
      <c r="G1861" s="190">
        <v>46.72</v>
      </c>
      <c r="H1861" s="191">
        <v>1349.99</v>
      </c>
      <c r="I1861" s="191">
        <v>182.5</v>
      </c>
      <c r="J1861" s="188" t="s">
        <v>624</v>
      </c>
      <c r="K1861" s="188" t="s">
        <v>338</v>
      </c>
      <c r="L1861" s="188" t="s">
        <v>3259</v>
      </c>
      <c r="M1861" s="192">
        <f t="shared" si="87"/>
        <v>38</v>
      </c>
      <c r="N1861" s="193">
        <f t="shared" si="88"/>
        <v>1.8493013698630136</v>
      </c>
      <c r="O1861" s="194">
        <f t="shared" si="89"/>
        <v>4.8665825522710884E-2</v>
      </c>
    </row>
    <row r="1862" spans="1:15" ht="12.75" customHeight="1">
      <c r="A1862" s="188" t="s">
        <v>620</v>
      </c>
      <c r="B1862" s="188" t="s">
        <v>1394</v>
      </c>
      <c r="C1862" s="188" t="s">
        <v>641</v>
      </c>
      <c r="D1862" s="188" t="s">
        <v>3260</v>
      </c>
      <c r="E1862" s="189">
        <v>39366</v>
      </c>
      <c r="F1862" s="190">
        <v>0</v>
      </c>
      <c r="G1862" s="190">
        <v>55.04</v>
      </c>
      <c r="H1862" s="191">
        <v>928.71</v>
      </c>
      <c r="I1862" s="191">
        <v>215</v>
      </c>
      <c r="J1862" s="188" t="s">
        <v>710</v>
      </c>
      <c r="K1862" s="188" t="s">
        <v>338</v>
      </c>
      <c r="L1862" s="188" t="s">
        <v>1783</v>
      </c>
      <c r="M1862" s="192">
        <f t="shared" si="87"/>
        <v>22</v>
      </c>
      <c r="N1862" s="193">
        <f t="shared" si="88"/>
        <v>1.0798953488372094</v>
      </c>
      <c r="O1862" s="194">
        <f t="shared" si="89"/>
        <v>4.9086152219873155E-2</v>
      </c>
    </row>
    <row r="1863" spans="1:15" ht="12.75" customHeight="1">
      <c r="A1863" s="188" t="s">
        <v>620</v>
      </c>
      <c r="B1863" s="188" t="s">
        <v>1394</v>
      </c>
      <c r="C1863" s="188" t="s">
        <v>641</v>
      </c>
      <c r="D1863" s="188" t="s">
        <v>3261</v>
      </c>
      <c r="E1863" s="189">
        <v>39366</v>
      </c>
      <c r="F1863" s="190">
        <v>0</v>
      </c>
      <c r="G1863" s="190">
        <v>42.24</v>
      </c>
      <c r="H1863" s="191">
        <v>647.99</v>
      </c>
      <c r="I1863" s="191">
        <v>165</v>
      </c>
      <c r="J1863" s="188" t="s">
        <v>560</v>
      </c>
      <c r="K1863" s="188" t="s">
        <v>338</v>
      </c>
      <c r="L1863" s="188" t="s">
        <v>1306</v>
      </c>
      <c r="M1863" s="192">
        <f t="shared" si="87"/>
        <v>20</v>
      </c>
      <c r="N1863" s="193">
        <f t="shared" si="88"/>
        <v>0.98180303030303029</v>
      </c>
      <c r="O1863" s="194">
        <f t="shared" si="89"/>
        <v>4.9090151515151517E-2</v>
      </c>
    </row>
    <row r="1864" spans="1:15" ht="12.75" customHeight="1">
      <c r="A1864" s="188" t="s">
        <v>620</v>
      </c>
      <c r="B1864" s="188" t="s">
        <v>1394</v>
      </c>
      <c r="C1864" s="188" t="s">
        <v>641</v>
      </c>
      <c r="D1864" s="188" t="s">
        <v>3262</v>
      </c>
      <c r="E1864" s="189">
        <v>39534</v>
      </c>
      <c r="F1864" s="190">
        <v>0</v>
      </c>
      <c r="G1864" s="190">
        <v>57.6</v>
      </c>
      <c r="H1864" s="191">
        <v>1200</v>
      </c>
      <c r="I1864" s="191">
        <v>225</v>
      </c>
      <c r="J1864" s="188" t="s">
        <v>639</v>
      </c>
      <c r="K1864" s="188" t="s">
        <v>338</v>
      </c>
      <c r="L1864" s="188" t="s">
        <v>740</v>
      </c>
      <c r="M1864" s="192">
        <f t="shared" si="87"/>
        <v>27</v>
      </c>
      <c r="N1864" s="193">
        <f t="shared" si="88"/>
        <v>1.3333333333333333</v>
      </c>
      <c r="O1864" s="194">
        <f t="shared" si="89"/>
        <v>4.9382716049382713E-2</v>
      </c>
    </row>
    <row r="1865" spans="1:15" ht="12.75" customHeight="1">
      <c r="A1865" s="188" t="s">
        <v>620</v>
      </c>
      <c r="B1865" s="188" t="s">
        <v>1394</v>
      </c>
      <c r="C1865" s="188" t="s">
        <v>641</v>
      </c>
      <c r="D1865" s="188" t="s">
        <v>3263</v>
      </c>
      <c r="E1865" s="189">
        <v>39240</v>
      </c>
      <c r="F1865" s="190">
        <v>0</v>
      </c>
      <c r="G1865" s="190">
        <v>55.36</v>
      </c>
      <c r="H1865" s="191">
        <v>1624.21</v>
      </c>
      <c r="I1865" s="191">
        <v>216.25</v>
      </c>
      <c r="J1865" s="188" t="s">
        <v>624</v>
      </c>
      <c r="K1865" s="188" t="s">
        <v>338</v>
      </c>
      <c r="L1865" s="188" t="s">
        <v>1838</v>
      </c>
      <c r="M1865" s="192">
        <f t="shared" si="87"/>
        <v>38</v>
      </c>
      <c r="N1865" s="193">
        <f t="shared" si="88"/>
        <v>1.877699421965318</v>
      </c>
      <c r="O1865" s="194">
        <f t="shared" si="89"/>
        <v>4.9413142683297842E-2</v>
      </c>
    </row>
    <row r="1866" spans="1:15" ht="12.75" customHeight="1">
      <c r="A1866" s="188" t="s">
        <v>620</v>
      </c>
      <c r="B1866" s="188" t="s">
        <v>1394</v>
      </c>
      <c r="C1866" s="188" t="s">
        <v>641</v>
      </c>
      <c r="D1866" s="188" t="s">
        <v>3264</v>
      </c>
      <c r="E1866" s="189">
        <v>39254</v>
      </c>
      <c r="F1866" s="190">
        <v>0</v>
      </c>
      <c r="G1866" s="190">
        <v>58.56</v>
      </c>
      <c r="H1866" s="191">
        <v>1227.02</v>
      </c>
      <c r="I1866" s="191">
        <v>228.75</v>
      </c>
      <c r="J1866" s="188" t="s">
        <v>639</v>
      </c>
      <c r="K1866" s="188" t="s">
        <v>338</v>
      </c>
      <c r="L1866" s="188" t="s">
        <v>3265</v>
      </c>
      <c r="M1866" s="192">
        <f t="shared" si="87"/>
        <v>27</v>
      </c>
      <c r="N1866" s="193">
        <f t="shared" si="88"/>
        <v>1.3410054644808742</v>
      </c>
      <c r="O1866" s="194">
        <f t="shared" si="89"/>
        <v>4.9666869054847192E-2</v>
      </c>
    </row>
    <row r="1867" spans="1:15" ht="12.75" customHeight="1">
      <c r="A1867" s="188" t="s">
        <v>620</v>
      </c>
      <c r="B1867" s="188" t="s">
        <v>1394</v>
      </c>
      <c r="C1867" s="188" t="s">
        <v>641</v>
      </c>
      <c r="D1867" s="188" t="s">
        <v>3266</v>
      </c>
      <c r="E1867" s="189">
        <v>39513</v>
      </c>
      <c r="F1867" s="190">
        <v>0</v>
      </c>
      <c r="G1867" s="190">
        <v>72.959999999999994</v>
      </c>
      <c r="H1867" s="191">
        <v>2152</v>
      </c>
      <c r="I1867" s="191">
        <v>285</v>
      </c>
      <c r="J1867" s="188" t="s">
        <v>624</v>
      </c>
      <c r="K1867" s="188" t="s">
        <v>338</v>
      </c>
      <c r="L1867" s="188" t="s">
        <v>2347</v>
      </c>
      <c r="M1867" s="192">
        <f t="shared" si="87"/>
        <v>38</v>
      </c>
      <c r="N1867" s="193">
        <f t="shared" si="88"/>
        <v>1.8877192982456141</v>
      </c>
      <c r="O1867" s="194">
        <f t="shared" si="89"/>
        <v>4.9676823638042475E-2</v>
      </c>
    </row>
    <row r="1868" spans="1:15" ht="12.75" customHeight="1">
      <c r="A1868" s="188" t="s">
        <v>620</v>
      </c>
      <c r="B1868" s="188" t="s">
        <v>1394</v>
      </c>
      <c r="C1868" s="188" t="s">
        <v>641</v>
      </c>
      <c r="D1868" s="188" t="s">
        <v>3267</v>
      </c>
      <c r="E1868" s="189">
        <v>39534</v>
      </c>
      <c r="F1868" s="190">
        <v>0</v>
      </c>
      <c r="G1868" s="190">
        <v>16.899999999999999</v>
      </c>
      <c r="H1868" s="191">
        <v>250</v>
      </c>
      <c r="I1868" s="191">
        <v>66</v>
      </c>
      <c r="J1868" s="188" t="s">
        <v>667</v>
      </c>
      <c r="K1868" s="188" t="s">
        <v>338</v>
      </c>
      <c r="L1868" s="188" t="s">
        <v>3268</v>
      </c>
      <c r="M1868" s="192">
        <f t="shared" si="87"/>
        <v>19</v>
      </c>
      <c r="N1868" s="193">
        <f t="shared" si="88"/>
        <v>0.94696969696969702</v>
      </c>
      <c r="O1868" s="194">
        <f t="shared" si="89"/>
        <v>4.9840510366826157E-2</v>
      </c>
    </row>
    <row r="1869" spans="1:15" ht="12.75" customHeight="1">
      <c r="A1869" s="188" t="s">
        <v>620</v>
      </c>
      <c r="B1869" s="188" t="s">
        <v>1394</v>
      </c>
      <c r="C1869" s="188" t="s">
        <v>641</v>
      </c>
      <c r="D1869" s="188" t="s">
        <v>3269</v>
      </c>
      <c r="E1869" s="189">
        <v>39639</v>
      </c>
      <c r="F1869" s="190">
        <v>0</v>
      </c>
      <c r="G1869" s="190">
        <v>35.33</v>
      </c>
      <c r="H1869" s="191">
        <v>662.21</v>
      </c>
      <c r="I1869" s="191">
        <v>138</v>
      </c>
      <c r="J1869" s="188" t="s">
        <v>1052</v>
      </c>
      <c r="K1869" s="188" t="s">
        <v>338</v>
      </c>
      <c r="L1869" s="188" t="s">
        <v>2864</v>
      </c>
      <c r="M1869" s="192">
        <f t="shared" si="87"/>
        <v>24</v>
      </c>
      <c r="N1869" s="193">
        <f t="shared" si="88"/>
        <v>1.1996557971014494</v>
      </c>
      <c r="O1869" s="194">
        <f t="shared" si="89"/>
        <v>4.9985658212560395E-2</v>
      </c>
    </row>
    <row r="1870" spans="1:15" ht="12.75" customHeight="1">
      <c r="A1870" s="188" t="s">
        <v>620</v>
      </c>
      <c r="B1870" s="188" t="s">
        <v>1394</v>
      </c>
      <c r="C1870" s="188" t="s">
        <v>641</v>
      </c>
      <c r="D1870" s="188" t="s">
        <v>3270</v>
      </c>
      <c r="E1870" s="189">
        <v>39395</v>
      </c>
      <c r="F1870" s="190">
        <v>0</v>
      </c>
      <c r="G1870" s="190">
        <v>116.35</v>
      </c>
      <c r="H1870" s="191">
        <v>2833</v>
      </c>
      <c r="I1870" s="191">
        <v>454.5</v>
      </c>
      <c r="J1870" s="188" t="s">
        <v>503</v>
      </c>
      <c r="K1870" s="188" t="s">
        <v>338</v>
      </c>
      <c r="L1870" s="188" t="s">
        <v>3271</v>
      </c>
      <c r="M1870" s="192">
        <f t="shared" si="87"/>
        <v>31</v>
      </c>
      <c r="N1870" s="193">
        <f t="shared" si="88"/>
        <v>1.5583058305830584</v>
      </c>
      <c r="O1870" s="194">
        <f t="shared" si="89"/>
        <v>5.0267930018808332E-2</v>
      </c>
    </row>
    <row r="1871" spans="1:15" ht="12.75" customHeight="1">
      <c r="A1871" s="188" t="s">
        <v>620</v>
      </c>
      <c r="B1871" s="188" t="s">
        <v>1394</v>
      </c>
      <c r="C1871" s="188" t="s">
        <v>641</v>
      </c>
      <c r="D1871" s="188" t="s">
        <v>3272</v>
      </c>
      <c r="E1871" s="189">
        <v>39534</v>
      </c>
      <c r="F1871" s="190">
        <v>0</v>
      </c>
      <c r="G1871" s="190">
        <v>29.82</v>
      </c>
      <c r="H1871" s="191">
        <v>870</v>
      </c>
      <c r="I1871" s="191">
        <v>116.5</v>
      </c>
      <c r="J1871" s="188" t="s">
        <v>503</v>
      </c>
      <c r="K1871" s="188" t="s">
        <v>631</v>
      </c>
      <c r="L1871" s="188" t="s">
        <v>3273</v>
      </c>
      <c r="M1871" s="192">
        <f t="shared" si="87"/>
        <v>37</v>
      </c>
      <c r="N1871" s="193">
        <f t="shared" si="88"/>
        <v>1.8669527896995708</v>
      </c>
      <c r="O1871" s="194">
        <f t="shared" si="89"/>
        <v>5.0458183505393807E-2</v>
      </c>
    </row>
    <row r="1872" spans="1:15" ht="12.75" customHeight="1">
      <c r="A1872" s="188" t="s">
        <v>620</v>
      </c>
      <c r="B1872" s="188" t="s">
        <v>1394</v>
      </c>
      <c r="C1872" s="188" t="s">
        <v>641</v>
      </c>
      <c r="D1872" s="188" t="s">
        <v>3274</v>
      </c>
      <c r="E1872" s="189">
        <v>39555</v>
      </c>
      <c r="F1872" s="190">
        <v>0</v>
      </c>
      <c r="G1872" s="190">
        <v>102.4</v>
      </c>
      <c r="H1872" s="191">
        <v>1615.68</v>
      </c>
      <c r="I1872" s="191">
        <v>400</v>
      </c>
      <c r="J1872" s="188" t="s">
        <v>667</v>
      </c>
      <c r="K1872" s="188" t="s">
        <v>333</v>
      </c>
      <c r="L1872" s="188" t="s">
        <v>625</v>
      </c>
      <c r="M1872" s="192">
        <f t="shared" si="87"/>
        <v>20</v>
      </c>
      <c r="N1872" s="193">
        <f t="shared" si="88"/>
        <v>1.0098</v>
      </c>
      <c r="O1872" s="194">
        <f t="shared" si="89"/>
        <v>5.049E-2</v>
      </c>
    </row>
    <row r="1873" spans="1:15" ht="12.75" customHeight="1">
      <c r="A1873" s="188" t="s">
        <v>620</v>
      </c>
      <c r="B1873" s="188" t="s">
        <v>1394</v>
      </c>
      <c r="C1873" s="188" t="s">
        <v>641</v>
      </c>
      <c r="D1873" s="188" t="s">
        <v>3275</v>
      </c>
      <c r="E1873" s="189">
        <v>39443</v>
      </c>
      <c r="F1873" s="190">
        <v>0</v>
      </c>
      <c r="G1873" s="190">
        <v>36.799999999999997</v>
      </c>
      <c r="H1873" s="191">
        <v>785</v>
      </c>
      <c r="I1873" s="191">
        <v>143.75</v>
      </c>
      <c r="J1873" s="188" t="s">
        <v>639</v>
      </c>
      <c r="K1873" s="188" t="s">
        <v>338</v>
      </c>
      <c r="L1873" s="188" t="s">
        <v>2894</v>
      </c>
      <c r="M1873" s="192">
        <f t="shared" si="87"/>
        <v>27</v>
      </c>
      <c r="N1873" s="193">
        <f t="shared" si="88"/>
        <v>1.3652173913043477</v>
      </c>
      <c r="O1873" s="194">
        <f t="shared" si="89"/>
        <v>5.0563607085346213E-2</v>
      </c>
    </row>
    <row r="1874" spans="1:15" ht="12.75" customHeight="1">
      <c r="A1874" s="188" t="s">
        <v>620</v>
      </c>
      <c r="B1874" s="188" t="s">
        <v>1394</v>
      </c>
      <c r="C1874" s="188" t="s">
        <v>641</v>
      </c>
      <c r="D1874" s="188" t="s">
        <v>3276</v>
      </c>
      <c r="E1874" s="189">
        <v>39507</v>
      </c>
      <c r="F1874" s="190">
        <v>0</v>
      </c>
      <c r="G1874" s="190">
        <v>68.8</v>
      </c>
      <c r="H1874" s="191">
        <v>1034</v>
      </c>
      <c r="I1874" s="191">
        <v>268.75</v>
      </c>
      <c r="J1874" s="188" t="s">
        <v>667</v>
      </c>
      <c r="K1874" s="188" t="s">
        <v>338</v>
      </c>
      <c r="L1874" s="188" t="s">
        <v>1168</v>
      </c>
      <c r="M1874" s="192">
        <f t="shared" si="87"/>
        <v>19</v>
      </c>
      <c r="N1874" s="193">
        <f t="shared" si="88"/>
        <v>0.9618604651162791</v>
      </c>
      <c r="O1874" s="194">
        <f t="shared" si="89"/>
        <v>5.0624235006119955E-2</v>
      </c>
    </row>
    <row r="1875" spans="1:15" ht="12.75" customHeight="1">
      <c r="A1875" s="188" t="s">
        <v>620</v>
      </c>
      <c r="B1875" s="188" t="s">
        <v>1394</v>
      </c>
      <c r="C1875" s="188" t="s">
        <v>641</v>
      </c>
      <c r="D1875" s="188" t="s">
        <v>3277</v>
      </c>
      <c r="E1875" s="189">
        <v>39478</v>
      </c>
      <c r="F1875" s="190">
        <v>0</v>
      </c>
      <c r="G1875" s="190">
        <v>70.400000000000006</v>
      </c>
      <c r="H1875" s="191">
        <v>1290</v>
      </c>
      <c r="I1875" s="191">
        <v>275</v>
      </c>
      <c r="J1875" s="188" t="s">
        <v>571</v>
      </c>
      <c r="K1875" s="188" t="s">
        <v>338</v>
      </c>
      <c r="L1875" s="188" t="s">
        <v>557</v>
      </c>
      <c r="M1875" s="192">
        <f t="shared" si="87"/>
        <v>23</v>
      </c>
      <c r="N1875" s="193">
        <f t="shared" si="88"/>
        <v>1.1727272727272726</v>
      </c>
      <c r="O1875" s="194">
        <f t="shared" si="89"/>
        <v>5.0988142292490116E-2</v>
      </c>
    </row>
    <row r="1876" spans="1:15" ht="12.75" customHeight="1">
      <c r="A1876" s="188" t="s">
        <v>620</v>
      </c>
      <c r="B1876" s="188" t="s">
        <v>1394</v>
      </c>
      <c r="C1876" s="188" t="s">
        <v>641</v>
      </c>
      <c r="D1876" s="188" t="s">
        <v>3278</v>
      </c>
      <c r="E1876" s="189">
        <v>39485</v>
      </c>
      <c r="F1876" s="190">
        <v>0</v>
      </c>
      <c r="G1876" s="190">
        <v>12.8</v>
      </c>
      <c r="H1876" s="191">
        <v>235</v>
      </c>
      <c r="I1876" s="191">
        <v>50</v>
      </c>
      <c r="J1876" s="188" t="s">
        <v>571</v>
      </c>
      <c r="K1876" s="188" t="s">
        <v>338</v>
      </c>
      <c r="L1876" s="188" t="s">
        <v>1322</v>
      </c>
      <c r="M1876" s="192">
        <f t="shared" si="87"/>
        <v>23</v>
      </c>
      <c r="N1876" s="193">
        <f t="shared" si="88"/>
        <v>1.175</v>
      </c>
      <c r="O1876" s="194">
        <f t="shared" si="89"/>
        <v>5.1086956521739134E-2</v>
      </c>
    </row>
    <row r="1877" spans="1:15" ht="12.75" customHeight="1">
      <c r="A1877" s="188" t="s">
        <v>620</v>
      </c>
      <c r="B1877" s="188" t="s">
        <v>1394</v>
      </c>
      <c r="C1877" s="188" t="s">
        <v>641</v>
      </c>
      <c r="D1877" s="188" t="s">
        <v>3279</v>
      </c>
      <c r="E1877" s="189">
        <v>39562</v>
      </c>
      <c r="F1877" s="190">
        <v>0</v>
      </c>
      <c r="G1877" s="190">
        <v>16.7</v>
      </c>
      <c r="H1877" s="191">
        <v>307</v>
      </c>
      <c r="I1877" s="191">
        <v>65.25</v>
      </c>
      <c r="J1877" s="188" t="s">
        <v>571</v>
      </c>
      <c r="K1877" s="188" t="s">
        <v>338</v>
      </c>
      <c r="L1877" s="188" t="s">
        <v>3280</v>
      </c>
      <c r="M1877" s="192">
        <f t="shared" si="87"/>
        <v>23</v>
      </c>
      <c r="N1877" s="193">
        <f t="shared" si="88"/>
        <v>1.1762452107279693</v>
      </c>
      <c r="O1877" s="194">
        <f t="shared" si="89"/>
        <v>5.1141096118607357E-2</v>
      </c>
    </row>
    <row r="1878" spans="1:15" ht="12.75" customHeight="1">
      <c r="A1878" s="188" t="s">
        <v>620</v>
      </c>
      <c r="B1878" s="188" t="s">
        <v>1394</v>
      </c>
      <c r="C1878" s="188" t="s">
        <v>641</v>
      </c>
      <c r="D1878" s="188" t="s">
        <v>3281</v>
      </c>
      <c r="E1878" s="189">
        <v>39447</v>
      </c>
      <c r="F1878" s="190">
        <v>0</v>
      </c>
      <c r="G1878" s="190">
        <v>97.02</v>
      </c>
      <c r="H1878" s="191">
        <v>1551</v>
      </c>
      <c r="I1878" s="191">
        <v>379</v>
      </c>
      <c r="J1878" s="188" t="s">
        <v>560</v>
      </c>
      <c r="K1878" s="188" t="s">
        <v>338</v>
      </c>
      <c r="L1878" s="188" t="s">
        <v>2185</v>
      </c>
      <c r="M1878" s="192">
        <f t="shared" si="87"/>
        <v>20</v>
      </c>
      <c r="N1878" s="193">
        <f t="shared" si="88"/>
        <v>1.0230870712401055</v>
      </c>
      <c r="O1878" s="194">
        <f t="shared" si="89"/>
        <v>5.1154353562005275E-2</v>
      </c>
    </row>
    <row r="1879" spans="1:15" ht="12.75" customHeight="1">
      <c r="A1879" s="188" t="s">
        <v>620</v>
      </c>
      <c r="B1879" s="188" t="s">
        <v>1394</v>
      </c>
      <c r="C1879" s="188" t="s">
        <v>641</v>
      </c>
      <c r="D1879" s="188" t="s">
        <v>3282</v>
      </c>
      <c r="E1879" s="189">
        <v>39492</v>
      </c>
      <c r="F1879" s="190">
        <v>0</v>
      </c>
      <c r="G1879" s="190">
        <v>96.26</v>
      </c>
      <c r="H1879" s="191">
        <v>2078</v>
      </c>
      <c r="I1879" s="191">
        <v>376</v>
      </c>
      <c r="J1879" s="188" t="s">
        <v>639</v>
      </c>
      <c r="K1879" s="188" t="s">
        <v>338</v>
      </c>
      <c r="L1879" s="188" t="s">
        <v>1116</v>
      </c>
      <c r="M1879" s="192">
        <f t="shared" si="87"/>
        <v>27</v>
      </c>
      <c r="N1879" s="193">
        <f t="shared" si="88"/>
        <v>1.3816489361702127</v>
      </c>
      <c r="O1879" s="194">
        <f t="shared" si="89"/>
        <v>5.1172182821118989E-2</v>
      </c>
    </row>
    <row r="1880" spans="1:15" ht="12.75" customHeight="1">
      <c r="A1880" s="188" t="s">
        <v>620</v>
      </c>
      <c r="B1880" s="188" t="s">
        <v>1394</v>
      </c>
      <c r="C1880" s="188" t="s">
        <v>641</v>
      </c>
      <c r="D1880" s="188" t="s">
        <v>3283</v>
      </c>
      <c r="E1880" s="189">
        <v>39541</v>
      </c>
      <c r="F1880" s="190">
        <v>0</v>
      </c>
      <c r="G1880" s="190">
        <v>152.77000000000001</v>
      </c>
      <c r="H1880" s="191">
        <v>2448.8200000000002</v>
      </c>
      <c r="I1880" s="191">
        <v>596.75</v>
      </c>
      <c r="J1880" s="188" t="s">
        <v>624</v>
      </c>
      <c r="K1880" s="188" t="s">
        <v>285</v>
      </c>
      <c r="L1880" s="188" t="s">
        <v>3284</v>
      </c>
      <c r="M1880" s="192">
        <f t="shared" si="87"/>
        <v>20</v>
      </c>
      <c r="N1880" s="193">
        <f t="shared" si="88"/>
        <v>1.0258986175115208</v>
      </c>
      <c r="O1880" s="194">
        <f t="shared" si="89"/>
        <v>5.1294930875576038E-2</v>
      </c>
    </row>
    <row r="1881" spans="1:15" ht="12.75" customHeight="1">
      <c r="A1881" s="188" t="s">
        <v>620</v>
      </c>
      <c r="B1881" s="188" t="s">
        <v>1394</v>
      </c>
      <c r="C1881" s="188" t="s">
        <v>641</v>
      </c>
      <c r="D1881" s="188" t="s">
        <v>3285</v>
      </c>
      <c r="E1881" s="189">
        <v>39447</v>
      </c>
      <c r="F1881" s="190">
        <v>0</v>
      </c>
      <c r="G1881" s="190">
        <v>54.14</v>
      </c>
      <c r="H1881" s="191">
        <v>1525</v>
      </c>
      <c r="I1881" s="191">
        <v>211.5</v>
      </c>
      <c r="J1881" s="188" t="s">
        <v>829</v>
      </c>
      <c r="K1881" s="188" t="s">
        <v>338</v>
      </c>
      <c r="L1881" s="188" t="s">
        <v>1005</v>
      </c>
      <c r="M1881" s="192">
        <f t="shared" si="87"/>
        <v>35</v>
      </c>
      <c r="N1881" s="193">
        <f t="shared" si="88"/>
        <v>1.8026004728132388</v>
      </c>
      <c r="O1881" s="194">
        <f t="shared" si="89"/>
        <v>5.1502870651806823E-2</v>
      </c>
    </row>
    <row r="1882" spans="1:15" ht="12.75" customHeight="1">
      <c r="A1882" s="188" t="s">
        <v>620</v>
      </c>
      <c r="B1882" s="188" t="s">
        <v>1394</v>
      </c>
      <c r="C1882" s="188" t="s">
        <v>641</v>
      </c>
      <c r="D1882" s="188" t="s">
        <v>3286</v>
      </c>
      <c r="E1882" s="189">
        <v>39401</v>
      </c>
      <c r="F1882" s="190">
        <v>0</v>
      </c>
      <c r="G1882" s="190">
        <v>26.88</v>
      </c>
      <c r="H1882" s="191">
        <v>585.02</v>
      </c>
      <c r="I1882" s="191">
        <v>105</v>
      </c>
      <c r="J1882" s="188" t="s">
        <v>639</v>
      </c>
      <c r="K1882" s="188" t="s">
        <v>338</v>
      </c>
      <c r="L1882" s="188" t="s">
        <v>3251</v>
      </c>
      <c r="M1882" s="192">
        <f t="shared" si="87"/>
        <v>27</v>
      </c>
      <c r="N1882" s="193">
        <f t="shared" si="88"/>
        <v>1.3929047619047619</v>
      </c>
      <c r="O1882" s="194">
        <f t="shared" si="89"/>
        <v>5.1589065255731918E-2</v>
      </c>
    </row>
    <row r="1883" spans="1:15" ht="12.75" customHeight="1">
      <c r="A1883" s="188" t="s">
        <v>620</v>
      </c>
      <c r="B1883" s="188" t="s">
        <v>1394</v>
      </c>
      <c r="C1883" s="188" t="s">
        <v>641</v>
      </c>
      <c r="D1883" s="188" t="s">
        <v>3287</v>
      </c>
      <c r="E1883" s="189">
        <v>39447</v>
      </c>
      <c r="F1883" s="190">
        <v>0</v>
      </c>
      <c r="G1883" s="190">
        <v>64.510000000000005</v>
      </c>
      <c r="H1883" s="191">
        <v>1043</v>
      </c>
      <c r="I1883" s="191">
        <v>252</v>
      </c>
      <c r="J1883" s="188" t="s">
        <v>560</v>
      </c>
      <c r="K1883" s="188" t="s">
        <v>338</v>
      </c>
      <c r="L1883" s="188" t="s">
        <v>736</v>
      </c>
      <c r="M1883" s="192">
        <f t="shared" si="87"/>
        <v>20</v>
      </c>
      <c r="N1883" s="193">
        <f t="shared" si="88"/>
        <v>1.0347222222222223</v>
      </c>
      <c r="O1883" s="194">
        <f t="shared" si="89"/>
        <v>5.1736111111111115E-2</v>
      </c>
    </row>
    <row r="1884" spans="1:15" ht="12.75" customHeight="1">
      <c r="A1884" s="188" t="s">
        <v>620</v>
      </c>
      <c r="B1884" s="188" t="s">
        <v>1394</v>
      </c>
      <c r="C1884" s="188" t="s">
        <v>641</v>
      </c>
      <c r="D1884" s="188" t="s">
        <v>3288</v>
      </c>
      <c r="E1884" s="189">
        <v>39415</v>
      </c>
      <c r="F1884" s="190">
        <v>0</v>
      </c>
      <c r="G1884" s="190">
        <v>48.9</v>
      </c>
      <c r="H1884" s="191">
        <v>791</v>
      </c>
      <c r="I1884" s="191">
        <v>191</v>
      </c>
      <c r="J1884" s="188" t="s">
        <v>560</v>
      </c>
      <c r="K1884" s="188" t="s">
        <v>338</v>
      </c>
      <c r="L1884" s="188" t="s">
        <v>3289</v>
      </c>
      <c r="M1884" s="192">
        <f t="shared" si="87"/>
        <v>20</v>
      </c>
      <c r="N1884" s="193">
        <f t="shared" si="88"/>
        <v>1.0353403141361257</v>
      </c>
      <c r="O1884" s="194">
        <f t="shared" si="89"/>
        <v>5.1767015706806287E-2</v>
      </c>
    </row>
    <row r="1885" spans="1:15" ht="12.75" customHeight="1">
      <c r="A1885" s="188" t="s">
        <v>620</v>
      </c>
      <c r="B1885" s="188" t="s">
        <v>1394</v>
      </c>
      <c r="C1885" s="188" t="s">
        <v>641</v>
      </c>
      <c r="D1885" s="188" t="s">
        <v>3290</v>
      </c>
      <c r="E1885" s="189">
        <v>39353</v>
      </c>
      <c r="F1885" s="190">
        <v>0</v>
      </c>
      <c r="G1885" s="190">
        <v>81.92</v>
      </c>
      <c r="H1885" s="191">
        <v>1792</v>
      </c>
      <c r="I1885" s="191">
        <v>320</v>
      </c>
      <c r="J1885" s="188" t="s">
        <v>639</v>
      </c>
      <c r="K1885" s="188" t="s">
        <v>338</v>
      </c>
      <c r="L1885" s="188" t="s">
        <v>994</v>
      </c>
      <c r="M1885" s="192">
        <f t="shared" si="87"/>
        <v>27</v>
      </c>
      <c r="N1885" s="193">
        <f t="shared" si="88"/>
        <v>1.4</v>
      </c>
      <c r="O1885" s="194">
        <f t="shared" si="89"/>
        <v>5.185185185185185E-2</v>
      </c>
    </row>
    <row r="1886" spans="1:15" ht="12.75" customHeight="1">
      <c r="A1886" s="188" t="s">
        <v>620</v>
      </c>
      <c r="B1886" s="188" t="s">
        <v>1394</v>
      </c>
      <c r="C1886" s="188" t="s">
        <v>641</v>
      </c>
      <c r="D1886" s="188" t="s">
        <v>3291</v>
      </c>
      <c r="E1886" s="189">
        <v>39507</v>
      </c>
      <c r="F1886" s="190">
        <v>0</v>
      </c>
      <c r="G1886" s="190">
        <v>44.16</v>
      </c>
      <c r="H1886" s="191">
        <v>1039</v>
      </c>
      <c r="I1886" s="191">
        <v>172.5</v>
      </c>
      <c r="J1886" s="188" t="s">
        <v>715</v>
      </c>
      <c r="K1886" s="188" t="s">
        <v>338</v>
      </c>
      <c r="L1886" s="188" t="s">
        <v>3292</v>
      </c>
      <c r="M1886" s="192">
        <f t="shared" si="87"/>
        <v>29</v>
      </c>
      <c r="N1886" s="193">
        <f t="shared" si="88"/>
        <v>1.5057971014492753</v>
      </c>
      <c r="O1886" s="194">
        <f t="shared" si="89"/>
        <v>5.1924037981009488E-2</v>
      </c>
    </row>
    <row r="1887" spans="1:15" ht="12.75" customHeight="1">
      <c r="A1887" s="188" t="s">
        <v>620</v>
      </c>
      <c r="B1887" s="188" t="s">
        <v>1394</v>
      </c>
      <c r="C1887" s="188" t="s">
        <v>641</v>
      </c>
      <c r="D1887" s="188" t="s">
        <v>3293</v>
      </c>
      <c r="E1887" s="189">
        <v>39541</v>
      </c>
      <c r="F1887" s="190">
        <v>0</v>
      </c>
      <c r="G1887" s="190">
        <v>88.32</v>
      </c>
      <c r="H1887" s="191">
        <v>2154</v>
      </c>
      <c r="I1887" s="191">
        <v>345</v>
      </c>
      <c r="J1887" s="188" t="s">
        <v>635</v>
      </c>
      <c r="K1887" s="188" t="s">
        <v>338</v>
      </c>
      <c r="L1887" s="188" t="s">
        <v>1364</v>
      </c>
      <c r="M1887" s="192">
        <f t="shared" si="87"/>
        <v>30</v>
      </c>
      <c r="N1887" s="193">
        <f t="shared" si="88"/>
        <v>1.5608695652173914</v>
      </c>
      <c r="O1887" s="194">
        <f t="shared" si="89"/>
        <v>5.2028985507246377E-2</v>
      </c>
    </row>
    <row r="1888" spans="1:15" ht="12.75" customHeight="1">
      <c r="A1888" s="188" t="s">
        <v>620</v>
      </c>
      <c r="B1888" s="188" t="s">
        <v>1394</v>
      </c>
      <c r="C1888" s="188" t="s">
        <v>641</v>
      </c>
      <c r="D1888" s="188" t="s">
        <v>3294</v>
      </c>
      <c r="E1888" s="189">
        <v>39499</v>
      </c>
      <c r="F1888" s="190">
        <v>0</v>
      </c>
      <c r="G1888" s="190">
        <v>70.400000000000006</v>
      </c>
      <c r="H1888" s="191">
        <v>1550</v>
      </c>
      <c r="I1888" s="191">
        <v>275</v>
      </c>
      <c r="J1888" s="188" t="s">
        <v>639</v>
      </c>
      <c r="K1888" s="188" t="s">
        <v>338</v>
      </c>
      <c r="L1888" s="188" t="s">
        <v>557</v>
      </c>
      <c r="M1888" s="192">
        <f t="shared" si="87"/>
        <v>27</v>
      </c>
      <c r="N1888" s="193">
        <f t="shared" si="88"/>
        <v>1.4090909090909092</v>
      </c>
      <c r="O1888" s="194">
        <f t="shared" si="89"/>
        <v>5.2188552188552194E-2</v>
      </c>
    </row>
    <row r="1889" spans="1:15" ht="12.75" customHeight="1">
      <c r="A1889" s="188" t="s">
        <v>620</v>
      </c>
      <c r="B1889" s="188" t="s">
        <v>1394</v>
      </c>
      <c r="C1889" s="188" t="s">
        <v>641</v>
      </c>
      <c r="D1889" s="188" t="s">
        <v>3295</v>
      </c>
      <c r="E1889" s="189">
        <v>39247</v>
      </c>
      <c r="F1889" s="190">
        <v>0</v>
      </c>
      <c r="G1889" s="190">
        <v>31.74</v>
      </c>
      <c r="H1889" s="191">
        <v>545</v>
      </c>
      <c r="I1889" s="191">
        <v>124</v>
      </c>
      <c r="J1889" s="188" t="s">
        <v>879</v>
      </c>
      <c r="K1889" s="188" t="s">
        <v>338</v>
      </c>
      <c r="L1889" s="188" t="s">
        <v>3296</v>
      </c>
      <c r="M1889" s="192">
        <f t="shared" si="87"/>
        <v>21</v>
      </c>
      <c r="N1889" s="193">
        <f t="shared" si="88"/>
        <v>1.0987903225806452</v>
      </c>
      <c r="O1889" s="194">
        <f t="shared" si="89"/>
        <v>5.2323348694316443E-2</v>
      </c>
    </row>
    <row r="1890" spans="1:15" ht="12.75" customHeight="1">
      <c r="A1890" s="188" t="s">
        <v>620</v>
      </c>
      <c r="B1890" s="188" t="s">
        <v>1394</v>
      </c>
      <c r="C1890" s="188" t="s">
        <v>641</v>
      </c>
      <c r="D1890" s="188" t="s">
        <v>3297</v>
      </c>
      <c r="E1890" s="189">
        <v>39513</v>
      </c>
      <c r="F1890" s="190">
        <v>0</v>
      </c>
      <c r="G1890" s="190">
        <v>52.61</v>
      </c>
      <c r="H1890" s="191">
        <v>1295</v>
      </c>
      <c r="I1890" s="191">
        <v>205.5</v>
      </c>
      <c r="J1890" s="188" t="s">
        <v>635</v>
      </c>
      <c r="K1890" s="188" t="s">
        <v>338</v>
      </c>
      <c r="L1890" s="188" t="s">
        <v>3298</v>
      </c>
      <c r="M1890" s="192">
        <f t="shared" si="87"/>
        <v>30</v>
      </c>
      <c r="N1890" s="193">
        <f t="shared" si="88"/>
        <v>1.5754257907542579</v>
      </c>
      <c r="O1890" s="194">
        <f t="shared" si="89"/>
        <v>5.2514193025141931E-2</v>
      </c>
    </row>
    <row r="1891" spans="1:15" ht="12.75" customHeight="1">
      <c r="A1891" s="188" t="s">
        <v>620</v>
      </c>
      <c r="B1891" s="188" t="s">
        <v>1394</v>
      </c>
      <c r="C1891" s="188" t="s">
        <v>641</v>
      </c>
      <c r="D1891" s="188" t="s">
        <v>3299</v>
      </c>
      <c r="E1891" s="189">
        <v>39380</v>
      </c>
      <c r="F1891" s="190">
        <v>0</v>
      </c>
      <c r="G1891" s="190">
        <v>53.12</v>
      </c>
      <c r="H1891" s="191">
        <v>1094</v>
      </c>
      <c r="I1891" s="191">
        <v>207.5</v>
      </c>
      <c r="J1891" s="188" t="s">
        <v>652</v>
      </c>
      <c r="K1891" s="188" t="s">
        <v>338</v>
      </c>
      <c r="L1891" s="188" t="s">
        <v>1157</v>
      </c>
      <c r="M1891" s="192">
        <f t="shared" si="87"/>
        <v>25</v>
      </c>
      <c r="N1891" s="193">
        <f t="shared" si="88"/>
        <v>1.3180722891566266</v>
      </c>
      <c r="O1891" s="194">
        <f t="shared" si="89"/>
        <v>5.2722891566265064E-2</v>
      </c>
    </row>
    <row r="1892" spans="1:15" ht="12.75" customHeight="1">
      <c r="A1892" s="188" t="s">
        <v>620</v>
      </c>
      <c r="B1892" s="188" t="s">
        <v>1394</v>
      </c>
      <c r="C1892" s="188" t="s">
        <v>641</v>
      </c>
      <c r="D1892" s="188" t="s">
        <v>3300</v>
      </c>
      <c r="E1892" s="189">
        <v>39324</v>
      </c>
      <c r="F1892" s="190">
        <v>0</v>
      </c>
      <c r="G1892" s="190">
        <v>92.16</v>
      </c>
      <c r="H1892" s="191">
        <v>2050.9899999999998</v>
      </c>
      <c r="I1892" s="191">
        <v>360</v>
      </c>
      <c r="J1892" s="188" t="s">
        <v>639</v>
      </c>
      <c r="K1892" s="188" t="s">
        <v>338</v>
      </c>
      <c r="L1892" s="188" t="s">
        <v>682</v>
      </c>
      <c r="M1892" s="192">
        <f t="shared" si="87"/>
        <v>27</v>
      </c>
      <c r="N1892" s="193">
        <f t="shared" si="88"/>
        <v>1.4242986111111109</v>
      </c>
      <c r="O1892" s="194">
        <f t="shared" si="89"/>
        <v>5.2751800411522623E-2</v>
      </c>
    </row>
    <row r="1893" spans="1:15" ht="12.75" customHeight="1">
      <c r="A1893" s="188" t="s">
        <v>620</v>
      </c>
      <c r="B1893" s="188" t="s">
        <v>1394</v>
      </c>
      <c r="C1893" s="188" t="s">
        <v>641</v>
      </c>
      <c r="D1893" s="188" t="s">
        <v>3301</v>
      </c>
      <c r="E1893" s="189">
        <v>39447</v>
      </c>
      <c r="F1893" s="190">
        <v>0</v>
      </c>
      <c r="G1893" s="190">
        <v>57.34</v>
      </c>
      <c r="H1893" s="191">
        <v>1468</v>
      </c>
      <c r="I1893" s="191">
        <v>224</v>
      </c>
      <c r="J1893" s="188" t="s">
        <v>503</v>
      </c>
      <c r="K1893" s="188" t="s">
        <v>338</v>
      </c>
      <c r="L1893" s="188" t="s">
        <v>654</v>
      </c>
      <c r="M1893" s="192">
        <f t="shared" si="87"/>
        <v>31</v>
      </c>
      <c r="N1893" s="193">
        <f t="shared" si="88"/>
        <v>1.6383928571428572</v>
      </c>
      <c r="O1893" s="194">
        <f t="shared" si="89"/>
        <v>5.2851382488479266E-2</v>
      </c>
    </row>
    <row r="1894" spans="1:15" ht="12.75" customHeight="1">
      <c r="A1894" s="188" t="s">
        <v>620</v>
      </c>
      <c r="B1894" s="188" t="s">
        <v>1394</v>
      </c>
      <c r="C1894" s="188" t="s">
        <v>641</v>
      </c>
      <c r="D1894" s="188" t="s">
        <v>3302</v>
      </c>
      <c r="E1894" s="189">
        <v>39407</v>
      </c>
      <c r="F1894" s="190">
        <v>0</v>
      </c>
      <c r="G1894" s="190">
        <v>67.010000000000005</v>
      </c>
      <c r="H1894" s="191">
        <v>2111</v>
      </c>
      <c r="I1894" s="191">
        <v>261.75</v>
      </c>
      <c r="J1894" s="188" t="s">
        <v>624</v>
      </c>
      <c r="K1894" s="188" t="s">
        <v>338</v>
      </c>
      <c r="L1894" s="188" t="s">
        <v>3303</v>
      </c>
      <c r="M1894" s="192">
        <f t="shared" si="87"/>
        <v>38</v>
      </c>
      <c r="N1894" s="193">
        <f t="shared" si="88"/>
        <v>2.0162368672397326</v>
      </c>
      <c r="O1894" s="194">
        <f t="shared" si="89"/>
        <v>5.3058864927361386E-2</v>
      </c>
    </row>
    <row r="1895" spans="1:15" ht="12.75" customHeight="1">
      <c r="A1895" s="188" t="s">
        <v>620</v>
      </c>
      <c r="B1895" s="188" t="s">
        <v>1394</v>
      </c>
      <c r="C1895" s="188" t="s">
        <v>641</v>
      </c>
      <c r="D1895" s="188" t="s">
        <v>3304</v>
      </c>
      <c r="E1895" s="189">
        <v>39366</v>
      </c>
      <c r="F1895" s="190">
        <v>0</v>
      </c>
      <c r="G1895" s="190">
        <v>41.15</v>
      </c>
      <c r="H1895" s="191">
        <v>1160</v>
      </c>
      <c r="I1895" s="191">
        <v>160.75</v>
      </c>
      <c r="J1895" s="188" t="s">
        <v>720</v>
      </c>
      <c r="K1895" s="188" t="s">
        <v>338</v>
      </c>
      <c r="L1895" s="188" t="s">
        <v>3305</v>
      </c>
      <c r="M1895" s="192">
        <f t="shared" si="87"/>
        <v>34</v>
      </c>
      <c r="N1895" s="193">
        <f t="shared" si="88"/>
        <v>1.8040435458786936</v>
      </c>
      <c r="O1895" s="194">
        <f t="shared" si="89"/>
        <v>5.306010429054981E-2</v>
      </c>
    </row>
    <row r="1896" spans="1:15" ht="12.75" customHeight="1">
      <c r="A1896" s="188" t="s">
        <v>620</v>
      </c>
      <c r="B1896" s="188" t="s">
        <v>1394</v>
      </c>
      <c r="C1896" s="188" t="s">
        <v>641</v>
      </c>
      <c r="D1896" s="188" t="s">
        <v>3306</v>
      </c>
      <c r="E1896" s="189">
        <v>39447</v>
      </c>
      <c r="F1896" s="190">
        <v>0</v>
      </c>
      <c r="G1896" s="190">
        <v>151.41999999999999</v>
      </c>
      <c r="H1896" s="191">
        <v>4784</v>
      </c>
      <c r="I1896" s="191">
        <v>591.5</v>
      </c>
      <c r="J1896" s="188" t="s">
        <v>624</v>
      </c>
      <c r="K1896" s="188" t="s">
        <v>338</v>
      </c>
      <c r="L1896" s="188" t="s">
        <v>3307</v>
      </c>
      <c r="M1896" s="192">
        <f t="shared" si="87"/>
        <v>38</v>
      </c>
      <c r="N1896" s="193">
        <f t="shared" si="88"/>
        <v>2.0219780219780219</v>
      </c>
      <c r="O1896" s="194">
        <f t="shared" si="89"/>
        <v>5.320994794679005E-2</v>
      </c>
    </row>
    <row r="1897" spans="1:15" ht="12.75" customHeight="1">
      <c r="A1897" s="188" t="s">
        <v>620</v>
      </c>
      <c r="B1897" s="188" t="s">
        <v>1394</v>
      </c>
      <c r="C1897" s="188" t="s">
        <v>641</v>
      </c>
      <c r="D1897" s="188" t="s">
        <v>3306</v>
      </c>
      <c r="E1897" s="189">
        <v>39534</v>
      </c>
      <c r="F1897" s="190">
        <v>0</v>
      </c>
      <c r="G1897" s="190">
        <v>-151.41999999999999</v>
      </c>
      <c r="H1897" s="191">
        <v>4784</v>
      </c>
      <c r="I1897" s="191">
        <v>591.5</v>
      </c>
      <c r="J1897" s="188" t="s">
        <v>624</v>
      </c>
      <c r="K1897" s="188" t="s">
        <v>338</v>
      </c>
      <c r="L1897" s="188" t="s">
        <v>3307</v>
      </c>
      <c r="M1897" s="192">
        <f t="shared" si="87"/>
        <v>38</v>
      </c>
      <c r="N1897" s="193">
        <f t="shared" si="88"/>
        <v>2.0219780219780219</v>
      </c>
      <c r="O1897" s="194">
        <f t="shared" si="89"/>
        <v>5.320994794679005E-2</v>
      </c>
    </row>
    <row r="1898" spans="1:15" ht="12.75" customHeight="1">
      <c r="A1898" s="188" t="s">
        <v>620</v>
      </c>
      <c r="B1898" s="188" t="s">
        <v>1394</v>
      </c>
      <c r="C1898" s="188" t="s">
        <v>641</v>
      </c>
      <c r="D1898" s="188" t="s">
        <v>3308</v>
      </c>
      <c r="E1898" s="189">
        <v>39534</v>
      </c>
      <c r="F1898" s="190">
        <v>0</v>
      </c>
      <c r="G1898" s="190">
        <v>151.41999999999999</v>
      </c>
      <c r="H1898" s="191">
        <v>4787</v>
      </c>
      <c r="I1898" s="191">
        <v>591.5</v>
      </c>
      <c r="J1898" s="188" t="s">
        <v>624</v>
      </c>
      <c r="K1898" s="188" t="s">
        <v>338</v>
      </c>
      <c r="L1898" s="188" t="s">
        <v>3307</v>
      </c>
      <c r="M1898" s="192">
        <f t="shared" si="87"/>
        <v>38</v>
      </c>
      <c r="N1898" s="193">
        <f t="shared" si="88"/>
        <v>2.0232459847844462</v>
      </c>
      <c r="O1898" s="194">
        <f t="shared" si="89"/>
        <v>5.324331538906437E-2</v>
      </c>
    </row>
    <row r="1899" spans="1:15" ht="12.75" customHeight="1">
      <c r="A1899" s="188" t="s">
        <v>620</v>
      </c>
      <c r="B1899" s="188" t="s">
        <v>1394</v>
      </c>
      <c r="C1899" s="188" t="s">
        <v>641</v>
      </c>
      <c r="D1899" s="188" t="s">
        <v>3308</v>
      </c>
      <c r="E1899" s="189">
        <v>39548</v>
      </c>
      <c r="F1899" s="190">
        <v>0</v>
      </c>
      <c r="G1899" s="190">
        <v>-151.41999999999999</v>
      </c>
      <c r="H1899" s="191">
        <v>4787</v>
      </c>
      <c r="I1899" s="191">
        <v>591.5</v>
      </c>
      <c r="J1899" s="188" t="s">
        <v>624</v>
      </c>
      <c r="K1899" s="188" t="s">
        <v>338</v>
      </c>
      <c r="L1899" s="188" t="s">
        <v>3307</v>
      </c>
      <c r="M1899" s="192">
        <f t="shared" si="87"/>
        <v>38</v>
      </c>
      <c r="N1899" s="193">
        <f t="shared" si="88"/>
        <v>2.0232459847844462</v>
      </c>
      <c r="O1899" s="194">
        <f t="shared" si="89"/>
        <v>5.324331538906437E-2</v>
      </c>
    </row>
    <row r="1900" spans="1:15" ht="12.75" customHeight="1">
      <c r="A1900" s="188" t="s">
        <v>620</v>
      </c>
      <c r="B1900" s="188" t="s">
        <v>1394</v>
      </c>
      <c r="C1900" s="188" t="s">
        <v>641</v>
      </c>
      <c r="D1900" s="188" t="s">
        <v>3309</v>
      </c>
      <c r="E1900" s="189">
        <v>39226</v>
      </c>
      <c r="F1900" s="190">
        <v>0</v>
      </c>
      <c r="G1900" s="190">
        <v>30.72</v>
      </c>
      <c r="H1900" s="191">
        <v>514.99</v>
      </c>
      <c r="I1900" s="191">
        <v>120</v>
      </c>
      <c r="J1900" s="188" t="s">
        <v>560</v>
      </c>
      <c r="K1900" s="188" t="s">
        <v>338</v>
      </c>
      <c r="L1900" s="188" t="s">
        <v>1129</v>
      </c>
      <c r="M1900" s="192">
        <f t="shared" si="87"/>
        <v>20</v>
      </c>
      <c r="N1900" s="193">
        <f t="shared" si="88"/>
        <v>1.0728958333333334</v>
      </c>
      <c r="O1900" s="194">
        <f t="shared" si="89"/>
        <v>5.364479166666667E-2</v>
      </c>
    </row>
    <row r="1901" spans="1:15" ht="12.75" customHeight="1">
      <c r="A1901" s="188" t="s">
        <v>620</v>
      </c>
      <c r="B1901" s="188" t="s">
        <v>1394</v>
      </c>
      <c r="C1901" s="188" t="s">
        <v>641</v>
      </c>
      <c r="D1901" s="188" t="s">
        <v>3310</v>
      </c>
      <c r="E1901" s="189">
        <v>39492</v>
      </c>
      <c r="F1901" s="190">
        <v>0</v>
      </c>
      <c r="G1901" s="190">
        <v>80.77</v>
      </c>
      <c r="H1901" s="191">
        <v>1425</v>
      </c>
      <c r="I1901" s="191">
        <v>315.5</v>
      </c>
      <c r="J1901" s="188" t="s">
        <v>879</v>
      </c>
      <c r="K1901" s="188" t="s">
        <v>338</v>
      </c>
      <c r="L1901" s="188" t="s">
        <v>3311</v>
      </c>
      <c r="M1901" s="192">
        <f t="shared" si="87"/>
        <v>21</v>
      </c>
      <c r="N1901" s="193">
        <f t="shared" si="88"/>
        <v>1.1291600633914423</v>
      </c>
      <c r="O1901" s="194">
        <f t="shared" si="89"/>
        <v>5.3769526828163917E-2</v>
      </c>
    </row>
    <row r="1902" spans="1:15" ht="12.75" customHeight="1">
      <c r="A1902" s="188" t="s">
        <v>620</v>
      </c>
      <c r="B1902" s="188" t="s">
        <v>1394</v>
      </c>
      <c r="C1902" s="188" t="s">
        <v>641</v>
      </c>
      <c r="D1902" s="188" t="s">
        <v>3312</v>
      </c>
      <c r="E1902" s="189">
        <v>39331</v>
      </c>
      <c r="F1902" s="190">
        <v>0</v>
      </c>
      <c r="G1902" s="190">
        <v>89.66</v>
      </c>
      <c r="H1902" s="191">
        <v>2879.06</v>
      </c>
      <c r="I1902" s="191">
        <v>350.25</v>
      </c>
      <c r="J1902" s="188" t="s">
        <v>624</v>
      </c>
      <c r="K1902" s="188" t="s">
        <v>338</v>
      </c>
      <c r="L1902" s="188" t="s">
        <v>3313</v>
      </c>
      <c r="M1902" s="192">
        <f t="shared" si="87"/>
        <v>38</v>
      </c>
      <c r="N1902" s="193">
        <f t="shared" si="88"/>
        <v>2.0550035688793717</v>
      </c>
      <c r="O1902" s="194">
        <f t="shared" si="89"/>
        <v>5.4079041286299256E-2</v>
      </c>
    </row>
    <row r="1903" spans="1:15" ht="12.75" customHeight="1">
      <c r="A1903" s="188" t="s">
        <v>620</v>
      </c>
      <c r="B1903" s="188" t="s">
        <v>1394</v>
      </c>
      <c r="C1903" s="188" t="s">
        <v>641</v>
      </c>
      <c r="D1903" s="188" t="s">
        <v>3314</v>
      </c>
      <c r="E1903" s="189">
        <v>39447</v>
      </c>
      <c r="F1903" s="190">
        <v>0</v>
      </c>
      <c r="G1903" s="190">
        <v>22.4</v>
      </c>
      <c r="H1903" s="191">
        <v>729</v>
      </c>
      <c r="I1903" s="191">
        <v>87.5</v>
      </c>
      <c r="J1903" s="188" t="s">
        <v>624</v>
      </c>
      <c r="K1903" s="188" t="s">
        <v>338</v>
      </c>
      <c r="L1903" s="188" t="s">
        <v>1137</v>
      </c>
      <c r="M1903" s="192">
        <f t="shared" si="87"/>
        <v>38</v>
      </c>
      <c r="N1903" s="193">
        <f t="shared" si="88"/>
        <v>2.0828571428571427</v>
      </c>
      <c r="O1903" s="194">
        <f t="shared" si="89"/>
        <v>5.4812030075187965E-2</v>
      </c>
    </row>
    <row r="1904" spans="1:15" ht="12.75" customHeight="1">
      <c r="A1904" s="188" t="s">
        <v>620</v>
      </c>
      <c r="B1904" s="188" t="s">
        <v>1394</v>
      </c>
      <c r="C1904" s="188" t="s">
        <v>641</v>
      </c>
      <c r="D1904" s="188" t="s">
        <v>3315</v>
      </c>
      <c r="E1904" s="189">
        <v>39576</v>
      </c>
      <c r="F1904" s="190">
        <v>0</v>
      </c>
      <c r="G1904" s="190">
        <v>46.85</v>
      </c>
      <c r="H1904" s="191">
        <v>803.58</v>
      </c>
      <c r="I1904" s="191">
        <v>183</v>
      </c>
      <c r="J1904" s="188" t="s">
        <v>560</v>
      </c>
      <c r="K1904" s="188" t="s">
        <v>338</v>
      </c>
      <c r="L1904" s="188" t="s">
        <v>3316</v>
      </c>
      <c r="M1904" s="192">
        <f t="shared" si="87"/>
        <v>20</v>
      </c>
      <c r="N1904" s="193">
        <f t="shared" si="88"/>
        <v>1.0977868852459016</v>
      </c>
      <c r="O1904" s="194">
        <f t="shared" si="89"/>
        <v>5.4889344262295081E-2</v>
      </c>
    </row>
    <row r="1905" spans="1:15" ht="12.75" customHeight="1">
      <c r="A1905" s="188" t="s">
        <v>620</v>
      </c>
      <c r="B1905" s="188" t="s">
        <v>1394</v>
      </c>
      <c r="C1905" s="188" t="s">
        <v>641</v>
      </c>
      <c r="D1905" s="188" t="s">
        <v>3317</v>
      </c>
      <c r="E1905" s="189">
        <v>39507</v>
      </c>
      <c r="F1905" s="190">
        <v>0</v>
      </c>
      <c r="G1905" s="190">
        <v>24.13</v>
      </c>
      <c r="H1905" s="191">
        <v>688</v>
      </c>
      <c r="I1905" s="191">
        <v>94.25</v>
      </c>
      <c r="J1905" s="188" t="s">
        <v>742</v>
      </c>
      <c r="K1905" s="188" t="s">
        <v>338</v>
      </c>
      <c r="L1905" s="188" t="s">
        <v>3318</v>
      </c>
      <c r="M1905" s="192">
        <f t="shared" si="87"/>
        <v>33</v>
      </c>
      <c r="N1905" s="193">
        <f t="shared" si="88"/>
        <v>1.8249336870026525</v>
      </c>
      <c r="O1905" s="194">
        <f t="shared" si="89"/>
        <v>5.5301020818262193E-2</v>
      </c>
    </row>
    <row r="1906" spans="1:15" ht="12.75" customHeight="1">
      <c r="A1906" s="188" t="s">
        <v>620</v>
      </c>
      <c r="B1906" s="188" t="s">
        <v>1394</v>
      </c>
      <c r="C1906" s="188" t="s">
        <v>641</v>
      </c>
      <c r="D1906" s="188" t="s">
        <v>3319</v>
      </c>
      <c r="E1906" s="189">
        <v>39219</v>
      </c>
      <c r="F1906" s="190">
        <v>0</v>
      </c>
      <c r="G1906" s="190">
        <v>41.6</v>
      </c>
      <c r="H1906" s="191">
        <v>975</v>
      </c>
      <c r="I1906" s="191">
        <v>162.5</v>
      </c>
      <c r="J1906" s="188" t="s">
        <v>639</v>
      </c>
      <c r="K1906" s="188" t="s">
        <v>338</v>
      </c>
      <c r="L1906" s="188" t="s">
        <v>1774</v>
      </c>
      <c r="M1906" s="192">
        <f t="shared" si="87"/>
        <v>27</v>
      </c>
      <c r="N1906" s="193">
        <f t="shared" si="88"/>
        <v>1.5</v>
      </c>
      <c r="O1906" s="194">
        <f t="shared" si="89"/>
        <v>5.5555555555555552E-2</v>
      </c>
    </row>
    <row r="1907" spans="1:15" ht="12.75" customHeight="1">
      <c r="A1907" s="188" t="s">
        <v>620</v>
      </c>
      <c r="B1907" s="188" t="s">
        <v>1394</v>
      </c>
      <c r="C1907" s="188" t="s">
        <v>641</v>
      </c>
      <c r="D1907" s="188" t="s">
        <v>3320</v>
      </c>
      <c r="E1907" s="189">
        <v>39520</v>
      </c>
      <c r="F1907" s="190">
        <v>0</v>
      </c>
      <c r="G1907" s="190">
        <v>88.19</v>
      </c>
      <c r="H1907" s="191">
        <v>2067</v>
      </c>
      <c r="I1907" s="191">
        <v>344.5</v>
      </c>
      <c r="J1907" s="188" t="s">
        <v>639</v>
      </c>
      <c r="K1907" s="188" t="s">
        <v>338</v>
      </c>
      <c r="L1907" s="188" t="s">
        <v>1677</v>
      </c>
      <c r="M1907" s="192">
        <f t="shared" si="87"/>
        <v>27</v>
      </c>
      <c r="N1907" s="193">
        <f t="shared" si="88"/>
        <v>1.5</v>
      </c>
      <c r="O1907" s="194">
        <f t="shared" si="89"/>
        <v>5.5555555555555552E-2</v>
      </c>
    </row>
    <row r="1908" spans="1:15" ht="12.75" customHeight="1">
      <c r="A1908" s="188" t="s">
        <v>620</v>
      </c>
      <c r="B1908" s="188" t="s">
        <v>1394</v>
      </c>
      <c r="C1908" s="188" t="s">
        <v>641</v>
      </c>
      <c r="D1908" s="188" t="s">
        <v>3321</v>
      </c>
      <c r="E1908" s="189">
        <v>39562</v>
      </c>
      <c r="F1908" s="190">
        <v>0</v>
      </c>
      <c r="G1908" s="190">
        <v>76.8</v>
      </c>
      <c r="H1908" s="191">
        <v>1800</v>
      </c>
      <c r="I1908" s="191">
        <v>300</v>
      </c>
      <c r="J1908" s="188" t="s">
        <v>639</v>
      </c>
      <c r="K1908" s="188" t="s">
        <v>338</v>
      </c>
      <c r="L1908" s="188" t="s">
        <v>632</v>
      </c>
      <c r="M1908" s="192">
        <f t="shared" si="87"/>
        <v>27</v>
      </c>
      <c r="N1908" s="193">
        <f t="shared" si="88"/>
        <v>1.5</v>
      </c>
      <c r="O1908" s="194">
        <f t="shared" si="89"/>
        <v>5.5555555555555552E-2</v>
      </c>
    </row>
    <row r="1909" spans="1:15" ht="12.75" customHeight="1">
      <c r="A1909" s="188" t="s">
        <v>620</v>
      </c>
      <c r="B1909" s="188" t="s">
        <v>1394</v>
      </c>
      <c r="C1909" s="188" t="s">
        <v>641</v>
      </c>
      <c r="D1909" s="188" t="s">
        <v>3322</v>
      </c>
      <c r="E1909" s="189">
        <v>39576</v>
      </c>
      <c r="F1909" s="190">
        <v>0</v>
      </c>
      <c r="G1909" s="190">
        <v>56.77</v>
      </c>
      <c r="H1909" s="191">
        <v>1528</v>
      </c>
      <c r="I1909" s="191">
        <v>221.75</v>
      </c>
      <c r="J1909" s="188" t="s">
        <v>503</v>
      </c>
      <c r="K1909" s="188" t="s">
        <v>338</v>
      </c>
      <c r="L1909" s="188" t="s">
        <v>3323</v>
      </c>
      <c r="M1909" s="192">
        <f t="shared" si="87"/>
        <v>31</v>
      </c>
      <c r="N1909" s="193">
        <f t="shared" si="88"/>
        <v>1.7226606538895153</v>
      </c>
      <c r="O1909" s="194">
        <f t="shared" si="89"/>
        <v>5.5569698512565012E-2</v>
      </c>
    </row>
    <row r="1910" spans="1:15" ht="12.75" customHeight="1">
      <c r="A1910" s="188" t="s">
        <v>620</v>
      </c>
      <c r="B1910" s="188" t="s">
        <v>1394</v>
      </c>
      <c r="C1910" s="188" t="s">
        <v>641</v>
      </c>
      <c r="D1910" s="188" t="s">
        <v>3324</v>
      </c>
      <c r="E1910" s="189">
        <v>39247</v>
      </c>
      <c r="F1910" s="190">
        <v>0</v>
      </c>
      <c r="G1910" s="190">
        <v>77.760000000000005</v>
      </c>
      <c r="H1910" s="191">
        <v>1354.97</v>
      </c>
      <c r="I1910" s="191">
        <v>303.75</v>
      </c>
      <c r="J1910" s="188" t="s">
        <v>560</v>
      </c>
      <c r="K1910" s="188" t="s">
        <v>338</v>
      </c>
      <c r="L1910" s="188" t="s">
        <v>2924</v>
      </c>
      <c r="M1910" s="192">
        <f t="shared" si="87"/>
        <v>20</v>
      </c>
      <c r="N1910" s="193">
        <f t="shared" si="88"/>
        <v>1.115201646090535</v>
      </c>
      <c r="O1910" s="194">
        <f t="shared" si="89"/>
        <v>5.5760082304526747E-2</v>
      </c>
    </row>
    <row r="1911" spans="1:15" ht="12.75" customHeight="1">
      <c r="A1911" s="188" t="s">
        <v>620</v>
      </c>
      <c r="B1911" s="188" t="s">
        <v>1394</v>
      </c>
      <c r="C1911" s="188" t="s">
        <v>641</v>
      </c>
      <c r="D1911" s="188" t="s">
        <v>3325</v>
      </c>
      <c r="E1911" s="189">
        <v>39310</v>
      </c>
      <c r="F1911" s="190">
        <v>0</v>
      </c>
      <c r="G1911" s="190">
        <v>56.96</v>
      </c>
      <c r="H1911" s="191">
        <v>596.03</v>
      </c>
      <c r="I1911" s="191">
        <v>222.5</v>
      </c>
      <c r="J1911" s="188" t="s">
        <v>652</v>
      </c>
      <c r="K1911" s="188" t="s">
        <v>427</v>
      </c>
      <c r="L1911" s="188" t="s">
        <v>3326</v>
      </c>
      <c r="M1911" s="192">
        <f t="shared" si="87"/>
        <v>12</v>
      </c>
      <c r="N1911" s="193">
        <f t="shared" si="88"/>
        <v>0.66969662921348316</v>
      </c>
      <c r="O1911" s="194">
        <f t="shared" si="89"/>
        <v>5.5808052434456933E-2</v>
      </c>
    </row>
    <row r="1912" spans="1:15" ht="12.75" customHeight="1">
      <c r="A1912" s="188" t="s">
        <v>620</v>
      </c>
      <c r="B1912" s="188" t="s">
        <v>1394</v>
      </c>
      <c r="C1912" s="188" t="s">
        <v>641</v>
      </c>
      <c r="D1912" s="188" t="s">
        <v>3327</v>
      </c>
      <c r="E1912" s="189">
        <v>39597</v>
      </c>
      <c r="F1912" s="190">
        <v>0</v>
      </c>
      <c r="G1912" s="190">
        <v>140.80000000000001</v>
      </c>
      <c r="H1912" s="191">
        <v>3327.2</v>
      </c>
      <c r="I1912" s="191">
        <v>550</v>
      </c>
      <c r="J1912" s="188" t="s">
        <v>639</v>
      </c>
      <c r="K1912" s="188" t="s">
        <v>338</v>
      </c>
      <c r="L1912" s="188" t="s">
        <v>938</v>
      </c>
      <c r="M1912" s="192">
        <f t="shared" si="87"/>
        <v>27</v>
      </c>
      <c r="N1912" s="193">
        <f t="shared" si="88"/>
        <v>1.5123636363636364</v>
      </c>
      <c r="O1912" s="194">
        <f t="shared" si="89"/>
        <v>5.6013468013468015E-2</v>
      </c>
    </row>
    <row r="1913" spans="1:15" ht="12.75" customHeight="1">
      <c r="A1913" s="188" t="s">
        <v>620</v>
      </c>
      <c r="B1913" s="188" t="s">
        <v>1394</v>
      </c>
      <c r="C1913" s="188" t="s">
        <v>641</v>
      </c>
      <c r="D1913" s="188" t="s">
        <v>3328</v>
      </c>
      <c r="E1913" s="189">
        <v>39590</v>
      </c>
      <c r="F1913" s="190">
        <v>0</v>
      </c>
      <c r="G1913" s="190">
        <v>77.25</v>
      </c>
      <c r="H1913" s="191">
        <v>2575</v>
      </c>
      <c r="I1913" s="191">
        <v>301.75</v>
      </c>
      <c r="J1913" s="188" t="s">
        <v>624</v>
      </c>
      <c r="K1913" s="188" t="s">
        <v>338</v>
      </c>
      <c r="L1913" s="188" t="s">
        <v>2218</v>
      </c>
      <c r="M1913" s="192">
        <f t="shared" si="87"/>
        <v>38</v>
      </c>
      <c r="N1913" s="193">
        <f t="shared" si="88"/>
        <v>2.1333885666942836</v>
      </c>
      <c r="O1913" s="194">
        <f t="shared" si="89"/>
        <v>5.6141804386691675E-2</v>
      </c>
    </row>
    <row r="1914" spans="1:15" ht="12.75" customHeight="1">
      <c r="A1914" s="188" t="s">
        <v>620</v>
      </c>
      <c r="B1914" s="188" t="s">
        <v>1394</v>
      </c>
      <c r="C1914" s="188" t="s">
        <v>641</v>
      </c>
      <c r="D1914" s="188" t="s">
        <v>3329</v>
      </c>
      <c r="E1914" s="189">
        <v>39548</v>
      </c>
      <c r="F1914" s="190">
        <v>0</v>
      </c>
      <c r="G1914" s="190">
        <v>61.44</v>
      </c>
      <c r="H1914" s="191">
        <v>1350</v>
      </c>
      <c r="I1914" s="191">
        <v>240</v>
      </c>
      <c r="J1914" s="188" t="s">
        <v>624</v>
      </c>
      <c r="K1914" s="188" t="s">
        <v>427</v>
      </c>
      <c r="L1914" s="188" t="s">
        <v>1146</v>
      </c>
      <c r="M1914" s="192">
        <f t="shared" si="87"/>
        <v>25</v>
      </c>
      <c r="N1914" s="193">
        <f t="shared" si="88"/>
        <v>1.40625</v>
      </c>
      <c r="O1914" s="194">
        <f t="shared" si="89"/>
        <v>5.6250000000000001E-2</v>
      </c>
    </row>
    <row r="1915" spans="1:15" ht="12.75" customHeight="1">
      <c r="A1915" s="188" t="s">
        <v>620</v>
      </c>
      <c r="B1915" s="188" t="s">
        <v>1394</v>
      </c>
      <c r="C1915" s="188" t="s">
        <v>641</v>
      </c>
      <c r="D1915" s="188" t="s">
        <v>3330</v>
      </c>
      <c r="E1915" s="189">
        <v>39492</v>
      </c>
      <c r="F1915" s="190">
        <v>0</v>
      </c>
      <c r="G1915" s="190">
        <v>98.88</v>
      </c>
      <c r="H1915" s="191">
        <v>2365</v>
      </c>
      <c r="I1915" s="191">
        <v>386.25</v>
      </c>
      <c r="J1915" s="188" t="s">
        <v>639</v>
      </c>
      <c r="K1915" s="188" t="s">
        <v>338</v>
      </c>
      <c r="L1915" s="188" t="s">
        <v>3331</v>
      </c>
      <c r="M1915" s="192">
        <f t="shared" si="87"/>
        <v>27</v>
      </c>
      <c r="N1915" s="193">
        <f t="shared" si="88"/>
        <v>1.5307443365695792</v>
      </c>
      <c r="O1915" s="194">
        <f t="shared" si="89"/>
        <v>5.6694234687762191E-2</v>
      </c>
    </row>
    <row r="1916" spans="1:15" ht="12.75" customHeight="1">
      <c r="A1916" s="188" t="s">
        <v>620</v>
      </c>
      <c r="B1916" s="188" t="s">
        <v>1394</v>
      </c>
      <c r="C1916" s="188" t="s">
        <v>641</v>
      </c>
      <c r="D1916" s="188" t="s">
        <v>3332</v>
      </c>
      <c r="E1916" s="189">
        <v>39639</v>
      </c>
      <c r="F1916" s="190">
        <v>0</v>
      </c>
      <c r="G1916" s="190">
        <v>32</v>
      </c>
      <c r="H1916" s="191">
        <v>625</v>
      </c>
      <c r="I1916" s="191">
        <v>125</v>
      </c>
      <c r="J1916" s="188" t="s">
        <v>635</v>
      </c>
      <c r="K1916" s="188" t="s">
        <v>257</v>
      </c>
      <c r="L1916" s="188" t="s">
        <v>858</v>
      </c>
      <c r="M1916" s="192">
        <f t="shared" si="87"/>
        <v>22</v>
      </c>
      <c r="N1916" s="193">
        <f t="shared" si="88"/>
        <v>1.25</v>
      </c>
      <c r="O1916" s="194">
        <f t="shared" si="89"/>
        <v>5.6818181818181816E-2</v>
      </c>
    </row>
    <row r="1917" spans="1:15" ht="12.75" customHeight="1">
      <c r="A1917" s="188" t="s">
        <v>620</v>
      </c>
      <c r="B1917" s="188" t="s">
        <v>1394</v>
      </c>
      <c r="C1917" s="188" t="s">
        <v>641</v>
      </c>
      <c r="D1917" s="188" t="s">
        <v>3333</v>
      </c>
      <c r="E1917" s="189">
        <v>39345</v>
      </c>
      <c r="F1917" s="190">
        <v>0</v>
      </c>
      <c r="G1917" s="190">
        <v>57.34</v>
      </c>
      <c r="H1917" s="191">
        <v>1380</v>
      </c>
      <c r="I1917" s="191">
        <v>224</v>
      </c>
      <c r="J1917" s="188" t="s">
        <v>639</v>
      </c>
      <c r="K1917" s="188" t="s">
        <v>338</v>
      </c>
      <c r="L1917" s="188" t="s">
        <v>654</v>
      </c>
      <c r="M1917" s="192">
        <f t="shared" si="87"/>
        <v>27</v>
      </c>
      <c r="N1917" s="193">
        <f t="shared" si="88"/>
        <v>1.5401785714285714</v>
      </c>
      <c r="O1917" s="194">
        <f t="shared" si="89"/>
        <v>5.7043650793650792E-2</v>
      </c>
    </row>
    <row r="1918" spans="1:15" ht="12.75" customHeight="1">
      <c r="A1918" s="188" t="s">
        <v>620</v>
      </c>
      <c r="B1918" s="188" t="s">
        <v>1394</v>
      </c>
      <c r="C1918" s="188" t="s">
        <v>641</v>
      </c>
      <c r="D1918" s="188" t="s">
        <v>3334</v>
      </c>
      <c r="E1918" s="189">
        <v>39464</v>
      </c>
      <c r="F1918" s="190">
        <v>0</v>
      </c>
      <c r="G1918" s="190">
        <v>57.6</v>
      </c>
      <c r="H1918" s="191">
        <v>1390</v>
      </c>
      <c r="I1918" s="191">
        <v>225</v>
      </c>
      <c r="J1918" s="188" t="s">
        <v>639</v>
      </c>
      <c r="K1918" s="188" t="s">
        <v>338</v>
      </c>
      <c r="L1918" s="188" t="s">
        <v>740</v>
      </c>
      <c r="M1918" s="192">
        <f t="shared" si="87"/>
        <v>27</v>
      </c>
      <c r="N1918" s="193">
        <f t="shared" si="88"/>
        <v>1.5444444444444445</v>
      </c>
      <c r="O1918" s="194">
        <f t="shared" si="89"/>
        <v>5.7201646090534984E-2</v>
      </c>
    </row>
    <row r="1919" spans="1:15" ht="12.75" customHeight="1">
      <c r="A1919" s="188" t="s">
        <v>620</v>
      </c>
      <c r="B1919" s="188" t="s">
        <v>1394</v>
      </c>
      <c r="C1919" s="188" t="s">
        <v>641</v>
      </c>
      <c r="D1919" s="188" t="s">
        <v>3335</v>
      </c>
      <c r="E1919" s="189">
        <v>39590</v>
      </c>
      <c r="F1919" s="190">
        <v>0</v>
      </c>
      <c r="G1919" s="190">
        <v>55.1</v>
      </c>
      <c r="H1919" s="191">
        <v>1479</v>
      </c>
      <c r="I1919" s="191">
        <v>215.25</v>
      </c>
      <c r="J1919" s="188" t="s">
        <v>635</v>
      </c>
      <c r="K1919" s="188" t="s">
        <v>338</v>
      </c>
      <c r="L1919" s="188" t="s">
        <v>2592</v>
      </c>
      <c r="M1919" s="192">
        <f t="shared" si="87"/>
        <v>30</v>
      </c>
      <c r="N1919" s="193">
        <f t="shared" si="88"/>
        <v>1.7177700348432057</v>
      </c>
      <c r="O1919" s="194">
        <f t="shared" si="89"/>
        <v>5.7259001161440191E-2</v>
      </c>
    </row>
    <row r="1920" spans="1:15" ht="12.75" customHeight="1">
      <c r="A1920" s="188" t="s">
        <v>620</v>
      </c>
      <c r="B1920" s="188" t="s">
        <v>1394</v>
      </c>
      <c r="C1920" s="188" t="s">
        <v>641</v>
      </c>
      <c r="D1920" s="188" t="s">
        <v>3336</v>
      </c>
      <c r="E1920" s="189">
        <v>39534</v>
      </c>
      <c r="F1920" s="190">
        <v>0</v>
      </c>
      <c r="G1920" s="190">
        <v>51.2</v>
      </c>
      <c r="H1920" s="191">
        <v>873</v>
      </c>
      <c r="I1920" s="191">
        <v>200</v>
      </c>
      <c r="J1920" s="188" t="s">
        <v>667</v>
      </c>
      <c r="K1920" s="188" t="s">
        <v>338</v>
      </c>
      <c r="L1920" s="188" t="s">
        <v>752</v>
      </c>
      <c r="M1920" s="192">
        <f t="shared" si="87"/>
        <v>19</v>
      </c>
      <c r="N1920" s="193">
        <f t="shared" si="88"/>
        <v>1.0912500000000001</v>
      </c>
      <c r="O1920" s="194">
        <f t="shared" si="89"/>
        <v>5.7434210526315789E-2</v>
      </c>
    </row>
    <row r="1921" spans="1:15" ht="12.75" customHeight="1">
      <c r="A1921" s="188" t="s">
        <v>620</v>
      </c>
      <c r="B1921" s="188" t="s">
        <v>1394</v>
      </c>
      <c r="C1921" s="188" t="s">
        <v>641</v>
      </c>
      <c r="D1921" s="188" t="s">
        <v>3337</v>
      </c>
      <c r="E1921" s="189">
        <v>39611</v>
      </c>
      <c r="F1921" s="190">
        <v>0</v>
      </c>
      <c r="G1921" s="190">
        <v>51.2</v>
      </c>
      <c r="H1921" s="191">
        <v>1388</v>
      </c>
      <c r="I1921" s="191">
        <v>200</v>
      </c>
      <c r="J1921" s="188" t="s">
        <v>635</v>
      </c>
      <c r="K1921" s="188" t="s">
        <v>338</v>
      </c>
      <c r="L1921" s="188" t="s">
        <v>752</v>
      </c>
      <c r="M1921" s="192">
        <f t="shared" si="87"/>
        <v>30</v>
      </c>
      <c r="N1921" s="193">
        <f t="shared" si="88"/>
        <v>1.7350000000000001</v>
      </c>
      <c r="O1921" s="194">
        <f t="shared" si="89"/>
        <v>5.7833333333333334E-2</v>
      </c>
    </row>
    <row r="1922" spans="1:15" ht="12.75" customHeight="1">
      <c r="A1922" s="188" t="s">
        <v>620</v>
      </c>
      <c r="B1922" s="188" t="s">
        <v>1394</v>
      </c>
      <c r="C1922" s="188" t="s">
        <v>641</v>
      </c>
      <c r="D1922" s="188" t="s">
        <v>3338</v>
      </c>
      <c r="E1922" s="189">
        <v>39597</v>
      </c>
      <c r="F1922" s="190">
        <v>0</v>
      </c>
      <c r="G1922" s="190">
        <v>38.909999999999997</v>
      </c>
      <c r="H1922" s="191">
        <v>703.68</v>
      </c>
      <c r="I1922" s="191">
        <v>152</v>
      </c>
      <c r="J1922" s="188" t="s">
        <v>560</v>
      </c>
      <c r="K1922" s="188" t="s">
        <v>338</v>
      </c>
      <c r="L1922" s="188" t="s">
        <v>2047</v>
      </c>
      <c r="M1922" s="192">
        <f t="shared" ref="M1922:M1985" si="90">K1922-J1922</f>
        <v>20</v>
      </c>
      <c r="N1922" s="193">
        <f t="shared" ref="N1922:N1985" si="91">H1922/L1922</f>
        <v>1.1573684210526316</v>
      </c>
      <c r="O1922" s="194">
        <f t="shared" ref="O1922:O1985" si="92">N1922/M1922</f>
        <v>5.7868421052631583E-2</v>
      </c>
    </row>
    <row r="1923" spans="1:15" ht="12.75" customHeight="1">
      <c r="A1923" s="188" t="s">
        <v>620</v>
      </c>
      <c r="B1923" s="188" t="s">
        <v>1394</v>
      </c>
      <c r="C1923" s="188" t="s">
        <v>641</v>
      </c>
      <c r="D1923" s="188" t="s">
        <v>3339</v>
      </c>
      <c r="E1923" s="189">
        <v>39261</v>
      </c>
      <c r="F1923" s="190">
        <v>0</v>
      </c>
      <c r="G1923" s="190">
        <v>68.22</v>
      </c>
      <c r="H1923" s="191">
        <v>1302.97</v>
      </c>
      <c r="I1923" s="191">
        <v>266.5</v>
      </c>
      <c r="J1923" s="188" t="s">
        <v>879</v>
      </c>
      <c r="K1923" s="188" t="s">
        <v>338</v>
      </c>
      <c r="L1923" s="188" t="s">
        <v>2269</v>
      </c>
      <c r="M1923" s="192">
        <f t="shared" si="90"/>
        <v>21</v>
      </c>
      <c r="N1923" s="193">
        <f t="shared" si="91"/>
        <v>1.2222983114446528</v>
      </c>
      <c r="O1923" s="194">
        <f t="shared" si="92"/>
        <v>5.8204681497364422E-2</v>
      </c>
    </row>
    <row r="1924" spans="1:15" ht="12.75" customHeight="1">
      <c r="A1924" s="188" t="s">
        <v>620</v>
      </c>
      <c r="B1924" s="188" t="s">
        <v>1394</v>
      </c>
      <c r="C1924" s="188" t="s">
        <v>641</v>
      </c>
      <c r="D1924" s="188" t="s">
        <v>3340</v>
      </c>
      <c r="E1924" s="189">
        <v>39541</v>
      </c>
      <c r="F1924" s="190">
        <v>0</v>
      </c>
      <c r="G1924" s="190">
        <v>72.959999999999994</v>
      </c>
      <c r="H1924" s="191">
        <v>1660</v>
      </c>
      <c r="I1924" s="191">
        <v>285</v>
      </c>
      <c r="J1924" s="188" t="s">
        <v>652</v>
      </c>
      <c r="K1924" s="188" t="s">
        <v>338</v>
      </c>
      <c r="L1924" s="188" t="s">
        <v>2347</v>
      </c>
      <c r="M1924" s="192">
        <f t="shared" si="90"/>
        <v>25</v>
      </c>
      <c r="N1924" s="193">
        <f t="shared" si="91"/>
        <v>1.4561403508771931</v>
      </c>
      <c r="O1924" s="194">
        <f t="shared" si="92"/>
        <v>5.8245614035087726E-2</v>
      </c>
    </row>
    <row r="1925" spans="1:15" ht="12.75" customHeight="1">
      <c r="A1925" s="188" t="s">
        <v>620</v>
      </c>
      <c r="B1925" s="188" t="s">
        <v>1394</v>
      </c>
      <c r="C1925" s="188" t="s">
        <v>641</v>
      </c>
      <c r="D1925" s="188" t="s">
        <v>3341</v>
      </c>
      <c r="E1925" s="189">
        <v>39548</v>
      </c>
      <c r="F1925" s="190">
        <v>0</v>
      </c>
      <c r="G1925" s="190">
        <v>24.83</v>
      </c>
      <c r="H1925" s="191">
        <v>865</v>
      </c>
      <c r="I1925" s="191">
        <v>97</v>
      </c>
      <c r="J1925" s="188" t="s">
        <v>624</v>
      </c>
      <c r="K1925" s="188" t="s">
        <v>338</v>
      </c>
      <c r="L1925" s="188" t="s">
        <v>3342</v>
      </c>
      <c r="M1925" s="192">
        <f t="shared" si="90"/>
        <v>38</v>
      </c>
      <c r="N1925" s="193">
        <f t="shared" si="91"/>
        <v>2.2293814432989691</v>
      </c>
      <c r="O1925" s="194">
        <f t="shared" si="92"/>
        <v>5.8667932718393927E-2</v>
      </c>
    </row>
    <row r="1926" spans="1:15" ht="12.75" customHeight="1">
      <c r="A1926" s="188" t="s">
        <v>620</v>
      </c>
      <c r="B1926" s="188" t="s">
        <v>1394</v>
      </c>
      <c r="C1926" s="188" t="s">
        <v>641</v>
      </c>
      <c r="D1926" s="188" t="s">
        <v>3343</v>
      </c>
      <c r="E1926" s="189">
        <v>39261</v>
      </c>
      <c r="F1926" s="190">
        <v>0</v>
      </c>
      <c r="G1926" s="190">
        <v>73.47</v>
      </c>
      <c r="H1926" s="191">
        <v>1827.04</v>
      </c>
      <c r="I1926" s="191">
        <v>287</v>
      </c>
      <c r="J1926" s="188" t="s">
        <v>639</v>
      </c>
      <c r="K1926" s="188" t="s">
        <v>338</v>
      </c>
      <c r="L1926" s="188" t="s">
        <v>1876</v>
      </c>
      <c r="M1926" s="192">
        <f t="shared" si="90"/>
        <v>27</v>
      </c>
      <c r="N1926" s="193">
        <f t="shared" si="91"/>
        <v>1.5914982578397212</v>
      </c>
      <c r="O1926" s="194">
        <f t="shared" si="92"/>
        <v>5.8944379919989673E-2</v>
      </c>
    </row>
    <row r="1927" spans="1:15" ht="12.75" customHeight="1">
      <c r="A1927" s="188" t="s">
        <v>620</v>
      </c>
      <c r="B1927" s="188" t="s">
        <v>1394</v>
      </c>
      <c r="C1927" s="188" t="s">
        <v>641</v>
      </c>
      <c r="D1927" s="188" t="s">
        <v>3344</v>
      </c>
      <c r="E1927" s="189">
        <v>39415</v>
      </c>
      <c r="F1927" s="190">
        <v>0</v>
      </c>
      <c r="G1927" s="190">
        <v>87.1</v>
      </c>
      <c r="H1927" s="191">
        <v>2170</v>
      </c>
      <c r="I1927" s="191">
        <v>340.25</v>
      </c>
      <c r="J1927" s="188" t="s">
        <v>639</v>
      </c>
      <c r="K1927" s="188" t="s">
        <v>338</v>
      </c>
      <c r="L1927" s="188" t="s">
        <v>3345</v>
      </c>
      <c r="M1927" s="192">
        <f t="shared" si="90"/>
        <v>27</v>
      </c>
      <c r="N1927" s="193">
        <f t="shared" si="91"/>
        <v>1.5944158706833211</v>
      </c>
      <c r="O1927" s="194">
        <f t="shared" si="92"/>
        <v>5.9052439654937817E-2</v>
      </c>
    </row>
    <row r="1928" spans="1:15" ht="12.75" customHeight="1">
      <c r="A1928" s="188" t="s">
        <v>620</v>
      </c>
      <c r="B1928" s="188" t="s">
        <v>1394</v>
      </c>
      <c r="C1928" s="188" t="s">
        <v>641</v>
      </c>
      <c r="D1928" s="188" t="s">
        <v>3346</v>
      </c>
      <c r="E1928" s="189">
        <v>39447</v>
      </c>
      <c r="F1928" s="190">
        <v>0</v>
      </c>
      <c r="G1928" s="190">
        <v>10.88</v>
      </c>
      <c r="H1928" s="191">
        <v>382</v>
      </c>
      <c r="I1928" s="191">
        <v>42.5</v>
      </c>
      <c r="J1928" s="188" t="s">
        <v>624</v>
      </c>
      <c r="K1928" s="188" t="s">
        <v>338</v>
      </c>
      <c r="L1928" s="188" t="s">
        <v>492</v>
      </c>
      <c r="M1928" s="192">
        <f t="shared" si="90"/>
        <v>38</v>
      </c>
      <c r="N1928" s="193">
        <f t="shared" si="91"/>
        <v>2.2470588235294118</v>
      </c>
      <c r="O1928" s="194">
        <f t="shared" si="92"/>
        <v>5.9133126934984521E-2</v>
      </c>
    </row>
    <row r="1929" spans="1:15" ht="12.75" customHeight="1">
      <c r="A1929" s="188" t="s">
        <v>620</v>
      </c>
      <c r="B1929" s="188" t="s">
        <v>1394</v>
      </c>
      <c r="C1929" s="188" t="s">
        <v>641</v>
      </c>
      <c r="D1929" s="188" t="s">
        <v>3347</v>
      </c>
      <c r="E1929" s="189">
        <v>39436</v>
      </c>
      <c r="F1929" s="190">
        <v>0</v>
      </c>
      <c r="G1929" s="190">
        <v>57.34</v>
      </c>
      <c r="H1929" s="191">
        <v>1590</v>
      </c>
      <c r="I1929" s="191">
        <v>224</v>
      </c>
      <c r="J1929" s="188" t="s">
        <v>635</v>
      </c>
      <c r="K1929" s="188" t="s">
        <v>338</v>
      </c>
      <c r="L1929" s="188" t="s">
        <v>654</v>
      </c>
      <c r="M1929" s="192">
        <f t="shared" si="90"/>
        <v>30</v>
      </c>
      <c r="N1929" s="193">
        <f t="shared" si="91"/>
        <v>1.7745535714285714</v>
      </c>
      <c r="O1929" s="194">
        <f t="shared" si="92"/>
        <v>5.9151785714285712E-2</v>
      </c>
    </row>
    <row r="1930" spans="1:15" ht="12.75" customHeight="1">
      <c r="A1930" s="188" t="s">
        <v>620</v>
      </c>
      <c r="B1930" s="188" t="s">
        <v>1394</v>
      </c>
      <c r="C1930" s="188" t="s">
        <v>641</v>
      </c>
      <c r="D1930" s="188" t="s">
        <v>3348</v>
      </c>
      <c r="E1930" s="189">
        <v>39604</v>
      </c>
      <c r="F1930" s="190">
        <v>0</v>
      </c>
      <c r="G1930" s="190">
        <v>9.98</v>
      </c>
      <c r="H1930" s="191">
        <v>139</v>
      </c>
      <c r="I1930" s="191">
        <v>39</v>
      </c>
      <c r="J1930" s="188" t="s">
        <v>624</v>
      </c>
      <c r="K1930" s="188" t="s">
        <v>571</v>
      </c>
      <c r="L1930" s="188" t="s">
        <v>3349</v>
      </c>
      <c r="M1930" s="192">
        <f t="shared" si="90"/>
        <v>15</v>
      </c>
      <c r="N1930" s="193">
        <f t="shared" si="91"/>
        <v>0.89102564102564108</v>
      </c>
      <c r="O1930" s="194">
        <f t="shared" si="92"/>
        <v>5.9401709401709406E-2</v>
      </c>
    </row>
    <row r="1931" spans="1:15" ht="12.75" customHeight="1">
      <c r="A1931" s="188" t="s">
        <v>620</v>
      </c>
      <c r="B1931" s="188" t="s">
        <v>1394</v>
      </c>
      <c r="C1931" s="188" t="s">
        <v>641</v>
      </c>
      <c r="D1931" s="188" t="s">
        <v>3350</v>
      </c>
      <c r="E1931" s="189">
        <v>39527</v>
      </c>
      <c r="F1931" s="190">
        <v>0</v>
      </c>
      <c r="G1931" s="190">
        <v>76.8</v>
      </c>
      <c r="H1931" s="191">
        <v>1450</v>
      </c>
      <c r="I1931" s="191">
        <v>300</v>
      </c>
      <c r="J1931" s="188" t="s">
        <v>560</v>
      </c>
      <c r="K1931" s="188" t="s">
        <v>338</v>
      </c>
      <c r="L1931" s="188" t="s">
        <v>632</v>
      </c>
      <c r="M1931" s="192">
        <f t="shared" si="90"/>
        <v>20</v>
      </c>
      <c r="N1931" s="193">
        <f t="shared" si="91"/>
        <v>1.2083333333333333</v>
      </c>
      <c r="O1931" s="194">
        <f t="shared" si="92"/>
        <v>6.041666666666666E-2</v>
      </c>
    </row>
    <row r="1932" spans="1:15" ht="12.75" customHeight="1">
      <c r="A1932" s="188" t="s">
        <v>620</v>
      </c>
      <c r="B1932" s="188" t="s">
        <v>1394</v>
      </c>
      <c r="C1932" s="188" t="s">
        <v>641</v>
      </c>
      <c r="D1932" s="188" t="s">
        <v>3351</v>
      </c>
      <c r="E1932" s="189">
        <v>39548</v>
      </c>
      <c r="F1932" s="190">
        <v>0</v>
      </c>
      <c r="G1932" s="190">
        <v>81.92</v>
      </c>
      <c r="H1932" s="191">
        <v>2100</v>
      </c>
      <c r="I1932" s="191">
        <v>320</v>
      </c>
      <c r="J1932" s="188" t="s">
        <v>639</v>
      </c>
      <c r="K1932" s="188" t="s">
        <v>338</v>
      </c>
      <c r="L1932" s="188" t="s">
        <v>994</v>
      </c>
      <c r="M1932" s="192">
        <f t="shared" si="90"/>
        <v>27</v>
      </c>
      <c r="N1932" s="193">
        <f t="shared" si="91"/>
        <v>1.640625</v>
      </c>
      <c r="O1932" s="194">
        <f t="shared" si="92"/>
        <v>6.0763888888888888E-2</v>
      </c>
    </row>
    <row r="1933" spans="1:15" ht="12.75" customHeight="1">
      <c r="A1933" s="188" t="s">
        <v>620</v>
      </c>
      <c r="B1933" s="188" t="s">
        <v>1394</v>
      </c>
      <c r="C1933" s="188" t="s">
        <v>641</v>
      </c>
      <c r="D1933" s="188" t="s">
        <v>3352</v>
      </c>
      <c r="E1933" s="189">
        <v>39353</v>
      </c>
      <c r="F1933" s="190">
        <v>0</v>
      </c>
      <c r="G1933" s="190">
        <v>68.48</v>
      </c>
      <c r="H1933" s="191">
        <v>2477</v>
      </c>
      <c r="I1933" s="191">
        <v>267.5</v>
      </c>
      <c r="J1933" s="188" t="s">
        <v>624</v>
      </c>
      <c r="K1933" s="188" t="s">
        <v>338</v>
      </c>
      <c r="L1933" s="188" t="s">
        <v>2955</v>
      </c>
      <c r="M1933" s="192">
        <f t="shared" si="90"/>
        <v>38</v>
      </c>
      <c r="N1933" s="193">
        <f t="shared" si="91"/>
        <v>2.3149532710280374</v>
      </c>
      <c r="O1933" s="194">
        <f t="shared" si="92"/>
        <v>6.0919822921790455E-2</v>
      </c>
    </row>
    <row r="1934" spans="1:15" ht="12.75" customHeight="1">
      <c r="A1934" s="188" t="s">
        <v>620</v>
      </c>
      <c r="B1934" s="188" t="s">
        <v>1394</v>
      </c>
      <c r="C1934" s="188" t="s">
        <v>641</v>
      </c>
      <c r="D1934" s="188" t="s">
        <v>3353</v>
      </c>
      <c r="E1934" s="189">
        <v>39366</v>
      </c>
      <c r="F1934" s="190">
        <v>0</v>
      </c>
      <c r="G1934" s="190">
        <v>46.08</v>
      </c>
      <c r="H1934" s="191">
        <v>882.74</v>
      </c>
      <c r="I1934" s="191">
        <v>180</v>
      </c>
      <c r="J1934" s="188" t="s">
        <v>560</v>
      </c>
      <c r="K1934" s="188" t="s">
        <v>338</v>
      </c>
      <c r="L1934" s="188" t="s">
        <v>313</v>
      </c>
      <c r="M1934" s="192">
        <f t="shared" si="90"/>
        <v>20</v>
      </c>
      <c r="N1934" s="193">
        <f t="shared" si="91"/>
        <v>1.2260277777777777</v>
      </c>
      <c r="O1934" s="194">
        <f t="shared" si="92"/>
        <v>6.1301388888888884E-2</v>
      </c>
    </row>
    <row r="1935" spans="1:15" ht="12.75" customHeight="1">
      <c r="A1935" s="188" t="s">
        <v>620</v>
      </c>
      <c r="B1935" s="188" t="s">
        <v>1394</v>
      </c>
      <c r="C1935" s="188" t="s">
        <v>641</v>
      </c>
      <c r="D1935" s="188" t="s">
        <v>3354</v>
      </c>
      <c r="E1935" s="189">
        <v>39507</v>
      </c>
      <c r="F1935" s="190">
        <v>0</v>
      </c>
      <c r="G1935" s="190">
        <v>57.6</v>
      </c>
      <c r="H1935" s="191">
        <v>1658</v>
      </c>
      <c r="I1935" s="191">
        <v>225</v>
      </c>
      <c r="J1935" s="188" t="s">
        <v>750</v>
      </c>
      <c r="K1935" s="188" t="s">
        <v>327</v>
      </c>
      <c r="L1935" s="188" t="s">
        <v>740</v>
      </c>
      <c r="M1935" s="192">
        <f t="shared" si="90"/>
        <v>30</v>
      </c>
      <c r="N1935" s="193">
        <f t="shared" si="91"/>
        <v>1.8422222222222222</v>
      </c>
      <c r="O1935" s="194">
        <f t="shared" si="92"/>
        <v>6.1407407407407404E-2</v>
      </c>
    </row>
    <row r="1936" spans="1:15" ht="12.75" customHeight="1">
      <c r="A1936" s="188" t="s">
        <v>620</v>
      </c>
      <c r="B1936" s="188" t="s">
        <v>1394</v>
      </c>
      <c r="C1936" s="188" t="s">
        <v>641</v>
      </c>
      <c r="D1936" s="188" t="s">
        <v>3355</v>
      </c>
      <c r="E1936" s="189">
        <v>39353</v>
      </c>
      <c r="F1936" s="190">
        <v>0</v>
      </c>
      <c r="G1936" s="190">
        <v>37.119999999999997</v>
      </c>
      <c r="H1936" s="191">
        <v>1354</v>
      </c>
      <c r="I1936" s="191">
        <v>145</v>
      </c>
      <c r="J1936" s="188" t="s">
        <v>624</v>
      </c>
      <c r="K1936" s="188" t="s">
        <v>338</v>
      </c>
      <c r="L1936" s="188" t="s">
        <v>517</v>
      </c>
      <c r="M1936" s="192">
        <f t="shared" si="90"/>
        <v>38</v>
      </c>
      <c r="N1936" s="193">
        <f t="shared" si="91"/>
        <v>2.3344827586206898</v>
      </c>
      <c r="O1936" s="194">
        <f t="shared" si="92"/>
        <v>6.1433756805807628E-2</v>
      </c>
    </row>
    <row r="1937" spans="1:15" ht="12.75" customHeight="1">
      <c r="A1937" s="188" t="s">
        <v>620</v>
      </c>
      <c r="B1937" s="188" t="s">
        <v>1394</v>
      </c>
      <c r="C1937" s="188" t="s">
        <v>641</v>
      </c>
      <c r="D1937" s="188" t="s">
        <v>3356</v>
      </c>
      <c r="E1937" s="189">
        <v>39541</v>
      </c>
      <c r="F1937" s="190">
        <v>0</v>
      </c>
      <c r="G1937" s="190">
        <v>62.08</v>
      </c>
      <c r="H1937" s="191">
        <v>1988.5</v>
      </c>
      <c r="I1937" s="191">
        <v>242.5</v>
      </c>
      <c r="J1937" s="188" t="s">
        <v>742</v>
      </c>
      <c r="K1937" s="188" t="s">
        <v>338</v>
      </c>
      <c r="L1937" s="188" t="s">
        <v>2680</v>
      </c>
      <c r="M1937" s="192">
        <f t="shared" si="90"/>
        <v>33</v>
      </c>
      <c r="N1937" s="193">
        <f t="shared" si="91"/>
        <v>2.0499999999999998</v>
      </c>
      <c r="O1937" s="194">
        <f t="shared" si="92"/>
        <v>6.2121212121212119E-2</v>
      </c>
    </row>
    <row r="1938" spans="1:15" ht="12.75" customHeight="1">
      <c r="A1938" s="188" t="s">
        <v>620</v>
      </c>
      <c r="B1938" s="188" t="s">
        <v>1394</v>
      </c>
      <c r="C1938" s="188" t="s">
        <v>641</v>
      </c>
      <c r="D1938" s="188" t="s">
        <v>3357</v>
      </c>
      <c r="E1938" s="189">
        <v>39447</v>
      </c>
      <c r="F1938" s="190">
        <v>0</v>
      </c>
      <c r="G1938" s="190">
        <v>57.6</v>
      </c>
      <c r="H1938" s="191">
        <v>1124</v>
      </c>
      <c r="I1938" s="191">
        <v>225</v>
      </c>
      <c r="J1938" s="188" t="s">
        <v>560</v>
      </c>
      <c r="K1938" s="188" t="s">
        <v>338</v>
      </c>
      <c r="L1938" s="188" t="s">
        <v>740</v>
      </c>
      <c r="M1938" s="192">
        <f t="shared" si="90"/>
        <v>20</v>
      </c>
      <c r="N1938" s="193">
        <f t="shared" si="91"/>
        <v>1.2488888888888889</v>
      </c>
      <c r="O1938" s="194">
        <f t="shared" si="92"/>
        <v>6.2444444444444448E-2</v>
      </c>
    </row>
    <row r="1939" spans="1:15" ht="12.75" customHeight="1">
      <c r="A1939" s="188" t="s">
        <v>620</v>
      </c>
      <c r="B1939" s="188" t="s">
        <v>1394</v>
      </c>
      <c r="C1939" s="188" t="s">
        <v>641</v>
      </c>
      <c r="D1939" s="188" t="s">
        <v>3358</v>
      </c>
      <c r="E1939" s="189">
        <v>39625</v>
      </c>
      <c r="F1939" s="190">
        <v>0</v>
      </c>
      <c r="G1939" s="190">
        <v>49.92</v>
      </c>
      <c r="H1939" s="191">
        <v>1320</v>
      </c>
      <c r="I1939" s="191">
        <v>195</v>
      </c>
      <c r="J1939" s="188" t="s">
        <v>639</v>
      </c>
      <c r="K1939" s="188" t="s">
        <v>338</v>
      </c>
      <c r="L1939" s="188" t="s">
        <v>656</v>
      </c>
      <c r="M1939" s="192">
        <f t="shared" si="90"/>
        <v>27</v>
      </c>
      <c r="N1939" s="193">
        <f t="shared" si="91"/>
        <v>1.6923076923076923</v>
      </c>
      <c r="O1939" s="194">
        <f t="shared" si="92"/>
        <v>6.2678062678062682E-2</v>
      </c>
    </row>
    <row r="1940" spans="1:15" ht="12.75" customHeight="1">
      <c r="A1940" s="188" t="s">
        <v>620</v>
      </c>
      <c r="B1940" s="188" t="s">
        <v>1394</v>
      </c>
      <c r="C1940" s="188" t="s">
        <v>641</v>
      </c>
      <c r="D1940" s="188" t="s">
        <v>3359</v>
      </c>
      <c r="E1940" s="189">
        <v>39485</v>
      </c>
      <c r="F1940" s="190">
        <v>0</v>
      </c>
      <c r="G1940" s="190">
        <v>50.24</v>
      </c>
      <c r="H1940" s="191">
        <v>990</v>
      </c>
      <c r="I1940" s="191">
        <v>196.25</v>
      </c>
      <c r="J1940" s="188" t="s">
        <v>560</v>
      </c>
      <c r="K1940" s="188" t="s">
        <v>338</v>
      </c>
      <c r="L1940" s="188" t="s">
        <v>3360</v>
      </c>
      <c r="M1940" s="192">
        <f t="shared" si="90"/>
        <v>20</v>
      </c>
      <c r="N1940" s="193">
        <f t="shared" si="91"/>
        <v>1.2611464968152866</v>
      </c>
      <c r="O1940" s="194">
        <f t="shared" si="92"/>
        <v>6.3057324840764331E-2</v>
      </c>
    </row>
    <row r="1941" spans="1:15" ht="12.75" customHeight="1">
      <c r="A1941" s="188" t="s">
        <v>620</v>
      </c>
      <c r="B1941" s="188" t="s">
        <v>1394</v>
      </c>
      <c r="C1941" s="188" t="s">
        <v>641</v>
      </c>
      <c r="D1941" s="188" t="s">
        <v>3361</v>
      </c>
      <c r="E1941" s="189">
        <v>39436</v>
      </c>
      <c r="F1941" s="190">
        <v>0</v>
      </c>
      <c r="G1941" s="190">
        <v>23.04</v>
      </c>
      <c r="H1941" s="191">
        <v>572</v>
      </c>
      <c r="I1941" s="191">
        <v>90</v>
      </c>
      <c r="J1941" s="188" t="s">
        <v>652</v>
      </c>
      <c r="K1941" s="188" t="s">
        <v>338</v>
      </c>
      <c r="L1941" s="188" t="s">
        <v>3362</v>
      </c>
      <c r="M1941" s="192">
        <f t="shared" si="90"/>
        <v>25</v>
      </c>
      <c r="N1941" s="193">
        <f t="shared" si="91"/>
        <v>1.5888888888888888</v>
      </c>
      <c r="O1941" s="194">
        <f t="shared" si="92"/>
        <v>6.3555555555555546E-2</v>
      </c>
    </row>
    <row r="1942" spans="1:15" ht="12.75" customHeight="1">
      <c r="A1942" s="188" t="s">
        <v>620</v>
      </c>
      <c r="B1942" s="188" t="s">
        <v>1394</v>
      </c>
      <c r="C1942" s="188" t="s">
        <v>641</v>
      </c>
      <c r="D1942" s="188" t="s">
        <v>3363</v>
      </c>
      <c r="E1942" s="189">
        <v>39436</v>
      </c>
      <c r="F1942" s="190">
        <v>0</v>
      </c>
      <c r="G1942" s="190">
        <v>84.48</v>
      </c>
      <c r="H1942" s="191">
        <v>2276.3000000000002</v>
      </c>
      <c r="I1942" s="191">
        <v>330</v>
      </c>
      <c r="J1942" s="188" t="s">
        <v>639</v>
      </c>
      <c r="K1942" s="188" t="s">
        <v>338</v>
      </c>
      <c r="L1942" s="188" t="s">
        <v>1050</v>
      </c>
      <c r="M1942" s="192">
        <f t="shared" si="90"/>
        <v>27</v>
      </c>
      <c r="N1942" s="193">
        <f t="shared" si="91"/>
        <v>1.7244696969696971</v>
      </c>
      <c r="O1942" s="194">
        <f t="shared" si="92"/>
        <v>6.3869248035914705E-2</v>
      </c>
    </row>
    <row r="1943" spans="1:15" ht="12.75" customHeight="1">
      <c r="A1943" s="188" t="s">
        <v>620</v>
      </c>
      <c r="B1943" s="188" t="s">
        <v>1394</v>
      </c>
      <c r="C1943" s="188" t="s">
        <v>641</v>
      </c>
      <c r="D1943" s="188" t="s">
        <v>3364</v>
      </c>
      <c r="E1943" s="189">
        <v>39212</v>
      </c>
      <c r="F1943" s="190">
        <v>0</v>
      </c>
      <c r="G1943" s="190">
        <v>49.54</v>
      </c>
      <c r="H1943" s="191">
        <v>1137.78</v>
      </c>
      <c r="I1943" s="191">
        <v>193.5</v>
      </c>
      <c r="J1943" s="188" t="s">
        <v>571</v>
      </c>
      <c r="K1943" s="188" t="s">
        <v>338</v>
      </c>
      <c r="L1943" s="188" t="s">
        <v>1634</v>
      </c>
      <c r="M1943" s="192">
        <f t="shared" si="90"/>
        <v>23</v>
      </c>
      <c r="N1943" s="193">
        <f t="shared" si="91"/>
        <v>1.47</v>
      </c>
      <c r="O1943" s="194">
        <f t="shared" si="92"/>
        <v>6.3913043478260864E-2</v>
      </c>
    </row>
    <row r="1944" spans="1:15" ht="12.75" customHeight="1">
      <c r="A1944" s="188" t="s">
        <v>620</v>
      </c>
      <c r="B1944" s="188" t="s">
        <v>1394</v>
      </c>
      <c r="C1944" s="188" t="s">
        <v>641</v>
      </c>
      <c r="D1944" s="188" t="s">
        <v>3365</v>
      </c>
      <c r="E1944" s="189">
        <v>39317</v>
      </c>
      <c r="F1944" s="190">
        <v>0</v>
      </c>
      <c r="G1944" s="190">
        <v>58.88</v>
      </c>
      <c r="H1944" s="191">
        <v>1184.96</v>
      </c>
      <c r="I1944" s="191">
        <v>230</v>
      </c>
      <c r="J1944" s="188" t="s">
        <v>560</v>
      </c>
      <c r="K1944" s="188" t="s">
        <v>338</v>
      </c>
      <c r="L1944" s="188" t="s">
        <v>2411</v>
      </c>
      <c r="M1944" s="192">
        <f t="shared" si="90"/>
        <v>20</v>
      </c>
      <c r="N1944" s="193">
        <f t="shared" si="91"/>
        <v>1.288</v>
      </c>
      <c r="O1944" s="194">
        <f t="shared" si="92"/>
        <v>6.4399999999999999E-2</v>
      </c>
    </row>
    <row r="1945" spans="1:15" ht="12.75" customHeight="1">
      <c r="A1945" s="188" t="s">
        <v>620</v>
      </c>
      <c r="B1945" s="188" t="s">
        <v>1394</v>
      </c>
      <c r="C1945" s="188" t="s">
        <v>641</v>
      </c>
      <c r="D1945" s="188" t="s">
        <v>3366</v>
      </c>
      <c r="E1945" s="189">
        <v>39401</v>
      </c>
      <c r="F1945" s="190">
        <v>0</v>
      </c>
      <c r="G1945" s="190">
        <v>74.05</v>
      </c>
      <c r="H1945" s="191">
        <v>2390.86</v>
      </c>
      <c r="I1945" s="191">
        <v>289.25</v>
      </c>
      <c r="J1945" s="188" t="s">
        <v>353</v>
      </c>
      <c r="K1945" s="188" t="s">
        <v>338</v>
      </c>
      <c r="L1945" s="188" t="s">
        <v>3367</v>
      </c>
      <c r="M1945" s="192">
        <f t="shared" si="90"/>
        <v>32</v>
      </c>
      <c r="N1945" s="193">
        <f t="shared" si="91"/>
        <v>2.0664304235090754</v>
      </c>
      <c r="O1945" s="194">
        <f t="shared" si="92"/>
        <v>6.4575950734658605E-2</v>
      </c>
    </row>
    <row r="1946" spans="1:15" ht="12.75" customHeight="1">
      <c r="A1946" s="188" t="s">
        <v>620</v>
      </c>
      <c r="B1946" s="188" t="s">
        <v>1394</v>
      </c>
      <c r="C1946" s="188" t="s">
        <v>641</v>
      </c>
      <c r="D1946" s="188" t="s">
        <v>3368</v>
      </c>
      <c r="E1946" s="189">
        <v>39289</v>
      </c>
      <c r="F1946" s="190">
        <v>0</v>
      </c>
      <c r="G1946" s="190">
        <v>81.92</v>
      </c>
      <c r="H1946" s="191">
        <v>2068.9899999999998</v>
      </c>
      <c r="I1946" s="191">
        <v>320</v>
      </c>
      <c r="J1946" s="188" t="s">
        <v>624</v>
      </c>
      <c r="K1946" s="188" t="s">
        <v>427</v>
      </c>
      <c r="L1946" s="188" t="s">
        <v>994</v>
      </c>
      <c r="M1946" s="192">
        <f t="shared" si="90"/>
        <v>25</v>
      </c>
      <c r="N1946" s="193">
        <f t="shared" si="91"/>
        <v>1.6163984374999998</v>
      </c>
      <c r="O1946" s="194">
        <f t="shared" si="92"/>
        <v>6.4655937499999996E-2</v>
      </c>
    </row>
    <row r="1947" spans="1:15" ht="12.75" customHeight="1">
      <c r="A1947" s="188" t="s">
        <v>620</v>
      </c>
      <c r="B1947" s="188" t="s">
        <v>1394</v>
      </c>
      <c r="C1947" s="188" t="s">
        <v>641</v>
      </c>
      <c r="D1947" s="188" t="s">
        <v>3369</v>
      </c>
      <c r="E1947" s="189">
        <v>39447</v>
      </c>
      <c r="F1947" s="190">
        <v>0</v>
      </c>
      <c r="G1947" s="190">
        <v>92.42</v>
      </c>
      <c r="H1947" s="191">
        <v>2166</v>
      </c>
      <c r="I1947" s="191">
        <v>361</v>
      </c>
      <c r="J1947" s="188" t="s">
        <v>571</v>
      </c>
      <c r="K1947" s="188" t="s">
        <v>338</v>
      </c>
      <c r="L1947" s="188" t="s">
        <v>2352</v>
      </c>
      <c r="M1947" s="192">
        <f t="shared" si="90"/>
        <v>23</v>
      </c>
      <c r="N1947" s="193">
        <f t="shared" si="91"/>
        <v>1.5</v>
      </c>
      <c r="O1947" s="194">
        <f t="shared" si="92"/>
        <v>6.5217391304347824E-2</v>
      </c>
    </row>
    <row r="1948" spans="1:15" ht="12.75" customHeight="1">
      <c r="A1948" s="188" t="s">
        <v>620</v>
      </c>
      <c r="B1948" s="188" t="s">
        <v>1394</v>
      </c>
      <c r="C1948" s="188" t="s">
        <v>641</v>
      </c>
      <c r="D1948" s="188" t="s">
        <v>3370</v>
      </c>
      <c r="E1948" s="189">
        <v>39520</v>
      </c>
      <c r="F1948" s="190">
        <v>0</v>
      </c>
      <c r="G1948" s="190">
        <v>89.6</v>
      </c>
      <c r="H1948" s="191">
        <v>1378</v>
      </c>
      <c r="I1948" s="191">
        <v>350</v>
      </c>
      <c r="J1948" s="188" t="s">
        <v>624</v>
      </c>
      <c r="K1948" s="188" t="s">
        <v>571</v>
      </c>
      <c r="L1948" s="188" t="s">
        <v>754</v>
      </c>
      <c r="M1948" s="192">
        <f t="shared" si="90"/>
        <v>15</v>
      </c>
      <c r="N1948" s="193">
        <f t="shared" si="91"/>
        <v>0.98428571428571432</v>
      </c>
      <c r="O1948" s="194">
        <f t="shared" si="92"/>
        <v>6.5619047619047619E-2</v>
      </c>
    </row>
    <row r="1949" spans="1:15" ht="12.75" customHeight="1">
      <c r="A1949" s="188" t="s">
        <v>620</v>
      </c>
      <c r="B1949" s="188" t="s">
        <v>1394</v>
      </c>
      <c r="C1949" s="188" t="s">
        <v>641</v>
      </c>
      <c r="D1949" s="188" t="s">
        <v>3371</v>
      </c>
      <c r="E1949" s="189">
        <v>39590</v>
      </c>
      <c r="F1949" s="190">
        <v>0</v>
      </c>
      <c r="G1949" s="190">
        <v>6.4</v>
      </c>
      <c r="H1949" s="191">
        <v>250</v>
      </c>
      <c r="I1949" s="191">
        <v>25</v>
      </c>
      <c r="J1949" s="188" t="s">
        <v>624</v>
      </c>
      <c r="K1949" s="188" t="s">
        <v>338</v>
      </c>
      <c r="L1949" s="188" t="s">
        <v>3372</v>
      </c>
      <c r="M1949" s="192">
        <f t="shared" si="90"/>
        <v>38</v>
      </c>
      <c r="N1949" s="193">
        <f t="shared" si="91"/>
        <v>2.5</v>
      </c>
      <c r="O1949" s="194">
        <f t="shared" si="92"/>
        <v>6.5789473684210523E-2</v>
      </c>
    </row>
    <row r="1950" spans="1:15" ht="12.75" customHeight="1">
      <c r="A1950" s="188" t="s">
        <v>620</v>
      </c>
      <c r="B1950" s="188" t="s">
        <v>1394</v>
      </c>
      <c r="C1950" s="188" t="s">
        <v>641</v>
      </c>
      <c r="D1950" s="188" t="s">
        <v>3373</v>
      </c>
      <c r="E1950" s="189">
        <v>39345</v>
      </c>
      <c r="F1950" s="190">
        <v>0</v>
      </c>
      <c r="G1950" s="190">
        <v>49.92</v>
      </c>
      <c r="H1950" s="191">
        <v>1287</v>
      </c>
      <c r="I1950" s="191">
        <v>195</v>
      </c>
      <c r="J1950" s="188" t="s">
        <v>652</v>
      </c>
      <c r="K1950" s="188" t="s">
        <v>338</v>
      </c>
      <c r="L1950" s="188" t="s">
        <v>656</v>
      </c>
      <c r="M1950" s="192">
        <f t="shared" si="90"/>
        <v>25</v>
      </c>
      <c r="N1950" s="193">
        <f t="shared" si="91"/>
        <v>1.65</v>
      </c>
      <c r="O1950" s="194">
        <f t="shared" si="92"/>
        <v>6.6000000000000003E-2</v>
      </c>
    </row>
    <row r="1951" spans="1:15" ht="12.75" customHeight="1">
      <c r="A1951" s="188" t="s">
        <v>620</v>
      </c>
      <c r="B1951" s="188" t="s">
        <v>1394</v>
      </c>
      <c r="C1951" s="188" t="s">
        <v>641</v>
      </c>
      <c r="D1951" s="188" t="s">
        <v>3374</v>
      </c>
      <c r="E1951" s="189">
        <v>39447</v>
      </c>
      <c r="F1951" s="190">
        <v>0</v>
      </c>
      <c r="G1951" s="190">
        <v>23.68</v>
      </c>
      <c r="H1951" s="191">
        <v>930</v>
      </c>
      <c r="I1951" s="191">
        <v>92.5</v>
      </c>
      <c r="J1951" s="188" t="s">
        <v>624</v>
      </c>
      <c r="K1951" s="188" t="s">
        <v>338</v>
      </c>
      <c r="L1951" s="188" t="s">
        <v>1326</v>
      </c>
      <c r="M1951" s="192">
        <f t="shared" si="90"/>
        <v>38</v>
      </c>
      <c r="N1951" s="193">
        <f t="shared" si="91"/>
        <v>2.5135135135135136</v>
      </c>
      <c r="O1951" s="194">
        <f t="shared" si="92"/>
        <v>6.6145092460881932E-2</v>
      </c>
    </row>
    <row r="1952" spans="1:15" ht="12.75" customHeight="1">
      <c r="A1952" s="188" t="s">
        <v>620</v>
      </c>
      <c r="B1952" s="188" t="s">
        <v>1394</v>
      </c>
      <c r="C1952" s="188" t="s">
        <v>641</v>
      </c>
      <c r="D1952" s="188" t="s">
        <v>3375</v>
      </c>
      <c r="E1952" s="189">
        <v>39555</v>
      </c>
      <c r="F1952" s="190">
        <v>0</v>
      </c>
      <c r="G1952" s="190">
        <v>38.4</v>
      </c>
      <c r="H1952" s="191">
        <v>1194</v>
      </c>
      <c r="I1952" s="191">
        <v>150</v>
      </c>
      <c r="J1952" s="188" t="s">
        <v>635</v>
      </c>
      <c r="K1952" s="188" t="s">
        <v>338</v>
      </c>
      <c r="L1952" s="188" t="s">
        <v>677</v>
      </c>
      <c r="M1952" s="192">
        <f t="shared" si="90"/>
        <v>30</v>
      </c>
      <c r="N1952" s="193">
        <f t="shared" si="91"/>
        <v>1.99</v>
      </c>
      <c r="O1952" s="194">
        <f t="shared" si="92"/>
        <v>6.6333333333333327E-2</v>
      </c>
    </row>
    <row r="1953" spans="1:15" ht="12.75" customHeight="1">
      <c r="A1953" s="188" t="s">
        <v>620</v>
      </c>
      <c r="B1953" s="188" t="s">
        <v>1394</v>
      </c>
      <c r="C1953" s="188" t="s">
        <v>641</v>
      </c>
      <c r="D1953" s="188" t="s">
        <v>3376</v>
      </c>
      <c r="E1953" s="189">
        <v>39471</v>
      </c>
      <c r="F1953" s="190">
        <v>0</v>
      </c>
      <c r="G1953" s="190">
        <v>89.6</v>
      </c>
      <c r="H1953" s="191">
        <v>2911</v>
      </c>
      <c r="I1953" s="191">
        <v>350</v>
      </c>
      <c r="J1953" s="188" t="s">
        <v>503</v>
      </c>
      <c r="K1953" s="188" t="s">
        <v>338</v>
      </c>
      <c r="L1953" s="188" t="s">
        <v>754</v>
      </c>
      <c r="M1953" s="192">
        <f t="shared" si="90"/>
        <v>31</v>
      </c>
      <c r="N1953" s="193">
        <f t="shared" si="91"/>
        <v>2.0792857142857142</v>
      </c>
      <c r="O1953" s="194">
        <f t="shared" si="92"/>
        <v>6.7073732718894011E-2</v>
      </c>
    </row>
    <row r="1954" spans="1:15" ht="12.75" customHeight="1">
      <c r="A1954" s="188" t="s">
        <v>620</v>
      </c>
      <c r="B1954" s="188" t="s">
        <v>1394</v>
      </c>
      <c r="C1954" s="188" t="s">
        <v>641</v>
      </c>
      <c r="D1954" s="188" t="s">
        <v>3377</v>
      </c>
      <c r="E1954" s="189">
        <v>39492</v>
      </c>
      <c r="F1954" s="190">
        <v>0</v>
      </c>
      <c r="G1954" s="190">
        <v>72.19</v>
      </c>
      <c r="H1954" s="191">
        <v>2044</v>
      </c>
      <c r="I1954" s="191">
        <v>282</v>
      </c>
      <c r="J1954" s="188" t="s">
        <v>639</v>
      </c>
      <c r="K1954" s="188" t="s">
        <v>338</v>
      </c>
      <c r="L1954" s="188" t="s">
        <v>1390</v>
      </c>
      <c r="M1954" s="192">
        <f t="shared" si="90"/>
        <v>27</v>
      </c>
      <c r="N1954" s="193">
        <f t="shared" si="91"/>
        <v>1.8120567375886525</v>
      </c>
      <c r="O1954" s="194">
        <f t="shared" si="92"/>
        <v>6.711321250328342E-2</v>
      </c>
    </row>
    <row r="1955" spans="1:15" ht="12.75" customHeight="1">
      <c r="A1955" s="188" t="s">
        <v>620</v>
      </c>
      <c r="B1955" s="188" t="s">
        <v>1394</v>
      </c>
      <c r="C1955" s="188" t="s">
        <v>641</v>
      </c>
      <c r="D1955" s="188" t="s">
        <v>3378</v>
      </c>
      <c r="E1955" s="189">
        <v>39447</v>
      </c>
      <c r="F1955" s="190">
        <v>0</v>
      </c>
      <c r="G1955" s="190">
        <v>94.91</v>
      </c>
      <c r="H1955" s="191">
        <v>2203</v>
      </c>
      <c r="I1955" s="191">
        <v>370.75</v>
      </c>
      <c r="J1955" s="188" t="s">
        <v>710</v>
      </c>
      <c r="K1955" s="188" t="s">
        <v>338</v>
      </c>
      <c r="L1955" s="188" t="s">
        <v>860</v>
      </c>
      <c r="M1955" s="192">
        <f t="shared" si="90"/>
        <v>22</v>
      </c>
      <c r="N1955" s="193">
        <f t="shared" si="91"/>
        <v>1.485502360080917</v>
      </c>
      <c r="O1955" s="194">
        <f t="shared" si="92"/>
        <v>6.752283454913259E-2</v>
      </c>
    </row>
    <row r="1956" spans="1:15" ht="12.75" customHeight="1">
      <c r="A1956" s="188" t="s">
        <v>620</v>
      </c>
      <c r="B1956" s="188" t="s">
        <v>1394</v>
      </c>
      <c r="C1956" s="188" t="s">
        <v>641</v>
      </c>
      <c r="D1956" s="188" t="s">
        <v>3379</v>
      </c>
      <c r="E1956" s="189">
        <v>39618</v>
      </c>
      <c r="F1956" s="190">
        <v>0</v>
      </c>
      <c r="G1956" s="190">
        <v>101.76</v>
      </c>
      <c r="H1956" s="191">
        <v>4087.5</v>
      </c>
      <c r="I1956" s="191">
        <v>397.5</v>
      </c>
      <c r="J1956" s="188" t="s">
        <v>624</v>
      </c>
      <c r="K1956" s="188" t="s">
        <v>338</v>
      </c>
      <c r="L1956" s="188" t="s">
        <v>1931</v>
      </c>
      <c r="M1956" s="192">
        <f t="shared" si="90"/>
        <v>38</v>
      </c>
      <c r="N1956" s="193">
        <f t="shared" si="91"/>
        <v>2.5707547169811322</v>
      </c>
      <c r="O1956" s="194">
        <f t="shared" si="92"/>
        <v>6.7651439920556111E-2</v>
      </c>
    </row>
    <row r="1957" spans="1:15" ht="12.75" customHeight="1">
      <c r="A1957" s="188" t="s">
        <v>620</v>
      </c>
      <c r="B1957" s="188" t="s">
        <v>1394</v>
      </c>
      <c r="C1957" s="188" t="s">
        <v>641</v>
      </c>
      <c r="D1957" s="188" t="s">
        <v>3380</v>
      </c>
      <c r="E1957" s="189">
        <v>39436</v>
      </c>
      <c r="F1957" s="190">
        <v>0</v>
      </c>
      <c r="G1957" s="190">
        <v>99.52</v>
      </c>
      <c r="H1957" s="191">
        <v>2650</v>
      </c>
      <c r="I1957" s="191">
        <v>388.75</v>
      </c>
      <c r="J1957" s="188" t="s">
        <v>624</v>
      </c>
      <c r="K1957" s="188" t="s">
        <v>427</v>
      </c>
      <c r="L1957" s="188" t="s">
        <v>3381</v>
      </c>
      <c r="M1957" s="192">
        <f t="shared" si="90"/>
        <v>25</v>
      </c>
      <c r="N1957" s="193">
        <f t="shared" si="91"/>
        <v>1.7041800643086817</v>
      </c>
      <c r="O1957" s="194">
        <f t="shared" si="92"/>
        <v>6.8167202572347263E-2</v>
      </c>
    </row>
    <row r="1958" spans="1:15" ht="12.75" customHeight="1">
      <c r="A1958" s="188" t="s">
        <v>620</v>
      </c>
      <c r="B1958" s="188" t="s">
        <v>1394</v>
      </c>
      <c r="C1958" s="188" t="s">
        <v>641</v>
      </c>
      <c r="D1958" s="188" t="s">
        <v>3382</v>
      </c>
      <c r="E1958" s="189">
        <v>39422</v>
      </c>
      <c r="F1958" s="190">
        <v>0</v>
      </c>
      <c r="G1958" s="190">
        <v>70.400000000000006</v>
      </c>
      <c r="H1958" s="191">
        <v>1500</v>
      </c>
      <c r="I1958" s="191">
        <v>275</v>
      </c>
      <c r="J1958" s="188" t="s">
        <v>560</v>
      </c>
      <c r="K1958" s="188" t="s">
        <v>338</v>
      </c>
      <c r="L1958" s="188" t="s">
        <v>557</v>
      </c>
      <c r="M1958" s="192">
        <f t="shared" si="90"/>
        <v>20</v>
      </c>
      <c r="N1958" s="193">
        <f t="shared" si="91"/>
        <v>1.3636363636363635</v>
      </c>
      <c r="O1958" s="194">
        <f t="shared" si="92"/>
        <v>6.8181818181818177E-2</v>
      </c>
    </row>
    <row r="1959" spans="1:15" ht="12.75" customHeight="1">
      <c r="A1959" s="188" t="s">
        <v>620</v>
      </c>
      <c r="B1959" s="188" t="s">
        <v>1394</v>
      </c>
      <c r="C1959" s="188" t="s">
        <v>641</v>
      </c>
      <c r="D1959" s="188" t="s">
        <v>3383</v>
      </c>
      <c r="E1959" s="189">
        <v>39520</v>
      </c>
      <c r="F1959" s="190">
        <v>0</v>
      </c>
      <c r="G1959" s="190">
        <v>29.95</v>
      </c>
      <c r="H1959" s="191">
        <v>865</v>
      </c>
      <c r="I1959" s="191">
        <v>117</v>
      </c>
      <c r="J1959" s="188" t="s">
        <v>639</v>
      </c>
      <c r="K1959" s="188" t="s">
        <v>338</v>
      </c>
      <c r="L1959" s="188" t="s">
        <v>3384</v>
      </c>
      <c r="M1959" s="192">
        <f t="shared" si="90"/>
        <v>27</v>
      </c>
      <c r="N1959" s="193">
        <f t="shared" si="91"/>
        <v>1.8482905982905984</v>
      </c>
      <c r="O1959" s="194">
        <f t="shared" si="92"/>
        <v>6.8455207344096242E-2</v>
      </c>
    </row>
    <row r="1960" spans="1:15" ht="12.75" customHeight="1">
      <c r="A1960" s="188" t="s">
        <v>620</v>
      </c>
      <c r="B1960" s="188" t="s">
        <v>1394</v>
      </c>
      <c r="C1960" s="188" t="s">
        <v>641</v>
      </c>
      <c r="D1960" s="188" t="s">
        <v>3385</v>
      </c>
      <c r="E1960" s="189">
        <v>39447</v>
      </c>
      <c r="F1960" s="190">
        <v>0</v>
      </c>
      <c r="G1960" s="190">
        <v>25.34</v>
      </c>
      <c r="H1960" s="191">
        <v>732</v>
      </c>
      <c r="I1960" s="191">
        <v>99</v>
      </c>
      <c r="J1960" s="188" t="s">
        <v>639</v>
      </c>
      <c r="K1960" s="188" t="s">
        <v>338</v>
      </c>
      <c r="L1960" s="188" t="s">
        <v>3386</v>
      </c>
      <c r="M1960" s="192">
        <f t="shared" si="90"/>
        <v>27</v>
      </c>
      <c r="N1960" s="193">
        <f t="shared" si="91"/>
        <v>1.8484848484848484</v>
      </c>
      <c r="O1960" s="194">
        <f t="shared" si="92"/>
        <v>6.8462401795735123E-2</v>
      </c>
    </row>
    <row r="1961" spans="1:15" ht="12.75" customHeight="1">
      <c r="A1961" s="188" t="s">
        <v>620</v>
      </c>
      <c r="B1961" s="188" t="s">
        <v>1394</v>
      </c>
      <c r="C1961" s="188" t="s">
        <v>641</v>
      </c>
      <c r="D1961" s="188" t="s">
        <v>3387</v>
      </c>
      <c r="E1961" s="189">
        <v>39485</v>
      </c>
      <c r="F1961" s="190">
        <v>0</v>
      </c>
      <c r="G1961" s="190">
        <v>36.61</v>
      </c>
      <c r="H1961" s="191">
        <v>998.68</v>
      </c>
      <c r="I1961" s="191">
        <v>143</v>
      </c>
      <c r="J1961" s="188" t="s">
        <v>652</v>
      </c>
      <c r="K1961" s="188" t="s">
        <v>338</v>
      </c>
      <c r="L1961" s="188" t="s">
        <v>841</v>
      </c>
      <c r="M1961" s="192">
        <f t="shared" si="90"/>
        <v>25</v>
      </c>
      <c r="N1961" s="193">
        <f t="shared" si="91"/>
        <v>1.7459440559440558</v>
      </c>
      <c r="O1961" s="194">
        <f t="shared" si="92"/>
        <v>6.9837762237762224E-2</v>
      </c>
    </row>
    <row r="1962" spans="1:15" ht="12.75" customHeight="1">
      <c r="A1962" s="188" t="s">
        <v>620</v>
      </c>
      <c r="B1962" s="188" t="s">
        <v>1394</v>
      </c>
      <c r="C1962" s="188" t="s">
        <v>641</v>
      </c>
      <c r="D1962" s="188" t="s">
        <v>3388</v>
      </c>
      <c r="E1962" s="189">
        <v>39366</v>
      </c>
      <c r="F1962" s="190">
        <v>0</v>
      </c>
      <c r="G1962" s="190">
        <v>47.49</v>
      </c>
      <c r="H1962" s="191">
        <v>2036</v>
      </c>
      <c r="I1962" s="191">
        <v>185.5</v>
      </c>
      <c r="J1962" s="188" t="s">
        <v>624</v>
      </c>
      <c r="K1962" s="188" t="s">
        <v>338</v>
      </c>
      <c r="L1962" s="188" t="s">
        <v>665</v>
      </c>
      <c r="M1962" s="192">
        <f t="shared" si="90"/>
        <v>38</v>
      </c>
      <c r="N1962" s="193">
        <f t="shared" si="91"/>
        <v>2.7439353099730459</v>
      </c>
      <c r="O1962" s="194">
        <f t="shared" si="92"/>
        <v>7.2208823946659104E-2</v>
      </c>
    </row>
    <row r="1963" spans="1:15" ht="12.75" customHeight="1">
      <c r="A1963" s="188" t="s">
        <v>620</v>
      </c>
      <c r="B1963" s="188" t="s">
        <v>1394</v>
      </c>
      <c r="C1963" s="188" t="s">
        <v>641</v>
      </c>
      <c r="D1963" s="188" t="s">
        <v>3389</v>
      </c>
      <c r="E1963" s="189">
        <v>39507</v>
      </c>
      <c r="F1963" s="190">
        <v>0</v>
      </c>
      <c r="G1963" s="190">
        <v>0.06</v>
      </c>
      <c r="H1963" s="191">
        <v>1098</v>
      </c>
      <c r="I1963" s="191">
        <v>200</v>
      </c>
      <c r="J1963" s="188" t="s">
        <v>667</v>
      </c>
      <c r="K1963" s="188" t="s">
        <v>338</v>
      </c>
      <c r="L1963" s="188" t="s">
        <v>752</v>
      </c>
      <c r="M1963" s="192">
        <f t="shared" si="90"/>
        <v>19</v>
      </c>
      <c r="N1963" s="193">
        <f t="shared" si="91"/>
        <v>1.3725000000000001</v>
      </c>
      <c r="O1963" s="194">
        <f t="shared" si="92"/>
        <v>7.2236842105263155E-2</v>
      </c>
    </row>
    <row r="1964" spans="1:15" ht="12.75" customHeight="1">
      <c r="A1964" s="188" t="s">
        <v>620</v>
      </c>
      <c r="B1964" s="188" t="s">
        <v>1394</v>
      </c>
      <c r="C1964" s="188" t="s">
        <v>641</v>
      </c>
      <c r="D1964" s="188" t="s">
        <v>3390</v>
      </c>
      <c r="E1964" s="189">
        <v>39597</v>
      </c>
      <c r="F1964" s="190">
        <v>0</v>
      </c>
      <c r="G1964" s="190">
        <v>50.56</v>
      </c>
      <c r="H1964" s="191">
        <v>1850</v>
      </c>
      <c r="I1964" s="191">
        <v>197.5</v>
      </c>
      <c r="J1964" s="188" t="s">
        <v>353</v>
      </c>
      <c r="K1964" s="188" t="s">
        <v>338</v>
      </c>
      <c r="L1964" s="188" t="s">
        <v>335</v>
      </c>
      <c r="M1964" s="192">
        <f t="shared" si="90"/>
        <v>32</v>
      </c>
      <c r="N1964" s="193">
        <f t="shared" si="91"/>
        <v>2.3417721518987342</v>
      </c>
      <c r="O1964" s="194">
        <f t="shared" si="92"/>
        <v>7.3180379746835444E-2</v>
      </c>
    </row>
    <row r="1965" spans="1:15" ht="12.75" customHeight="1">
      <c r="A1965" s="188" t="s">
        <v>620</v>
      </c>
      <c r="B1965" s="188" t="s">
        <v>1394</v>
      </c>
      <c r="C1965" s="188" t="s">
        <v>641</v>
      </c>
      <c r="D1965" s="188" t="s">
        <v>3391</v>
      </c>
      <c r="E1965" s="189">
        <v>39471</v>
      </c>
      <c r="F1965" s="190">
        <v>0</v>
      </c>
      <c r="G1965" s="190">
        <v>36.86</v>
      </c>
      <c r="H1965" s="191">
        <v>1642</v>
      </c>
      <c r="I1965" s="191">
        <v>144</v>
      </c>
      <c r="J1965" s="188" t="s">
        <v>624</v>
      </c>
      <c r="K1965" s="188" t="s">
        <v>338</v>
      </c>
      <c r="L1965" s="188" t="s">
        <v>3017</v>
      </c>
      <c r="M1965" s="192">
        <f t="shared" si="90"/>
        <v>38</v>
      </c>
      <c r="N1965" s="193">
        <f t="shared" si="91"/>
        <v>2.8506944444444446</v>
      </c>
      <c r="O1965" s="194">
        <f t="shared" si="92"/>
        <v>7.5018274853801178E-2</v>
      </c>
    </row>
    <row r="1966" spans="1:15" ht="12.75" customHeight="1">
      <c r="A1966" s="188" t="s">
        <v>620</v>
      </c>
      <c r="B1966" s="188" t="s">
        <v>1394</v>
      </c>
      <c r="C1966" s="188" t="s">
        <v>641</v>
      </c>
      <c r="D1966" s="188" t="s">
        <v>3392</v>
      </c>
      <c r="E1966" s="189">
        <v>39513</v>
      </c>
      <c r="F1966" s="190">
        <v>0</v>
      </c>
      <c r="G1966" s="190">
        <v>35.33</v>
      </c>
      <c r="H1966" s="191">
        <v>1248</v>
      </c>
      <c r="I1966" s="191">
        <v>138</v>
      </c>
      <c r="J1966" s="188" t="s">
        <v>635</v>
      </c>
      <c r="K1966" s="188" t="s">
        <v>338</v>
      </c>
      <c r="L1966" s="188" t="s">
        <v>2864</v>
      </c>
      <c r="M1966" s="192">
        <f t="shared" si="90"/>
        <v>30</v>
      </c>
      <c r="N1966" s="193">
        <f t="shared" si="91"/>
        <v>2.2608695652173911</v>
      </c>
      <c r="O1966" s="194">
        <f t="shared" si="92"/>
        <v>7.5362318840579701E-2</v>
      </c>
    </row>
    <row r="1967" spans="1:15" ht="12.75" customHeight="1">
      <c r="A1967" s="188" t="s">
        <v>620</v>
      </c>
      <c r="B1967" s="188" t="s">
        <v>1394</v>
      </c>
      <c r="C1967" s="188" t="s">
        <v>641</v>
      </c>
      <c r="D1967" s="188" t="s">
        <v>3393</v>
      </c>
      <c r="E1967" s="189">
        <v>39548</v>
      </c>
      <c r="F1967" s="190">
        <v>0</v>
      </c>
      <c r="G1967" s="190">
        <v>114.69</v>
      </c>
      <c r="H1967" s="191">
        <v>2431</v>
      </c>
      <c r="I1967" s="191">
        <v>448</v>
      </c>
      <c r="J1967" s="188" t="s">
        <v>387</v>
      </c>
      <c r="K1967" s="188" t="s">
        <v>285</v>
      </c>
      <c r="L1967" s="188" t="s">
        <v>3394</v>
      </c>
      <c r="M1967" s="192">
        <f t="shared" si="90"/>
        <v>18</v>
      </c>
      <c r="N1967" s="193">
        <f t="shared" si="91"/>
        <v>1.3565848214285714</v>
      </c>
      <c r="O1967" s="194">
        <f t="shared" si="92"/>
        <v>7.5365823412698416E-2</v>
      </c>
    </row>
    <row r="1968" spans="1:15" ht="12.75" customHeight="1">
      <c r="A1968" s="188" t="s">
        <v>620</v>
      </c>
      <c r="B1968" s="188" t="s">
        <v>1394</v>
      </c>
      <c r="C1968" s="188" t="s">
        <v>641</v>
      </c>
      <c r="D1968" s="188" t="s">
        <v>3395</v>
      </c>
      <c r="E1968" s="189">
        <v>39499</v>
      </c>
      <c r="F1968" s="190">
        <v>0</v>
      </c>
      <c r="G1968" s="190">
        <v>57.6</v>
      </c>
      <c r="H1968" s="191">
        <v>1527</v>
      </c>
      <c r="I1968" s="191">
        <v>225</v>
      </c>
      <c r="J1968" s="188" t="s">
        <v>710</v>
      </c>
      <c r="K1968" s="188" t="s">
        <v>338</v>
      </c>
      <c r="L1968" s="188" t="s">
        <v>740</v>
      </c>
      <c r="M1968" s="192">
        <f t="shared" si="90"/>
        <v>22</v>
      </c>
      <c r="N1968" s="193">
        <f t="shared" si="91"/>
        <v>1.6966666666666668</v>
      </c>
      <c r="O1968" s="194">
        <f t="shared" si="92"/>
        <v>7.7121212121212132E-2</v>
      </c>
    </row>
    <row r="1969" spans="1:15" ht="12.75" customHeight="1">
      <c r="A1969" s="188" t="s">
        <v>620</v>
      </c>
      <c r="B1969" s="188" t="s">
        <v>1394</v>
      </c>
      <c r="C1969" s="188" t="s">
        <v>641</v>
      </c>
      <c r="D1969" s="188" t="s">
        <v>3396</v>
      </c>
      <c r="E1969" s="189">
        <v>39380</v>
      </c>
      <c r="F1969" s="190">
        <v>0</v>
      </c>
      <c r="G1969" s="190">
        <v>21.76</v>
      </c>
      <c r="H1969" s="191">
        <v>539</v>
      </c>
      <c r="I1969" s="191">
        <v>85</v>
      </c>
      <c r="J1969" s="188" t="s">
        <v>560</v>
      </c>
      <c r="K1969" s="188" t="s">
        <v>338</v>
      </c>
      <c r="L1969" s="188" t="s">
        <v>3397</v>
      </c>
      <c r="M1969" s="192">
        <f t="shared" si="90"/>
        <v>20</v>
      </c>
      <c r="N1969" s="193">
        <f t="shared" si="91"/>
        <v>1.5852941176470587</v>
      </c>
      <c r="O1969" s="194">
        <f t="shared" si="92"/>
        <v>7.9264705882352932E-2</v>
      </c>
    </row>
    <row r="1970" spans="1:15" ht="12.75" customHeight="1">
      <c r="A1970" s="188" t="s">
        <v>620</v>
      </c>
      <c r="B1970" s="188" t="s">
        <v>1394</v>
      </c>
      <c r="C1970" s="188" t="s">
        <v>641</v>
      </c>
      <c r="D1970" s="188" t="s">
        <v>3398</v>
      </c>
      <c r="E1970" s="189">
        <v>39548</v>
      </c>
      <c r="F1970" s="190">
        <v>0</v>
      </c>
      <c r="G1970" s="190">
        <v>70.400000000000006</v>
      </c>
      <c r="H1970" s="191">
        <v>2686.5</v>
      </c>
      <c r="I1970" s="191">
        <v>275</v>
      </c>
      <c r="J1970" s="188" t="s">
        <v>635</v>
      </c>
      <c r="K1970" s="188" t="s">
        <v>338</v>
      </c>
      <c r="L1970" s="188" t="s">
        <v>557</v>
      </c>
      <c r="M1970" s="192">
        <f t="shared" si="90"/>
        <v>30</v>
      </c>
      <c r="N1970" s="193">
        <f t="shared" si="91"/>
        <v>2.4422727272727274</v>
      </c>
      <c r="O1970" s="194">
        <f t="shared" si="92"/>
        <v>8.1409090909090917E-2</v>
      </c>
    </row>
    <row r="1971" spans="1:15" ht="12.75" customHeight="1">
      <c r="A1971" s="188" t="s">
        <v>620</v>
      </c>
      <c r="B1971" s="188" t="s">
        <v>1394</v>
      </c>
      <c r="C1971" s="188" t="s">
        <v>641</v>
      </c>
      <c r="D1971" s="188" t="s">
        <v>3399</v>
      </c>
      <c r="E1971" s="189">
        <v>39443</v>
      </c>
      <c r="F1971" s="190">
        <v>0</v>
      </c>
      <c r="G1971" s="190">
        <v>22.34</v>
      </c>
      <c r="H1971" s="191">
        <v>890.05</v>
      </c>
      <c r="I1971" s="191">
        <v>87.25</v>
      </c>
      <c r="J1971" s="188" t="s">
        <v>624</v>
      </c>
      <c r="K1971" s="188" t="s">
        <v>330</v>
      </c>
      <c r="L1971" s="188" t="s">
        <v>3400</v>
      </c>
      <c r="M1971" s="192">
        <f t="shared" si="90"/>
        <v>31</v>
      </c>
      <c r="N1971" s="193">
        <f t="shared" si="91"/>
        <v>2.5502865329512892</v>
      </c>
      <c r="O1971" s="194">
        <f t="shared" si="92"/>
        <v>8.2267307514557714E-2</v>
      </c>
    </row>
    <row r="1972" spans="1:15" ht="12.75" customHeight="1">
      <c r="A1972" s="188" t="s">
        <v>620</v>
      </c>
      <c r="B1972" s="188" t="s">
        <v>1394</v>
      </c>
      <c r="C1972" s="188" t="s">
        <v>641</v>
      </c>
      <c r="D1972" s="188" t="s">
        <v>3401</v>
      </c>
      <c r="E1972" s="189">
        <v>39576</v>
      </c>
      <c r="F1972" s="190">
        <v>0</v>
      </c>
      <c r="G1972" s="190">
        <v>6.4</v>
      </c>
      <c r="H1972" s="191">
        <v>160</v>
      </c>
      <c r="I1972" s="191">
        <v>25</v>
      </c>
      <c r="J1972" s="188" t="s">
        <v>667</v>
      </c>
      <c r="K1972" s="188" t="s">
        <v>338</v>
      </c>
      <c r="L1972" s="188" t="s">
        <v>3372</v>
      </c>
      <c r="M1972" s="192">
        <f t="shared" si="90"/>
        <v>19</v>
      </c>
      <c r="N1972" s="193">
        <f t="shared" si="91"/>
        <v>1.6</v>
      </c>
      <c r="O1972" s="194">
        <f t="shared" si="92"/>
        <v>8.4210526315789472E-2</v>
      </c>
    </row>
    <row r="1973" spans="1:15" ht="12.75" customHeight="1">
      <c r="A1973" s="188" t="s">
        <v>620</v>
      </c>
      <c r="B1973" s="188" t="s">
        <v>1394</v>
      </c>
      <c r="C1973" s="188" t="s">
        <v>641</v>
      </c>
      <c r="D1973" s="188" t="s">
        <v>3402</v>
      </c>
      <c r="E1973" s="189">
        <v>39471</v>
      </c>
      <c r="F1973" s="190">
        <v>0</v>
      </c>
      <c r="G1973" s="190">
        <v>32.770000000000003</v>
      </c>
      <c r="H1973" s="191">
        <v>1213</v>
      </c>
      <c r="I1973" s="191">
        <v>128</v>
      </c>
      <c r="J1973" s="188" t="s">
        <v>750</v>
      </c>
      <c r="K1973" s="188" t="s">
        <v>338</v>
      </c>
      <c r="L1973" s="188" t="s">
        <v>3403</v>
      </c>
      <c r="M1973" s="192">
        <f t="shared" si="90"/>
        <v>28</v>
      </c>
      <c r="N1973" s="193">
        <f t="shared" si="91"/>
        <v>2.369140625</v>
      </c>
      <c r="O1973" s="194">
        <f t="shared" si="92"/>
        <v>8.4612165178571425E-2</v>
      </c>
    </row>
    <row r="1974" spans="1:15" ht="12.75" customHeight="1">
      <c r="A1974" s="188" t="s">
        <v>620</v>
      </c>
      <c r="B1974" s="188" t="s">
        <v>1394</v>
      </c>
      <c r="C1974" s="188" t="s">
        <v>641</v>
      </c>
      <c r="D1974" s="188" t="s">
        <v>3404</v>
      </c>
      <c r="E1974" s="189">
        <v>39447</v>
      </c>
      <c r="F1974" s="190">
        <v>0</v>
      </c>
      <c r="G1974" s="190">
        <v>21.44</v>
      </c>
      <c r="H1974" s="191">
        <v>1088</v>
      </c>
      <c r="I1974" s="191">
        <v>83.75</v>
      </c>
      <c r="J1974" s="188" t="s">
        <v>624</v>
      </c>
      <c r="K1974" s="188" t="s">
        <v>338</v>
      </c>
      <c r="L1974" s="188" t="s">
        <v>502</v>
      </c>
      <c r="M1974" s="192">
        <f t="shared" si="90"/>
        <v>38</v>
      </c>
      <c r="N1974" s="193">
        <f t="shared" si="91"/>
        <v>3.2477611940298505</v>
      </c>
      <c r="O1974" s="194">
        <f t="shared" si="92"/>
        <v>8.5467399842890798E-2</v>
      </c>
    </row>
    <row r="1975" spans="1:15" ht="12.75" customHeight="1">
      <c r="A1975" s="188" t="s">
        <v>620</v>
      </c>
      <c r="B1975" s="188" t="s">
        <v>1394</v>
      </c>
      <c r="C1975" s="188" t="s">
        <v>641</v>
      </c>
      <c r="D1975" s="188" t="s">
        <v>3405</v>
      </c>
      <c r="E1975" s="189">
        <v>39395</v>
      </c>
      <c r="F1975" s="190">
        <v>0</v>
      </c>
      <c r="G1975" s="190">
        <v>57.34</v>
      </c>
      <c r="H1975" s="191">
        <v>2958</v>
      </c>
      <c r="I1975" s="191">
        <v>224</v>
      </c>
      <c r="J1975" s="188" t="s">
        <v>624</v>
      </c>
      <c r="K1975" s="188" t="s">
        <v>338</v>
      </c>
      <c r="L1975" s="188" t="s">
        <v>654</v>
      </c>
      <c r="M1975" s="192">
        <f t="shared" si="90"/>
        <v>38</v>
      </c>
      <c r="N1975" s="193">
        <f t="shared" si="91"/>
        <v>3.3013392857142856</v>
      </c>
      <c r="O1975" s="194">
        <f t="shared" si="92"/>
        <v>8.6877349624060143E-2</v>
      </c>
    </row>
    <row r="1976" spans="1:15" ht="12.75" customHeight="1">
      <c r="A1976" s="188" t="s">
        <v>620</v>
      </c>
      <c r="B1976" s="188" t="s">
        <v>1394</v>
      </c>
      <c r="C1976" s="188" t="s">
        <v>641</v>
      </c>
      <c r="D1976" s="188" t="s">
        <v>3406</v>
      </c>
      <c r="E1976" s="189">
        <v>39219</v>
      </c>
      <c r="F1976" s="190">
        <v>0</v>
      </c>
      <c r="G1976" s="190">
        <v>36.479999999999997</v>
      </c>
      <c r="H1976" s="191">
        <v>399</v>
      </c>
      <c r="I1976" s="191">
        <v>142.5</v>
      </c>
      <c r="J1976" s="188" t="s">
        <v>571</v>
      </c>
      <c r="K1976" s="188" t="s">
        <v>522</v>
      </c>
      <c r="L1976" s="188" t="s">
        <v>3407</v>
      </c>
      <c r="M1976" s="192">
        <f t="shared" si="90"/>
        <v>8</v>
      </c>
      <c r="N1976" s="193">
        <f t="shared" si="91"/>
        <v>0.7</v>
      </c>
      <c r="O1976" s="194">
        <f t="shared" si="92"/>
        <v>8.7499999999999994E-2</v>
      </c>
    </row>
    <row r="1977" spans="1:15" ht="12.75" customHeight="1">
      <c r="A1977" s="188" t="s">
        <v>620</v>
      </c>
      <c r="B1977" s="188" t="s">
        <v>1394</v>
      </c>
      <c r="C1977" s="188" t="s">
        <v>641</v>
      </c>
      <c r="D1977" s="188" t="s">
        <v>3408</v>
      </c>
      <c r="E1977" s="189">
        <v>39447</v>
      </c>
      <c r="F1977" s="190">
        <v>0</v>
      </c>
      <c r="G1977" s="190">
        <v>54.72</v>
      </c>
      <c r="H1977" s="191">
        <v>2036</v>
      </c>
      <c r="I1977" s="191">
        <v>213.75</v>
      </c>
      <c r="J1977" s="188" t="s">
        <v>639</v>
      </c>
      <c r="K1977" s="188" t="s">
        <v>338</v>
      </c>
      <c r="L1977" s="188" t="s">
        <v>3409</v>
      </c>
      <c r="M1977" s="192">
        <f t="shared" si="90"/>
        <v>27</v>
      </c>
      <c r="N1977" s="193">
        <f t="shared" si="91"/>
        <v>2.3812865497076023</v>
      </c>
      <c r="O1977" s="194">
        <f t="shared" si="92"/>
        <v>8.8195798137318607E-2</v>
      </c>
    </row>
    <row r="1978" spans="1:15" ht="12.75" customHeight="1">
      <c r="A1978" s="188" t="s">
        <v>620</v>
      </c>
      <c r="B1978" s="188" t="s">
        <v>1394</v>
      </c>
      <c r="C1978" s="188" t="s">
        <v>641</v>
      </c>
      <c r="D1978" s="188" t="s">
        <v>3410</v>
      </c>
      <c r="E1978" s="189">
        <v>39353</v>
      </c>
      <c r="F1978" s="190">
        <v>0</v>
      </c>
      <c r="G1978" s="190">
        <v>145.02000000000001</v>
      </c>
      <c r="H1978" s="191">
        <v>2674.56</v>
      </c>
      <c r="I1978" s="191">
        <v>566.5</v>
      </c>
      <c r="J1978" s="188" t="s">
        <v>624</v>
      </c>
      <c r="K1978" s="188" t="s">
        <v>652</v>
      </c>
      <c r="L1978" s="188" t="s">
        <v>3411</v>
      </c>
      <c r="M1978" s="192">
        <f t="shared" si="90"/>
        <v>13</v>
      </c>
      <c r="N1978" s="193">
        <f t="shared" si="91"/>
        <v>1.1803000882612533</v>
      </c>
      <c r="O1978" s="194">
        <f t="shared" si="92"/>
        <v>9.079231448163487E-2</v>
      </c>
    </row>
    <row r="1979" spans="1:15" ht="12.75" customHeight="1">
      <c r="A1979" s="188" t="s">
        <v>620</v>
      </c>
      <c r="B1979" s="188" t="s">
        <v>1394</v>
      </c>
      <c r="C1979" s="188" t="s">
        <v>641</v>
      </c>
      <c r="D1979" s="188" t="s">
        <v>3412</v>
      </c>
      <c r="E1979" s="189">
        <v>39422</v>
      </c>
      <c r="F1979" s="190">
        <v>0</v>
      </c>
      <c r="G1979" s="190">
        <v>38.4</v>
      </c>
      <c r="H1979" s="191">
        <v>1109</v>
      </c>
      <c r="I1979" s="191">
        <v>150</v>
      </c>
      <c r="J1979" s="188" t="s">
        <v>560</v>
      </c>
      <c r="K1979" s="188" t="s">
        <v>338</v>
      </c>
      <c r="L1979" s="188" t="s">
        <v>677</v>
      </c>
      <c r="M1979" s="192">
        <f t="shared" si="90"/>
        <v>20</v>
      </c>
      <c r="N1979" s="193">
        <f t="shared" si="91"/>
        <v>1.8483333333333334</v>
      </c>
      <c r="O1979" s="194">
        <f t="shared" si="92"/>
        <v>9.2416666666666675E-2</v>
      </c>
    </row>
    <row r="1980" spans="1:15" ht="12.75" customHeight="1">
      <c r="A1980" s="188" t="s">
        <v>620</v>
      </c>
      <c r="B1980" s="188" t="s">
        <v>1394</v>
      </c>
      <c r="C1980" s="188" t="s">
        <v>641</v>
      </c>
      <c r="D1980" s="188" t="s">
        <v>3413</v>
      </c>
      <c r="E1980" s="189">
        <v>39331</v>
      </c>
      <c r="F1980" s="190">
        <v>0</v>
      </c>
      <c r="G1980" s="190">
        <v>22.08</v>
      </c>
      <c r="H1980" s="191">
        <v>874.26</v>
      </c>
      <c r="I1980" s="191">
        <v>86.25</v>
      </c>
      <c r="J1980" s="188" t="s">
        <v>639</v>
      </c>
      <c r="K1980" s="188" t="s">
        <v>338</v>
      </c>
      <c r="L1980" s="188" t="s">
        <v>3414</v>
      </c>
      <c r="M1980" s="192">
        <f t="shared" si="90"/>
        <v>27</v>
      </c>
      <c r="N1980" s="193">
        <f t="shared" si="91"/>
        <v>2.534086956521739</v>
      </c>
      <c r="O1980" s="194">
        <f t="shared" si="92"/>
        <v>9.3855072463768105E-2</v>
      </c>
    </row>
    <row r="1981" spans="1:15" ht="12.75" customHeight="1">
      <c r="A1981" s="188" t="s">
        <v>620</v>
      </c>
      <c r="B1981" s="188" t="s">
        <v>1394</v>
      </c>
      <c r="C1981" s="188" t="s">
        <v>641</v>
      </c>
      <c r="D1981" s="188" t="s">
        <v>3415</v>
      </c>
      <c r="E1981" s="189">
        <v>39443</v>
      </c>
      <c r="F1981" s="190">
        <v>0</v>
      </c>
      <c r="G1981" s="190">
        <v>103.42</v>
      </c>
      <c r="H1981" s="191">
        <v>3111</v>
      </c>
      <c r="I1981" s="191">
        <v>404</v>
      </c>
      <c r="J1981" s="188" t="s">
        <v>560</v>
      </c>
      <c r="K1981" s="188" t="s">
        <v>338</v>
      </c>
      <c r="L1981" s="188" t="s">
        <v>1743</v>
      </c>
      <c r="M1981" s="192">
        <f t="shared" si="90"/>
        <v>20</v>
      </c>
      <c r="N1981" s="193">
        <f t="shared" si="91"/>
        <v>1.9251237623762376</v>
      </c>
      <c r="O1981" s="194">
        <f t="shared" si="92"/>
        <v>9.6256188118811883E-2</v>
      </c>
    </row>
    <row r="1982" spans="1:15" ht="12.75" customHeight="1">
      <c r="A1982" s="188" t="s">
        <v>620</v>
      </c>
      <c r="B1982" s="188" t="s">
        <v>1394</v>
      </c>
      <c r="C1982" s="188" t="s">
        <v>641</v>
      </c>
      <c r="D1982" s="188" t="s">
        <v>3416</v>
      </c>
      <c r="E1982" s="189">
        <v>39541</v>
      </c>
      <c r="F1982" s="190">
        <v>0</v>
      </c>
      <c r="G1982" s="190">
        <v>57.6</v>
      </c>
      <c r="H1982" s="191">
        <v>1992</v>
      </c>
      <c r="I1982" s="191">
        <v>225</v>
      </c>
      <c r="J1982" s="188" t="s">
        <v>710</v>
      </c>
      <c r="K1982" s="188" t="s">
        <v>338</v>
      </c>
      <c r="L1982" s="188" t="s">
        <v>740</v>
      </c>
      <c r="M1982" s="192">
        <f t="shared" si="90"/>
        <v>22</v>
      </c>
      <c r="N1982" s="193">
        <f t="shared" si="91"/>
        <v>2.2133333333333334</v>
      </c>
      <c r="O1982" s="194">
        <f t="shared" si="92"/>
        <v>0.1006060606060606</v>
      </c>
    </row>
    <row r="1983" spans="1:15" ht="12.75" customHeight="1">
      <c r="A1983" s="188" t="s">
        <v>620</v>
      </c>
      <c r="B1983" s="188" t="s">
        <v>1394</v>
      </c>
      <c r="C1983" s="188" t="s">
        <v>641</v>
      </c>
      <c r="D1983" s="188" t="s">
        <v>3417</v>
      </c>
      <c r="E1983" s="189">
        <v>39568</v>
      </c>
      <c r="F1983" s="190">
        <v>0</v>
      </c>
      <c r="G1983" s="190">
        <v>72.45</v>
      </c>
      <c r="H1983" s="191">
        <v>2659.6</v>
      </c>
      <c r="I1983" s="191">
        <v>283</v>
      </c>
      <c r="J1983" s="188" t="s">
        <v>571</v>
      </c>
      <c r="K1983" s="188" t="s">
        <v>338</v>
      </c>
      <c r="L1983" s="188" t="s">
        <v>2446</v>
      </c>
      <c r="M1983" s="192">
        <f t="shared" si="90"/>
        <v>23</v>
      </c>
      <c r="N1983" s="193">
        <f t="shared" si="91"/>
        <v>2.3494699646643107</v>
      </c>
      <c r="O1983" s="194">
        <f t="shared" si="92"/>
        <v>0.10215086802888307</v>
      </c>
    </row>
    <row r="1984" spans="1:15" ht="12.75" customHeight="1">
      <c r="A1984" s="188" t="s">
        <v>620</v>
      </c>
      <c r="B1984" s="188" t="s">
        <v>1394</v>
      </c>
      <c r="C1984" s="188" t="s">
        <v>641</v>
      </c>
      <c r="D1984" s="188" t="s">
        <v>3418</v>
      </c>
      <c r="E1984" s="189">
        <v>39296</v>
      </c>
      <c r="F1984" s="190">
        <v>0</v>
      </c>
      <c r="G1984" s="190">
        <v>38.4</v>
      </c>
      <c r="H1984" s="191">
        <v>1537.98</v>
      </c>
      <c r="I1984" s="191">
        <v>150</v>
      </c>
      <c r="J1984" s="188" t="s">
        <v>624</v>
      </c>
      <c r="K1984" s="188" t="s">
        <v>427</v>
      </c>
      <c r="L1984" s="188" t="s">
        <v>677</v>
      </c>
      <c r="M1984" s="192">
        <f t="shared" si="90"/>
        <v>25</v>
      </c>
      <c r="N1984" s="193">
        <f t="shared" si="91"/>
        <v>2.5632999999999999</v>
      </c>
      <c r="O1984" s="194">
        <f t="shared" si="92"/>
        <v>0.102532</v>
      </c>
    </row>
    <row r="1985" spans="1:15" ht="12.75" customHeight="1">
      <c r="A1985" s="188" t="s">
        <v>620</v>
      </c>
      <c r="B1985" s="188" t="s">
        <v>1394</v>
      </c>
      <c r="C1985" s="188" t="s">
        <v>641</v>
      </c>
      <c r="D1985" s="188" t="s">
        <v>3419</v>
      </c>
      <c r="E1985" s="189">
        <v>39366</v>
      </c>
      <c r="F1985" s="190">
        <v>0</v>
      </c>
      <c r="G1985" s="190">
        <v>13.44</v>
      </c>
      <c r="H1985" s="191">
        <v>573.01</v>
      </c>
      <c r="I1985" s="191">
        <v>52.5</v>
      </c>
      <c r="J1985" s="188" t="s">
        <v>361</v>
      </c>
      <c r="K1985" s="188" t="s">
        <v>338</v>
      </c>
      <c r="L1985" s="188" t="s">
        <v>352</v>
      </c>
      <c r="M1985" s="192">
        <f t="shared" si="90"/>
        <v>26</v>
      </c>
      <c r="N1985" s="193">
        <f t="shared" si="91"/>
        <v>2.7286190476190475</v>
      </c>
      <c r="O1985" s="194">
        <f t="shared" si="92"/>
        <v>0.10494688644688645</v>
      </c>
    </row>
    <row r="1986" spans="1:15" ht="12.75" customHeight="1">
      <c r="A1986" s="188" t="s">
        <v>620</v>
      </c>
      <c r="B1986" s="188" t="s">
        <v>1394</v>
      </c>
      <c r="C1986" s="188" t="s">
        <v>641</v>
      </c>
      <c r="D1986" s="188" t="s">
        <v>3420</v>
      </c>
      <c r="E1986" s="189">
        <v>39597</v>
      </c>
      <c r="F1986" s="190">
        <v>0</v>
      </c>
      <c r="G1986" s="190">
        <v>25.6</v>
      </c>
      <c r="H1986" s="191">
        <v>1785</v>
      </c>
      <c r="I1986" s="191">
        <v>100</v>
      </c>
      <c r="J1986" s="188" t="s">
        <v>624</v>
      </c>
      <c r="K1986" s="188" t="s">
        <v>338</v>
      </c>
      <c r="L1986" s="188" t="s">
        <v>910</v>
      </c>
      <c r="M1986" s="192">
        <f t="shared" ref="M1986:M2049" si="93">K1986-J1986</f>
        <v>38</v>
      </c>
      <c r="N1986" s="193">
        <f t="shared" ref="N1986:N2049" si="94">H1986/L1986</f>
        <v>4.4625000000000004</v>
      </c>
      <c r="O1986" s="194">
        <f t="shared" ref="O1986:O2049" si="95">N1986/M1986</f>
        <v>0.11743421052631579</v>
      </c>
    </row>
    <row r="1987" spans="1:15" ht="12.75" customHeight="1">
      <c r="A1987" s="188" t="s">
        <v>620</v>
      </c>
      <c r="B1987" s="188" t="s">
        <v>1394</v>
      </c>
      <c r="C1987" s="188" t="s">
        <v>641</v>
      </c>
      <c r="D1987" s="188" t="s">
        <v>3421</v>
      </c>
      <c r="E1987" s="189">
        <v>39366</v>
      </c>
      <c r="F1987" s="190">
        <v>0</v>
      </c>
      <c r="G1987" s="190">
        <v>115.2</v>
      </c>
      <c r="H1987" s="191">
        <v>3000</v>
      </c>
      <c r="I1987" s="191">
        <v>450</v>
      </c>
      <c r="J1987" s="188" t="s">
        <v>503</v>
      </c>
      <c r="K1987" s="188" t="s">
        <v>1344</v>
      </c>
      <c r="L1987" s="188" t="s">
        <v>718</v>
      </c>
      <c r="M1987" s="192">
        <f t="shared" si="93"/>
        <v>14</v>
      </c>
      <c r="N1987" s="193">
        <f t="shared" si="94"/>
        <v>1.6666666666666667</v>
      </c>
      <c r="O1987" s="194">
        <f t="shared" si="95"/>
        <v>0.11904761904761905</v>
      </c>
    </row>
    <row r="1988" spans="1:15" ht="12.75" customHeight="1">
      <c r="A1988" s="188" t="s">
        <v>620</v>
      </c>
      <c r="B1988" s="188" t="s">
        <v>1394</v>
      </c>
      <c r="C1988" s="188" t="s">
        <v>641</v>
      </c>
      <c r="D1988" s="188" t="s">
        <v>3422</v>
      </c>
      <c r="E1988" s="189">
        <v>39492</v>
      </c>
      <c r="F1988" s="190">
        <v>0</v>
      </c>
      <c r="G1988" s="190">
        <v>12.8</v>
      </c>
      <c r="H1988" s="191">
        <v>513</v>
      </c>
      <c r="I1988" s="191">
        <v>50</v>
      </c>
      <c r="J1988" s="188" t="s">
        <v>560</v>
      </c>
      <c r="K1988" s="188" t="s">
        <v>338</v>
      </c>
      <c r="L1988" s="188" t="s">
        <v>1322</v>
      </c>
      <c r="M1988" s="192">
        <f t="shared" si="93"/>
        <v>20</v>
      </c>
      <c r="N1988" s="193">
        <f t="shared" si="94"/>
        <v>2.5649999999999999</v>
      </c>
      <c r="O1988" s="194">
        <f t="shared" si="95"/>
        <v>0.12825</v>
      </c>
    </row>
    <row r="1989" spans="1:15" ht="12.75" customHeight="1">
      <c r="A1989" s="188" t="s">
        <v>620</v>
      </c>
      <c r="B1989" s="188" t="s">
        <v>1394</v>
      </c>
      <c r="C1989" s="188" t="s">
        <v>641</v>
      </c>
      <c r="D1989" s="188" t="s">
        <v>3423</v>
      </c>
      <c r="E1989" s="189">
        <v>39520</v>
      </c>
      <c r="F1989" s="190">
        <v>0</v>
      </c>
      <c r="G1989" s="190">
        <v>61.44</v>
      </c>
      <c r="H1989" s="191">
        <v>1298</v>
      </c>
      <c r="I1989" s="191">
        <v>240</v>
      </c>
      <c r="J1989" s="188" t="s">
        <v>635</v>
      </c>
      <c r="K1989" s="188" t="s">
        <v>338</v>
      </c>
      <c r="L1989" s="188" t="s">
        <v>2719</v>
      </c>
      <c r="M1989" s="192">
        <f t="shared" si="93"/>
        <v>30</v>
      </c>
      <c r="N1989" s="193">
        <f t="shared" si="94"/>
        <v>3.993846153846154</v>
      </c>
      <c r="O1989" s="194">
        <f t="shared" si="95"/>
        <v>0.13312820512820514</v>
      </c>
    </row>
    <row r="1990" spans="1:15" ht="12.75" customHeight="1">
      <c r="A1990" s="188" t="s">
        <v>620</v>
      </c>
      <c r="B1990" s="188" t="s">
        <v>1394</v>
      </c>
      <c r="C1990" s="188" t="s">
        <v>641</v>
      </c>
      <c r="D1990" s="188" t="s">
        <v>3424</v>
      </c>
      <c r="E1990" s="189">
        <v>39339</v>
      </c>
      <c r="F1990" s="190">
        <v>0</v>
      </c>
      <c r="G1990" s="190">
        <v>62.4</v>
      </c>
      <c r="H1990" s="191">
        <v>3598</v>
      </c>
      <c r="I1990" s="191">
        <v>243.75</v>
      </c>
      <c r="J1990" s="188" t="s">
        <v>361</v>
      </c>
      <c r="K1990" s="188" t="s">
        <v>338</v>
      </c>
      <c r="L1990" s="188" t="s">
        <v>941</v>
      </c>
      <c r="M1990" s="192">
        <f t="shared" si="93"/>
        <v>26</v>
      </c>
      <c r="N1990" s="193">
        <f t="shared" si="94"/>
        <v>3.6902564102564104</v>
      </c>
      <c r="O1990" s="194">
        <f t="shared" si="95"/>
        <v>0.14193293885601579</v>
      </c>
    </row>
    <row r="1991" spans="1:15" ht="12.75" customHeight="1">
      <c r="A1991" s="188" t="s">
        <v>620</v>
      </c>
      <c r="B1991" s="188" t="s">
        <v>1394</v>
      </c>
      <c r="C1991" s="188" t="s">
        <v>641</v>
      </c>
      <c r="D1991" s="188" t="s">
        <v>3425</v>
      </c>
      <c r="E1991" s="189">
        <v>39436</v>
      </c>
      <c r="F1991" s="190">
        <v>0</v>
      </c>
      <c r="G1991" s="190">
        <v>6.4</v>
      </c>
      <c r="H1991" s="191">
        <v>542</v>
      </c>
      <c r="I1991" s="191">
        <v>25</v>
      </c>
      <c r="J1991" s="188" t="s">
        <v>624</v>
      </c>
      <c r="K1991" s="188" t="s">
        <v>338</v>
      </c>
      <c r="L1991" s="188" t="s">
        <v>3372</v>
      </c>
      <c r="M1991" s="192">
        <f t="shared" si="93"/>
        <v>38</v>
      </c>
      <c r="N1991" s="193">
        <f t="shared" si="94"/>
        <v>5.42</v>
      </c>
      <c r="O1991" s="194">
        <f t="shared" si="95"/>
        <v>0.14263157894736841</v>
      </c>
    </row>
    <row r="1992" spans="1:15" ht="12.75" customHeight="1">
      <c r="A1992" s="188" t="s">
        <v>620</v>
      </c>
      <c r="B1992" s="188" t="s">
        <v>1394</v>
      </c>
      <c r="C1992" s="188" t="s">
        <v>641</v>
      </c>
      <c r="D1992" s="188" t="s">
        <v>3426</v>
      </c>
      <c r="E1992" s="189">
        <v>39625</v>
      </c>
      <c r="F1992" s="190">
        <v>0</v>
      </c>
      <c r="G1992" s="190">
        <v>49.92</v>
      </c>
      <c r="H1992" s="191">
        <v>2870</v>
      </c>
      <c r="I1992" s="191">
        <v>195</v>
      </c>
      <c r="J1992" s="188" t="s">
        <v>560</v>
      </c>
      <c r="K1992" s="188" t="s">
        <v>333</v>
      </c>
      <c r="L1992" s="188" t="s">
        <v>656</v>
      </c>
      <c r="M1992" s="192">
        <f t="shared" si="93"/>
        <v>21</v>
      </c>
      <c r="N1992" s="193">
        <f t="shared" si="94"/>
        <v>3.6794871794871793</v>
      </c>
      <c r="O1992" s="194">
        <f t="shared" si="95"/>
        <v>0.1752136752136752</v>
      </c>
    </row>
    <row r="1993" spans="1:15" ht="12.75" customHeight="1">
      <c r="A1993" s="188" t="s">
        <v>620</v>
      </c>
      <c r="B1993" s="188" t="s">
        <v>1394</v>
      </c>
      <c r="C1993" s="188" t="s">
        <v>641</v>
      </c>
      <c r="D1993" s="188" t="s">
        <v>3427</v>
      </c>
      <c r="E1993" s="189">
        <v>39555</v>
      </c>
      <c r="F1993" s="190">
        <v>0</v>
      </c>
      <c r="G1993" s="190">
        <v>6.4</v>
      </c>
      <c r="H1993" s="191">
        <v>550.72</v>
      </c>
      <c r="I1993" s="191">
        <v>25</v>
      </c>
      <c r="J1993" s="188" t="s">
        <v>750</v>
      </c>
      <c r="K1993" s="188" t="s">
        <v>338</v>
      </c>
      <c r="L1993" s="188" t="s">
        <v>3372</v>
      </c>
      <c r="M1993" s="192">
        <f t="shared" si="93"/>
        <v>28</v>
      </c>
      <c r="N1993" s="193">
        <f t="shared" si="94"/>
        <v>5.5072000000000001</v>
      </c>
      <c r="O1993" s="194">
        <f t="shared" si="95"/>
        <v>0.1966857142857143</v>
      </c>
    </row>
    <row r="1994" spans="1:15" ht="12.75" customHeight="1">
      <c r="A1994" s="188" t="s">
        <v>620</v>
      </c>
      <c r="B1994" s="188" t="s">
        <v>1394</v>
      </c>
      <c r="C1994" s="188" t="s">
        <v>641</v>
      </c>
      <c r="D1994" s="188" t="s">
        <v>3428</v>
      </c>
      <c r="E1994" s="189">
        <v>39527</v>
      </c>
      <c r="F1994" s="190">
        <v>0</v>
      </c>
      <c r="G1994" s="190">
        <v>64.77</v>
      </c>
      <c r="H1994" s="191">
        <v>2933</v>
      </c>
      <c r="I1994" s="191">
        <v>253</v>
      </c>
      <c r="J1994" s="188" t="s">
        <v>624</v>
      </c>
      <c r="K1994" s="188" t="s">
        <v>652</v>
      </c>
      <c r="L1994" s="188" t="s">
        <v>2212</v>
      </c>
      <c r="M1994" s="192">
        <f t="shared" si="93"/>
        <v>13</v>
      </c>
      <c r="N1994" s="193">
        <f t="shared" si="94"/>
        <v>2.8982213438735176</v>
      </c>
      <c r="O1994" s="194">
        <f t="shared" si="95"/>
        <v>0.22294010337488596</v>
      </c>
    </row>
    <row r="1995" spans="1:15" ht="12.75" customHeight="1">
      <c r="A1995" s="188" t="s">
        <v>620</v>
      </c>
      <c r="B1995" s="188" t="s">
        <v>1394</v>
      </c>
      <c r="C1995" s="188" t="s">
        <v>641</v>
      </c>
      <c r="D1995" s="188" t="s">
        <v>3429</v>
      </c>
      <c r="E1995" s="189">
        <v>39269</v>
      </c>
      <c r="F1995" s="190">
        <v>0</v>
      </c>
      <c r="G1995" s="190">
        <v>8.19</v>
      </c>
      <c r="H1995" s="191">
        <v>610</v>
      </c>
      <c r="I1995" s="191">
        <v>32</v>
      </c>
      <c r="J1995" s="188" t="s">
        <v>667</v>
      </c>
      <c r="K1995" s="188" t="s">
        <v>338</v>
      </c>
      <c r="L1995" s="188" t="s">
        <v>3430</v>
      </c>
      <c r="M1995" s="192">
        <f t="shared" si="93"/>
        <v>19</v>
      </c>
      <c r="N1995" s="193">
        <f t="shared" si="94"/>
        <v>4.765625</v>
      </c>
      <c r="O1995" s="194">
        <f t="shared" si="95"/>
        <v>0.25082236842105265</v>
      </c>
    </row>
    <row r="1996" spans="1:15" ht="12.75" customHeight="1">
      <c r="A1996" s="188" t="s">
        <v>620</v>
      </c>
      <c r="B1996" s="188" t="s">
        <v>1394</v>
      </c>
      <c r="C1996" s="188" t="s">
        <v>641</v>
      </c>
      <c r="D1996" s="188" t="s">
        <v>3431</v>
      </c>
      <c r="E1996" s="189">
        <v>39380</v>
      </c>
      <c r="F1996" s="190">
        <v>0</v>
      </c>
      <c r="G1996" s="190">
        <v>17.79</v>
      </c>
      <c r="H1996" s="191">
        <v>319.98</v>
      </c>
      <c r="I1996" s="191">
        <v>69.5</v>
      </c>
      <c r="J1996" s="188" t="s">
        <v>571</v>
      </c>
      <c r="K1996" s="188" t="s">
        <v>667</v>
      </c>
      <c r="L1996" s="188" t="s">
        <v>396</v>
      </c>
      <c r="M1996" s="192">
        <f t="shared" si="93"/>
        <v>4</v>
      </c>
      <c r="N1996" s="193">
        <f t="shared" si="94"/>
        <v>1.1510071942446043</v>
      </c>
      <c r="O1996" s="194">
        <f t="shared" si="95"/>
        <v>0.28775179856115107</v>
      </c>
    </row>
    <row r="1997" spans="1:15" ht="12.75" customHeight="1">
      <c r="A1997" s="188" t="s">
        <v>620</v>
      </c>
      <c r="B1997" s="188" t="s">
        <v>1394</v>
      </c>
      <c r="C1997" s="188" t="s">
        <v>641</v>
      </c>
      <c r="D1997" s="188" t="s">
        <v>3432</v>
      </c>
      <c r="E1997" s="189">
        <v>39576</v>
      </c>
      <c r="F1997" s="190">
        <v>0</v>
      </c>
      <c r="G1997" s="190">
        <v>128</v>
      </c>
      <c r="H1997" s="191">
        <v>1991</v>
      </c>
      <c r="I1997" s="191">
        <v>500</v>
      </c>
      <c r="J1997" s="188" t="s">
        <v>879</v>
      </c>
      <c r="K1997" s="188" t="s">
        <v>338</v>
      </c>
      <c r="L1997" s="188" t="s">
        <v>1322</v>
      </c>
      <c r="M1997" s="192">
        <f t="shared" si="93"/>
        <v>21</v>
      </c>
      <c r="N1997" s="193">
        <f t="shared" si="94"/>
        <v>9.9550000000000001</v>
      </c>
      <c r="O1997" s="194">
        <f t="shared" si="95"/>
        <v>0.47404761904761905</v>
      </c>
    </row>
    <row r="1998" spans="1:15" ht="12.75" customHeight="1">
      <c r="A1998" s="188" t="s">
        <v>620</v>
      </c>
      <c r="B1998" s="188" t="s">
        <v>1394</v>
      </c>
      <c r="C1998" s="188" t="s">
        <v>641</v>
      </c>
      <c r="D1998" s="188" t="s">
        <v>3433</v>
      </c>
      <c r="E1998" s="189">
        <v>39583</v>
      </c>
      <c r="F1998" s="190">
        <v>0</v>
      </c>
      <c r="G1998" s="190">
        <v>128</v>
      </c>
      <c r="H1998" s="191">
        <v>2880000</v>
      </c>
      <c r="I1998" s="191">
        <v>500</v>
      </c>
      <c r="J1998" s="188" t="s">
        <v>879</v>
      </c>
      <c r="K1998" s="188" t="s">
        <v>338</v>
      </c>
      <c r="L1998" s="188" t="s">
        <v>756</v>
      </c>
      <c r="M1998" s="192">
        <f t="shared" si="93"/>
        <v>21</v>
      </c>
      <c r="N1998" s="193">
        <f t="shared" si="94"/>
        <v>1440</v>
      </c>
      <c r="O1998" s="194">
        <f t="shared" si="95"/>
        <v>68.571428571428569</v>
      </c>
    </row>
    <row r="1999" spans="1:15" ht="12.75" customHeight="1">
      <c r="A1999" s="188" t="s">
        <v>620</v>
      </c>
      <c r="B1999" s="188" t="s">
        <v>1394</v>
      </c>
      <c r="C1999" s="188" t="s">
        <v>641</v>
      </c>
      <c r="D1999" s="188" t="s">
        <v>3434</v>
      </c>
      <c r="E1999" s="189">
        <v>39555</v>
      </c>
      <c r="F1999" s="190">
        <v>0</v>
      </c>
      <c r="G1999" s="190">
        <v>151.41999999999999</v>
      </c>
      <c r="H1999" s="191">
        <v>11318944</v>
      </c>
      <c r="I1999" s="191">
        <v>591.5</v>
      </c>
      <c r="J1999" s="188" t="s">
        <v>624</v>
      </c>
      <c r="K1999" s="188" t="s">
        <v>338</v>
      </c>
      <c r="L1999" s="188" t="s">
        <v>3307</v>
      </c>
      <c r="M1999" s="192">
        <f t="shared" si="93"/>
        <v>38</v>
      </c>
      <c r="N1999" s="193">
        <f t="shared" si="94"/>
        <v>4784</v>
      </c>
      <c r="O1999" s="194">
        <f t="shared" si="95"/>
        <v>125.89473684210526</v>
      </c>
    </row>
    <row r="2000" spans="1:15" ht="12.75" customHeight="1">
      <c r="A2000" s="188" t="s">
        <v>620</v>
      </c>
      <c r="B2000" s="188" t="s">
        <v>3435</v>
      </c>
      <c r="C2000" s="188" t="s">
        <v>650</v>
      </c>
      <c r="D2000" s="188" t="s">
        <v>3436</v>
      </c>
      <c r="E2000" s="189">
        <v>39555</v>
      </c>
      <c r="F2000" s="190">
        <v>2883</v>
      </c>
      <c r="G2000" s="190">
        <v>0</v>
      </c>
      <c r="H2000" s="191">
        <v>800</v>
      </c>
      <c r="I2000" s="191">
        <v>800</v>
      </c>
      <c r="J2000" s="188" t="s">
        <v>624</v>
      </c>
      <c r="K2000" s="188" t="s">
        <v>257</v>
      </c>
      <c r="L2000" s="188" t="s">
        <v>756</v>
      </c>
      <c r="M2000" s="192">
        <f t="shared" si="93"/>
        <v>30</v>
      </c>
      <c r="N2000" s="193">
        <f t="shared" si="94"/>
        <v>0.4</v>
      </c>
      <c r="O2000" s="194">
        <f t="shared" si="95"/>
        <v>1.3333333333333334E-2</v>
      </c>
    </row>
    <row r="2001" spans="1:15" ht="12.75" customHeight="1">
      <c r="A2001" s="188" t="s">
        <v>620</v>
      </c>
      <c r="B2001" s="188" t="s">
        <v>3435</v>
      </c>
      <c r="C2001" s="188" t="s">
        <v>650</v>
      </c>
      <c r="D2001" s="188" t="s">
        <v>3437</v>
      </c>
      <c r="E2001" s="189">
        <v>39317</v>
      </c>
      <c r="F2001" s="190">
        <v>2521</v>
      </c>
      <c r="G2001" s="190">
        <v>0</v>
      </c>
      <c r="H2001" s="191">
        <v>750.05</v>
      </c>
      <c r="I2001" s="191">
        <v>787.5</v>
      </c>
      <c r="J2001" s="188" t="s">
        <v>624</v>
      </c>
      <c r="K2001" s="188" t="s">
        <v>427</v>
      </c>
      <c r="L2001" s="188" t="s">
        <v>727</v>
      </c>
      <c r="M2001" s="192">
        <f t="shared" si="93"/>
        <v>25</v>
      </c>
      <c r="N2001" s="193">
        <f t="shared" si="94"/>
        <v>0.42859999999999998</v>
      </c>
      <c r="O2001" s="194">
        <f t="shared" si="95"/>
        <v>1.7144E-2</v>
      </c>
    </row>
    <row r="2002" spans="1:15" ht="12.75" customHeight="1">
      <c r="A2002" s="188" t="s">
        <v>620</v>
      </c>
      <c r="B2002" s="188" t="s">
        <v>3435</v>
      </c>
      <c r="C2002" s="188" t="s">
        <v>650</v>
      </c>
      <c r="D2002" s="188" t="s">
        <v>3438</v>
      </c>
      <c r="E2002" s="189">
        <v>39527</v>
      </c>
      <c r="F2002" s="190">
        <v>819</v>
      </c>
      <c r="G2002" s="190">
        <v>0</v>
      </c>
      <c r="H2002" s="191">
        <v>275</v>
      </c>
      <c r="I2002" s="191">
        <v>255.6</v>
      </c>
      <c r="J2002" s="188" t="s">
        <v>624</v>
      </c>
      <c r="K2002" s="188" t="s">
        <v>427</v>
      </c>
      <c r="L2002" s="188" t="s">
        <v>3439</v>
      </c>
      <c r="M2002" s="192">
        <f t="shared" si="93"/>
        <v>25</v>
      </c>
      <c r="N2002" s="193">
        <f t="shared" si="94"/>
        <v>0.48415492957746481</v>
      </c>
      <c r="O2002" s="194">
        <f t="shared" si="95"/>
        <v>1.9366197183098594E-2</v>
      </c>
    </row>
    <row r="2003" spans="1:15" ht="12.75" customHeight="1">
      <c r="A2003" s="188" t="s">
        <v>620</v>
      </c>
      <c r="B2003" s="188" t="s">
        <v>3435</v>
      </c>
      <c r="C2003" s="188" t="s">
        <v>650</v>
      </c>
      <c r="D2003" s="188" t="s">
        <v>3440</v>
      </c>
      <c r="E2003" s="189">
        <v>39541</v>
      </c>
      <c r="F2003" s="190">
        <v>1153</v>
      </c>
      <c r="G2003" s="190">
        <v>0</v>
      </c>
      <c r="H2003" s="191">
        <v>400</v>
      </c>
      <c r="I2003" s="191">
        <v>360</v>
      </c>
      <c r="J2003" s="188" t="s">
        <v>624</v>
      </c>
      <c r="K2003" s="188" t="s">
        <v>427</v>
      </c>
      <c r="L2003" s="188" t="s">
        <v>752</v>
      </c>
      <c r="M2003" s="192">
        <f t="shared" si="93"/>
        <v>25</v>
      </c>
      <c r="N2003" s="193">
        <f t="shared" si="94"/>
        <v>0.5</v>
      </c>
      <c r="O2003" s="194">
        <f t="shared" si="95"/>
        <v>0.02</v>
      </c>
    </row>
    <row r="2004" spans="1:15" ht="12.75" customHeight="1">
      <c r="A2004" s="188" t="s">
        <v>620</v>
      </c>
      <c r="B2004" s="188" t="s">
        <v>3435</v>
      </c>
      <c r="C2004" s="188" t="s">
        <v>650</v>
      </c>
      <c r="D2004" s="188" t="s">
        <v>3441</v>
      </c>
      <c r="E2004" s="189">
        <v>39555</v>
      </c>
      <c r="F2004" s="190">
        <v>3105</v>
      </c>
      <c r="G2004" s="190">
        <v>0</v>
      </c>
      <c r="H2004" s="191">
        <v>1200</v>
      </c>
      <c r="I2004" s="191">
        <v>969.3</v>
      </c>
      <c r="J2004" s="188" t="s">
        <v>624</v>
      </c>
      <c r="K2004" s="188" t="s">
        <v>427</v>
      </c>
      <c r="L2004" s="188" t="s">
        <v>3442</v>
      </c>
      <c r="M2004" s="192">
        <f t="shared" si="93"/>
        <v>25</v>
      </c>
      <c r="N2004" s="193">
        <f t="shared" si="94"/>
        <v>0.55710306406685239</v>
      </c>
      <c r="O2004" s="194">
        <f t="shared" si="95"/>
        <v>2.2284122562674095E-2</v>
      </c>
    </row>
    <row r="2005" spans="1:15" ht="12.75" customHeight="1">
      <c r="A2005" s="188" t="s">
        <v>620</v>
      </c>
      <c r="B2005" s="188" t="s">
        <v>3435</v>
      </c>
      <c r="C2005" s="188" t="s">
        <v>650</v>
      </c>
      <c r="D2005" s="188" t="s">
        <v>3443</v>
      </c>
      <c r="E2005" s="189">
        <v>39625</v>
      </c>
      <c r="F2005" s="190">
        <v>1776</v>
      </c>
      <c r="G2005" s="190">
        <v>0</v>
      </c>
      <c r="H2005" s="191">
        <v>831.6</v>
      </c>
      <c r="I2005" s="191">
        <v>554.4</v>
      </c>
      <c r="J2005" s="188" t="s">
        <v>624</v>
      </c>
      <c r="K2005" s="188" t="s">
        <v>257</v>
      </c>
      <c r="L2005" s="188" t="s">
        <v>1965</v>
      </c>
      <c r="M2005" s="192">
        <f t="shared" si="93"/>
        <v>30</v>
      </c>
      <c r="N2005" s="193">
        <f t="shared" si="94"/>
        <v>0.67500000000000004</v>
      </c>
      <c r="O2005" s="194">
        <f t="shared" si="95"/>
        <v>2.2500000000000003E-2</v>
      </c>
    </row>
    <row r="2006" spans="1:15" ht="12.75" customHeight="1">
      <c r="A2006" s="188" t="s">
        <v>620</v>
      </c>
      <c r="B2006" s="188" t="s">
        <v>3435</v>
      </c>
      <c r="C2006" s="188" t="s">
        <v>650</v>
      </c>
      <c r="D2006" s="188" t="s">
        <v>3444</v>
      </c>
      <c r="E2006" s="189">
        <v>39447</v>
      </c>
      <c r="F2006" s="190">
        <v>2747</v>
      </c>
      <c r="G2006" s="190">
        <v>0</v>
      </c>
      <c r="H2006" s="191">
        <v>1075</v>
      </c>
      <c r="I2006" s="191">
        <v>857.7</v>
      </c>
      <c r="J2006" s="188" t="s">
        <v>624</v>
      </c>
      <c r="K2006" s="188" t="s">
        <v>427</v>
      </c>
      <c r="L2006" s="188" t="s">
        <v>3445</v>
      </c>
      <c r="M2006" s="192">
        <f t="shared" si="93"/>
        <v>25</v>
      </c>
      <c r="N2006" s="193">
        <f t="shared" si="94"/>
        <v>0.56400839454354668</v>
      </c>
      <c r="O2006" s="194">
        <f t="shared" si="95"/>
        <v>2.2560335781741866E-2</v>
      </c>
    </row>
    <row r="2007" spans="1:15" ht="12.75" customHeight="1">
      <c r="A2007" s="188" t="s">
        <v>620</v>
      </c>
      <c r="B2007" s="188" t="s">
        <v>3435</v>
      </c>
      <c r="C2007" s="188" t="s">
        <v>650</v>
      </c>
      <c r="D2007" s="188" t="s">
        <v>3446</v>
      </c>
      <c r="E2007" s="189">
        <v>39422</v>
      </c>
      <c r="F2007" s="190">
        <v>947</v>
      </c>
      <c r="G2007" s="190">
        <v>0</v>
      </c>
      <c r="H2007" s="191">
        <v>375</v>
      </c>
      <c r="I2007" s="191">
        <v>295.64999999999998</v>
      </c>
      <c r="J2007" s="188" t="s">
        <v>624</v>
      </c>
      <c r="K2007" s="188" t="s">
        <v>427</v>
      </c>
      <c r="L2007" s="188" t="s">
        <v>3447</v>
      </c>
      <c r="M2007" s="192">
        <f t="shared" si="93"/>
        <v>25</v>
      </c>
      <c r="N2007" s="193">
        <f t="shared" si="94"/>
        <v>0.57077625570776258</v>
      </c>
      <c r="O2007" s="194">
        <f t="shared" si="95"/>
        <v>2.2831050228310504E-2</v>
      </c>
    </row>
    <row r="2008" spans="1:15" ht="12.75" customHeight="1">
      <c r="A2008" s="188" t="s">
        <v>620</v>
      </c>
      <c r="B2008" s="188" t="s">
        <v>3435</v>
      </c>
      <c r="C2008" s="188" t="s">
        <v>650</v>
      </c>
      <c r="D2008" s="188" t="s">
        <v>3448</v>
      </c>
      <c r="E2008" s="189">
        <v>39436</v>
      </c>
      <c r="F2008" s="190">
        <v>3458</v>
      </c>
      <c r="G2008" s="190">
        <v>0</v>
      </c>
      <c r="H2008" s="191">
        <v>1440</v>
      </c>
      <c r="I2008" s="191">
        <v>1080</v>
      </c>
      <c r="J2008" s="188" t="s">
        <v>624</v>
      </c>
      <c r="K2008" s="188" t="s">
        <v>427</v>
      </c>
      <c r="L2008" s="188" t="s">
        <v>539</v>
      </c>
      <c r="M2008" s="192">
        <f t="shared" si="93"/>
        <v>25</v>
      </c>
      <c r="N2008" s="193">
        <f t="shared" si="94"/>
        <v>0.6</v>
      </c>
      <c r="O2008" s="194">
        <f t="shared" si="95"/>
        <v>2.4E-2</v>
      </c>
    </row>
    <row r="2009" spans="1:15" ht="12.75" customHeight="1">
      <c r="A2009" s="188" t="s">
        <v>620</v>
      </c>
      <c r="B2009" s="188" t="s">
        <v>3435</v>
      </c>
      <c r="C2009" s="188" t="s">
        <v>650</v>
      </c>
      <c r="D2009" s="188" t="s">
        <v>3449</v>
      </c>
      <c r="E2009" s="189">
        <v>39625</v>
      </c>
      <c r="F2009" s="190">
        <v>865</v>
      </c>
      <c r="G2009" s="190">
        <v>0</v>
      </c>
      <c r="H2009" s="191">
        <v>390</v>
      </c>
      <c r="I2009" s="191">
        <v>270</v>
      </c>
      <c r="J2009" s="188" t="s">
        <v>624</v>
      </c>
      <c r="K2009" s="188" t="s">
        <v>427</v>
      </c>
      <c r="L2009" s="188" t="s">
        <v>677</v>
      </c>
      <c r="M2009" s="192">
        <f t="shared" si="93"/>
        <v>25</v>
      </c>
      <c r="N2009" s="193">
        <f t="shared" si="94"/>
        <v>0.65</v>
      </c>
      <c r="O2009" s="194">
        <f t="shared" si="95"/>
        <v>2.6000000000000002E-2</v>
      </c>
    </row>
    <row r="2010" spans="1:15" ht="12.75" customHeight="1">
      <c r="A2010" s="188" t="s">
        <v>620</v>
      </c>
      <c r="B2010" s="188" t="s">
        <v>3435</v>
      </c>
      <c r="C2010" s="188" t="s">
        <v>650</v>
      </c>
      <c r="D2010" s="188" t="s">
        <v>3450</v>
      </c>
      <c r="E2010" s="189">
        <v>39534</v>
      </c>
      <c r="F2010" s="190">
        <v>2018</v>
      </c>
      <c r="G2010" s="190">
        <v>0</v>
      </c>
      <c r="H2010" s="191">
        <v>944.53</v>
      </c>
      <c r="I2010" s="191">
        <v>630</v>
      </c>
      <c r="J2010" s="188" t="s">
        <v>624</v>
      </c>
      <c r="K2010" s="188" t="s">
        <v>427</v>
      </c>
      <c r="L2010" s="188" t="s">
        <v>754</v>
      </c>
      <c r="M2010" s="192">
        <f t="shared" si="93"/>
        <v>25</v>
      </c>
      <c r="N2010" s="193">
        <f t="shared" si="94"/>
        <v>0.67466428571428572</v>
      </c>
      <c r="O2010" s="194">
        <f t="shared" si="95"/>
        <v>2.6986571428571429E-2</v>
      </c>
    </row>
    <row r="2011" spans="1:15" ht="12.75" customHeight="1">
      <c r="A2011" s="188" t="s">
        <v>620</v>
      </c>
      <c r="B2011" s="188" t="s">
        <v>3435</v>
      </c>
      <c r="C2011" s="188" t="s">
        <v>650</v>
      </c>
      <c r="D2011" s="188" t="s">
        <v>3451</v>
      </c>
      <c r="E2011" s="189">
        <v>39576</v>
      </c>
      <c r="F2011" s="190">
        <v>462</v>
      </c>
      <c r="G2011" s="190">
        <v>0</v>
      </c>
      <c r="H2011" s="191">
        <v>164.1</v>
      </c>
      <c r="I2011" s="191">
        <v>144</v>
      </c>
      <c r="J2011" s="188" t="s">
        <v>639</v>
      </c>
      <c r="K2011" s="188" t="s">
        <v>257</v>
      </c>
      <c r="L2011" s="188" t="s">
        <v>3452</v>
      </c>
      <c r="M2011" s="192">
        <f t="shared" si="93"/>
        <v>19</v>
      </c>
      <c r="N2011" s="193">
        <f t="shared" si="94"/>
        <v>0.5128125</v>
      </c>
      <c r="O2011" s="194">
        <f t="shared" si="95"/>
        <v>2.699013157894737E-2</v>
      </c>
    </row>
    <row r="2012" spans="1:15" ht="12.75" customHeight="1">
      <c r="A2012" s="188" t="s">
        <v>620</v>
      </c>
      <c r="B2012" s="188" t="s">
        <v>3435</v>
      </c>
      <c r="C2012" s="188" t="s">
        <v>650</v>
      </c>
      <c r="D2012" s="188" t="s">
        <v>3453</v>
      </c>
      <c r="E2012" s="189">
        <v>39618</v>
      </c>
      <c r="F2012" s="190">
        <v>3604</v>
      </c>
      <c r="G2012" s="190">
        <v>0</v>
      </c>
      <c r="H2012" s="191">
        <v>2045</v>
      </c>
      <c r="I2012" s="191">
        <v>1125</v>
      </c>
      <c r="J2012" s="188" t="s">
        <v>624</v>
      </c>
      <c r="K2012" s="188" t="s">
        <v>257</v>
      </c>
      <c r="L2012" s="188" t="s">
        <v>1570</v>
      </c>
      <c r="M2012" s="192">
        <f t="shared" si="93"/>
        <v>30</v>
      </c>
      <c r="N2012" s="193">
        <f t="shared" si="94"/>
        <v>0.81799999999999995</v>
      </c>
      <c r="O2012" s="194">
        <f t="shared" si="95"/>
        <v>2.7266666666666665E-2</v>
      </c>
    </row>
    <row r="2013" spans="1:15" ht="12.75" customHeight="1">
      <c r="A2013" s="188" t="s">
        <v>620</v>
      </c>
      <c r="B2013" s="188" t="s">
        <v>3435</v>
      </c>
      <c r="C2013" s="188" t="s">
        <v>650</v>
      </c>
      <c r="D2013" s="188" t="s">
        <v>3454</v>
      </c>
      <c r="E2013" s="189">
        <v>39568</v>
      </c>
      <c r="F2013" s="190">
        <v>5045</v>
      </c>
      <c r="G2013" s="190">
        <v>0</v>
      </c>
      <c r="H2013" s="191">
        <v>2925</v>
      </c>
      <c r="I2013" s="191">
        <v>1575</v>
      </c>
      <c r="J2013" s="188" t="s">
        <v>624</v>
      </c>
      <c r="K2013" s="188" t="s">
        <v>257</v>
      </c>
      <c r="L2013" s="188" t="s">
        <v>3455</v>
      </c>
      <c r="M2013" s="192">
        <f t="shared" si="93"/>
        <v>30</v>
      </c>
      <c r="N2013" s="193">
        <f t="shared" si="94"/>
        <v>0.83571428571428574</v>
      </c>
      <c r="O2013" s="194">
        <f t="shared" si="95"/>
        <v>2.7857142857142858E-2</v>
      </c>
    </row>
    <row r="2014" spans="1:15" ht="12.75" customHeight="1">
      <c r="A2014" s="188" t="s">
        <v>620</v>
      </c>
      <c r="B2014" s="188" t="s">
        <v>3435</v>
      </c>
      <c r="C2014" s="188" t="s">
        <v>650</v>
      </c>
      <c r="D2014" s="188" t="s">
        <v>3456</v>
      </c>
      <c r="E2014" s="189">
        <v>39415</v>
      </c>
      <c r="F2014" s="190">
        <v>260</v>
      </c>
      <c r="G2014" s="190">
        <v>0</v>
      </c>
      <c r="H2014" s="191">
        <v>126</v>
      </c>
      <c r="I2014" s="191">
        <v>81</v>
      </c>
      <c r="J2014" s="188" t="s">
        <v>624</v>
      </c>
      <c r="K2014" s="188" t="s">
        <v>427</v>
      </c>
      <c r="L2014" s="188" t="s">
        <v>302</v>
      </c>
      <c r="M2014" s="192">
        <f t="shared" si="93"/>
        <v>25</v>
      </c>
      <c r="N2014" s="193">
        <f t="shared" si="94"/>
        <v>0.7</v>
      </c>
      <c r="O2014" s="194">
        <f t="shared" si="95"/>
        <v>2.7999999999999997E-2</v>
      </c>
    </row>
    <row r="2015" spans="1:15" ht="12.75" customHeight="1">
      <c r="A2015" s="188" t="s">
        <v>620</v>
      </c>
      <c r="B2015" s="188" t="s">
        <v>3435</v>
      </c>
      <c r="C2015" s="188" t="s">
        <v>650</v>
      </c>
      <c r="D2015" s="188" t="s">
        <v>3457</v>
      </c>
      <c r="E2015" s="189">
        <v>39226</v>
      </c>
      <c r="F2015" s="190">
        <v>3262</v>
      </c>
      <c r="G2015" s="190">
        <v>0</v>
      </c>
      <c r="H2015" s="191">
        <v>1599.94</v>
      </c>
      <c r="I2015" s="191">
        <v>1018.35</v>
      </c>
      <c r="J2015" s="188" t="s">
        <v>624</v>
      </c>
      <c r="K2015" s="188" t="s">
        <v>427</v>
      </c>
      <c r="L2015" s="188" t="s">
        <v>3458</v>
      </c>
      <c r="M2015" s="192">
        <f t="shared" si="93"/>
        <v>25</v>
      </c>
      <c r="N2015" s="193">
        <f t="shared" si="94"/>
        <v>0.70699955810870529</v>
      </c>
      <c r="O2015" s="194">
        <f t="shared" si="95"/>
        <v>2.827998232434821E-2</v>
      </c>
    </row>
    <row r="2016" spans="1:15" ht="12.75" customHeight="1">
      <c r="A2016" s="188" t="s">
        <v>620</v>
      </c>
      <c r="B2016" s="188" t="s">
        <v>3435</v>
      </c>
      <c r="C2016" s="188" t="s">
        <v>650</v>
      </c>
      <c r="D2016" s="188" t="s">
        <v>3459</v>
      </c>
      <c r="E2016" s="189">
        <v>39254</v>
      </c>
      <c r="F2016" s="190">
        <v>3603</v>
      </c>
      <c r="G2016" s="190">
        <v>0</v>
      </c>
      <c r="H2016" s="191">
        <v>1770</v>
      </c>
      <c r="I2016" s="191">
        <v>1125</v>
      </c>
      <c r="J2016" s="188" t="s">
        <v>624</v>
      </c>
      <c r="K2016" s="188" t="s">
        <v>427</v>
      </c>
      <c r="L2016" s="188" t="s">
        <v>1570</v>
      </c>
      <c r="M2016" s="192">
        <f t="shared" si="93"/>
        <v>25</v>
      </c>
      <c r="N2016" s="193">
        <f t="shared" si="94"/>
        <v>0.70799999999999996</v>
      </c>
      <c r="O2016" s="194">
        <f t="shared" si="95"/>
        <v>2.8319999999999998E-2</v>
      </c>
    </row>
    <row r="2017" spans="1:15" ht="12.75" customHeight="1">
      <c r="A2017" s="188" t="s">
        <v>620</v>
      </c>
      <c r="B2017" s="188" t="s">
        <v>3435</v>
      </c>
      <c r="C2017" s="188" t="s">
        <v>650</v>
      </c>
      <c r="D2017" s="188" t="s">
        <v>3460</v>
      </c>
      <c r="E2017" s="189">
        <v>39447</v>
      </c>
      <c r="F2017" s="190">
        <v>1107</v>
      </c>
      <c r="G2017" s="190">
        <v>0</v>
      </c>
      <c r="H2017" s="191">
        <v>549</v>
      </c>
      <c r="I2017" s="191">
        <v>345.6</v>
      </c>
      <c r="J2017" s="188" t="s">
        <v>624</v>
      </c>
      <c r="K2017" s="188" t="s">
        <v>427</v>
      </c>
      <c r="L2017" s="188" t="s">
        <v>1741</v>
      </c>
      <c r="M2017" s="192">
        <f t="shared" si="93"/>
        <v>25</v>
      </c>
      <c r="N2017" s="193">
        <f t="shared" si="94"/>
        <v>0.71484375</v>
      </c>
      <c r="O2017" s="194">
        <f t="shared" si="95"/>
        <v>2.8593750000000001E-2</v>
      </c>
    </row>
    <row r="2018" spans="1:15" ht="12.75" customHeight="1">
      <c r="A2018" s="188" t="s">
        <v>620</v>
      </c>
      <c r="B2018" s="188" t="s">
        <v>3435</v>
      </c>
      <c r="C2018" s="188" t="s">
        <v>650</v>
      </c>
      <c r="D2018" s="188" t="s">
        <v>3461</v>
      </c>
      <c r="E2018" s="189">
        <v>39447</v>
      </c>
      <c r="F2018" s="190">
        <v>1907</v>
      </c>
      <c r="G2018" s="190">
        <v>0</v>
      </c>
      <c r="H2018" s="191">
        <v>952</v>
      </c>
      <c r="I2018" s="191">
        <v>595.79999999999995</v>
      </c>
      <c r="J2018" s="188" t="s">
        <v>624</v>
      </c>
      <c r="K2018" s="188" t="s">
        <v>427</v>
      </c>
      <c r="L2018" s="188" t="s">
        <v>663</v>
      </c>
      <c r="M2018" s="192">
        <f t="shared" si="93"/>
        <v>25</v>
      </c>
      <c r="N2018" s="193">
        <f t="shared" si="94"/>
        <v>0.7190332326283988</v>
      </c>
      <c r="O2018" s="194">
        <f t="shared" si="95"/>
        <v>2.8761329305135953E-2</v>
      </c>
    </row>
    <row r="2019" spans="1:15" ht="12.75" customHeight="1">
      <c r="A2019" s="188" t="s">
        <v>620</v>
      </c>
      <c r="B2019" s="188" t="s">
        <v>3435</v>
      </c>
      <c r="C2019" s="188" t="s">
        <v>650</v>
      </c>
      <c r="D2019" s="188" t="s">
        <v>3462</v>
      </c>
      <c r="E2019" s="189">
        <v>39534</v>
      </c>
      <c r="F2019" s="190">
        <v>4498</v>
      </c>
      <c r="G2019" s="190">
        <v>0</v>
      </c>
      <c r="H2019" s="191">
        <v>2250</v>
      </c>
      <c r="I2019" s="191">
        <v>1404</v>
      </c>
      <c r="J2019" s="188" t="s">
        <v>624</v>
      </c>
      <c r="K2019" s="188" t="s">
        <v>427</v>
      </c>
      <c r="L2019" s="188" t="s">
        <v>3463</v>
      </c>
      <c r="M2019" s="192">
        <f t="shared" si="93"/>
        <v>25</v>
      </c>
      <c r="N2019" s="193">
        <f t="shared" si="94"/>
        <v>0.72115384615384615</v>
      </c>
      <c r="O2019" s="194">
        <f t="shared" si="95"/>
        <v>2.8846153846153844E-2</v>
      </c>
    </row>
    <row r="2020" spans="1:15" ht="12.75" customHeight="1">
      <c r="A2020" s="188" t="s">
        <v>620</v>
      </c>
      <c r="B2020" s="188" t="s">
        <v>3435</v>
      </c>
      <c r="C2020" s="188" t="s">
        <v>650</v>
      </c>
      <c r="D2020" s="188" t="s">
        <v>3464</v>
      </c>
      <c r="E2020" s="189">
        <v>39345</v>
      </c>
      <c r="F2020" s="190">
        <v>2398</v>
      </c>
      <c r="G2020" s="190">
        <v>0</v>
      </c>
      <c r="H2020" s="191">
        <v>1250</v>
      </c>
      <c r="I2020" s="191">
        <v>748.8</v>
      </c>
      <c r="J2020" s="188" t="s">
        <v>361</v>
      </c>
      <c r="K2020" s="188" t="s">
        <v>338</v>
      </c>
      <c r="L2020" s="188" t="s">
        <v>1210</v>
      </c>
      <c r="M2020" s="192">
        <f t="shared" si="93"/>
        <v>26</v>
      </c>
      <c r="N2020" s="193">
        <f t="shared" si="94"/>
        <v>0.75120192307692313</v>
      </c>
      <c r="O2020" s="194">
        <f t="shared" si="95"/>
        <v>2.8892381656804737E-2</v>
      </c>
    </row>
    <row r="2021" spans="1:15" ht="12.75" customHeight="1">
      <c r="A2021" s="188" t="s">
        <v>620</v>
      </c>
      <c r="B2021" s="188" t="s">
        <v>3435</v>
      </c>
      <c r="C2021" s="188" t="s">
        <v>650</v>
      </c>
      <c r="D2021" s="188" t="s">
        <v>3465</v>
      </c>
      <c r="E2021" s="189">
        <v>39345</v>
      </c>
      <c r="F2021" s="190">
        <v>2398</v>
      </c>
      <c r="G2021" s="190">
        <v>0</v>
      </c>
      <c r="H2021" s="191">
        <v>1250</v>
      </c>
      <c r="I2021" s="191">
        <v>748.8</v>
      </c>
      <c r="J2021" s="188" t="s">
        <v>361</v>
      </c>
      <c r="K2021" s="188" t="s">
        <v>338</v>
      </c>
      <c r="L2021" s="188" t="s">
        <v>1210</v>
      </c>
      <c r="M2021" s="192">
        <f t="shared" si="93"/>
        <v>26</v>
      </c>
      <c r="N2021" s="193">
        <f t="shared" si="94"/>
        <v>0.75120192307692313</v>
      </c>
      <c r="O2021" s="194">
        <f t="shared" si="95"/>
        <v>2.8892381656804737E-2</v>
      </c>
    </row>
    <row r="2022" spans="1:15" ht="12.75" customHeight="1">
      <c r="A2022" s="188" t="s">
        <v>620</v>
      </c>
      <c r="B2022" s="188" t="s">
        <v>3435</v>
      </c>
      <c r="C2022" s="188" t="s">
        <v>650</v>
      </c>
      <c r="D2022" s="188" t="s">
        <v>3466</v>
      </c>
      <c r="E2022" s="189">
        <v>39555</v>
      </c>
      <c r="F2022" s="190">
        <v>1730</v>
      </c>
      <c r="G2022" s="190">
        <v>0</v>
      </c>
      <c r="H2022" s="191">
        <v>884</v>
      </c>
      <c r="I2022" s="191">
        <v>540</v>
      </c>
      <c r="J2022" s="188" t="s">
        <v>624</v>
      </c>
      <c r="K2022" s="188" t="s">
        <v>427</v>
      </c>
      <c r="L2022" s="188" t="s">
        <v>632</v>
      </c>
      <c r="M2022" s="192">
        <f t="shared" si="93"/>
        <v>25</v>
      </c>
      <c r="N2022" s="193">
        <f t="shared" si="94"/>
        <v>0.73666666666666669</v>
      </c>
      <c r="O2022" s="194">
        <f t="shared" si="95"/>
        <v>2.9466666666666669E-2</v>
      </c>
    </row>
    <row r="2023" spans="1:15" ht="12.75" customHeight="1">
      <c r="A2023" s="188" t="s">
        <v>620</v>
      </c>
      <c r="B2023" s="188" t="s">
        <v>3435</v>
      </c>
      <c r="C2023" s="188" t="s">
        <v>650</v>
      </c>
      <c r="D2023" s="188" t="s">
        <v>3467</v>
      </c>
      <c r="E2023" s="189">
        <v>39269</v>
      </c>
      <c r="F2023" s="190">
        <v>1441</v>
      </c>
      <c r="G2023" s="190">
        <v>0</v>
      </c>
      <c r="H2023" s="191">
        <v>740</v>
      </c>
      <c r="I2023" s="191">
        <v>450</v>
      </c>
      <c r="J2023" s="188" t="s">
        <v>624</v>
      </c>
      <c r="K2023" s="188" t="s">
        <v>427</v>
      </c>
      <c r="L2023" s="188" t="s">
        <v>636</v>
      </c>
      <c r="M2023" s="192">
        <f t="shared" si="93"/>
        <v>25</v>
      </c>
      <c r="N2023" s="193">
        <f t="shared" si="94"/>
        <v>0.74</v>
      </c>
      <c r="O2023" s="194">
        <f t="shared" si="95"/>
        <v>2.9600000000000001E-2</v>
      </c>
    </row>
    <row r="2024" spans="1:15" ht="12.75" customHeight="1">
      <c r="A2024" s="188" t="s">
        <v>620</v>
      </c>
      <c r="B2024" s="188" t="s">
        <v>3435</v>
      </c>
      <c r="C2024" s="188" t="s">
        <v>650</v>
      </c>
      <c r="D2024" s="188" t="s">
        <v>3468</v>
      </c>
      <c r="E2024" s="189">
        <v>39632</v>
      </c>
      <c r="F2024" s="190">
        <v>3423</v>
      </c>
      <c r="G2024" s="190">
        <v>0</v>
      </c>
      <c r="H2024" s="191">
        <v>2131</v>
      </c>
      <c r="I2024" s="191">
        <v>1068.75</v>
      </c>
      <c r="J2024" s="188" t="s">
        <v>624</v>
      </c>
      <c r="K2024" s="188" t="s">
        <v>257</v>
      </c>
      <c r="L2024" s="188" t="s">
        <v>1207</v>
      </c>
      <c r="M2024" s="192">
        <f t="shared" si="93"/>
        <v>30</v>
      </c>
      <c r="N2024" s="193">
        <f t="shared" si="94"/>
        <v>0.89726315789473687</v>
      </c>
      <c r="O2024" s="194">
        <f t="shared" si="95"/>
        <v>2.9908771929824562E-2</v>
      </c>
    </row>
    <row r="2025" spans="1:15" ht="12.75" customHeight="1">
      <c r="A2025" s="188" t="s">
        <v>620</v>
      </c>
      <c r="B2025" s="188" t="s">
        <v>3435</v>
      </c>
      <c r="C2025" s="188" t="s">
        <v>650</v>
      </c>
      <c r="D2025" s="188" t="s">
        <v>3469</v>
      </c>
      <c r="E2025" s="189">
        <v>39401</v>
      </c>
      <c r="F2025" s="190">
        <v>1960</v>
      </c>
      <c r="G2025" s="190">
        <v>0</v>
      </c>
      <c r="H2025" s="191">
        <v>1020</v>
      </c>
      <c r="I2025" s="191">
        <v>612</v>
      </c>
      <c r="J2025" s="188" t="s">
        <v>624</v>
      </c>
      <c r="K2025" s="188" t="s">
        <v>427</v>
      </c>
      <c r="L2025" s="188" t="s">
        <v>774</v>
      </c>
      <c r="M2025" s="192">
        <f t="shared" si="93"/>
        <v>25</v>
      </c>
      <c r="N2025" s="193">
        <f t="shared" si="94"/>
        <v>0.75</v>
      </c>
      <c r="O2025" s="194">
        <f t="shared" si="95"/>
        <v>0.03</v>
      </c>
    </row>
    <row r="2026" spans="1:15" ht="12.75" customHeight="1">
      <c r="A2026" s="188" t="s">
        <v>620</v>
      </c>
      <c r="B2026" s="188" t="s">
        <v>3435</v>
      </c>
      <c r="C2026" s="188" t="s">
        <v>650</v>
      </c>
      <c r="D2026" s="188" t="s">
        <v>3470</v>
      </c>
      <c r="E2026" s="189">
        <v>39240</v>
      </c>
      <c r="F2026" s="190">
        <v>1170</v>
      </c>
      <c r="G2026" s="190">
        <v>0</v>
      </c>
      <c r="H2026" s="191">
        <v>611.03</v>
      </c>
      <c r="I2026" s="191">
        <v>365.4</v>
      </c>
      <c r="J2026" s="188" t="s">
        <v>624</v>
      </c>
      <c r="K2026" s="188" t="s">
        <v>427</v>
      </c>
      <c r="L2026" s="188" t="s">
        <v>3471</v>
      </c>
      <c r="M2026" s="192">
        <f t="shared" si="93"/>
        <v>25</v>
      </c>
      <c r="N2026" s="193">
        <f t="shared" si="94"/>
        <v>0.75249999999999995</v>
      </c>
      <c r="O2026" s="194">
        <f t="shared" si="95"/>
        <v>3.0099999999999998E-2</v>
      </c>
    </row>
    <row r="2027" spans="1:15" ht="12.75" customHeight="1">
      <c r="A2027" s="188" t="s">
        <v>620</v>
      </c>
      <c r="B2027" s="188" t="s">
        <v>3435</v>
      </c>
      <c r="C2027" s="188" t="s">
        <v>650</v>
      </c>
      <c r="D2027" s="188" t="s">
        <v>3472</v>
      </c>
      <c r="E2027" s="189">
        <v>39576</v>
      </c>
      <c r="F2027" s="190">
        <v>2306</v>
      </c>
      <c r="G2027" s="190">
        <v>0</v>
      </c>
      <c r="H2027" s="191">
        <v>1210</v>
      </c>
      <c r="I2027" s="191">
        <v>720</v>
      </c>
      <c r="J2027" s="188" t="s">
        <v>624</v>
      </c>
      <c r="K2027" s="188" t="s">
        <v>427</v>
      </c>
      <c r="L2027" s="188" t="s">
        <v>625</v>
      </c>
      <c r="M2027" s="192">
        <f t="shared" si="93"/>
        <v>25</v>
      </c>
      <c r="N2027" s="193">
        <f t="shared" si="94"/>
        <v>0.75624999999999998</v>
      </c>
      <c r="O2027" s="194">
        <f t="shared" si="95"/>
        <v>3.0249999999999999E-2</v>
      </c>
    </row>
    <row r="2028" spans="1:15" ht="12.75" customHeight="1">
      <c r="A2028" s="188" t="s">
        <v>620</v>
      </c>
      <c r="B2028" s="188" t="s">
        <v>3435</v>
      </c>
      <c r="C2028" s="188" t="s">
        <v>650</v>
      </c>
      <c r="D2028" s="188" t="s">
        <v>3473</v>
      </c>
      <c r="E2028" s="189">
        <v>39422</v>
      </c>
      <c r="F2028" s="190">
        <v>1873</v>
      </c>
      <c r="G2028" s="190">
        <v>0</v>
      </c>
      <c r="H2028" s="191">
        <v>1000</v>
      </c>
      <c r="I2028" s="191">
        <v>585</v>
      </c>
      <c r="J2028" s="188" t="s">
        <v>624</v>
      </c>
      <c r="K2028" s="188" t="s">
        <v>427</v>
      </c>
      <c r="L2028" s="188" t="s">
        <v>699</v>
      </c>
      <c r="M2028" s="192">
        <f t="shared" si="93"/>
        <v>25</v>
      </c>
      <c r="N2028" s="193">
        <f t="shared" si="94"/>
        <v>0.76923076923076927</v>
      </c>
      <c r="O2028" s="194">
        <f t="shared" si="95"/>
        <v>3.0769230769230771E-2</v>
      </c>
    </row>
    <row r="2029" spans="1:15" ht="12.75" customHeight="1">
      <c r="A2029" s="188" t="s">
        <v>620</v>
      </c>
      <c r="B2029" s="188" t="s">
        <v>3435</v>
      </c>
      <c r="C2029" s="188" t="s">
        <v>650</v>
      </c>
      <c r="D2029" s="188" t="s">
        <v>3474</v>
      </c>
      <c r="E2029" s="189">
        <v>39422</v>
      </c>
      <c r="F2029" s="190">
        <v>1528</v>
      </c>
      <c r="G2029" s="190">
        <v>0</v>
      </c>
      <c r="H2029" s="191">
        <v>823</v>
      </c>
      <c r="I2029" s="191">
        <v>477</v>
      </c>
      <c r="J2029" s="188" t="s">
        <v>624</v>
      </c>
      <c r="K2029" s="188" t="s">
        <v>427</v>
      </c>
      <c r="L2029" s="188" t="s">
        <v>3475</v>
      </c>
      <c r="M2029" s="192">
        <f t="shared" si="93"/>
        <v>25</v>
      </c>
      <c r="N2029" s="193">
        <f t="shared" si="94"/>
        <v>0.77641509433962264</v>
      </c>
      <c r="O2029" s="194">
        <f t="shared" si="95"/>
        <v>3.1056603773584907E-2</v>
      </c>
    </row>
    <row r="2030" spans="1:15" ht="12.75" customHeight="1">
      <c r="A2030" s="188" t="s">
        <v>620</v>
      </c>
      <c r="B2030" s="188" t="s">
        <v>3435</v>
      </c>
      <c r="C2030" s="188" t="s">
        <v>650</v>
      </c>
      <c r="D2030" s="188" t="s">
        <v>3476</v>
      </c>
      <c r="E2030" s="189">
        <v>39447</v>
      </c>
      <c r="F2030" s="190">
        <v>2738</v>
      </c>
      <c r="G2030" s="190">
        <v>0</v>
      </c>
      <c r="H2030" s="191">
        <v>1786</v>
      </c>
      <c r="I2030" s="191">
        <v>855</v>
      </c>
      <c r="J2030" s="188" t="s">
        <v>624</v>
      </c>
      <c r="K2030" s="188" t="s">
        <v>257</v>
      </c>
      <c r="L2030" s="188" t="s">
        <v>1673</v>
      </c>
      <c r="M2030" s="192">
        <f t="shared" si="93"/>
        <v>30</v>
      </c>
      <c r="N2030" s="193">
        <f t="shared" si="94"/>
        <v>0.94</v>
      </c>
      <c r="O2030" s="194">
        <f t="shared" si="95"/>
        <v>3.1333333333333331E-2</v>
      </c>
    </row>
    <row r="2031" spans="1:15" ht="12.75" customHeight="1">
      <c r="A2031" s="188" t="s">
        <v>620</v>
      </c>
      <c r="B2031" s="188" t="s">
        <v>3435</v>
      </c>
      <c r="C2031" s="188" t="s">
        <v>650</v>
      </c>
      <c r="D2031" s="188" t="s">
        <v>3477</v>
      </c>
      <c r="E2031" s="189">
        <v>39275</v>
      </c>
      <c r="F2031" s="190">
        <v>1931</v>
      </c>
      <c r="G2031" s="190">
        <v>0</v>
      </c>
      <c r="H2031" s="191">
        <v>1059.94</v>
      </c>
      <c r="I2031" s="191">
        <v>603</v>
      </c>
      <c r="J2031" s="188" t="s">
        <v>624</v>
      </c>
      <c r="K2031" s="188" t="s">
        <v>427</v>
      </c>
      <c r="L2031" s="188" t="s">
        <v>815</v>
      </c>
      <c r="M2031" s="192">
        <f t="shared" si="93"/>
        <v>25</v>
      </c>
      <c r="N2031" s="193">
        <f t="shared" si="94"/>
        <v>0.79100000000000004</v>
      </c>
      <c r="O2031" s="194">
        <f t="shared" si="95"/>
        <v>3.1640000000000001E-2</v>
      </c>
    </row>
    <row r="2032" spans="1:15" ht="12.75" customHeight="1">
      <c r="A2032" s="188" t="s">
        <v>620</v>
      </c>
      <c r="B2032" s="188" t="s">
        <v>3435</v>
      </c>
      <c r="C2032" s="188" t="s">
        <v>650</v>
      </c>
      <c r="D2032" s="188" t="s">
        <v>3478</v>
      </c>
      <c r="E2032" s="189">
        <v>39534</v>
      </c>
      <c r="F2032" s="190">
        <v>3201</v>
      </c>
      <c r="G2032" s="190">
        <v>0</v>
      </c>
      <c r="H2032" s="191">
        <v>1345</v>
      </c>
      <c r="I2032" s="191">
        <v>999.45</v>
      </c>
      <c r="J2032" s="188" t="s">
        <v>624</v>
      </c>
      <c r="K2032" s="188" t="s">
        <v>667</v>
      </c>
      <c r="L2032" s="188" t="s">
        <v>3479</v>
      </c>
      <c r="M2032" s="192">
        <f t="shared" si="93"/>
        <v>19</v>
      </c>
      <c r="N2032" s="193">
        <f t="shared" si="94"/>
        <v>0.60558307068887884</v>
      </c>
      <c r="O2032" s="194">
        <f t="shared" si="95"/>
        <v>3.1872793194151518E-2</v>
      </c>
    </row>
    <row r="2033" spans="1:15" ht="12.75" customHeight="1">
      <c r="A2033" s="188" t="s">
        <v>620</v>
      </c>
      <c r="B2033" s="188" t="s">
        <v>3435</v>
      </c>
      <c r="C2033" s="188" t="s">
        <v>650</v>
      </c>
      <c r="D2033" s="188" t="s">
        <v>3480</v>
      </c>
      <c r="E2033" s="189">
        <v>39436</v>
      </c>
      <c r="F2033" s="190">
        <v>1729</v>
      </c>
      <c r="G2033" s="190">
        <v>0</v>
      </c>
      <c r="H2033" s="191">
        <v>960</v>
      </c>
      <c r="I2033" s="191">
        <v>540</v>
      </c>
      <c r="J2033" s="188" t="s">
        <v>624</v>
      </c>
      <c r="K2033" s="188" t="s">
        <v>427</v>
      </c>
      <c r="L2033" s="188" t="s">
        <v>632</v>
      </c>
      <c r="M2033" s="192">
        <f t="shared" si="93"/>
        <v>25</v>
      </c>
      <c r="N2033" s="193">
        <f t="shared" si="94"/>
        <v>0.8</v>
      </c>
      <c r="O2033" s="194">
        <f t="shared" si="95"/>
        <v>3.2000000000000001E-2</v>
      </c>
    </row>
    <row r="2034" spans="1:15" ht="12.75" customHeight="1">
      <c r="A2034" s="188" t="s">
        <v>620</v>
      </c>
      <c r="B2034" s="188" t="s">
        <v>3435</v>
      </c>
      <c r="C2034" s="188" t="s">
        <v>650</v>
      </c>
      <c r="D2034" s="188" t="s">
        <v>3481</v>
      </c>
      <c r="E2034" s="189">
        <v>39401</v>
      </c>
      <c r="F2034" s="190">
        <v>2923</v>
      </c>
      <c r="G2034" s="190">
        <v>0</v>
      </c>
      <c r="H2034" s="191">
        <v>1623</v>
      </c>
      <c r="I2034" s="191">
        <v>912.6</v>
      </c>
      <c r="J2034" s="188" t="s">
        <v>624</v>
      </c>
      <c r="K2034" s="188" t="s">
        <v>427</v>
      </c>
      <c r="L2034" s="188" t="s">
        <v>3482</v>
      </c>
      <c r="M2034" s="192">
        <f t="shared" si="93"/>
        <v>25</v>
      </c>
      <c r="N2034" s="193">
        <f t="shared" si="94"/>
        <v>0.80029585798816572</v>
      </c>
      <c r="O2034" s="194">
        <f t="shared" si="95"/>
        <v>3.201183431952663E-2</v>
      </c>
    </row>
    <row r="2035" spans="1:15" ht="12.75" customHeight="1">
      <c r="A2035" s="188" t="s">
        <v>620</v>
      </c>
      <c r="B2035" s="188" t="s">
        <v>3435</v>
      </c>
      <c r="C2035" s="188" t="s">
        <v>650</v>
      </c>
      <c r="D2035" s="188" t="s">
        <v>3483</v>
      </c>
      <c r="E2035" s="189">
        <v>39310</v>
      </c>
      <c r="F2035" s="190">
        <v>1297</v>
      </c>
      <c r="G2035" s="190">
        <v>0</v>
      </c>
      <c r="H2035" s="191">
        <v>725.04</v>
      </c>
      <c r="I2035" s="191">
        <v>405</v>
      </c>
      <c r="J2035" s="188" t="s">
        <v>624</v>
      </c>
      <c r="K2035" s="188" t="s">
        <v>427</v>
      </c>
      <c r="L2035" s="188" t="s">
        <v>740</v>
      </c>
      <c r="M2035" s="192">
        <f t="shared" si="93"/>
        <v>25</v>
      </c>
      <c r="N2035" s="193">
        <f t="shared" si="94"/>
        <v>0.80559999999999998</v>
      </c>
      <c r="O2035" s="194">
        <f t="shared" si="95"/>
        <v>3.2224000000000003E-2</v>
      </c>
    </row>
    <row r="2036" spans="1:15" ht="12.75" customHeight="1">
      <c r="A2036" s="188" t="s">
        <v>620</v>
      </c>
      <c r="B2036" s="188" t="s">
        <v>3435</v>
      </c>
      <c r="C2036" s="188" t="s">
        <v>650</v>
      </c>
      <c r="D2036" s="188" t="s">
        <v>3484</v>
      </c>
      <c r="E2036" s="189">
        <v>39359</v>
      </c>
      <c r="F2036" s="190">
        <v>1614</v>
      </c>
      <c r="G2036" s="190">
        <v>0</v>
      </c>
      <c r="H2036" s="191">
        <v>915</v>
      </c>
      <c r="I2036" s="191">
        <v>504</v>
      </c>
      <c r="J2036" s="188" t="s">
        <v>624</v>
      </c>
      <c r="K2036" s="188" t="s">
        <v>427</v>
      </c>
      <c r="L2036" s="188" t="s">
        <v>825</v>
      </c>
      <c r="M2036" s="192">
        <f t="shared" si="93"/>
        <v>25</v>
      </c>
      <c r="N2036" s="193">
        <f t="shared" si="94"/>
        <v>0.8169642857142857</v>
      </c>
      <c r="O2036" s="194">
        <f t="shared" si="95"/>
        <v>3.2678571428571425E-2</v>
      </c>
    </row>
    <row r="2037" spans="1:15" ht="12.75" customHeight="1">
      <c r="A2037" s="188" t="s">
        <v>620</v>
      </c>
      <c r="B2037" s="188" t="s">
        <v>3435</v>
      </c>
      <c r="C2037" s="188" t="s">
        <v>650</v>
      </c>
      <c r="D2037" s="188" t="s">
        <v>3485</v>
      </c>
      <c r="E2037" s="189">
        <v>39317</v>
      </c>
      <c r="F2037" s="190">
        <v>1802</v>
      </c>
      <c r="G2037" s="190">
        <v>0</v>
      </c>
      <c r="H2037" s="191">
        <v>1236.6300000000001</v>
      </c>
      <c r="I2037" s="191">
        <v>562.5</v>
      </c>
      <c r="J2037" s="188" t="s">
        <v>624</v>
      </c>
      <c r="K2037" s="188" t="s">
        <v>257</v>
      </c>
      <c r="L2037" s="188" t="s">
        <v>716</v>
      </c>
      <c r="M2037" s="192">
        <f t="shared" si="93"/>
        <v>30</v>
      </c>
      <c r="N2037" s="193">
        <f t="shared" si="94"/>
        <v>0.98930400000000007</v>
      </c>
      <c r="O2037" s="194">
        <f t="shared" si="95"/>
        <v>3.2976800000000001E-2</v>
      </c>
    </row>
    <row r="2038" spans="1:15" ht="12.75" customHeight="1">
      <c r="A2038" s="188" t="s">
        <v>620</v>
      </c>
      <c r="B2038" s="188" t="s">
        <v>3435</v>
      </c>
      <c r="C2038" s="188" t="s">
        <v>650</v>
      </c>
      <c r="D2038" s="188" t="s">
        <v>3486</v>
      </c>
      <c r="E2038" s="189">
        <v>39352</v>
      </c>
      <c r="F2038" s="190">
        <v>1315</v>
      </c>
      <c r="G2038" s="190">
        <v>0</v>
      </c>
      <c r="H2038" s="191">
        <v>754</v>
      </c>
      <c r="I2038" s="191">
        <v>410.4</v>
      </c>
      <c r="J2038" s="188" t="s">
        <v>624</v>
      </c>
      <c r="K2038" s="188" t="s">
        <v>427</v>
      </c>
      <c r="L2038" s="188" t="s">
        <v>1808</v>
      </c>
      <c r="M2038" s="192">
        <f t="shared" si="93"/>
        <v>25</v>
      </c>
      <c r="N2038" s="193">
        <f t="shared" si="94"/>
        <v>0.82675438596491224</v>
      </c>
      <c r="O2038" s="194">
        <f t="shared" si="95"/>
        <v>3.3070175438596493E-2</v>
      </c>
    </row>
    <row r="2039" spans="1:15" ht="12.75" customHeight="1">
      <c r="A2039" s="188" t="s">
        <v>620</v>
      </c>
      <c r="B2039" s="188" t="s">
        <v>3435</v>
      </c>
      <c r="C2039" s="188" t="s">
        <v>650</v>
      </c>
      <c r="D2039" s="188" t="s">
        <v>3487</v>
      </c>
      <c r="E2039" s="189">
        <v>39429</v>
      </c>
      <c r="F2039" s="190">
        <v>1210</v>
      </c>
      <c r="G2039" s="190">
        <v>0</v>
      </c>
      <c r="H2039" s="191">
        <v>696</v>
      </c>
      <c r="I2039" s="191">
        <v>378</v>
      </c>
      <c r="J2039" s="188" t="s">
        <v>624</v>
      </c>
      <c r="K2039" s="188" t="s">
        <v>427</v>
      </c>
      <c r="L2039" s="188" t="s">
        <v>906</v>
      </c>
      <c r="M2039" s="192">
        <f t="shared" si="93"/>
        <v>25</v>
      </c>
      <c r="N2039" s="193">
        <f t="shared" si="94"/>
        <v>0.82857142857142863</v>
      </c>
      <c r="O2039" s="194">
        <f t="shared" si="95"/>
        <v>3.3142857142857148E-2</v>
      </c>
    </row>
    <row r="2040" spans="1:15" ht="12.75" customHeight="1">
      <c r="A2040" s="188" t="s">
        <v>620</v>
      </c>
      <c r="B2040" s="188" t="s">
        <v>3435</v>
      </c>
      <c r="C2040" s="188" t="s">
        <v>650</v>
      </c>
      <c r="D2040" s="188" t="s">
        <v>3488</v>
      </c>
      <c r="E2040" s="189">
        <v>39597</v>
      </c>
      <c r="F2040" s="190">
        <v>837</v>
      </c>
      <c r="G2040" s="190">
        <v>0</v>
      </c>
      <c r="H2040" s="191">
        <v>484</v>
      </c>
      <c r="I2040" s="191">
        <v>261.45</v>
      </c>
      <c r="J2040" s="188" t="s">
        <v>624</v>
      </c>
      <c r="K2040" s="188" t="s">
        <v>427</v>
      </c>
      <c r="L2040" s="188" t="s">
        <v>3489</v>
      </c>
      <c r="M2040" s="192">
        <f t="shared" si="93"/>
        <v>25</v>
      </c>
      <c r="N2040" s="193">
        <f t="shared" si="94"/>
        <v>0.83304647160068845</v>
      </c>
      <c r="O2040" s="194">
        <f t="shared" si="95"/>
        <v>3.332185886402754E-2</v>
      </c>
    </row>
    <row r="2041" spans="1:15" ht="12.75" customHeight="1">
      <c r="A2041" s="188" t="s">
        <v>620</v>
      </c>
      <c r="B2041" s="188" t="s">
        <v>3435</v>
      </c>
      <c r="C2041" s="188" t="s">
        <v>650</v>
      </c>
      <c r="D2041" s="188" t="s">
        <v>3490</v>
      </c>
      <c r="E2041" s="189">
        <v>39395</v>
      </c>
      <c r="F2041" s="190">
        <v>1640</v>
      </c>
      <c r="G2041" s="190">
        <v>0</v>
      </c>
      <c r="H2041" s="191">
        <v>797</v>
      </c>
      <c r="I2041" s="191">
        <v>512.1</v>
      </c>
      <c r="J2041" s="188" t="s">
        <v>624</v>
      </c>
      <c r="K2041" s="188" t="s">
        <v>1344</v>
      </c>
      <c r="L2041" s="188" t="s">
        <v>806</v>
      </c>
      <c r="M2041" s="192">
        <f t="shared" si="93"/>
        <v>21</v>
      </c>
      <c r="N2041" s="193">
        <f t="shared" si="94"/>
        <v>0.70035149384885764</v>
      </c>
      <c r="O2041" s="194">
        <f t="shared" si="95"/>
        <v>3.3350071135659888E-2</v>
      </c>
    </row>
    <row r="2042" spans="1:15" ht="12.75" customHeight="1">
      <c r="A2042" s="188" t="s">
        <v>620</v>
      </c>
      <c r="B2042" s="188" t="s">
        <v>3435</v>
      </c>
      <c r="C2042" s="188" t="s">
        <v>650</v>
      </c>
      <c r="D2042" s="188" t="s">
        <v>3491</v>
      </c>
      <c r="E2042" s="189">
        <v>39499</v>
      </c>
      <c r="F2042" s="190">
        <v>2585</v>
      </c>
      <c r="G2042" s="190">
        <v>0</v>
      </c>
      <c r="H2042" s="191">
        <v>1510</v>
      </c>
      <c r="I2042" s="191">
        <v>807.3</v>
      </c>
      <c r="J2042" s="188" t="s">
        <v>624</v>
      </c>
      <c r="K2042" s="188" t="s">
        <v>427</v>
      </c>
      <c r="L2042" s="188" t="s">
        <v>721</v>
      </c>
      <c r="M2042" s="192">
        <f t="shared" si="93"/>
        <v>25</v>
      </c>
      <c r="N2042" s="193">
        <f t="shared" si="94"/>
        <v>0.84169453734671129</v>
      </c>
      <c r="O2042" s="194">
        <f t="shared" si="95"/>
        <v>3.3667781493868454E-2</v>
      </c>
    </row>
    <row r="2043" spans="1:15" ht="12.75" customHeight="1">
      <c r="A2043" s="188" t="s">
        <v>620</v>
      </c>
      <c r="B2043" s="188" t="s">
        <v>3435</v>
      </c>
      <c r="C2043" s="188" t="s">
        <v>650</v>
      </c>
      <c r="D2043" s="188" t="s">
        <v>3492</v>
      </c>
      <c r="E2043" s="189">
        <v>39447</v>
      </c>
      <c r="F2043" s="190">
        <v>937</v>
      </c>
      <c r="G2043" s="190">
        <v>0</v>
      </c>
      <c r="H2043" s="191">
        <v>550</v>
      </c>
      <c r="I2043" s="191">
        <v>292.5</v>
      </c>
      <c r="J2043" s="188" t="s">
        <v>624</v>
      </c>
      <c r="K2043" s="188" t="s">
        <v>427</v>
      </c>
      <c r="L2043" s="188" t="s">
        <v>1774</v>
      </c>
      <c r="M2043" s="192">
        <f t="shared" si="93"/>
        <v>25</v>
      </c>
      <c r="N2043" s="193">
        <f t="shared" si="94"/>
        <v>0.84615384615384615</v>
      </c>
      <c r="O2043" s="194">
        <f t="shared" si="95"/>
        <v>3.3846153846153845E-2</v>
      </c>
    </row>
    <row r="2044" spans="1:15" ht="12.75" customHeight="1">
      <c r="A2044" s="188" t="s">
        <v>620</v>
      </c>
      <c r="B2044" s="188" t="s">
        <v>3435</v>
      </c>
      <c r="C2044" s="188" t="s">
        <v>650</v>
      </c>
      <c r="D2044" s="188" t="s">
        <v>3493</v>
      </c>
      <c r="E2044" s="189">
        <v>39499</v>
      </c>
      <c r="F2044" s="190">
        <v>2219</v>
      </c>
      <c r="G2044" s="190">
        <v>0</v>
      </c>
      <c r="H2044" s="191">
        <v>1310</v>
      </c>
      <c r="I2044" s="191">
        <v>693</v>
      </c>
      <c r="J2044" s="188" t="s">
        <v>624</v>
      </c>
      <c r="K2044" s="188" t="s">
        <v>427</v>
      </c>
      <c r="L2044" s="188" t="s">
        <v>892</v>
      </c>
      <c r="M2044" s="192">
        <f t="shared" si="93"/>
        <v>25</v>
      </c>
      <c r="N2044" s="193">
        <f t="shared" si="94"/>
        <v>0.85064935064935066</v>
      </c>
      <c r="O2044" s="194">
        <f t="shared" si="95"/>
        <v>3.4025974025974029E-2</v>
      </c>
    </row>
    <row r="2045" spans="1:15" ht="12.75" customHeight="1">
      <c r="A2045" s="188" t="s">
        <v>620</v>
      </c>
      <c r="B2045" s="188" t="s">
        <v>3435</v>
      </c>
      <c r="C2045" s="188" t="s">
        <v>650</v>
      </c>
      <c r="D2045" s="188" t="s">
        <v>3494</v>
      </c>
      <c r="E2045" s="189">
        <v>39555</v>
      </c>
      <c r="F2045" s="190">
        <v>2076</v>
      </c>
      <c r="G2045" s="190">
        <v>0</v>
      </c>
      <c r="H2045" s="191">
        <v>1230</v>
      </c>
      <c r="I2045" s="191">
        <v>648</v>
      </c>
      <c r="J2045" s="188" t="s">
        <v>624</v>
      </c>
      <c r="K2045" s="188" t="s">
        <v>427</v>
      </c>
      <c r="L2045" s="188" t="s">
        <v>682</v>
      </c>
      <c r="M2045" s="192">
        <f t="shared" si="93"/>
        <v>25</v>
      </c>
      <c r="N2045" s="193">
        <f t="shared" si="94"/>
        <v>0.85416666666666663</v>
      </c>
      <c r="O2045" s="194">
        <f t="shared" si="95"/>
        <v>3.4166666666666665E-2</v>
      </c>
    </row>
    <row r="2046" spans="1:15" ht="12.75" customHeight="1">
      <c r="A2046" s="188" t="s">
        <v>620</v>
      </c>
      <c r="B2046" s="188" t="s">
        <v>3435</v>
      </c>
      <c r="C2046" s="188" t="s">
        <v>650</v>
      </c>
      <c r="D2046" s="188" t="s">
        <v>3495</v>
      </c>
      <c r="E2046" s="189">
        <v>39447</v>
      </c>
      <c r="F2046" s="190">
        <v>2375</v>
      </c>
      <c r="G2046" s="190">
        <v>0</v>
      </c>
      <c r="H2046" s="191">
        <v>1415</v>
      </c>
      <c r="I2046" s="191">
        <v>741.6</v>
      </c>
      <c r="J2046" s="188" t="s">
        <v>624</v>
      </c>
      <c r="K2046" s="188" t="s">
        <v>427</v>
      </c>
      <c r="L2046" s="188" t="s">
        <v>1645</v>
      </c>
      <c r="M2046" s="192">
        <f t="shared" si="93"/>
        <v>25</v>
      </c>
      <c r="N2046" s="193">
        <f t="shared" si="94"/>
        <v>0.85861650485436891</v>
      </c>
      <c r="O2046" s="194">
        <f t="shared" si="95"/>
        <v>3.4344660194174759E-2</v>
      </c>
    </row>
    <row r="2047" spans="1:15" ht="12.75" customHeight="1">
      <c r="A2047" s="188" t="s">
        <v>620</v>
      </c>
      <c r="B2047" s="188" t="s">
        <v>3435</v>
      </c>
      <c r="C2047" s="188" t="s">
        <v>650</v>
      </c>
      <c r="D2047" s="188" t="s">
        <v>3496</v>
      </c>
      <c r="E2047" s="189">
        <v>39447</v>
      </c>
      <c r="F2047" s="190">
        <v>1198</v>
      </c>
      <c r="G2047" s="190">
        <v>0</v>
      </c>
      <c r="H2047" s="191">
        <v>715</v>
      </c>
      <c r="I2047" s="191">
        <v>373.95</v>
      </c>
      <c r="J2047" s="188" t="s">
        <v>624</v>
      </c>
      <c r="K2047" s="188" t="s">
        <v>427</v>
      </c>
      <c r="L2047" s="188" t="s">
        <v>3497</v>
      </c>
      <c r="M2047" s="192">
        <f t="shared" si="93"/>
        <v>25</v>
      </c>
      <c r="N2047" s="193">
        <f t="shared" si="94"/>
        <v>0.86040914560770154</v>
      </c>
      <c r="O2047" s="194">
        <f t="shared" si="95"/>
        <v>3.4416365824308064E-2</v>
      </c>
    </row>
    <row r="2048" spans="1:15" ht="12.75" customHeight="1">
      <c r="A2048" s="188" t="s">
        <v>620</v>
      </c>
      <c r="B2048" s="188" t="s">
        <v>3435</v>
      </c>
      <c r="C2048" s="188" t="s">
        <v>650</v>
      </c>
      <c r="D2048" s="188" t="s">
        <v>3498</v>
      </c>
      <c r="E2048" s="189">
        <v>39254</v>
      </c>
      <c r="F2048" s="190">
        <v>1415</v>
      </c>
      <c r="G2048" s="190">
        <v>0</v>
      </c>
      <c r="H2048" s="191">
        <v>850.02</v>
      </c>
      <c r="I2048" s="191">
        <v>441.9</v>
      </c>
      <c r="J2048" s="188" t="s">
        <v>624</v>
      </c>
      <c r="K2048" s="188" t="s">
        <v>427</v>
      </c>
      <c r="L2048" s="188" t="s">
        <v>3499</v>
      </c>
      <c r="M2048" s="192">
        <f t="shared" si="93"/>
        <v>25</v>
      </c>
      <c r="N2048" s="193">
        <f t="shared" si="94"/>
        <v>0.86560081466395111</v>
      </c>
      <c r="O2048" s="194">
        <f t="shared" si="95"/>
        <v>3.4624032586558044E-2</v>
      </c>
    </row>
    <row r="2049" spans="1:15" ht="12.75" customHeight="1">
      <c r="A2049" s="188" t="s">
        <v>620</v>
      </c>
      <c r="B2049" s="188" t="s">
        <v>3435</v>
      </c>
      <c r="C2049" s="188" t="s">
        <v>650</v>
      </c>
      <c r="D2049" s="188" t="s">
        <v>3500</v>
      </c>
      <c r="E2049" s="189">
        <v>39282</v>
      </c>
      <c r="F2049" s="190">
        <v>576</v>
      </c>
      <c r="G2049" s="190">
        <v>0</v>
      </c>
      <c r="H2049" s="191">
        <v>350</v>
      </c>
      <c r="I2049" s="191">
        <v>180</v>
      </c>
      <c r="J2049" s="188" t="s">
        <v>624</v>
      </c>
      <c r="K2049" s="188" t="s">
        <v>427</v>
      </c>
      <c r="L2049" s="188" t="s">
        <v>910</v>
      </c>
      <c r="M2049" s="192">
        <f t="shared" si="93"/>
        <v>25</v>
      </c>
      <c r="N2049" s="193">
        <f t="shared" si="94"/>
        <v>0.875</v>
      </c>
      <c r="O2049" s="194">
        <f t="shared" si="95"/>
        <v>3.5000000000000003E-2</v>
      </c>
    </row>
    <row r="2050" spans="1:15" ht="12.75" customHeight="1">
      <c r="A2050" s="188" t="s">
        <v>620</v>
      </c>
      <c r="B2050" s="188" t="s">
        <v>3435</v>
      </c>
      <c r="C2050" s="188" t="s">
        <v>650</v>
      </c>
      <c r="D2050" s="188" t="s">
        <v>3501</v>
      </c>
      <c r="E2050" s="189">
        <v>39436</v>
      </c>
      <c r="F2050" s="190">
        <v>1873</v>
      </c>
      <c r="G2050" s="190">
        <v>0</v>
      </c>
      <c r="H2050" s="191">
        <v>1145</v>
      </c>
      <c r="I2050" s="191">
        <v>585</v>
      </c>
      <c r="J2050" s="188" t="s">
        <v>624</v>
      </c>
      <c r="K2050" s="188" t="s">
        <v>427</v>
      </c>
      <c r="L2050" s="188" t="s">
        <v>699</v>
      </c>
      <c r="M2050" s="192">
        <f t="shared" ref="M2050:M2113" si="96">K2050-J2050</f>
        <v>25</v>
      </c>
      <c r="N2050" s="193">
        <f t="shared" ref="N2050:N2113" si="97">H2050/L2050</f>
        <v>0.88076923076923075</v>
      </c>
      <c r="O2050" s="194">
        <f t="shared" ref="O2050:O2113" si="98">N2050/M2050</f>
        <v>3.5230769230769232E-2</v>
      </c>
    </row>
    <row r="2051" spans="1:15" ht="12.75" customHeight="1">
      <c r="A2051" s="188" t="s">
        <v>620</v>
      </c>
      <c r="B2051" s="188" t="s">
        <v>3435</v>
      </c>
      <c r="C2051" s="188" t="s">
        <v>650</v>
      </c>
      <c r="D2051" s="188" t="s">
        <v>3502</v>
      </c>
      <c r="E2051" s="189">
        <v>39534</v>
      </c>
      <c r="F2051" s="190">
        <v>1440</v>
      </c>
      <c r="G2051" s="190">
        <v>0</v>
      </c>
      <c r="H2051" s="191">
        <v>1056</v>
      </c>
      <c r="I2051" s="191">
        <v>449.55</v>
      </c>
      <c r="J2051" s="188" t="s">
        <v>624</v>
      </c>
      <c r="K2051" s="188" t="s">
        <v>257</v>
      </c>
      <c r="L2051" s="188" t="s">
        <v>2536</v>
      </c>
      <c r="M2051" s="192">
        <f t="shared" si="96"/>
        <v>30</v>
      </c>
      <c r="N2051" s="193">
        <f t="shared" si="97"/>
        <v>1.057057057057057</v>
      </c>
      <c r="O2051" s="194">
        <f t="shared" si="98"/>
        <v>3.5235235235235231E-2</v>
      </c>
    </row>
    <row r="2052" spans="1:15" ht="12.75" customHeight="1">
      <c r="A2052" s="188" t="s">
        <v>620</v>
      </c>
      <c r="B2052" s="188" t="s">
        <v>3435</v>
      </c>
      <c r="C2052" s="188" t="s">
        <v>650</v>
      </c>
      <c r="D2052" s="188" t="s">
        <v>3503</v>
      </c>
      <c r="E2052" s="189">
        <v>39422</v>
      </c>
      <c r="F2052" s="190">
        <v>2190</v>
      </c>
      <c r="G2052" s="190">
        <v>0</v>
      </c>
      <c r="H2052" s="191">
        <v>1343</v>
      </c>
      <c r="I2052" s="191">
        <v>684</v>
      </c>
      <c r="J2052" s="188" t="s">
        <v>624</v>
      </c>
      <c r="K2052" s="188" t="s">
        <v>427</v>
      </c>
      <c r="L2052" s="188" t="s">
        <v>1452</v>
      </c>
      <c r="M2052" s="192">
        <f t="shared" si="96"/>
        <v>25</v>
      </c>
      <c r="N2052" s="193">
        <f t="shared" si="97"/>
        <v>0.88355263157894737</v>
      </c>
      <c r="O2052" s="194">
        <f t="shared" si="98"/>
        <v>3.5342105263157897E-2</v>
      </c>
    </row>
    <row r="2053" spans="1:15" ht="12.75" customHeight="1">
      <c r="A2053" s="188" t="s">
        <v>620</v>
      </c>
      <c r="B2053" s="188" t="s">
        <v>3435</v>
      </c>
      <c r="C2053" s="188" t="s">
        <v>650</v>
      </c>
      <c r="D2053" s="188" t="s">
        <v>3504</v>
      </c>
      <c r="E2053" s="189">
        <v>39583</v>
      </c>
      <c r="F2053" s="190">
        <v>2583</v>
      </c>
      <c r="G2053" s="190">
        <v>0</v>
      </c>
      <c r="H2053" s="191">
        <v>1600</v>
      </c>
      <c r="I2053" s="191">
        <v>806.4</v>
      </c>
      <c r="J2053" s="188" t="s">
        <v>624</v>
      </c>
      <c r="K2053" s="188" t="s">
        <v>427</v>
      </c>
      <c r="L2053" s="188" t="s">
        <v>3394</v>
      </c>
      <c r="M2053" s="192">
        <f t="shared" si="96"/>
        <v>25</v>
      </c>
      <c r="N2053" s="193">
        <f t="shared" si="97"/>
        <v>0.8928571428571429</v>
      </c>
      <c r="O2053" s="194">
        <f t="shared" si="98"/>
        <v>3.5714285714285719E-2</v>
      </c>
    </row>
    <row r="2054" spans="1:15" ht="12.75" customHeight="1">
      <c r="A2054" s="188" t="s">
        <v>620</v>
      </c>
      <c r="B2054" s="188" t="s">
        <v>3435</v>
      </c>
      <c r="C2054" s="188" t="s">
        <v>650</v>
      </c>
      <c r="D2054" s="188" t="s">
        <v>3505</v>
      </c>
      <c r="E2054" s="189">
        <v>39562</v>
      </c>
      <c r="F2054" s="190">
        <v>2440</v>
      </c>
      <c r="G2054" s="190">
        <v>0</v>
      </c>
      <c r="H2054" s="191">
        <v>1275</v>
      </c>
      <c r="I2054" s="191">
        <v>761.85</v>
      </c>
      <c r="J2054" s="188" t="s">
        <v>624</v>
      </c>
      <c r="K2054" s="188" t="s">
        <v>1344</v>
      </c>
      <c r="L2054" s="188" t="s">
        <v>3506</v>
      </c>
      <c r="M2054" s="192">
        <f t="shared" si="96"/>
        <v>21</v>
      </c>
      <c r="N2054" s="193">
        <f t="shared" si="97"/>
        <v>0.75310100413467218</v>
      </c>
      <c r="O2054" s="194">
        <f t="shared" si="98"/>
        <v>3.5861952577841534E-2</v>
      </c>
    </row>
    <row r="2055" spans="1:15" ht="12.75" customHeight="1">
      <c r="A2055" s="188" t="s">
        <v>620</v>
      </c>
      <c r="B2055" s="188" t="s">
        <v>3435</v>
      </c>
      <c r="C2055" s="188" t="s">
        <v>650</v>
      </c>
      <c r="D2055" s="188" t="s">
        <v>3507</v>
      </c>
      <c r="E2055" s="189">
        <v>39520</v>
      </c>
      <c r="F2055" s="190">
        <v>1107</v>
      </c>
      <c r="G2055" s="190">
        <v>0</v>
      </c>
      <c r="H2055" s="191">
        <v>691</v>
      </c>
      <c r="I2055" s="191">
        <v>345.6</v>
      </c>
      <c r="J2055" s="188" t="s">
        <v>624</v>
      </c>
      <c r="K2055" s="188" t="s">
        <v>427</v>
      </c>
      <c r="L2055" s="188" t="s">
        <v>1741</v>
      </c>
      <c r="M2055" s="192">
        <f t="shared" si="96"/>
        <v>25</v>
      </c>
      <c r="N2055" s="193">
        <f t="shared" si="97"/>
        <v>0.89973958333333337</v>
      </c>
      <c r="O2055" s="194">
        <f t="shared" si="98"/>
        <v>3.5989583333333332E-2</v>
      </c>
    </row>
    <row r="2056" spans="1:15" ht="12.75" customHeight="1">
      <c r="A2056" s="188" t="s">
        <v>620</v>
      </c>
      <c r="B2056" s="188" t="s">
        <v>3435</v>
      </c>
      <c r="C2056" s="188" t="s">
        <v>650</v>
      </c>
      <c r="D2056" s="188" t="s">
        <v>3508</v>
      </c>
      <c r="E2056" s="189">
        <v>39492</v>
      </c>
      <c r="F2056" s="190">
        <v>2386</v>
      </c>
      <c r="G2056" s="190">
        <v>0</v>
      </c>
      <c r="H2056" s="191">
        <v>1490</v>
      </c>
      <c r="I2056" s="191">
        <v>745.2</v>
      </c>
      <c r="J2056" s="188" t="s">
        <v>624</v>
      </c>
      <c r="K2056" s="188" t="s">
        <v>427</v>
      </c>
      <c r="L2056" s="188" t="s">
        <v>852</v>
      </c>
      <c r="M2056" s="192">
        <f t="shared" si="96"/>
        <v>25</v>
      </c>
      <c r="N2056" s="193">
        <f t="shared" si="97"/>
        <v>0.89975845410628019</v>
      </c>
      <c r="O2056" s="194">
        <f t="shared" si="98"/>
        <v>3.5990338164251207E-2</v>
      </c>
    </row>
    <row r="2057" spans="1:15" ht="12.75" customHeight="1">
      <c r="A2057" s="188" t="s">
        <v>620</v>
      </c>
      <c r="B2057" s="188" t="s">
        <v>3435</v>
      </c>
      <c r="C2057" s="188" t="s">
        <v>650</v>
      </c>
      <c r="D2057" s="188" t="s">
        <v>3509</v>
      </c>
      <c r="E2057" s="189">
        <v>39407</v>
      </c>
      <c r="F2057" s="190">
        <v>1585</v>
      </c>
      <c r="G2057" s="190">
        <v>0</v>
      </c>
      <c r="H2057" s="191">
        <v>995</v>
      </c>
      <c r="I2057" s="191">
        <v>495</v>
      </c>
      <c r="J2057" s="188" t="s">
        <v>624</v>
      </c>
      <c r="K2057" s="188" t="s">
        <v>427</v>
      </c>
      <c r="L2057" s="188" t="s">
        <v>557</v>
      </c>
      <c r="M2057" s="192">
        <f t="shared" si="96"/>
        <v>25</v>
      </c>
      <c r="N2057" s="193">
        <f t="shared" si="97"/>
        <v>0.90454545454545454</v>
      </c>
      <c r="O2057" s="194">
        <f t="shared" si="98"/>
        <v>3.6181818181818183E-2</v>
      </c>
    </row>
    <row r="2058" spans="1:15" ht="12.75" customHeight="1">
      <c r="A2058" s="188" t="s">
        <v>620</v>
      </c>
      <c r="B2058" s="188" t="s">
        <v>3435</v>
      </c>
      <c r="C2058" s="188" t="s">
        <v>650</v>
      </c>
      <c r="D2058" s="188" t="s">
        <v>3510</v>
      </c>
      <c r="E2058" s="189">
        <v>39339</v>
      </c>
      <c r="F2058" s="190">
        <v>1758</v>
      </c>
      <c r="G2058" s="190">
        <v>0</v>
      </c>
      <c r="H2058" s="191">
        <v>1326</v>
      </c>
      <c r="I2058" s="191">
        <v>549</v>
      </c>
      <c r="J2058" s="188" t="s">
        <v>624</v>
      </c>
      <c r="K2058" s="188" t="s">
        <v>257</v>
      </c>
      <c r="L2058" s="188" t="s">
        <v>689</v>
      </c>
      <c r="M2058" s="192">
        <f t="shared" si="96"/>
        <v>30</v>
      </c>
      <c r="N2058" s="193">
        <f t="shared" si="97"/>
        <v>1.0868852459016394</v>
      </c>
      <c r="O2058" s="194">
        <f t="shared" si="98"/>
        <v>3.6229508196721313E-2</v>
      </c>
    </row>
    <row r="2059" spans="1:15" ht="12.75" customHeight="1">
      <c r="A2059" s="188" t="s">
        <v>620</v>
      </c>
      <c r="B2059" s="188" t="s">
        <v>3435</v>
      </c>
      <c r="C2059" s="188" t="s">
        <v>650</v>
      </c>
      <c r="D2059" s="188" t="s">
        <v>3511</v>
      </c>
      <c r="E2059" s="189">
        <v>39568</v>
      </c>
      <c r="F2059" s="190">
        <v>2675</v>
      </c>
      <c r="G2059" s="190">
        <v>0</v>
      </c>
      <c r="H2059" s="191">
        <v>1685</v>
      </c>
      <c r="I2059" s="191">
        <v>835.2</v>
      </c>
      <c r="J2059" s="188" t="s">
        <v>624</v>
      </c>
      <c r="K2059" s="188" t="s">
        <v>427</v>
      </c>
      <c r="L2059" s="188" t="s">
        <v>1034</v>
      </c>
      <c r="M2059" s="192">
        <f t="shared" si="96"/>
        <v>25</v>
      </c>
      <c r="N2059" s="193">
        <f t="shared" si="97"/>
        <v>0.90786637931034486</v>
      </c>
      <c r="O2059" s="194">
        <f t="shared" si="98"/>
        <v>3.6314655172413793E-2</v>
      </c>
    </row>
    <row r="2060" spans="1:15" ht="12.75" customHeight="1">
      <c r="A2060" s="188" t="s">
        <v>620</v>
      </c>
      <c r="B2060" s="188" t="s">
        <v>3435</v>
      </c>
      <c r="C2060" s="188" t="s">
        <v>650</v>
      </c>
      <c r="D2060" s="188" t="s">
        <v>3512</v>
      </c>
      <c r="E2060" s="189">
        <v>39527</v>
      </c>
      <c r="F2060" s="190">
        <v>3604</v>
      </c>
      <c r="G2060" s="190">
        <v>0</v>
      </c>
      <c r="H2060" s="191">
        <v>2300</v>
      </c>
      <c r="I2060" s="191">
        <v>1125</v>
      </c>
      <c r="J2060" s="188" t="s">
        <v>624</v>
      </c>
      <c r="K2060" s="188" t="s">
        <v>427</v>
      </c>
      <c r="L2060" s="188" t="s">
        <v>1570</v>
      </c>
      <c r="M2060" s="192">
        <f t="shared" si="96"/>
        <v>25</v>
      </c>
      <c r="N2060" s="193">
        <f t="shared" si="97"/>
        <v>0.92</v>
      </c>
      <c r="O2060" s="194">
        <f t="shared" si="98"/>
        <v>3.6799999999999999E-2</v>
      </c>
    </row>
    <row r="2061" spans="1:15" ht="12.75" customHeight="1">
      <c r="A2061" s="188" t="s">
        <v>620</v>
      </c>
      <c r="B2061" s="188" t="s">
        <v>3435</v>
      </c>
      <c r="C2061" s="188" t="s">
        <v>650</v>
      </c>
      <c r="D2061" s="188" t="s">
        <v>3512</v>
      </c>
      <c r="E2061" s="189">
        <v>39562</v>
      </c>
      <c r="F2061" s="190">
        <v>-3604</v>
      </c>
      <c r="G2061" s="190">
        <v>0</v>
      </c>
      <c r="H2061" s="191">
        <v>2300</v>
      </c>
      <c r="I2061" s="191">
        <v>1125</v>
      </c>
      <c r="J2061" s="188" t="s">
        <v>624</v>
      </c>
      <c r="K2061" s="188" t="s">
        <v>427</v>
      </c>
      <c r="L2061" s="188" t="s">
        <v>1570</v>
      </c>
      <c r="M2061" s="192">
        <f t="shared" si="96"/>
        <v>25</v>
      </c>
      <c r="N2061" s="193">
        <f t="shared" si="97"/>
        <v>0.92</v>
      </c>
      <c r="O2061" s="194">
        <f t="shared" si="98"/>
        <v>3.6799999999999999E-2</v>
      </c>
    </row>
    <row r="2062" spans="1:15" ht="12.75" customHeight="1">
      <c r="A2062" s="188" t="s">
        <v>620</v>
      </c>
      <c r="B2062" s="188" t="s">
        <v>3435</v>
      </c>
      <c r="C2062" s="188" t="s">
        <v>650</v>
      </c>
      <c r="D2062" s="188" t="s">
        <v>3513</v>
      </c>
      <c r="E2062" s="189">
        <v>39548</v>
      </c>
      <c r="F2062" s="190">
        <v>432</v>
      </c>
      <c r="G2062" s="190">
        <v>0</v>
      </c>
      <c r="H2062" s="191">
        <v>276</v>
      </c>
      <c r="I2062" s="191">
        <v>135</v>
      </c>
      <c r="J2062" s="188" t="s">
        <v>624</v>
      </c>
      <c r="K2062" s="188" t="s">
        <v>427</v>
      </c>
      <c r="L2062" s="188" t="s">
        <v>1315</v>
      </c>
      <c r="M2062" s="192">
        <f t="shared" si="96"/>
        <v>25</v>
      </c>
      <c r="N2062" s="193">
        <f t="shared" si="97"/>
        <v>0.92</v>
      </c>
      <c r="O2062" s="194">
        <f t="shared" si="98"/>
        <v>3.6799999999999999E-2</v>
      </c>
    </row>
    <row r="2063" spans="1:15" ht="12.75" customHeight="1">
      <c r="A2063" s="188" t="s">
        <v>620</v>
      </c>
      <c r="B2063" s="188" t="s">
        <v>3435</v>
      </c>
      <c r="C2063" s="188" t="s">
        <v>650</v>
      </c>
      <c r="D2063" s="188" t="s">
        <v>3514</v>
      </c>
      <c r="E2063" s="189">
        <v>39562</v>
      </c>
      <c r="F2063" s="190">
        <v>3604</v>
      </c>
      <c r="G2063" s="190">
        <v>0</v>
      </c>
      <c r="H2063" s="191">
        <v>2300</v>
      </c>
      <c r="I2063" s="191">
        <v>1125</v>
      </c>
      <c r="J2063" s="188" t="s">
        <v>624</v>
      </c>
      <c r="K2063" s="188" t="s">
        <v>427</v>
      </c>
      <c r="L2063" s="188" t="s">
        <v>1570</v>
      </c>
      <c r="M2063" s="192">
        <f t="shared" si="96"/>
        <v>25</v>
      </c>
      <c r="N2063" s="193">
        <f t="shared" si="97"/>
        <v>0.92</v>
      </c>
      <c r="O2063" s="194">
        <f t="shared" si="98"/>
        <v>3.6799999999999999E-2</v>
      </c>
    </row>
    <row r="2064" spans="1:15" ht="12.75" customHeight="1">
      <c r="A2064" s="188" t="s">
        <v>620</v>
      </c>
      <c r="B2064" s="188" t="s">
        <v>3435</v>
      </c>
      <c r="C2064" s="188" t="s">
        <v>650</v>
      </c>
      <c r="D2064" s="188" t="s">
        <v>3515</v>
      </c>
      <c r="E2064" s="189">
        <v>39583</v>
      </c>
      <c r="F2064" s="190">
        <v>288</v>
      </c>
      <c r="G2064" s="190">
        <v>0</v>
      </c>
      <c r="H2064" s="191">
        <v>184</v>
      </c>
      <c r="I2064" s="191">
        <v>90</v>
      </c>
      <c r="J2064" s="188" t="s">
        <v>624</v>
      </c>
      <c r="K2064" s="188" t="s">
        <v>427</v>
      </c>
      <c r="L2064" s="188" t="s">
        <v>1322</v>
      </c>
      <c r="M2064" s="192">
        <f t="shared" si="96"/>
        <v>25</v>
      </c>
      <c r="N2064" s="193">
        <f t="shared" si="97"/>
        <v>0.92</v>
      </c>
      <c r="O2064" s="194">
        <f t="shared" si="98"/>
        <v>3.6799999999999999E-2</v>
      </c>
    </row>
    <row r="2065" spans="1:15" ht="12.75" customHeight="1">
      <c r="A2065" s="188" t="s">
        <v>620</v>
      </c>
      <c r="B2065" s="188" t="s">
        <v>3435</v>
      </c>
      <c r="C2065" s="188" t="s">
        <v>650</v>
      </c>
      <c r="D2065" s="188" t="s">
        <v>3516</v>
      </c>
      <c r="E2065" s="189">
        <v>39447</v>
      </c>
      <c r="F2065" s="190">
        <v>1981</v>
      </c>
      <c r="G2065" s="190">
        <v>0</v>
      </c>
      <c r="H2065" s="191">
        <v>1275</v>
      </c>
      <c r="I2065" s="191">
        <v>618.75</v>
      </c>
      <c r="J2065" s="188" t="s">
        <v>624</v>
      </c>
      <c r="K2065" s="188" t="s">
        <v>427</v>
      </c>
      <c r="L2065" s="188" t="s">
        <v>1271</v>
      </c>
      <c r="M2065" s="192">
        <f t="shared" si="96"/>
        <v>25</v>
      </c>
      <c r="N2065" s="193">
        <f t="shared" si="97"/>
        <v>0.92727272727272725</v>
      </c>
      <c r="O2065" s="194">
        <f t="shared" si="98"/>
        <v>3.7090909090909091E-2</v>
      </c>
    </row>
    <row r="2066" spans="1:15" ht="12.75" customHeight="1">
      <c r="A2066" s="188" t="s">
        <v>620</v>
      </c>
      <c r="B2066" s="188" t="s">
        <v>3435</v>
      </c>
      <c r="C2066" s="188" t="s">
        <v>650</v>
      </c>
      <c r="D2066" s="188" t="s">
        <v>3517</v>
      </c>
      <c r="E2066" s="189">
        <v>39499</v>
      </c>
      <c r="F2066" s="190">
        <v>1715</v>
      </c>
      <c r="G2066" s="190">
        <v>0</v>
      </c>
      <c r="H2066" s="191">
        <v>1105</v>
      </c>
      <c r="I2066" s="191">
        <v>535.5</v>
      </c>
      <c r="J2066" s="188" t="s">
        <v>624</v>
      </c>
      <c r="K2066" s="188" t="s">
        <v>427</v>
      </c>
      <c r="L2066" s="188" t="s">
        <v>519</v>
      </c>
      <c r="M2066" s="192">
        <f t="shared" si="96"/>
        <v>25</v>
      </c>
      <c r="N2066" s="193">
        <f t="shared" si="97"/>
        <v>0.9285714285714286</v>
      </c>
      <c r="O2066" s="194">
        <f t="shared" si="98"/>
        <v>3.7142857142857144E-2</v>
      </c>
    </row>
    <row r="2067" spans="1:15" ht="12.75" customHeight="1">
      <c r="A2067" s="188" t="s">
        <v>620</v>
      </c>
      <c r="B2067" s="188" t="s">
        <v>3435</v>
      </c>
      <c r="C2067" s="188" t="s">
        <v>650</v>
      </c>
      <c r="D2067" s="188" t="s">
        <v>3518</v>
      </c>
      <c r="E2067" s="189">
        <v>39212</v>
      </c>
      <c r="F2067" s="190">
        <v>1277</v>
      </c>
      <c r="G2067" s="190">
        <v>0</v>
      </c>
      <c r="H2067" s="191">
        <v>823.98</v>
      </c>
      <c r="I2067" s="191">
        <v>398.7</v>
      </c>
      <c r="J2067" s="188" t="s">
        <v>624</v>
      </c>
      <c r="K2067" s="188" t="s">
        <v>427</v>
      </c>
      <c r="L2067" s="188" t="s">
        <v>673</v>
      </c>
      <c r="M2067" s="192">
        <f t="shared" si="96"/>
        <v>25</v>
      </c>
      <c r="N2067" s="193">
        <f t="shared" si="97"/>
        <v>0.93</v>
      </c>
      <c r="O2067" s="194">
        <f t="shared" si="98"/>
        <v>3.7200000000000004E-2</v>
      </c>
    </row>
    <row r="2068" spans="1:15" ht="12.75" customHeight="1">
      <c r="A2068" s="188" t="s">
        <v>620</v>
      </c>
      <c r="B2068" s="188" t="s">
        <v>3435</v>
      </c>
      <c r="C2068" s="188" t="s">
        <v>650</v>
      </c>
      <c r="D2068" s="188" t="s">
        <v>3519</v>
      </c>
      <c r="E2068" s="189">
        <v>39499</v>
      </c>
      <c r="F2068" s="190">
        <v>1827</v>
      </c>
      <c r="G2068" s="190">
        <v>0</v>
      </c>
      <c r="H2068" s="191">
        <v>1190</v>
      </c>
      <c r="I2068" s="191">
        <v>570.6</v>
      </c>
      <c r="J2068" s="188" t="s">
        <v>624</v>
      </c>
      <c r="K2068" s="188" t="s">
        <v>427</v>
      </c>
      <c r="L2068" s="188" t="s">
        <v>999</v>
      </c>
      <c r="M2068" s="192">
        <f t="shared" si="96"/>
        <v>25</v>
      </c>
      <c r="N2068" s="193">
        <f t="shared" si="97"/>
        <v>0.93848580441640383</v>
      </c>
      <c r="O2068" s="194">
        <f t="shared" si="98"/>
        <v>3.7539432176656153E-2</v>
      </c>
    </row>
    <row r="2069" spans="1:15" ht="12.75" customHeight="1">
      <c r="A2069" s="188" t="s">
        <v>620</v>
      </c>
      <c r="B2069" s="188" t="s">
        <v>3435</v>
      </c>
      <c r="C2069" s="188" t="s">
        <v>650</v>
      </c>
      <c r="D2069" s="188" t="s">
        <v>3520</v>
      </c>
      <c r="E2069" s="189">
        <v>39447</v>
      </c>
      <c r="F2069" s="190">
        <v>1080</v>
      </c>
      <c r="G2069" s="190">
        <v>0</v>
      </c>
      <c r="H2069" s="191">
        <v>705</v>
      </c>
      <c r="I2069" s="191">
        <v>337.5</v>
      </c>
      <c r="J2069" s="188" t="s">
        <v>624</v>
      </c>
      <c r="K2069" s="188" t="s">
        <v>427</v>
      </c>
      <c r="L2069" s="188" t="s">
        <v>1058</v>
      </c>
      <c r="M2069" s="192">
        <f t="shared" si="96"/>
        <v>25</v>
      </c>
      <c r="N2069" s="193">
        <f t="shared" si="97"/>
        <v>0.94</v>
      </c>
      <c r="O2069" s="194">
        <f t="shared" si="98"/>
        <v>3.7599999999999995E-2</v>
      </c>
    </row>
    <row r="2070" spans="1:15" ht="12.75" customHeight="1">
      <c r="A2070" s="188" t="s">
        <v>620</v>
      </c>
      <c r="B2070" s="188" t="s">
        <v>3435</v>
      </c>
      <c r="C2070" s="188" t="s">
        <v>650</v>
      </c>
      <c r="D2070" s="188" t="s">
        <v>3521</v>
      </c>
      <c r="E2070" s="189">
        <v>39541</v>
      </c>
      <c r="F2070" s="190">
        <v>4498</v>
      </c>
      <c r="G2070" s="190">
        <v>0</v>
      </c>
      <c r="H2070" s="191">
        <v>2934</v>
      </c>
      <c r="I2070" s="191">
        <v>1404.45</v>
      </c>
      <c r="J2070" s="188" t="s">
        <v>624</v>
      </c>
      <c r="K2070" s="188" t="s">
        <v>427</v>
      </c>
      <c r="L2070" s="188" t="s">
        <v>3522</v>
      </c>
      <c r="M2070" s="192">
        <f t="shared" si="96"/>
        <v>25</v>
      </c>
      <c r="N2070" s="193">
        <f t="shared" si="97"/>
        <v>0.94008330663248962</v>
      </c>
      <c r="O2070" s="194">
        <f t="shared" si="98"/>
        <v>3.7603332265299584E-2</v>
      </c>
    </row>
    <row r="2071" spans="1:15" ht="12.75" customHeight="1">
      <c r="A2071" s="188" t="s">
        <v>620</v>
      </c>
      <c r="B2071" s="188" t="s">
        <v>3435</v>
      </c>
      <c r="C2071" s="188" t="s">
        <v>650</v>
      </c>
      <c r="D2071" s="188" t="s">
        <v>3523</v>
      </c>
      <c r="E2071" s="189">
        <v>39415</v>
      </c>
      <c r="F2071" s="190">
        <v>1991</v>
      </c>
      <c r="G2071" s="190">
        <v>0</v>
      </c>
      <c r="H2071" s="191">
        <v>1092</v>
      </c>
      <c r="I2071" s="191">
        <v>621.9</v>
      </c>
      <c r="J2071" s="188" t="s">
        <v>624</v>
      </c>
      <c r="K2071" s="188" t="s">
        <v>1344</v>
      </c>
      <c r="L2071" s="188" t="s">
        <v>3524</v>
      </c>
      <c r="M2071" s="192">
        <f t="shared" si="96"/>
        <v>21</v>
      </c>
      <c r="N2071" s="193">
        <f t="shared" si="97"/>
        <v>0.79015918958031839</v>
      </c>
      <c r="O2071" s="194">
        <f t="shared" si="98"/>
        <v>3.7626628075253257E-2</v>
      </c>
    </row>
    <row r="2072" spans="1:15" ht="12.75" customHeight="1">
      <c r="A2072" s="188" t="s">
        <v>620</v>
      </c>
      <c r="B2072" s="188" t="s">
        <v>3435</v>
      </c>
      <c r="C2072" s="188" t="s">
        <v>650</v>
      </c>
      <c r="D2072" s="188" t="s">
        <v>3525</v>
      </c>
      <c r="E2072" s="189">
        <v>39513</v>
      </c>
      <c r="F2072" s="190">
        <v>3529</v>
      </c>
      <c r="G2072" s="190">
        <v>0</v>
      </c>
      <c r="H2072" s="191">
        <v>2310</v>
      </c>
      <c r="I2072" s="191">
        <v>1101.5999999999999</v>
      </c>
      <c r="J2072" s="188" t="s">
        <v>624</v>
      </c>
      <c r="K2072" s="188" t="s">
        <v>427</v>
      </c>
      <c r="L2072" s="188" t="s">
        <v>867</v>
      </c>
      <c r="M2072" s="192">
        <f t="shared" si="96"/>
        <v>25</v>
      </c>
      <c r="N2072" s="193">
        <f t="shared" si="97"/>
        <v>0.94362745098039214</v>
      </c>
      <c r="O2072" s="194">
        <f t="shared" si="98"/>
        <v>3.7745098039215684E-2</v>
      </c>
    </row>
    <row r="2073" spans="1:15" ht="12.75" customHeight="1">
      <c r="A2073" s="188" t="s">
        <v>620</v>
      </c>
      <c r="B2073" s="188" t="s">
        <v>3435</v>
      </c>
      <c r="C2073" s="188" t="s">
        <v>650</v>
      </c>
      <c r="D2073" s="188" t="s">
        <v>3526</v>
      </c>
      <c r="E2073" s="189">
        <v>39583</v>
      </c>
      <c r="F2073" s="190">
        <v>1845</v>
      </c>
      <c r="G2073" s="190">
        <v>0</v>
      </c>
      <c r="H2073" s="191">
        <v>1450</v>
      </c>
      <c r="I2073" s="191">
        <v>576</v>
      </c>
      <c r="J2073" s="188" t="s">
        <v>624</v>
      </c>
      <c r="K2073" s="188" t="s">
        <v>257</v>
      </c>
      <c r="L2073" s="188" t="s">
        <v>994</v>
      </c>
      <c r="M2073" s="192">
        <f t="shared" si="96"/>
        <v>30</v>
      </c>
      <c r="N2073" s="193">
        <f t="shared" si="97"/>
        <v>1.1328125</v>
      </c>
      <c r="O2073" s="194">
        <f t="shared" si="98"/>
        <v>3.7760416666666664E-2</v>
      </c>
    </row>
    <row r="2074" spans="1:15" ht="12.75" customHeight="1">
      <c r="A2074" s="188" t="s">
        <v>620</v>
      </c>
      <c r="B2074" s="188" t="s">
        <v>3435</v>
      </c>
      <c r="C2074" s="188" t="s">
        <v>650</v>
      </c>
      <c r="D2074" s="188" t="s">
        <v>3527</v>
      </c>
      <c r="E2074" s="189">
        <v>39261</v>
      </c>
      <c r="F2074" s="190">
        <v>1830</v>
      </c>
      <c r="G2074" s="190">
        <v>0</v>
      </c>
      <c r="H2074" s="191">
        <v>1200.02</v>
      </c>
      <c r="I2074" s="191">
        <v>571.5</v>
      </c>
      <c r="J2074" s="188" t="s">
        <v>624</v>
      </c>
      <c r="K2074" s="188" t="s">
        <v>427</v>
      </c>
      <c r="L2074" s="188" t="s">
        <v>1090</v>
      </c>
      <c r="M2074" s="192">
        <f t="shared" si="96"/>
        <v>25</v>
      </c>
      <c r="N2074" s="193">
        <f t="shared" si="97"/>
        <v>0.94489763779527558</v>
      </c>
      <c r="O2074" s="194">
        <f t="shared" si="98"/>
        <v>3.7795905511811022E-2</v>
      </c>
    </row>
    <row r="2075" spans="1:15" ht="12.75" customHeight="1">
      <c r="A2075" s="188" t="s">
        <v>620</v>
      </c>
      <c r="B2075" s="188" t="s">
        <v>3435</v>
      </c>
      <c r="C2075" s="188" t="s">
        <v>650</v>
      </c>
      <c r="D2075" s="188" t="s">
        <v>3528</v>
      </c>
      <c r="E2075" s="189">
        <v>39352</v>
      </c>
      <c r="F2075" s="190">
        <v>1856</v>
      </c>
      <c r="G2075" s="190">
        <v>0</v>
      </c>
      <c r="H2075" s="191">
        <v>1223</v>
      </c>
      <c r="I2075" s="191">
        <v>579.6</v>
      </c>
      <c r="J2075" s="188" t="s">
        <v>624</v>
      </c>
      <c r="K2075" s="188" t="s">
        <v>427</v>
      </c>
      <c r="L2075" s="188" t="s">
        <v>2088</v>
      </c>
      <c r="M2075" s="192">
        <f t="shared" si="96"/>
        <v>25</v>
      </c>
      <c r="N2075" s="193">
        <f t="shared" si="97"/>
        <v>0.94953416149068326</v>
      </c>
      <c r="O2075" s="194">
        <f t="shared" si="98"/>
        <v>3.7981366459627332E-2</v>
      </c>
    </row>
    <row r="2076" spans="1:15" ht="12.75" customHeight="1">
      <c r="A2076" s="188" t="s">
        <v>620</v>
      </c>
      <c r="B2076" s="188" t="s">
        <v>3435</v>
      </c>
      <c r="C2076" s="188" t="s">
        <v>650</v>
      </c>
      <c r="D2076" s="188" t="s">
        <v>3529</v>
      </c>
      <c r="E2076" s="189">
        <v>39289</v>
      </c>
      <c r="F2076" s="190">
        <v>1145</v>
      </c>
      <c r="G2076" s="190">
        <v>0</v>
      </c>
      <c r="H2076" s="191">
        <v>755.01</v>
      </c>
      <c r="I2076" s="191">
        <v>357.75</v>
      </c>
      <c r="J2076" s="188" t="s">
        <v>624</v>
      </c>
      <c r="K2076" s="188" t="s">
        <v>427</v>
      </c>
      <c r="L2076" s="188" t="s">
        <v>3530</v>
      </c>
      <c r="M2076" s="192">
        <f t="shared" si="96"/>
        <v>25</v>
      </c>
      <c r="N2076" s="193">
        <f t="shared" si="97"/>
        <v>0.94969811320754716</v>
      </c>
      <c r="O2076" s="194">
        <f t="shared" si="98"/>
        <v>3.7987924528301888E-2</v>
      </c>
    </row>
    <row r="2077" spans="1:15" ht="12.75" customHeight="1">
      <c r="A2077" s="188" t="s">
        <v>620</v>
      </c>
      <c r="B2077" s="188" t="s">
        <v>3435</v>
      </c>
      <c r="C2077" s="188" t="s">
        <v>650</v>
      </c>
      <c r="D2077" s="188" t="s">
        <v>3531</v>
      </c>
      <c r="E2077" s="189">
        <v>39513</v>
      </c>
      <c r="F2077" s="190">
        <v>2478</v>
      </c>
      <c r="G2077" s="190">
        <v>0</v>
      </c>
      <c r="H2077" s="191">
        <v>1633</v>
      </c>
      <c r="I2077" s="191">
        <v>773.55</v>
      </c>
      <c r="J2077" s="188" t="s">
        <v>624</v>
      </c>
      <c r="K2077" s="188" t="s">
        <v>427</v>
      </c>
      <c r="L2077" s="188" t="s">
        <v>1336</v>
      </c>
      <c r="M2077" s="192">
        <f t="shared" si="96"/>
        <v>25</v>
      </c>
      <c r="N2077" s="193">
        <f t="shared" si="97"/>
        <v>0.9499709133216987</v>
      </c>
      <c r="O2077" s="194">
        <f t="shared" si="98"/>
        <v>3.7998836532867945E-2</v>
      </c>
    </row>
    <row r="2078" spans="1:15" ht="12.75" customHeight="1">
      <c r="A2078" s="188" t="s">
        <v>620</v>
      </c>
      <c r="B2078" s="188" t="s">
        <v>3435</v>
      </c>
      <c r="C2078" s="188" t="s">
        <v>650</v>
      </c>
      <c r="D2078" s="188" t="s">
        <v>3532</v>
      </c>
      <c r="E2078" s="189">
        <v>39527</v>
      </c>
      <c r="F2078" s="190">
        <v>3040</v>
      </c>
      <c r="G2078" s="190">
        <v>0</v>
      </c>
      <c r="H2078" s="191">
        <v>2003.5</v>
      </c>
      <c r="I2078" s="191">
        <v>949.05</v>
      </c>
      <c r="J2078" s="188" t="s">
        <v>624</v>
      </c>
      <c r="K2078" s="188" t="s">
        <v>427</v>
      </c>
      <c r="L2078" s="188" t="s">
        <v>3533</v>
      </c>
      <c r="M2078" s="192">
        <f t="shared" si="96"/>
        <v>25</v>
      </c>
      <c r="N2078" s="193">
        <f t="shared" si="97"/>
        <v>0.94997629208155521</v>
      </c>
      <c r="O2078" s="194">
        <f t="shared" si="98"/>
        <v>3.799905168326221E-2</v>
      </c>
    </row>
    <row r="2079" spans="1:15" ht="12.75" customHeight="1">
      <c r="A2079" s="188" t="s">
        <v>620</v>
      </c>
      <c r="B2079" s="188" t="s">
        <v>3435</v>
      </c>
      <c r="C2079" s="188" t="s">
        <v>650</v>
      </c>
      <c r="D2079" s="188" t="s">
        <v>3534</v>
      </c>
      <c r="E2079" s="189">
        <v>39527</v>
      </c>
      <c r="F2079" s="190">
        <v>3040</v>
      </c>
      <c r="G2079" s="190">
        <v>0</v>
      </c>
      <c r="H2079" s="191">
        <v>2003.5</v>
      </c>
      <c r="I2079" s="191">
        <v>949.05</v>
      </c>
      <c r="J2079" s="188" t="s">
        <v>624</v>
      </c>
      <c r="K2079" s="188" t="s">
        <v>427</v>
      </c>
      <c r="L2079" s="188" t="s">
        <v>3533</v>
      </c>
      <c r="M2079" s="192">
        <f t="shared" si="96"/>
        <v>25</v>
      </c>
      <c r="N2079" s="193">
        <f t="shared" si="97"/>
        <v>0.94997629208155521</v>
      </c>
      <c r="O2079" s="194">
        <f t="shared" si="98"/>
        <v>3.799905168326221E-2</v>
      </c>
    </row>
    <row r="2080" spans="1:15" ht="12.75" customHeight="1">
      <c r="A2080" s="188" t="s">
        <v>620</v>
      </c>
      <c r="B2080" s="188" t="s">
        <v>3435</v>
      </c>
      <c r="C2080" s="188" t="s">
        <v>650</v>
      </c>
      <c r="D2080" s="188" t="s">
        <v>3535</v>
      </c>
      <c r="E2080" s="189">
        <v>39240</v>
      </c>
      <c r="F2080" s="190">
        <v>2162</v>
      </c>
      <c r="G2080" s="190">
        <v>0</v>
      </c>
      <c r="H2080" s="191">
        <v>1425</v>
      </c>
      <c r="I2080" s="191">
        <v>675</v>
      </c>
      <c r="J2080" s="188" t="s">
        <v>624</v>
      </c>
      <c r="K2080" s="188" t="s">
        <v>427</v>
      </c>
      <c r="L2080" s="188" t="s">
        <v>746</v>
      </c>
      <c r="M2080" s="192">
        <f t="shared" si="96"/>
        <v>25</v>
      </c>
      <c r="N2080" s="193">
        <f t="shared" si="97"/>
        <v>0.95</v>
      </c>
      <c r="O2080" s="194">
        <f t="shared" si="98"/>
        <v>3.7999999999999999E-2</v>
      </c>
    </row>
    <row r="2081" spans="1:15" ht="12.75" customHeight="1">
      <c r="A2081" s="188" t="s">
        <v>620</v>
      </c>
      <c r="B2081" s="188" t="s">
        <v>3435</v>
      </c>
      <c r="C2081" s="188" t="s">
        <v>650</v>
      </c>
      <c r="D2081" s="188" t="s">
        <v>3536</v>
      </c>
      <c r="E2081" s="189">
        <v>39513</v>
      </c>
      <c r="F2081" s="190">
        <v>1153</v>
      </c>
      <c r="G2081" s="190">
        <v>0</v>
      </c>
      <c r="H2081" s="191">
        <v>760</v>
      </c>
      <c r="I2081" s="191">
        <v>360</v>
      </c>
      <c r="J2081" s="188" t="s">
        <v>624</v>
      </c>
      <c r="K2081" s="188" t="s">
        <v>427</v>
      </c>
      <c r="L2081" s="188" t="s">
        <v>752</v>
      </c>
      <c r="M2081" s="192">
        <f t="shared" si="96"/>
        <v>25</v>
      </c>
      <c r="N2081" s="193">
        <f t="shared" si="97"/>
        <v>0.95</v>
      </c>
      <c r="O2081" s="194">
        <f t="shared" si="98"/>
        <v>3.7999999999999999E-2</v>
      </c>
    </row>
    <row r="2082" spans="1:15" ht="12.75" customHeight="1">
      <c r="A2082" s="188" t="s">
        <v>620</v>
      </c>
      <c r="B2082" s="188" t="s">
        <v>3435</v>
      </c>
      <c r="C2082" s="188" t="s">
        <v>650</v>
      </c>
      <c r="D2082" s="188" t="s">
        <v>3537</v>
      </c>
      <c r="E2082" s="189">
        <v>39233</v>
      </c>
      <c r="F2082" s="190">
        <v>1542</v>
      </c>
      <c r="G2082" s="190">
        <v>0</v>
      </c>
      <c r="H2082" s="191">
        <v>1017.04</v>
      </c>
      <c r="I2082" s="191">
        <v>481.5</v>
      </c>
      <c r="J2082" s="188" t="s">
        <v>624</v>
      </c>
      <c r="K2082" s="188" t="s">
        <v>427</v>
      </c>
      <c r="L2082" s="188" t="s">
        <v>2955</v>
      </c>
      <c r="M2082" s="192">
        <f t="shared" si="96"/>
        <v>25</v>
      </c>
      <c r="N2082" s="193">
        <f t="shared" si="97"/>
        <v>0.9505046728971962</v>
      </c>
      <c r="O2082" s="194">
        <f t="shared" si="98"/>
        <v>3.8020186915887849E-2</v>
      </c>
    </row>
    <row r="2083" spans="1:15" ht="12.75" customHeight="1">
      <c r="A2083" s="188" t="s">
        <v>620</v>
      </c>
      <c r="B2083" s="188" t="s">
        <v>3435</v>
      </c>
      <c r="C2083" s="188" t="s">
        <v>650</v>
      </c>
      <c r="D2083" s="188" t="s">
        <v>3538</v>
      </c>
      <c r="E2083" s="189">
        <v>39415</v>
      </c>
      <c r="F2083" s="190">
        <v>1279</v>
      </c>
      <c r="G2083" s="190">
        <v>0</v>
      </c>
      <c r="H2083" s="191">
        <v>845</v>
      </c>
      <c r="I2083" s="191">
        <v>399.6</v>
      </c>
      <c r="J2083" s="188" t="s">
        <v>624</v>
      </c>
      <c r="K2083" s="188" t="s">
        <v>427</v>
      </c>
      <c r="L2083" s="188" t="s">
        <v>2079</v>
      </c>
      <c r="M2083" s="192">
        <f t="shared" si="96"/>
        <v>25</v>
      </c>
      <c r="N2083" s="193">
        <f t="shared" si="97"/>
        <v>0.95157657657657657</v>
      </c>
      <c r="O2083" s="194">
        <f t="shared" si="98"/>
        <v>3.8063063063063063E-2</v>
      </c>
    </row>
    <row r="2084" spans="1:15" ht="12.75" customHeight="1">
      <c r="A2084" s="188" t="s">
        <v>620</v>
      </c>
      <c r="B2084" s="188" t="s">
        <v>3435</v>
      </c>
      <c r="C2084" s="188" t="s">
        <v>650</v>
      </c>
      <c r="D2084" s="188" t="s">
        <v>3539</v>
      </c>
      <c r="E2084" s="189">
        <v>39261</v>
      </c>
      <c r="F2084" s="190">
        <v>1080</v>
      </c>
      <c r="G2084" s="190">
        <v>0</v>
      </c>
      <c r="H2084" s="191">
        <v>714</v>
      </c>
      <c r="I2084" s="191">
        <v>337.5</v>
      </c>
      <c r="J2084" s="188" t="s">
        <v>624</v>
      </c>
      <c r="K2084" s="188" t="s">
        <v>427</v>
      </c>
      <c r="L2084" s="188" t="s">
        <v>1058</v>
      </c>
      <c r="M2084" s="192">
        <f t="shared" si="96"/>
        <v>25</v>
      </c>
      <c r="N2084" s="193">
        <f t="shared" si="97"/>
        <v>0.95199999999999996</v>
      </c>
      <c r="O2084" s="194">
        <f t="shared" si="98"/>
        <v>3.8079999999999996E-2</v>
      </c>
    </row>
    <row r="2085" spans="1:15" ht="12.75" customHeight="1">
      <c r="A2085" s="188" t="s">
        <v>620</v>
      </c>
      <c r="B2085" s="188" t="s">
        <v>3435</v>
      </c>
      <c r="C2085" s="188" t="s">
        <v>650</v>
      </c>
      <c r="D2085" s="188" t="s">
        <v>3540</v>
      </c>
      <c r="E2085" s="189">
        <v>39282</v>
      </c>
      <c r="F2085" s="190">
        <v>1758</v>
      </c>
      <c r="G2085" s="190">
        <v>0</v>
      </c>
      <c r="H2085" s="191">
        <v>976</v>
      </c>
      <c r="I2085" s="191">
        <v>549</v>
      </c>
      <c r="J2085" s="188" t="s">
        <v>624</v>
      </c>
      <c r="K2085" s="188" t="s">
        <v>1344</v>
      </c>
      <c r="L2085" s="188" t="s">
        <v>689</v>
      </c>
      <c r="M2085" s="192">
        <f t="shared" si="96"/>
        <v>21</v>
      </c>
      <c r="N2085" s="193">
        <f t="shared" si="97"/>
        <v>0.8</v>
      </c>
      <c r="O2085" s="194">
        <f t="shared" si="98"/>
        <v>3.8095238095238099E-2</v>
      </c>
    </row>
    <row r="2086" spans="1:15" ht="12.75" customHeight="1">
      <c r="A2086" s="188" t="s">
        <v>620</v>
      </c>
      <c r="B2086" s="188" t="s">
        <v>3435</v>
      </c>
      <c r="C2086" s="188" t="s">
        <v>650</v>
      </c>
      <c r="D2086" s="188" t="s">
        <v>3541</v>
      </c>
      <c r="E2086" s="189">
        <v>39317</v>
      </c>
      <c r="F2086" s="190">
        <v>3264</v>
      </c>
      <c r="G2086" s="190">
        <v>0</v>
      </c>
      <c r="H2086" s="191">
        <v>2599.9899999999998</v>
      </c>
      <c r="I2086" s="191">
        <v>1019.25</v>
      </c>
      <c r="J2086" s="188" t="s">
        <v>624</v>
      </c>
      <c r="K2086" s="188" t="s">
        <v>257</v>
      </c>
      <c r="L2086" s="188" t="s">
        <v>3542</v>
      </c>
      <c r="M2086" s="192">
        <f t="shared" si="96"/>
        <v>30</v>
      </c>
      <c r="N2086" s="193">
        <f t="shared" si="97"/>
        <v>1.1478984547461368</v>
      </c>
      <c r="O2086" s="194">
        <f t="shared" si="98"/>
        <v>3.826328182487123E-2</v>
      </c>
    </row>
    <row r="2087" spans="1:15" ht="12.75" customHeight="1">
      <c r="A2087" s="188" t="s">
        <v>620</v>
      </c>
      <c r="B2087" s="188" t="s">
        <v>3435</v>
      </c>
      <c r="C2087" s="188" t="s">
        <v>650</v>
      </c>
      <c r="D2087" s="188" t="s">
        <v>3543</v>
      </c>
      <c r="E2087" s="189">
        <v>39447</v>
      </c>
      <c r="F2087" s="190">
        <v>2888</v>
      </c>
      <c r="G2087" s="190">
        <v>0</v>
      </c>
      <c r="H2087" s="191">
        <v>1923</v>
      </c>
      <c r="I2087" s="191">
        <v>901.8</v>
      </c>
      <c r="J2087" s="188" t="s">
        <v>624</v>
      </c>
      <c r="K2087" s="188" t="s">
        <v>427</v>
      </c>
      <c r="L2087" s="188" t="s">
        <v>3544</v>
      </c>
      <c r="M2087" s="192">
        <f t="shared" si="96"/>
        <v>25</v>
      </c>
      <c r="N2087" s="193">
        <f t="shared" si="97"/>
        <v>0.95958083832335328</v>
      </c>
      <c r="O2087" s="194">
        <f t="shared" si="98"/>
        <v>3.838323353293413E-2</v>
      </c>
    </row>
    <row r="2088" spans="1:15" ht="12.75" customHeight="1">
      <c r="A2088" s="188" t="s">
        <v>620</v>
      </c>
      <c r="B2088" s="188" t="s">
        <v>3435</v>
      </c>
      <c r="C2088" s="188" t="s">
        <v>650</v>
      </c>
      <c r="D2088" s="188" t="s">
        <v>3545</v>
      </c>
      <c r="E2088" s="189">
        <v>39269</v>
      </c>
      <c r="F2088" s="190">
        <v>3015</v>
      </c>
      <c r="G2088" s="190">
        <v>0</v>
      </c>
      <c r="H2088" s="191">
        <v>2008.95</v>
      </c>
      <c r="I2088" s="191">
        <v>941.4</v>
      </c>
      <c r="J2088" s="188" t="s">
        <v>624</v>
      </c>
      <c r="K2088" s="188" t="s">
        <v>427</v>
      </c>
      <c r="L2088" s="188" t="s">
        <v>3546</v>
      </c>
      <c r="M2088" s="192">
        <f t="shared" si="96"/>
        <v>25</v>
      </c>
      <c r="N2088" s="193">
        <f t="shared" si="97"/>
        <v>0.96030114722753346</v>
      </c>
      <c r="O2088" s="194">
        <f t="shared" si="98"/>
        <v>3.841204588910134E-2</v>
      </c>
    </row>
    <row r="2089" spans="1:15" ht="12.75" customHeight="1">
      <c r="A2089" s="188" t="s">
        <v>620</v>
      </c>
      <c r="B2089" s="188" t="s">
        <v>3435</v>
      </c>
      <c r="C2089" s="188" t="s">
        <v>650</v>
      </c>
      <c r="D2089" s="188" t="s">
        <v>3547</v>
      </c>
      <c r="E2089" s="189">
        <v>39345</v>
      </c>
      <c r="F2089" s="190">
        <v>1181</v>
      </c>
      <c r="G2089" s="190">
        <v>0</v>
      </c>
      <c r="H2089" s="191">
        <v>789.99</v>
      </c>
      <c r="I2089" s="191">
        <v>369</v>
      </c>
      <c r="J2089" s="188" t="s">
        <v>624</v>
      </c>
      <c r="K2089" s="188" t="s">
        <v>427</v>
      </c>
      <c r="L2089" s="188" t="s">
        <v>1003</v>
      </c>
      <c r="M2089" s="192">
        <f t="shared" si="96"/>
        <v>25</v>
      </c>
      <c r="N2089" s="193">
        <f t="shared" si="97"/>
        <v>0.96340243902439027</v>
      </c>
      <c r="O2089" s="194">
        <f t="shared" si="98"/>
        <v>3.8536097560975612E-2</v>
      </c>
    </row>
    <row r="2090" spans="1:15" ht="12.75" customHeight="1">
      <c r="A2090" s="188" t="s">
        <v>620</v>
      </c>
      <c r="B2090" s="188" t="s">
        <v>3435</v>
      </c>
      <c r="C2090" s="188" t="s">
        <v>650</v>
      </c>
      <c r="D2090" s="188" t="s">
        <v>3548</v>
      </c>
      <c r="E2090" s="189">
        <v>39625</v>
      </c>
      <c r="F2090" s="190">
        <v>1484</v>
      </c>
      <c r="G2090" s="190">
        <v>0</v>
      </c>
      <c r="H2090" s="191">
        <v>995</v>
      </c>
      <c r="I2090" s="191">
        <v>463.5</v>
      </c>
      <c r="J2090" s="188" t="s">
        <v>624</v>
      </c>
      <c r="K2090" s="188" t="s">
        <v>427</v>
      </c>
      <c r="L2090" s="188" t="s">
        <v>298</v>
      </c>
      <c r="M2090" s="192">
        <f t="shared" si="96"/>
        <v>25</v>
      </c>
      <c r="N2090" s="193">
        <f t="shared" si="97"/>
        <v>0.96601941747572817</v>
      </c>
      <c r="O2090" s="194">
        <f t="shared" si="98"/>
        <v>3.8640776699029128E-2</v>
      </c>
    </row>
    <row r="2091" spans="1:15" ht="12.75" customHeight="1">
      <c r="A2091" s="188" t="s">
        <v>620</v>
      </c>
      <c r="B2091" s="188" t="s">
        <v>3435</v>
      </c>
      <c r="C2091" s="188" t="s">
        <v>650</v>
      </c>
      <c r="D2091" s="188" t="s">
        <v>3549</v>
      </c>
      <c r="E2091" s="189">
        <v>39562</v>
      </c>
      <c r="F2091" s="190">
        <v>2378</v>
      </c>
      <c r="G2091" s="190">
        <v>0</v>
      </c>
      <c r="H2091" s="191">
        <v>1601</v>
      </c>
      <c r="I2091" s="191">
        <v>742.5</v>
      </c>
      <c r="J2091" s="188" t="s">
        <v>624</v>
      </c>
      <c r="K2091" s="188" t="s">
        <v>427</v>
      </c>
      <c r="L2091" s="188" t="s">
        <v>885</v>
      </c>
      <c r="M2091" s="192">
        <f t="shared" si="96"/>
        <v>25</v>
      </c>
      <c r="N2091" s="193">
        <f t="shared" si="97"/>
        <v>0.97030303030303033</v>
      </c>
      <c r="O2091" s="194">
        <f t="shared" si="98"/>
        <v>3.8812121212121214E-2</v>
      </c>
    </row>
    <row r="2092" spans="1:15" ht="12.75" customHeight="1">
      <c r="A2092" s="188" t="s">
        <v>620</v>
      </c>
      <c r="B2092" s="188" t="s">
        <v>3435</v>
      </c>
      <c r="C2092" s="188" t="s">
        <v>650</v>
      </c>
      <c r="D2092" s="188" t="s">
        <v>3550</v>
      </c>
      <c r="E2092" s="189">
        <v>39261</v>
      </c>
      <c r="F2092" s="190">
        <v>1945</v>
      </c>
      <c r="G2092" s="190">
        <v>0</v>
      </c>
      <c r="H2092" s="191">
        <v>1315.04</v>
      </c>
      <c r="I2092" s="191">
        <v>607.5</v>
      </c>
      <c r="J2092" s="188" t="s">
        <v>624</v>
      </c>
      <c r="K2092" s="188" t="s">
        <v>427</v>
      </c>
      <c r="L2092" s="188" t="s">
        <v>707</v>
      </c>
      <c r="M2092" s="192">
        <f t="shared" si="96"/>
        <v>25</v>
      </c>
      <c r="N2092" s="193">
        <f t="shared" si="97"/>
        <v>0.97410370370370369</v>
      </c>
      <c r="O2092" s="194">
        <f t="shared" si="98"/>
        <v>3.8964148148148151E-2</v>
      </c>
    </row>
    <row r="2093" spans="1:15" ht="12.75" customHeight="1">
      <c r="A2093" s="188" t="s">
        <v>620</v>
      </c>
      <c r="B2093" s="188" t="s">
        <v>3435</v>
      </c>
      <c r="C2093" s="188" t="s">
        <v>650</v>
      </c>
      <c r="D2093" s="188" t="s">
        <v>3551</v>
      </c>
      <c r="E2093" s="189">
        <v>39240</v>
      </c>
      <c r="F2093" s="190">
        <v>1557</v>
      </c>
      <c r="G2093" s="190">
        <v>0</v>
      </c>
      <c r="H2093" s="191">
        <v>1057.97</v>
      </c>
      <c r="I2093" s="191">
        <v>486</v>
      </c>
      <c r="J2093" s="188" t="s">
        <v>624</v>
      </c>
      <c r="K2093" s="188" t="s">
        <v>427</v>
      </c>
      <c r="L2093" s="188" t="s">
        <v>817</v>
      </c>
      <c r="M2093" s="192">
        <f t="shared" si="96"/>
        <v>25</v>
      </c>
      <c r="N2093" s="193">
        <f t="shared" si="97"/>
        <v>0.97960185185185189</v>
      </c>
      <c r="O2093" s="194">
        <f t="shared" si="98"/>
        <v>3.9184074074074073E-2</v>
      </c>
    </row>
    <row r="2094" spans="1:15" ht="12.75" customHeight="1">
      <c r="A2094" s="188" t="s">
        <v>620</v>
      </c>
      <c r="B2094" s="188" t="s">
        <v>3435</v>
      </c>
      <c r="C2094" s="188" t="s">
        <v>650</v>
      </c>
      <c r="D2094" s="188" t="s">
        <v>3552</v>
      </c>
      <c r="E2094" s="189">
        <v>39548</v>
      </c>
      <c r="F2094" s="190">
        <v>1471</v>
      </c>
      <c r="G2094" s="190">
        <v>0</v>
      </c>
      <c r="H2094" s="191">
        <v>1000</v>
      </c>
      <c r="I2094" s="191">
        <v>459</v>
      </c>
      <c r="J2094" s="188" t="s">
        <v>624</v>
      </c>
      <c r="K2094" s="188" t="s">
        <v>427</v>
      </c>
      <c r="L2094" s="188" t="s">
        <v>658</v>
      </c>
      <c r="M2094" s="192">
        <f t="shared" si="96"/>
        <v>25</v>
      </c>
      <c r="N2094" s="193">
        <f t="shared" si="97"/>
        <v>0.98039215686274506</v>
      </c>
      <c r="O2094" s="194">
        <f t="shared" si="98"/>
        <v>3.9215686274509803E-2</v>
      </c>
    </row>
    <row r="2095" spans="1:15" ht="12.75" customHeight="1">
      <c r="A2095" s="188" t="s">
        <v>620</v>
      </c>
      <c r="B2095" s="188" t="s">
        <v>3435</v>
      </c>
      <c r="C2095" s="188" t="s">
        <v>650</v>
      </c>
      <c r="D2095" s="188" t="s">
        <v>3553</v>
      </c>
      <c r="E2095" s="189">
        <v>39407</v>
      </c>
      <c r="F2095" s="190">
        <v>1981</v>
      </c>
      <c r="G2095" s="190">
        <v>0</v>
      </c>
      <c r="H2095" s="191">
        <v>1350</v>
      </c>
      <c r="I2095" s="191">
        <v>618.75</v>
      </c>
      <c r="J2095" s="188" t="s">
        <v>624</v>
      </c>
      <c r="K2095" s="188" t="s">
        <v>427</v>
      </c>
      <c r="L2095" s="188" t="s">
        <v>1271</v>
      </c>
      <c r="M2095" s="192">
        <f t="shared" si="96"/>
        <v>25</v>
      </c>
      <c r="N2095" s="193">
        <f t="shared" si="97"/>
        <v>0.98181818181818181</v>
      </c>
      <c r="O2095" s="194">
        <f t="shared" si="98"/>
        <v>3.9272727272727272E-2</v>
      </c>
    </row>
    <row r="2096" spans="1:15" ht="12.75" customHeight="1">
      <c r="A2096" s="188" t="s">
        <v>620</v>
      </c>
      <c r="B2096" s="188" t="s">
        <v>3435</v>
      </c>
      <c r="C2096" s="188" t="s">
        <v>650</v>
      </c>
      <c r="D2096" s="188" t="s">
        <v>3554</v>
      </c>
      <c r="E2096" s="189">
        <v>39436</v>
      </c>
      <c r="F2096" s="190">
        <v>1729</v>
      </c>
      <c r="G2096" s="190">
        <v>0</v>
      </c>
      <c r="H2096" s="191">
        <v>990</v>
      </c>
      <c r="I2096" s="191">
        <v>540</v>
      </c>
      <c r="J2096" s="188" t="s">
        <v>624</v>
      </c>
      <c r="K2096" s="188" t="s">
        <v>1344</v>
      </c>
      <c r="L2096" s="188" t="s">
        <v>632</v>
      </c>
      <c r="M2096" s="192">
        <f t="shared" si="96"/>
        <v>21</v>
      </c>
      <c r="N2096" s="193">
        <f t="shared" si="97"/>
        <v>0.82499999999999996</v>
      </c>
      <c r="O2096" s="194">
        <f t="shared" si="98"/>
        <v>3.9285714285714285E-2</v>
      </c>
    </row>
    <row r="2097" spans="1:15" ht="12.75" customHeight="1">
      <c r="A2097" s="188" t="s">
        <v>620</v>
      </c>
      <c r="B2097" s="188" t="s">
        <v>3435</v>
      </c>
      <c r="C2097" s="188" t="s">
        <v>650</v>
      </c>
      <c r="D2097" s="188" t="s">
        <v>3555</v>
      </c>
      <c r="E2097" s="189">
        <v>39555</v>
      </c>
      <c r="F2097" s="190">
        <v>1809</v>
      </c>
      <c r="G2097" s="190">
        <v>0</v>
      </c>
      <c r="H2097" s="191">
        <v>1039</v>
      </c>
      <c r="I2097" s="191">
        <v>564.75</v>
      </c>
      <c r="J2097" s="188" t="s">
        <v>624</v>
      </c>
      <c r="K2097" s="188" t="s">
        <v>1344</v>
      </c>
      <c r="L2097" s="188" t="s">
        <v>856</v>
      </c>
      <c r="M2097" s="192">
        <f t="shared" si="96"/>
        <v>21</v>
      </c>
      <c r="N2097" s="193">
        <f t="shared" si="97"/>
        <v>0.82788844621513946</v>
      </c>
      <c r="O2097" s="194">
        <f t="shared" si="98"/>
        <v>3.9423259343578071E-2</v>
      </c>
    </row>
    <row r="2098" spans="1:15" ht="12.75" customHeight="1">
      <c r="A2098" s="188" t="s">
        <v>620</v>
      </c>
      <c r="B2098" s="188" t="s">
        <v>3435</v>
      </c>
      <c r="C2098" s="188" t="s">
        <v>650</v>
      </c>
      <c r="D2098" s="188" t="s">
        <v>3556</v>
      </c>
      <c r="E2098" s="189">
        <v>39639</v>
      </c>
      <c r="F2098" s="190">
        <v>1452</v>
      </c>
      <c r="G2098" s="190">
        <v>0</v>
      </c>
      <c r="H2098" s="191">
        <v>995</v>
      </c>
      <c r="I2098" s="191">
        <v>453.15</v>
      </c>
      <c r="J2098" s="188" t="s">
        <v>624</v>
      </c>
      <c r="K2098" s="188" t="s">
        <v>427</v>
      </c>
      <c r="L2098" s="188" t="s">
        <v>1085</v>
      </c>
      <c r="M2098" s="192">
        <f t="shared" si="96"/>
        <v>25</v>
      </c>
      <c r="N2098" s="193">
        <f t="shared" si="97"/>
        <v>0.98808341608738826</v>
      </c>
      <c r="O2098" s="194">
        <f t="shared" si="98"/>
        <v>3.9523336643495527E-2</v>
      </c>
    </row>
    <row r="2099" spans="1:15" ht="12.75" customHeight="1">
      <c r="A2099" s="188" t="s">
        <v>620</v>
      </c>
      <c r="B2099" s="188" t="s">
        <v>3435</v>
      </c>
      <c r="C2099" s="188" t="s">
        <v>650</v>
      </c>
      <c r="D2099" s="188" t="s">
        <v>3557</v>
      </c>
      <c r="E2099" s="189">
        <v>39555</v>
      </c>
      <c r="F2099" s="190">
        <v>2404</v>
      </c>
      <c r="G2099" s="190">
        <v>0</v>
      </c>
      <c r="H2099" s="191">
        <v>1652</v>
      </c>
      <c r="I2099" s="191">
        <v>750.6</v>
      </c>
      <c r="J2099" s="188" t="s">
        <v>624</v>
      </c>
      <c r="K2099" s="188" t="s">
        <v>427</v>
      </c>
      <c r="L2099" s="188" t="s">
        <v>1900</v>
      </c>
      <c r="M2099" s="192">
        <f t="shared" si="96"/>
        <v>25</v>
      </c>
      <c r="N2099" s="193">
        <f t="shared" si="97"/>
        <v>0.99040767386091122</v>
      </c>
      <c r="O2099" s="194">
        <f t="shared" si="98"/>
        <v>3.961630695443645E-2</v>
      </c>
    </row>
    <row r="2100" spans="1:15" ht="12.75" customHeight="1">
      <c r="A2100" s="188" t="s">
        <v>620</v>
      </c>
      <c r="B2100" s="188" t="s">
        <v>3435</v>
      </c>
      <c r="C2100" s="188" t="s">
        <v>650</v>
      </c>
      <c r="D2100" s="188" t="s">
        <v>3558</v>
      </c>
      <c r="E2100" s="189">
        <v>39485</v>
      </c>
      <c r="F2100" s="190">
        <v>1452</v>
      </c>
      <c r="G2100" s="190">
        <v>0</v>
      </c>
      <c r="H2100" s="191">
        <v>1000</v>
      </c>
      <c r="I2100" s="191">
        <v>453.6</v>
      </c>
      <c r="J2100" s="188" t="s">
        <v>624</v>
      </c>
      <c r="K2100" s="188" t="s">
        <v>427</v>
      </c>
      <c r="L2100" s="188" t="s">
        <v>736</v>
      </c>
      <c r="M2100" s="192">
        <f t="shared" si="96"/>
        <v>25</v>
      </c>
      <c r="N2100" s="193">
        <f t="shared" si="97"/>
        <v>0.99206349206349209</v>
      </c>
      <c r="O2100" s="194">
        <f t="shared" si="98"/>
        <v>3.968253968253968E-2</v>
      </c>
    </row>
    <row r="2101" spans="1:15" ht="12.75" customHeight="1">
      <c r="A2101" s="188" t="s">
        <v>620</v>
      </c>
      <c r="B2101" s="188" t="s">
        <v>3435</v>
      </c>
      <c r="C2101" s="188" t="s">
        <v>650</v>
      </c>
      <c r="D2101" s="188" t="s">
        <v>3559</v>
      </c>
      <c r="E2101" s="189">
        <v>39254</v>
      </c>
      <c r="F2101" s="190">
        <v>2306</v>
      </c>
      <c r="G2101" s="190">
        <v>0</v>
      </c>
      <c r="H2101" s="191">
        <v>1600</v>
      </c>
      <c r="I2101" s="191">
        <v>720</v>
      </c>
      <c r="J2101" s="188" t="s">
        <v>624</v>
      </c>
      <c r="K2101" s="188" t="s">
        <v>427</v>
      </c>
      <c r="L2101" s="188" t="s">
        <v>625</v>
      </c>
      <c r="M2101" s="192">
        <f t="shared" si="96"/>
        <v>25</v>
      </c>
      <c r="N2101" s="193">
        <f t="shared" si="97"/>
        <v>1</v>
      </c>
      <c r="O2101" s="194">
        <f t="shared" si="98"/>
        <v>0.04</v>
      </c>
    </row>
    <row r="2102" spans="1:15" ht="12.75" customHeight="1">
      <c r="A2102" s="188" t="s">
        <v>620</v>
      </c>
      <c r="B2102" s="188" t="s">
        <v>3435</v>
      </c>
      <c r="C2102" s="188" t="s">
        <v>650</v>
      </c>
      <c r="D2102" s="188" t="s">
        <v>3560</v>
      </c>
      <c r="E2102" s="189">
        <v>39254</v>
      </c>
      <c r="F2102" s="190">
        <v>3458</v>
      </c>
      <c r="G2102" s="190">
        <v>0</v>
      </c>
      <c r="H2102" s="191">
        <v>2400</v>
      </c>
      <c r="I2102" s="191">
        <v>1080</v>
      </c>
      <c r="J2102" s="188" t="s">
        <v>624</v>
      </c>
      <c r="K2102" s="188" t="s">
        <v>427</v>
      </c>
      <c r="L2102" s="188" t="s">
        <v>539</v>
      </c>
      <c r="M2102" s="192">
        <f t="shared" si="96"/>
        <v>25</v>
      </c>
      <c r="N2102" s="193">
        <f t="shared" si="97"/>
        <v>1</v>
      </c>
      <c r="O2102" s="194">
        <f t="shared" si="98"/>
        <v>0.04</v>
      </c>
    </row>
    <row r="2103" spans="1:15" ht="12.75" customHeight="1">
      <c r="A2103" s="188" t="s">
        <v>620</v>
      </c>
      <c r="B2103" s="188" t="s">
        <v>3435</v>
      </c>
      <c r="C2103" s="188" t="s">
        <v>650</v>
      </c>
      <c r="D2103" s="188" t="s">
        <v>3561</v>
      </c>
      <c r="E2103" s="189">
        <v>39331</v>
      </c>
      <c r="F2103" s="190">
        <v>2306</v>
      </c>
      <c r="G2103" s="190">
        <v>0</v>
      </c>
      <c r="H2103" s="191">
        <v>1600</v>
      </c>
      <c r="I2103" s="191">
        <v>720</v>
      </c>
      <c r="J2103" s="188" t="s">
        <v>624</v>
      </c>
      <c r="K2103" s="188" t="s">
        <v>427</v>
      </c>
      <c r="L2103" s="188" t="s">
        <v>625</v>
      </c>
      <c r="M2103" s="192">
        <f t="shared" si="96"/>
        <v>25</v>
      </c>
      <c r="N2103" s="193">
        <f t="shared" si="97"/>
        <v>1</v>
      </c>
      <c r="O2103" s="194">
        <f t="shared" si="98"/>
        <v>0.04</v>
      </c>
    </row>
    <row r="2104" spans="1:15" ht="12.75" customHeight="1">
      <c r="A2104" s="188" t="s">
        <v>620</v>
      </c>
      <c r="B2104" s="188" t="s">
        <v>3435</v>
      </c>
      <c r="C2104" s="188" t="s">
        <v>650</v>
      </c>
      <c r="D2104" s="188" t="s">
        <v>3562</v>
      </c>
      <c r="E2104" s="189">
        <v>39590</v>
      </c>
      <c r="F2104" s="190">
        <v>1395</v>
      </c>
      <c r="G2104" s="190">
        <v>0</v>
      </c>
      <c r="H2104" s="191">
        <v>984.29</v>
      </c>
      <c r="I2104" s="191">
        <v>435.6</v>
      </c>
      <c r="J2104" s="188" t="s">
        <v>624</v>
      </c>
      <c r="K2104" s="188" t="s">
        <v>427</v>
      </c>
      <c r="L2104" s="188" t="s">
        <v>2777</v>
      </c>
      <c r="M2104" s="192">
        <f t="shared" si="96"/>
        <v>25</v>
      </c>
      <c r="N2104" s="193">
        <f t="shared" si="97"/>
        <v>1.0168285123966943</v>
      </c>
      <c r="O2104" s="194">
        <f t="shared" si="98"/>
        <v>4.0673140495867767E-2</v>
      </c>
    </row>
    <row r="2105" spans="1:15" ht="12.75" customHeight="1">
      <c r="A2105" s="188" t="s">
        <v>620</v>
      </c>
      <c r="B2105" s="188" t="s">
        <v>3435</v>
      </c>
      <c r="C2105" s="188" t="s">
        <v>650</v>
      </c>
      <c r="D2105" s="188" t="s">
        <v>3563</v>
      </c>
      <c r="E2105" s="189">
        <v>39296</v>
      </c>
      <c r="F2105" s="190">
        <v>2451</v>
      </c>
      <c r="G2105" s="190">
        <v>0</v>
      </c>
      <c r="H2105" s="191">
        <v>1729.92</v>
      </c>
      <c r="I2105" s="191">
        <v>765.45</v>
      </c>
      <c r="J2105" s="188" t="s">
        <v>624</v>
      </c>
      <c r="K2105" s="188" t="s">
        <v>427</v>
      </c>
      <c r="L2105" s="188" t="s">
        <v>3564</v>
      </c>
      <c r="M2105" s="192">
        <f t="shared" si="96"/>
        <v>25</v>
      </c>
      <c r="N2105" s="193">
        <f t="shared" si="97"/>
        <v>1.0170017636684303</v>
      </c>
      <c r="O2105" s="194">
        <f t="shared" si="98"/>
        <v>4.068007054673721E-2</v>
      </c>
    </row>
    <row r="2106" spans="1:15" ht="12.75" customHeight="1">
      <c r="A2106" s="188" t="s">
        <v>620</v>
      </c>
      <c r="B2106" s="188" t="s">
        <v>3435</v>
      </c>
      <c r="C2106" s="188" t="s">
        <v>650</v>
      </c>
      <c r="D2106" s="188" t="s">
        <v>3565</v>
      </c>
      <c r="E2106" s="189">
        <v>39520</v>
      </c>
      <c r="F2106" s="190">
        <v>1225</v>
      </c>
      <c r="G2106" s="190">
        <v>0</v>
      </c>
      <c r="H2106" s="191">
        <v>865</v>
      </c>
      <c r="I2106" s="191">
        <v>382.5</v>
      </c>
      <c r="J2106" s="188" t="s">
        <v>624</v>
      </c>
      <c r="K2106" s="188" t="s">
        <v>427</v>
      </c>
      <c r="L2106" s="188" t="s">
        <v>1170</v>
      </c>
      <c r="M2106" s="192">
        <f t="shared" si="96"/>
        <v>25</v>
      </c>
      <c r="N2106" s="193">
        <f t="shared" si="97"/>
        <v>1.0176470588235293</v>
      </c>
      <c r="O2106" s="194">
        <f t="shared" si="98"/>
        <v>4.0705882352941175E-2</v>
      </c>
    </row>
    <row r="2107" spans="1:15" ht="12.75" customHeight="1">
      <c r="A2107" s="188" t="s">
        <v>620</v>
      </c>
      <c r="B2107" s="188" t="s">
        <v>3435</v>
      </c>
      <c r="C2107" s="188" t="s">
        <v>650</v>
      </c>
      <c r="D2107" s="188" t="s">
        <v>3566</v>
      </c>
      <c r="E2107" s="189">
        <v>39618</v>
      </c>
      <c r="F2107" s="190">
        <v>484</v>
      </c>
      <c r="G2107" s="190">
        <v>0</v>
      </c>
      <c r="H2107" s="191">
        <v>411</v>
      </c>
      <c r="I2107" s="191">
        <v>151.19999999999999</v>
      </c>
      <c r="J2107" s="188" t="s">
        <v>624</v>
      </c>
      <c r="K2107" s="188" t="s">
        <v>257</v>
      </c>
      <c r="L2107" s="188" t="s">
        <v>3238</v>
      </c>
      <c r="M2107" s="192">
        <f t="shared" si="96"/>
        <v>30</v>
      </c>
      <c r="N2107" s="193">
        <f t="shared" si="97"/>
        <v>1.2232142857142858</v>
      </c>
      <c r="O2107" s="194">
        <f t="shared" si="98"/>
        <v>4.0773809523809525E-2</v>
      </c>
    </row>
    <row r="2108" spans="1:15" ht="12.75" customHeight="1">
      <c r="A2108" s="188" t="s">
        <v>620</v>
      </c>
      <c r="B2108" s="188" t="s">
        <v>3435</v>
      </c>
      <c r="C2108" s="188" t="s">
        <v>650</v>
      </c>
      <c r="D2108" s="188" t="s">
        <v>3567</v>
      </c>
      <c r="E2108" s="189">
        <v>39447</v>
      </c>
      <c r="F2108" s="190">
        <v>994</v>
      </c>
      <c r="G2108" s="190">
        <v>0</v>
      </c>
      <c r="H2108" s="191">
        <v>705</v>
      </c>
      <c r="I2108" s="191">
        <v>310.5</v>
      </c>
      <c r="J2108" s="188" t="s">
        <v>624</v>
      </c>
      <c r="K2108" s="188" t="s">
        <v>427</v>
      </c>
      <c r="L2108" s="188" t="s">
        <v>3292</v>
      </c>
      <c r="M2108" s="192">
        <f t="shared" si="96"/>
        <v>25</v>
      </c>
      <c r="N2108" s="193">
        <f t="shared" si="97"/>
        <v>1.0217391304347827</v>
      </c>
      <c r="O2108" s="194">
        <f t="shared" si="98"/>
        <v>4.086956521739131E-2</v>
      </c>
    </row>
    <row r="2109" spans="1:15" ht="12.75" customHeight="1">
      <c r="A2109" s="188" t="s">
        <v>620</v>
      </c>
      <c r="B2109" s="188" t="s">
        <v>3435</v>
      </c>
      <c r="C2109" s="188" t="s">
        <v>650</v>
      </c>
      <c r="D2109" s="188" t="s">
        <v>3568</v>
      </c>
      <c r="E2109" s="189">
        <v>39429</v>
      </c>
      <c r="F2109" s="190">
        <v>2882</v>
      </c>
      <c r="G2109" s="190">
        <v>0</v>
      </c>
      <c r="H2109" s="191">
        <v>2070</v>
      </c>
      <c r="I2109" s="191">
        <v>900</v>
      </c>
      <c r="J2109" s="188" t="s">
        <v>624</v>
      </c>
      <c r="K2109" s="188" t="s">
        <v>427</v>
      </c>
      <c r="L2109" s="188" t="s">
        <v>756</v>
      </c>
      <c r="M2109" s="192">
        <f t="shared" si="96"/>
        <v>25</v>
      </c>
      <c r="N2109" s="193">
        <f t="shared" si="97"/>
        <v>1.0349999999999999</v>
      </c>
      <c r="O2109" s="194">
        <f t="shared" si="98"/>
        <v>4.1399999999999999E-2</v>
      </c>
    </row>
    <row r="2110" spans="1:15" ht="12.75" customHeight="1">
      <c r="A2110" s="188" t="s">
        <v>620</v>
      </c>
      <c r="B2110" s="188" t="s">
        <v>3435</v>
      </c>
      <c r="C2110" s="188" t="s">
        <v>650</v>
      </c>
      <c r="D2110" s="188" t="s">
        <v>3569</v>
      </c>
      <c r="E2110" s="189">
        <v>39233</v>
      </c>
      <c r="F2110" s="190">
        <v>1205</v>
      </c>
      <c r="G2110" s="190">
        <v>0</v>
      </c>
      <c r="H2110" s="191">
        <v>869.02</v>
      </c>
      <c r="I2110" s="191">
        <v>376.2</v>
      </c>
      <c r="J2110" s="188" t="s">
        <v>624</v>
      </c>
      <c r="K2110" s="188" t="s">
        <v>427</v>
      </c>
      <c r="L2110" s="188" t="s">
        <v>1040</v>
      </c>
      <c r="M2110" s="192">
        <f t="shared" si="96"/>
        <v>25</v>
      </c>
      <c r="N2110" s="193">
        <f t="shared" si="97"/>
        <v>1.0394976076555025</v>
      </c>
      <c r="O2110" s="194">
        <f t="shared" si="98"/>
        <v>4.1579904306220099E-2</v>
      </c>
    </row>
    <row r="2111" spans="1:15" ht="12.75" customHeight="1">
      <c r="A2111" s="188" t="s">
        <v>620</v>
      </c>
      <c r="B2111" s="188" t="s">
        <v>3435</v>
      </c>
      <c r="C2111" s="188" t="s">
        <v>650</v>
      </c>
      <c r="D2111" s="188" t="s">
        <v>3570</v>
      </c>
      <c r="E2111" s="189">
        <v>39576</v>
      </c>
      <c r="F2111" s="190">
        <v>2478</v>
      </c>
      <c r="G2111" s="190">
        <v>0</v>
      </c>
      <c r="H2111" s="191">
        <v>1792</v>
      </c>
      <c r="I2111" s="191">
        <v>773.55</v>
      </c>
      <c r="J2111" s="188" t="s">
        <v>624</v>
      </c>
      <c r="K2111" s="188" t="s">
        <v>427</v>
      </c>
      <c r="L2111" s="188" t="s">
        <v>1336</v>
      </c>
      <c r="M2111" s="192">
        <f t="shared" si="96"/>
        <v>25</v>
      </c>
      <c r="N2111" s="193">
        <f t="shared" si="97"/>
        <v>1.0424665503199535</v>
      </c>
      <c r="O2111" s="194">
        <f t="shared" si="98"/>
        <v>4.1698662012798142E-2</v>
      </c>
    </row>
    <row r="2112" spans="1:15" ht="12.75" customHeight="1">
      <c r="A2112" s="188" t="s">
        <v>620</v>
      </c>
      <c r="B2112" s="188" t="s">
        <v>3435</v>
      </c>
      <c r="C2112" s="188" t="s">
        <v>650</v>
      </c>
      <c r="D2112" s="188" t="s">
        <v>3571</v>
      </c>
      <c r="E2112" s="189">
        <v>39436</v>
      </c>
      <c r="F2112" s="190">
        <v>2393</v>
      </c>
      <c r="G2112" s="190">
        <v>0</v>
      </c>
      <c r="H2112" s="191">
        <v>1732</v>
      </c>
      <c r="I2112" s="191">
        <v>747</v>
      </c>
      <c r="J2112" s="188" t="s">
        <v>624</v>
      </c>
      <c r="K2112" s="188" t="s">
        <v>427</v>
      </c>
      <c r="L2112" s="188" t="s">
        <v>1298</v>
      </c>
      <c r="M2112" s="192">
        <f t="shared" si="96"/>
        <v>25</v>
      </c>
      <c r="N2112" s="193">
        <f t="shared" si="97"/>
        <v>1.0433734939759036</v>
      </c>
      <c r="O2112" s="194">
        <f t="shared" si="98"/>
        <v>4.1734939759036145E-2</v>
      </c>
    </row>
    <row r="2113" spans="1:15" ht="12.75" customHeight="1">
      <c r="A2113" s="188" t="s">
        <v>620</v>
      </c>
      <c r="B2113" s="188" t="s">
        <v>3435</v>
      </c>
      <c r="C2113" s="188" t="s">
        <v>650</v>
      </c>
      <c r="D2113" s="188" t="s">
        <v>3572</v>
      </c>
      <c r="E2113" s="189">
        <v>39447</v>
      </c>
      <c r="F2113" s="190">
        <v>740</v>
      </c>
      <c r="G2113" s="190">
        <v>0</v>
      </c>
      <c r="H2113" s="191">
        <v>408.24</v>
      </c>
      <c r="I2113" s="191">
        <v>231.3</v>
      </c>
      <c r="J2113" s="188" t="s">
        <v>624</v>
      </c>
      <c r="K2113" s="188" t="s">
        <v>667</v>
      </c>
      <c r="L2113" s="188" t="s">
        <v>3125</v>
      </c>
      <c r="M2113" s="192">
        <f t="shared" si="96"/>
        <v>19</v>
      </c>
      <c r="N2113" s="193">
        <f t="shared" si="97"/>
        <v>0.79424124513618677</v>
      </c>
      <c r="O2113" s="194">
        <f t="shared" si="98"/>
        <v>4.1802170796641412E-2</v>
      </c>
    </row>
    <row r="2114" spans="1:15" ht="12.75" customHeight="1">
      <c r="A2114" s="188" t="s">
        <v>620</v>
      </c>
      <c r="B2114" s="188" t="s">
        <v>3435</v>
      </c>
      <c r="C2114" s="188" t="s">
        <v>650</v>
      </c>
      <c r="D2114" s="188" t="s">
        <v>3573</v>
      </c>
      <c r="E2114" s="189">
        <v>39447</v>
      </c>
      <c r="F2114" s="190">
        <v>4266</v>
      </c>
      <c r="G2114" s="190">
        <v>0</v>
      </c>
      <c r="H2114" s="191">
        <v>3096</v>
      </c>
      <c r="I2114" s="191">
        <v>1332</v>
      </c>
      <c r="J2114" s="188" t="s">
        <v>624</v>
      </c>
      <c r="K2114" s="188" t="s">
        <v>427</v>
      </c>
      <c r="L2114" s="188" t="s">
        <v>788</v>
      </c>
      <c r="M2114" s="192">
        <f t="shared" ref="M2114:M2177" si="99">K2114-J2114</f>
        <v>25</v>
      </c>
      <c r="N2114" s="193">
        <f t="shared" ref="N2114:N2177" si="100">H2114/L2114</f>
        <v>1.0459459459459459</v>
      </c>
      <c r="O2114" s="194">
        <f t="shared" ref="O2114:O2177" si="101">N2114/M2114</f>
        <v>4.1837837837837837E-2</v>
      </c>
    </row>
    <row r="2115" spans="1:15" ht="12.75" customHeight="1">
      <c r="A2115" s="188" t="s">
        <v>620</v>
      </c>
      <c r="B2115" s="188" t="s">
        <v>3435</v>
      </c>
      <c r="C2115" s="188" t="s">
        <v>650</v>
      </c>
      <c r="D2115" s="188" t="s">
        <v>3574</v>
      </c>
      <c r="E2115" s="189">
        <v>39380</v>
      </c>
      <c r="F2115" s="190">
        <v>1660</v>
      </c>
      <c r="G2115" s="190">
        <v>0</v>
      </c>
      <c r="H2115" s="191">
        <v>916</v>
      </c>
      <c r="I2115" s="191">
        <v>518.4</v>
      </c>
      <c r="J2115" s="188" t="s">
        <v>624</v>
      </c>
      <c r="K2115" s="188" t="s">
        <v>667</v>
      </c>
      <c r="L2115" s="188" t="s">
        <v>952</v>
      </c>
      <c r="M2115" s="192">
        <f t="shared" si="99"/>
        <v>19</v>
      </c>
      <c r="N2115" s="193">
        <f t="shared" si="100"/>
        <v>0.79513888888888884</v>
      </c>
      <c r="O2115" s="194">
        <f t="shared" si="101"/>
        <v>4.1849415204678359E-2</v>
      </c>
    </row>
    <row r="2116" spans="1:15" ht="12.75" customHeight="1">
      <c r="A2116" s="188" t="s">
        <v>620</v>
      </c>
      <c r="B2116" s="188" t="s">
        <v>3435</v>
      </c>
      <c r="C2116" s="188" t="s">
        <v>650</v>
      </c>
      <c r="D2116" s="188" t="s">
        <v>3575</v>
      </c>
      <c r="E2116" s="189">
        <v>39447</v>
      </c>
      <c r="F2116" s="190">
        <v>1101</v>
      </c>
      <c r="G2116" s="190">
        <v>0</v>
      </c>
      <c r="H2116" s="191">
        <v>800</v>
      </c>
      <c r="I2116" s="191">
        <v>343.8</v>
      </c>
      <c r="J2116" s="188" t="s">
        <v>624</v>
      </c>
      <c r="K2116" s="188" t="s">
        <v>427</v>
      </c>
      <c r="L2116" s="188" t="s">
        <v>3289</v>
      </c>
      <c r="M2116" s="192">
        <f t="shared" si="99"/>
        <v>25</v>
      </c>
      <c r="N2116" s="193">
        <f t="shared" si="100"/>
        <v>1.0471204188481675</v>
      </c>
      <c r="O2116" s="194">
        <f t="shared" si="101"/>
        <v>4.1884816753926704E-2</v>
      </c>
    </row>
    <row r="2117" spans="1:15" ht="12.75" customHeight="1">
      <c r="A2117" s="188" t="s">
        <v>620</v>
      </c>
      <c r="B2117" s="188" t="s">
        <v>3435</v>
      </c>
      <c r="C2117" s="188" t="s">
        <v>650</v>
      </c>
      <c r="D2117" s="188" t="s">
        <v>3576</v>
      </c>
      <c r="E2117" s="189">
        <v>39507</v>
      </c>
      <c r="F2117" s="190">
        <v>3251</v>
      </c>
      <c r="G2117" s="190">
        <v>0</v>
      </c>
      <c r="H2117" s="191">
        <v>2368</v>
      </c>
      <c r="I2117" s="191">
        <v>1015.2</v>
      </c>
      <c r="J2117" s="188" t="s">
        <v>624</v>
      </c>
      <c r="K2117" s="188" t="s">
        <v>427</v>
      </c>
      <c r="L2117" s="188" t="s">
        <v>3577</v>
      </c>
      <c r="M2117" s="192">
        <f t="shared" si="99"/>
        <v>25</v>
      </c>
      <c r="N2117" s="193">
        <f t="shared" si="100"/>
        <v>1.0496453900709219</v>
      </c>
      <c r="O2117" s="194">
        <f t="shared" si="101"/>
        <v>4.198581560283688E-2</v>
      </c>
    </row>
    <row r="2118" spans="1:15" ht="12.75" customHeight="1">
      <c r="A2118" s="188" t="s">
        <v>620</v>
      </c>
      <c r="B2118" s="188" t="s">
        <v>3435</v>
      </c>
      <c r="C2118" s="188" t="s">
        <v>650</v>
      </c>
      <c r="D2118" s="188" t="s">
        <v>3578</v>
      </c>
      <c r="E2118" s="189">
        <v>39422</v>
      </c>
      <c r="F2118" s="190">
        <v>1153</v>
      </c>
      <c r="G2118" s="190">
        <v>0</v>
      </c>
      <c r="H2118" s="191">
        <v>840</v>
      </c>
      <c r="I2118" s="191">
        <v>360</v>
      </c>
      <c r="J2118" s="188" t="s">
        <v>624</v>
      </c>
      <c r="K2118" s="188" t="s">
        <v>427</v>
      </c>
      <c r="L2118" s="188" t="s">
        <v>752</v>
      </c>
      <c r="M2118" s="192">
        <f t="shared" si="99"/>
        <v>25</v>
      </c>
      <c r="N2118" s="193">
        <f t="shared" si="100"/>
        <v>1.05</v>
      </c>
      <c r="O2118" s="194">
        <f t="shared" si="101"/>
        <v>4.2000000000000003E-2</v>
      </c>
    </row>
    <row r="2119" spans="1:15" ht="12.75" customHeight="1">
      <c r="A2119" s="188" t="s">
        <v>620</v>
      </c>
      <c r="B2119" s="188" t="s">
        <v>3435</v>
      </c>
      <c r="C2119" s="188" t="s">
        <v>650</v>
      </c>
      <c r="D2119" s="188" t="s">
        <v>3579</v>
      </c>
      <c r="E2119" s="189">
        <v>39507</v>
      </c>
      <c r="F2119" s="190">
        <v>1279</v>
      </c>
      <c r="G2119" s="190">
        <v>0</v>
      </c>
      <c r="H2119" s="191">
        <v>937</v>
      </c>
      <c r="I2119" s="191">
        <v>399.6</v>
      </c>
      <c r="J2119" s="188" t="s">
        <v>624</v>
      </c>
      <c r="K2119" s="188" t="s">
        <v>427</v>
      </c>
      <c r="L2119" s="188" t="s">
        <v>2079</v>
      </c>
      <c r="M2119" s="192">
        <f t="shared" si="99"/>
        <v>25</v>
      </c>
      <c r="N2119" s="193">
        <f t="shared" si="100"/>
        <v>1.0551801801801801</v>
      </c>
      <c r="O2119" s="194">
        <f t="shared" si="101"/>
        <v>4.2207207207207206E-2</v>
      </c>
    </row>
    <row r="2120" spans="1:15" ht="12.75" customHeight="1">
      <c r="A2120" s="188" t="s">
        <v>620</v>
      </c>
      <c r="B2120" s="188" t="s">
        <v>3435</v>
      </c>
      <c r="C2120" s="188" t="s">
        <v>650</v>
      </c>
      <c r="D2120" s="188" t="s">
        <v>3580</v>
      </c>
      <c r="E2120" s="189">
        <v>39331</v>
      </c>
      <c r="F2120" s="190">
        <v>1274</v>
      </c>
      <c r="G2120" s="190">
        <v>0</v>
      </c>
      <c r="H2120" s="191">
        <v>935.01</v>
      </c>
      <c r="I2120" s="191">
        <v>397.8</v>
      </c>
      <c r="J2120" s="188" t="s">
        <v>624</v>
      </c>
      <c r="K2120" s="188" t="s">
        <v>427</v>
      </c>
      <c r="L2120" s="188" t="s">
        <v>3581</v>
      </c>
      <c r="M2120" s="192">
        <f t="shared" si="99"/>
        <v>25</v>
      </c>
      <c r="N2120" s="193">
        <f t="shared" si="100"/>
        <v>1.0577036199095022</v>
      </c>
      <c r="O2120" s="194">
        <f t="shared" si="101"/>
        <v>4.2308144796380093E-2</v>
      </c>
    </row>
    <row r="2121" spans="1:15" ht="12.75" customHeight="1">
      <c r="A2121" s="188" t="s">
        <v>620</v>
      </c>
      <c r="B2121" s="188" t="s">
        <v>3435</v>
      </c>
      <c r="C2121" s="188" t="s">
        <v>650</v>
      </c>
      <c r="D2121" s="188" t="s">
        <v>3582</v>
      </c>
      <c r="E2121" s="189">
        <v>39395</v>
      </c>
      <c r="F2121" s="190">
        <v>1333</v>
      </c>
      <c r="G2121" s="190">
        <v>0</v>
      </c>
      <c r="H2121" s="191">
        <v>1175</v>
      </c>
      <c r="I2121" s="191">
        <v>416.25</v>
      </c>
      <c r="J2121" s="188" t="s">
        <v>624</v>
      </c>
      <c r="K2121" s="188" t="s">
        <v>257</v>
      </c>
      <c r="L2121" s="188" t="s">
        <v>3583</v>
      </c>
      <c r="M2121" s="192">
        <f t="shared" si="99"/>
        <v>30</v>
      </c>
      <c r="N2121" s="193">
        <f t="shared" si="100"/>
        <v>1.2702702702702702</v>
      </c>
      <c r="O2121" s="194">
        <f t="shared" si="101"/>
        <v>4.234234234234234E-2</v>
      </c>
    </row>
    <row r="2122" spans="1:15" ht="12.75" customHeight="1">
      <c r="A2122" s="188" t="s">
        <v>620</v>
      </c>
      <c r="B2122" s="188" t="s">
        <v>3435</v>
      </c>
      <c r="C2122" s="188" t="s">
        <v>650</v>
      </c>
      <c r="D2122" s="188" t="s">
        <v>3584</v>
      </c>
      <c r="E2122" s="189">
        <v>39492</v>
      </c>
      <c r="F2122" s="190">
        <v>1953</v>
      </c>
      <c r="G2122" s="190">
        <v>0</v>
      </c>
      <c r="H2122" s="191">
        <v>1445</v>
      </c>
      <c r="I2122" s="191">
        <v>609.75</v>
      </c>
      <c r="J2122" s="188" t="s">
        <v>624</v>
      </c>
      <c r="K2122" s="188" t="s">
        <v>427</v>
      </c>
      <c r="L2122" s="188" t="s">
        <v>1586</v>
      </c>
      <c r="M2122" s="192">
        <f t="shared" si="99"/>
        <v>25</v>
      </c>
      <c r="N2122" s="193">
        <f t="shared" si="100"/>
        <v>1.0664206642066421</v>
      </c>
      <c r="O2122" s="194">
        <f t="shared" si="101"/>
        <v>4.2656826568265679E-2</v>
      </c>
    </row>
    <row r="2123" spans="1:15" ht="12.75" customHeight="1">
      <c r="A2123" s="188" t="s">
        <v>620</v>
      </c>
      <c r="B2123" s="188" t="s">
        <v>3435</v>
      </c>
      <c r="C2123" s="188" t="s">
        <v>650</v>
      </c>
      <c r="D2123" s="188" t="s">
        <v>3585</v>
      </c>
      <c r="E2123" s="189">
        <v>39226</v>
      </c>
      <c r="F2123" s="190">
        <v>1724</v>
      </c>
      <c r="G2123" s="190">
        <v>0</v>
      </c>
      <c r="H2123" s="191">
        <v>1076.04</v>
      </c>
      <c r="I2123" s="191">
        <v>538.20000000000005</v>
      </c>
      <c r="J2123" s="188" t="s">
        <v>624</v>
      </c>
      <c r="K2123" s="188" t="s">
        <v>1344</v>
      </c>
      <c r="L2123" s="188" t="s">
        <v>812</v>
      </c>
      <c r="M2123" s="192">
        <f t="shared" si="99"/>
        <v>21</v>
      </c>
      <c r="N2123" s="193">
        <f t="shared" si="100"/>
        <v>0.89969899665551833</v>
      </c>
      <c r="O2123" s="194">
        <f t="shared" si="101"/>
        <v>4.2842809364548491E-2</v>
      </c>
    </row>
    <row r="2124" spans="1:15" ht="12.75" customHeight="1">
      <c r="A2124" s="188" t="s">
        <v>620</v>
      </c>
      <c r="B2124" s="188" t="s">
        <v>3435</v>
      </c>
      <c r="C2124" s="188" t="s">
        <v>650</v>
      </c>
      <c r="D2124" s="188" t="s">
        <v>3586</v>
      </c>
      <c r="E2124" s="189">
        <v>39269</v>
      </c>
      <c r="F2124" s="190">
        <v>3848</v>
      </c>
      <c r="G2124" s="190">
        <v>0</v>
      </c>
      <c r="H2124" s="191">
        <v>2403</v>
      </c>
      <c r="I2124" s="191">
        <v>1201.5</v>
      </c>
      <c r="J2124" s="188" t="s">
        <v>624</v>
      </c>
      <c r="K2124" s="188" t="s">
        <v>1344</v>
      </c>
      <c r="L2124" s="188" t="s">
        <v>3587</v>
      </c>
      <c r="M2124" s="192">
        <f t="shared" si="99"/>
        <v>21</v>
      </c>
      <c r="N2124" s="193">
        <f t="shared" si="100"/>
        <v>0.9</v>
      </c>
      <c r="O2124" s="194">
        <f t="shared" si="101"/>
        <v>4.2857142857142858E-2</v>
      </c>
    </row>
    <row r="2125" spans="1:15" ht="12.75" customHeight="1">
      <c r="A2125" s="188" t="s">
        <v>620</v>
      </c>
      <c r="B2125" s="188" t="s">
        <v>3435</v>
      </c>
      <c r="C2125" s="188" t="s">
        <v>650</v>
      </c>
      <c r="D2125" s="188" t="s">
        <v>3588</v>
      </c>
      <c r="E2125" s="189">
        <v>39447</v>
      </c>
      <c r="F2125" s="190">
        <v>1616</v>
      </c>
      <c r="G2125" s="190">
        <v>0</v>
      </c>
      <c r="H2125" s="191">
        <v>1009</v>
      </c>
      <c r="I2125" s="191">
        <v>504.45</v>
      </c>
      <c r="J2125" s="188" t="s">
        <v>624</v>
      </c>
      <c r="K2125" s="188" t="s">
        <v>1344</v>
      </c>
      <c r="L2125" s="188" t="s">
        <v>3006</v>
      </c>
      <c r="M2125" s="192">
        <f t="shared" si="99"/>
        <v>21</v>
      </c>
      <c r="N2125" s="193">
        <f t="shared" si="100"/>
        <v>0.9000892060660125</v>
      </c>
      <c r="O2125" s="194">
        <f t="shared" si="101"/>
        <v>4.2861390765048211E-2</v>
      </c>
    </row>
    <row r="2126" spans="1:15" ht="12.75" customHeight="1">
      <c r="A2126" s="188" t="s">
        <v>620</v>
      </c>
      <c r="B2126" s="188" t="s">
        <v>3435</v>
      </c>
      <c r="C2126" s="188" t="s">
        <v>650</v>
      </c>
      <c r="D2126" s="188" t="s">
        <v>3589</v>
      </c>
      <c r="E2126" s="189">
        <v>39303</v>
      </c>
      <c r="F2126" s="190">
        <v>1181</v>
      </c>
      <c r="G2126" s="190">
        <v>0</v>
      </c>
      <c r="H2126" s="191">
        <v>881.01</v>
      </c>
      <c r="I2126" s="191">
        <v>369</v>
      </c>
      <c r="J2126" s="188" t="s">
        <v>624</v>
      </c>
      <c r="K2126" s="188" t="s">
        <v>427</v>
      </c>
      <c r="L2126" s="188" t="s">
        <v>1003</v>
      </c>
      <c r="M2126" s="192">
        <f t="shared" si="99"/>
        <v>25</v>
      </c>
      <c r="N2126" s="193">
        <f t="shared" si="100"/>
        <v>1.0744024390243903</v>
      </c>
      <c r="O2126" s="194">
        <f t="shared" si="101"/>
        <v>4.2976097560975611E-2</v>
      </c>
    </row>
    <row r="2127" spans="1:15" ht="12.75" customHeight="1">
      <c r="A2127" s="188" t="s">
        <v>620</v>
      </c>
      <c r="B2127" s="188" t="s">
        <v>3435</v>
      </c>
      <c r="C2127" s="188" t="s">
        <v>650</v>
      </c>
      <c r="D2127" s="188" t="s">
        <v>3590</v>
      </c>
      <c r="E2127" s="189">
        <v>39447</v>
      </c>
      <c r="F2127" s="190">
        <v>2378</v>
      </c>
      <c r="G2127" s="190">
        <v>0</v>
      </c>
      <c r="H2127" s="191">
        <v>1792</v>
      </c>
      <c r="I2127" s="191">
        <v>742.5</v>
      </c>
      <c r="J2127" s="188" t="s">
        <v>624</v>
      </c>
      <c r="K2127" s="188" t="s">
        <v>427</v>
      </c>
      <c r="L2127" s="188" t="s">
        <v>885</v>
      </c>
      <c r="M2127" s="192">
        <f t="shared" si="99"/>
        <v>25</v>
      </c>
      <c r="N2127" s="193">
        <f t="shared" si="100"/>
        <v>1.0860606060606062</v>
      </c>
      <c r="O2127" s="194">
        <f t="shared" si="101"/>
        <v>4.3442424242424248E-2</v>
      </c>
    </row>
    <row r="2128" spans="1:15" ht="12.75" customHeight="1">
      <c r="A2128" s="188" t="s">
        <v>620</v>
      </c>
      <c r="B2128" s="188" t="s">
        <v>3435</v>
      </c>
      <c r="C2128" s="188" t="s">
        <v>650</v>
      </c>
      <c r="D2128" s="188" t="s">
        <v>3591</v>
      </c>
      <c r="E2128" s="189">
        <v>39359</v>
      </c>
      <c r="F2128" s="190">
        <v>2594</v>
      </c>
      <c r="G2128" s="190">
        <v>0</v>
      </c>
      <c r="H2128" s="191">
        <v>1955</v>
      </c>
      <c r="I2128" s="191">
        <v>810</v>
      </c>
      <c r="J2128" s="188" t="s">
        <v>624</v>
      </c>
      <c r="K2128" s="188" t="s">
        <v>427</v>
      </c>
      <c r="L2128" s="188" t="s">
        <v>718</v>
      </c>
      <c r="M2128" s="192">
        <f t="shared" si="99"/>
        <v>25</v>
      </c>
      <c r="N2128" s="193">
        <f t="shared" si="100"/>
        <v>1.086111111111111</v>
      </c>
      <c r="O2128" s="194">
        <f t="shared" si="101"/>
        <v>4.3444444444444438E-2</v>
      </c>
    </row>
    <row r="2129" spans="1:15" ht="12.75" customHeight="1">
      <c r="A2129" s="188" t="s">
        <v>620</v>
      </c>
      <c r="B2129" s="188" t="s">
        <v>3435</v>
      </c>
      <c r="C2129" s="188" t="s">
        <v>650</v>
      </c>
      <c r="D2129" s="188" t="s">
        <v>3592</v>
      </c>
      <c r="E2129" s="189">
        <v>39233</v>
      </c>
      <c r="F2129" s="190">
        <v>3227</v>
      </c>
      <c r="G2129" s="190">
        <v>0</v>
      </c>
      <c r="H2129" s="191">
        <v>2932.16</v>
      </c>
      <c r="I2129" s="191">
        <v>1008</v>
      </c>
      <c r="J2129" s="188" t="s">
        <v>624</v>
      </c>
      <c r="K2129" s="188" t="s">
        <v>257</v>
      </c>
      <c r="L2129" s="188" t="s">
        <v>3593</v>
      </c>
      <c r="M2129" s="192">
        <f t="shared" si="99"/>
        <v>30</v>
      </c>
      <c r="N2129" s="193">
        <f t="shared" si="100"/>
        <v>1.3089999999999999</v>
      </c>
      <c r="O2129" s="194">
        <f t="shared" si="101"/>
        <v>4.363333333333333E-2</v>
      </c>
    </row>
    <row r="2130" spans="1:15" ht="12.75" customHeight="1">
      <c r="A2130" s="188" t="s">
        <v>620</v>
      </c>
      <c r="B2130" s="188" t="s">
        <v>3435</v>
      </c>
      <c r="C2130" s="188" t="s">
        <v>650</v>
      </c>
      <c r="D2130" s="188" t="s">
        <v>3594</v>
      </c>
      <c r="E2130" s="189">
        <v>39429</v>
      </c>
      <c r="F2130" s="190">
        <v>1089</v>
      </c>
      <c r="G2130" s="190">
        <v>0</v>
      </c>
      <c r="H2130" s="191">
        <v>825</v>
      </c>
      <c r="I2130" s="191">
        <v>340.2</v>
      </c>
      <c r="J2130" s="188" t="s">
        <v>624</v>
      </c>
      <c r="K2130" s="188" t="s">
        <v>427</v>
      </c>
      <c r="L2130" s="188" t="s">
        <v>3595</v>
      </c>
      <c r="M2130" s="192">
        <f t="shared" si="99"/>
        <v>25</v>
      </c>
      <c r="N2130" s="193">
        <f t="shared" si="100"/>
        <v>1.0912698412698412</v>
      </c>
      <c r="O2130" s="194">
        <f t="shared" si="101"/>
        <v>4.3650793650793648E-2</v>
      </c>
    </row>
    <row r="2131" spans="1:15" ht="12.75" customHeight="1">
      <c r="A2131" s="188" t="s">
        <v>620</v>
      </c>
      <c r="B2131" s="188" t="s">
        <v>3435</v>
      </c>
      <c r="C2131" s="188" t="s">
        <v>650</v>
      </c>
      <c r="D2131" s="188" t="s">
        <v>3596</v>
      </c>
      <c r="E2131" s="189">
        <v>39583</v>
      </c>
      <c r="F2131" s="190">
        <v>2249</v>
      </c>
      <c r="G2131" s="190">
        <v>0</v>
      </c>
      <c r="H2131" s="191">
        <v>1715</v>
      </c>
      <c r="I2131" s="191">
        <v>702</v>
      </c>
      <c r="J2131" s="188" t="s">
        <v>624</v>
      </c>
      <c r="K2131" s="188" t="s">
        <v>427</v>
      </c>
      <c r="L2131" s="188" t="s">
        <v>797</v>
      </c>
      <c r="M2131" s="192">
        <f t="shared" si="99"/>
        <v>25</v>
      </c>
      <c r="N2131" s="193">
        <f t="shared" si="100"/>
        <v>1.0993589743589745</v>
      </c>
      <c r="O2131" s="194">
        <f t="shared" si="101"/>
        <v>4.3974358974358981E-2</v>
      </c>
    </row>
    <row r="2132" spans="1:15" ht="12.75" customHeight="1">
      <c r="A2132" s="188" t="s">
        <v>620</v>
      </c>
      <c r="B2132" s="188" t="s">
        <v>3435</v>
      </c>
      <c r="C2132" s="188" t="s">
        <v>650</v>
      </c>
      <c r="D2132" s="188" t="s">
        <v>3597</v>
      </c>
      <c r="E2132" s="189">
        <v>39632</v>
      </c>
      <c r="F2132" s="190">
        <v>1885</v>
      </c>
      <c r="G2132" s="190">
        <v>0</v>
      </c>
      <c r="H2132" s="191">
        <v>1440</v>
      </c>
      <c r="I2132" s="191">
        <v>588.6</v>
      </c>
      <c r="J2132" s="188" t="s">
        <v>624</v>
      </c>
      <c r="K2132" s="188" t="s">
        <v>427</v>
      </c>
      <c r="L2132" s="188" t="s">
        <v>3598</v>
      </c>
      <c r="M2132" s="192">
        <f t="shared" si="99"/>
        <v>25</v>
      </c>
      <c r="N2132" s="193">
        <f t="shared" si="100"/>
        <v>1.1009174311926606</v>
      </c>
      <c r="O2132" s="194">
        <f t="shared" si="101"/>
        <v>4.4036697247706424E-2</v>
      </c>
    </row>
    <row r="2133" spans="1:15" ht="12.75" customHeight="1">
      <c r="A2133" s="188" t="s">
        <v>620</v>
      </c>
      <c r="B2133" s="188" t="s">
        <v>3435</v>
      </c>
      <c r="C2133" s="188" t="s">
        <v>650</v>
      </c>
      <c r="D2133" s="188" t="s">
        <v>3599</v>
      </c>
      <c r="E2133" s="189">
        <v>39447</v>
      </c>
      <c r="F2133" s="190">
        <v>1427</v>
      </c>
      <c r="G2133" s="190">
        <v>0</v>
      </c>
      <c r="H2133" s="191">
        <v>1309</v>
      </c>
      <c r="I2133" s="191">
        <v>445.5</v>
      </c>
      <c r="J2133" s="188" t="s">
        <v>624</v>
      </c>
      <c r="K2133" s="188" t="s">
        <v>257</v>
      </c>
      <c r="L2133" s="188" t="s">
        <v>738</v>
      </c>
      <c r="M2133" s="192">
        <f t="shared" si="99"/>
        <v>30</v>
      </c>
      <c r="N2133" s="193">
        <f t="shared" si="100"/>
        <v>1.3222222222222222</v>
      </c>
      <c r="O2133" s="194">
        <f t="shared" si="101"/>
        <v>4.4074074074074071E-2</v>
      </c>
    </row>
    <row r="2134" spans="1:15" ht="12.75" customHeight="1">
      <c r="A2134" s="188" t="s">
        <v>620</v>
      </c>
      <c r="B2134" s="188" t="s">
        <v>3435</v>
      </c>
      <c r="C2134" s="188" t="s">
        <v>650</v>
      </c>
      <c r="D2134" s="188" t="s">
        <v>3600</v>
      </c>
      <c r="E2134" s="189">
        <v>39447</v>
      </c>
      <c r="F2134" s="190">
        <v>2035</v>
      </c>
      <c r="G2134" s="190">
        <v>0</v>
      </c>
      <c r="H2134" s="191">
        <v>1183</v>
      </c>
      <c r="I2134" s="191">
        <v>635.4</v>
      </c>
      <c r="J2134" s="188" t="s">
        <v>624</v>
      </c>
      <c r="K2134" s="188" t="s">
        <v>667</v>
      </c>
      <c r="L2134" s="188" t="s">
        <v>3601</v>
      </c>
      <c r="M2134" s="192">
        <f t="shared" si="99"/>
        <v>19</v>
      </c>
      <c r="N2134" s="193">
        <f t="shared" si="100"/>
        <v>0.83781869688385269</v>
      </c>
      <c r="O2134" s="194">
        <f t="shared" si="101"/>
        <v>4.4095720888623825E-2</v>
      </c>
    </row>
    <row r="2135" spans="1:15" ht="12.75" customHeight="1">
      <c r="A2135" s="188" t="s">
        <v>620</v>
      </c>
      <c r="B2135" s="188" t="s">
        <v>3435</v>
      </c>
      <c r="C2135" s="188" t="s">
        <v>650</v>
      </c>
      <c r="D2135" s="188" t="s">
        <v>3602</v>
      </c>
      <c r="E2135" s="189">
        <v>39366</v>
      </c>
      <c r="F2135" s="190">
        <v>1368</v>
      </c>
      <c r="G2135" s="190">
        <v>0</v>
      </c>
      <c r="H2135" s="191">
        <v>1050</v>
      </c>
      <c r="I2135" s="191">
        <v>427.5</v>
      </c>
      <c r="J2135" s="188" t="s">
        <v>624</v>
      </c>
      <c r="K2135" s="188" t="s">
        <v>427</v>
      </c>
      <c r="L2135" s="188" t="s">
        <v>1164</v>
      </c>
      <c r="M2135" s="192">
        <f t="shared" si="99"/>
        <v>25</v>
      </c>
      <c r="N2135" s="193">
        <f t="shared" si="100"/>
        <v>1.1052631578947369</v>
      </c>
      <c r="O2135" s="194">
        <f t="shared" si="101"/>
        <v>4.4210526315789478E-2</v>
      </c>
    </row>
    <row r="2136" spans="1:15" ht="12.75" customHeight="1">
      <c r="A2136" s="188" t="s">
        <v>620</v>
      </c>
      <c r="B2136" s="188" t="s">
        <v>3435</v>
      </c>
      <c r="C2136" s="188" t="s">
        <v>650</v>
      </c>
      <c r="D2136" s="188" t="s">
        <v>3603</v>
      </c>
      <c r="E2136" s="189">
        <v>39499</v>
      </c>
      <c r="F2136" s="190">
        <v>1354</v>
      </c>
      <c r="G2136" s="190">
        <v>0</v>
      </c>
      <c r="H2136" s="191">
        <v>1040</v>
      </c>
      <c r="I2136" s="191">
        <v>423</v>
      </c>
      <c r="J2136" s="188" t="s">
        <v>624</v>
      </c>
      <c r="K2136" s="188" t="s">
        <v>427</v>
      </c>
      <c r="L2136" s="188" t="s">
        <v>810</v>
      </c>
      <c r="M2136" s="192">
        <f t="shared" si="99"/>
        <v>25</v>
      </c>
      <c r="N2136" s="193">
        <f t="shared" si="100"/>
        <v>1.1063829787234043</v>
      </c>
      <c r="O2136" s="194">
        <f t="shared" si="101"/>
        <v>4.425531914893617E-2</v>
      </c>
    </row>
    <row r="2137" spans="1:15" ht="12.75" customHeight="1">
      <c r="A2137" s="188" t="s">
        <v>620</v>
      </c>
      <c r="B2137" s="188" t="s">
        <v>3435</v>
      </c>
      <c r="C2137" s="188" t="s">
        <v>650</v>
      </c>
      <c r="D2137" s="188" t="s">
        <v>3604</v>
      </c>
      <c r="E2137" s="189">
        <v>39387</v>
      </c>
      <c r="F2137" s="190">
        <v>1720</v>
      </c>
      <c r="G2137" s="190">
        <v>0</v>
      </c>
      <c r="H2137" s="191">
        <v>1326</v>
      </c>
      <c r="I2137" s="191">
        <v>537.29999999999995</v>
      </c>
      <c r="J2137" s="188" t="s">
        <v>624</v>
      </c>
      <c r="K2137" s="188" t="s">
        <v>427</v>
      </c>
      <c r="L2137" s="188" t="s">
        <v>3605</v>
      </c>
      <c r="M2137" s="192">
        <f t="shared" si="99"/>
        <v>25</v>
      </c>
      <c r="N2137" s="193">
        <f t="shared" si="100"/>
        <v>1.1105527638190955</v>
      </c>
      <c r="O2137" s="194">
        <f t="shared" si="101"/>
        <v>4.4422110552763822E-2</v>
      </c>
    </row>
    <row r="2138" spans="1:15" ht="12.75" customHeight="1">
      <c r="A2138" s="188" t="s">
        <v>620</v>
      </c>
      <c r="B2138" s="188" t="s">
        <v>3435</v>
      </c>
      <c r="C2138" s="188" t="s">
        <v>650</v>
      </c>
      <c r="D2138" s="188" t="s">
        <v>3606</v>
      </c>
      <c r="E2138" s="189">
        <v>39380</v>
      </c>
      <c r="F2138" s="190">
        <v>692</v>
      </c>
      <c r="G2138" s="190">
        <v>0</v>
      </c>
      <c r="H2138" s="191">
        <v>537</v>
      </c>
      <c r="I2138" s="191">
        <v>216</v>
      </c>
      <c r="J2138" s="188" t="s">
        <v>624</v>
      </c>
      <c r="K2138" s="188" t="s">
        <v>427</v>
      </c>
      <c r="L2138" s="188" t="s">
        <v>1129</v>
      </c>
      <c r="M2138" s="192">
        <f t="shared" si="99"/>
        <v>25</v>
      </c>
      <c r="N2138" s="193">
        <f t="shared" si="100"/>
        <v>1.1187499999999999</v>
      </c>
      <c r="O2138" s="194">
        <f t="shared" si="101"/>
        <v>4.4749999999999998E-2</v>
      </c>
    </row>
    <row r="2139" spans="1:15" ht="12.75" customHeight="1">
      <c r="A2139" s="188" t="s">
        <v>620</v>
      </c>
      <c r="B2139" s="188" t="s">
        <v>3435</v>
      </c>
      <c r="C2139" s="188" t="s">
        <v>650</v>
      </c>
      <c r="D2139" s="188" t="s">
        <v>3607</v>
      </c>
      <c r="E2139" s="189">
        <v>39366</v>
      </c>
      <c r="F2139" s="190">
        <v>563</v>
      </c>
      <c r="G2139" s="190">
        <v>0</v>
      </c>
      <c r="H2139" s="191">
        <v>438</v>
      </c>
      <c r="I2139" s="191">
        <v>175.95</v>
      </c>
      <c r="J2139" s="188" t="s">
        <v>624</v>
      </c>
      <c r="K2139" s="188" t="s">
        <v>427</v>
      </c>
      <c r="L2139" s="188" t="s">
        <v>3608</v>
      </c>
      <c r="M2139" s="192">
        <f t="shared" si="99"/>
        <v>25</v>
      </c>
      <c r="N2139" s="193">
        <f t="shared" si="100"/>
        <v>1.1202046035805626</v>
      </c>
      <c r="O2139" s="194">
        <f t="shared" si="101"/>
        <v>4.4808184143222504E-2</v>
      </c>
    </row>
    <row r="2140" spans="1:15" ht="12.75" customHeight="1">
      <c r="A2140" s="188" t="s">
        <v>620</v>
      </c>
      <c r="B2140" s="188" t="s">
        <v>3435</v>
      </c>
      <c r="C2140" s="188" t="s">
        <v>650</v>
      </c>
      <c r="D2140" s="188" t="s">
        <v>3609</v>
      </c>
      <c r="E2140" s="189">
        <v>39555</v>
      </c>
      <c r="F2140" s="190">
        <v>1384</v>
      </c>
      <c r="G2140" s="190">
        <v>0</v>
      </c>
      <c r="H2140" s="191">
        <v>1082</v>
      </c>
      <c r="I2140" s="191">
        <v>432</v>
      </c>
      <c r="J2140" s="188" t="s">
        <v>624</v>
      </c>
      <c r="K2140" s="188" t="s">
        <v>427</v>
      </c>
      <c r="L2140" s="188" t="s">
        <v>1146</v>
      </c>
      <c r="M2140" s="192">
        <f t="shared" si="99"/>
        <v>25</v>
      </c>
      <c r="N2140" s="193">
        <f t="shared" si="100"/>
        <v>1.1270833333333334</v>
      </c>
      <c r="O2140" s="194">
        <f t="shared" si="101"/>
        <v>4.5083333333333336E-2</v>
      </c>
    </row>
    <row r="2141" spans="1:15" ht="12.75" customHeight="1">
      <c r="A2141" s="188" t="s">
        <v>620</v>
      </c>
      <c r="B2141" s="188" t="s">
        <v>3435</v>
      </c>
      <c r="C2141" s="188" t="s">
        <v>650</v>
      </c>
      <c r="D2141" s="188" t="s">
        <v>3610</v>
      </c>
      <c r="E2141" s="189">
        <v>39485</v>
      </c>
      <c r="F2141" s="190">
        <v>1297</v>
      </c>
      <c r="G2141" s="190">
        <v>0</v>
      </c>
      <c r="H2141" s="191">
        <v>1015</v>
      </c>
      <c r="I2141" s="191">
        <v>405</v>
      </c>
      <c r="J2141" s="188" t="s">
        <v>624</v>
      </c>
      <c r="K2141" s="188" t="s">
        <v>427</v>
      </c>
      <c r="L2141" s="188" t="s">
        <v>740</v>
      </c>
      <c r="M2141" s="192">
        <f t="shared" si="99"/>
        <v>25</v>
      </c>
      <c r="N2141" s="193">
        <f t="shared" si="100"/>
        <v>1.1277777777777778</v>
      </c>
      <c r="O2141" s="194">
        <f t="shared" si="101"/>
        <v>4.5111111111111109E-2</v>
      </c>
    </row>
    <row r="2142" spans="1:15" ht="12.75" customHeight="1">
      <c r="A2142" s="188" t="s">
        <v>620</v>
      </c>
      <c r="B2142" s="188" t="s">
        <v>3435</v>
      </c>
      <c r="C2142" s="188" t="s">
        <v>650</v>
      </c>
      <c r="D2142" s="188" t="s">
        <v>3611</v>
      </c>
      <c r="E2142" s="189">
        <v>39471</v>
      </c>
      <c r="F2142" s="190">
        <v>1845</v>
      </c>
      <c r="G2142" s="190">
        <v>0</v>
      </c>
      <c r="H2142" s="191">
        <v>1458</v>
      </c>
      <c r="I2142" s="191">
        <v>576</v>
      </c>
      <c r="J2142" s="188" t="s">
        <v>624</v>
      </c>
      <c r="K2142" s="188" t="s">
        <v>427</v>
      </c>
      <c r="L2142" s="188" t="s">
        <v>994</v>
      </c>
      <c r="M2142" s="192">
        <f t="shared" si="99"/>
        <v>25</v>
      </c>
      <c r="N2142" s="193">
        <f t="shared" si="100"/>
        <v>1.1390625000000001</v>
      </c>
      <c r="O2142" s="194">
        <f t="shared" si="101"/>
        <v>4.5562500000000006E-2</v>
      </c>
    </row>
    <row r="2143" spans="1:15" ht="12.75" customHeight="1">
      <c r="A2143" s="188" t="s">
        <v>620</v>
      </c>
      <c r="B2143" s="188" t="s">
        <v>3435</v>
      </c>
      <c r="C2143" s="188" t="s">
        <v>650</v>
      </c>
      <c r="D2143" s="188" t="s">
        <v>3612</v>
      </c>
      <c r="E2143" s="189">
        <v>39429</v>
      </c>
      <c r="F2143" s="190">
        <v>2789</v>
      </c>
      <c r="G2143" s="190">
        <v>0</v>
      </c>
      <c r="H2143" s="191">
        <v>2656.8</v>
      </c>
      <c r="I2143" s="191">
        <v>870.75</v>
      </c>
      <c r="J2143" s="188" t="s">
        <v>624</v>
      </c>
      <c r="K2143" s="188" t="s">
        <v>257</v>
      </c>
      <c r="L2143" s="188" t="s">
        <v>772</v>
      </c>
      <c r="M2143" s="192">
        <f t="shared" si="99"/>
        <v>30</v>
      </c>
      <c r="N2143" s="193">
        <f t="shared" si="100"/>
        <v>1.3730232558139537</v>
      </c>
      <c r="O2143" s="194">
        <f t="shared" si="101"/>
        <v>4.5767441860465122E-2</v>
      </c>
    </row>
    <row r="2144" spans="1:15" ht="12.75" customHeight="1">
      <c r="A2144" s="188" t="s">
        <v>620</v>
      </c>
      <c r="B2144" s="188" t="s">
        <v>3435</v>
      </c>
      <c r="C2144" s="188" t="s">
        <v>650</v>
      </c>
      <c r="D2144" s="188" t="s">
        <v>3613</v>
      </c>
      <c r="E2144" s="189">
        <v>39568</v>
      </c>
      <c r="F2144" s="190">
        <v>1808</v>
      </c>
      <c r="G2144" s="190">
        <v>0</v>
      </c>
      <c r="H2144" s="191">
        <v>1101</v>
      </c>
      <c r="I2144" s="191">
        <v>564.29999999999995</v>
      </c>
      <c r="J2144" s="188" t="s">
        <v>624</v>
      </c>
      <c r="K2144" s="188" t="s">
        <v>667</v>
      </c>
      <c r="L2144" s="188" t="s">
        <v>976</v>
      </c>
      <c r="M2144" s="192">
        <f t="shared" si="99"/>
        <v>19</v>
      </c>
      <c r="N2144" s="193">
        <f t="shared" si="100"/>
        <v>0.87799043062200954</v>
      </c>
      <c r="O2144" s="194">
        <f t="shared" si="101"/>
        <v>4.6210022664316293E-2</v>
      </c>
    </row>
    <row r="2145" spans="1:15" ht="12.75" customHeight="1">
      <c r="A2145" s="188" t="s">
        <v>620</v>
      </c>
      <c r="B2145" s="188" t="s">
        <v>3435</v>
      </c>
      <c r="C2145" s="188" t="s">
        <v>650</v>
      </c>
      <c r="D2145" s="188" t="s">
        <v>3614</v>
      </c>
      <c r="E2145" s="189">
        <v>39507</v>
      </c>
      <c r="F2145" s="190">
        <v>3170</v>
      </c>
      <c r="G2145" s="190">
        <v>0</v>
      </c>
      <c r="H2145" s="191">
        <v>1936</v>
      </c>
      <c r="I2145" s="191">
        <v>990</v>
      </c>
      <c r="J2145" s="188" t="s">
        <v>624</v>
      </c>
      <c r="K2145" s="188" t="s">
        <v>667</v>
      </c>
      <c r="L2145" s="188" t="s">
        <v>938</v>
      </c>
      <c r="M2145" s="192">
        <f t="shared" si="99"/>
        <v>19</v>
      </c>
      <c r="N2145" s="193">
        <f t="shared" si="100"/>
        <v>0.88</v>
      </c>
      <c r="O2145" s="194">
        <f t="shared" si="101"/>
        <v>4.6315789473684213E-2</v>
      </c>
    </row>
    <row r="2146" spans="1:15" ht="12.75" customHeight="1">
      <c r="A2146" s="188" t="s">
        <v>620</v>
      </c>
      <c r="B2146" s="188" t="s">
        <v>3435</v>
      </c>
      <c r="C2146" s="188" t="s">
        <v>650</v>
      </c>
      <c r="D2146" s="188" t="s">
        <v>3615</v>
      </c>
      <c r="E2146" s="189">
        <v>39366</v>
      </c>
      <c r="F2146" s="190">
        <v>3629</v>
      </c>
      <c r="G2146" s="190">
        <v>0</v>
      </c>
      <c r="H2146" s="191">
        <v>2466</v>
      </c>
      <c r="I2146" s="191">
        <v>1133.0999999999999</v>
      </c>
      <c r="J2146" s="188" t="s">
        <v>624</v>
      </c>
      <c r="K2146" s="188" t="s">
        <v>1344</v>
      </c>
      <c r="L2146" s="188" t="s">
        <v>3616</v>
      </c>
      <c r="M2146" s="192">
        <f t="shared" si="99"/>
        <v>21</v>
      </c>
      <c r="N2146" s="193">
        <f t="shared" si="100"/>
        <v>0.97934868943606035</v>
      </c>
      <c r="O2146" s="194">
        <f t="shared" si="101"/>
        <v>4.6635651877907636E-2</v>
      </c>
    </row>
    <row r="2147" spans="1:15" ht="12.75" customHeight="1">
      <c r="A2147" s="188" t="s">
        <v>620</v>
      </c>
      <c r="B2147" s="188" t="s">
        <v>3435</v>
      </c>
      <c r="C2147" s="188" t="s">
        <v>650</v>
      </c>
      <c r="D2147" s="188" t="s">
        <v>3617</v>
      </c>
      <c r="E2147" s="189">
        <v>39520</v>
      </c>
      <c r="F2147" s="190">
        <v>1600</v>
      </c>
      <c r="G2147" s="190">
        <v>0</v>
      </c>
      <c r="H2147" s="191">
        <v>1297</v>
      </c>
      <c r="I2147" s="191">
        <v>499.5</v>
      </c>
      <c r="J2147" s="188" t="s">
        <v>624</v>
      </c>
      <c r="K2147" s="188" t="s">
        <v>427</v>
      </c>
      <c r="L2147" s="188" t="s">
        <v>923</v>
      </c>
      <c r="M2147" s="192">
        <f t="shared" si="99"/>
        <v>25</v>
      </c>
      <c r="N2147" s="193">
        <f t="shared" si="100"/>
        <v>1.1684684684684685</v>
      </c>
      <c r="O2147" s="194">
        <f t="shared" si="101"/>
        <v>4.6738738738738739E-2</v>
      </c>
    </row>
    <row r="2148" spans="1:15" ht="12.75" customHeight="1">
      <c r="A2148" s="188" t="s">
        <v>620</v>
      </c>
      <c r="B2148" s="188" t="s">
        <v>3435</v>
      </c>
      <c r="C2148" s="188" t="s">
        <v>650</v>
      </c>
      <c r="D2148" s="188" t="s">
        <v>3618</v>
      </c>
      <c r="E2148" s="189">
        <v>39416</v>
      </c>
      <c r="F2148" s="190">
        <v>1729</v>
      </c>
      <c r="G2148" s="190">
        <v>0</v>
      </c>
      <c r="H2148" s="191">
        <v>1409</v>
      </c>
      <c r="I2148" s="191">
        <v>540</v>
      </c>
      <c r="J2148" s="188" t="s">
        <v>624</v>
      </c>
      <c r="K2148" s="188" t="s">
        <v>427</v>
      </c>
      <c r="L2148" s="188" t="s">
        <v>632</v>
      </c>
      <c r="M2148" s="192">
        <f t="shared" si="99"/>
        <v>25</v>
      </c>
      <c r="N2148" s="193">
        <f t="shared" si="100"/>
        <v>1.1741666666666666</v>
      </c>
      <c r="O2148" s="194">
        <f t="shared" si="101"/>
        <v>4.6966666666666664E-2</v>
      </c>
    </row>
    <row r="2149" spans="1:15" ht="12.75" customHeight="1">
      <c r="A2149" s="188" t="s">
        <v>620</v>
      </c>
      <c r="B2149" s="188" t="s">
        <v>3435</v>
      </c>
      <c r="C2149" s="188" t="s">
        <v>650</v>
      </c>
      <c r="D2149" s="188" t="s">
        <v>3619</v>
      </c>
      <c r="E2149" s="189">
        <v>39520</v>
      </c>
      <c r="F2149" s="190">
        <v>1448</v>
      </c>
      <c r="G2149" s="190">
        <v>0</v>
      </c>
      <c r="H2149" s="191">
        <v>1182</v>
      </c>
      <c r="I2149" s="191">
        <v>452.25</v>
      </c>
      <c r="J2149" s="188" t="s">
        <v>624</v>
      </c>
      <c r="K2149" s="188" t="s">
        <v>427</v>
      </c>
      <c r="L2149" s="188" t="s">
        <v>3620</v>
      </c>
      <c r="M2149" s="192">
        <f t="shared" si="99"/>
        <v>25</v>
      </c>
      <c r="N2149" s="193">
        <f t="shared" si="100"/>
        <v>1.1761194029850746</v>
      </c>
      <c r="O2149" s="194">
        <f t="shared" si="101"/>
        <v>4.7044776119402984E-2</v>
      </c>
    </row>
    <row r="2150" spans="1:15" ht="12.75" customHeight="1">
      <c r="A2150" s="188" t="s">
        <v>620</v>
      </c>
      <c r="B2150" s="188" t="s">
        <v>3435</v>
      </c>
      <c r="C2150" s="188" t="s">
        <v>650</v>
      </c>
      <c r="D2150" s="188" t="s">
        <v>3621</v>
      </c>
      <c r="E2150" s="189">
        <v>39447</v>
      </c>
      <c r="F2150" s="190">
        <v>2681</v>
      </c>
      <c r="G2150" s="190">
        <v>0</v>
      </c>
      <c r="H2150" s="191">
        <v>2190</v>
      </c>
      <c r="I2150" s="191">
        <v>837</v>
      </c>
      <c r="J2150" s="188" t="s">
        <v>624</v>
      </c>
      <c r="K2150" s="188" t="s">
        <v>427</v>
      </c>
      <c r="L2150" s="188" t="s">
        <v>904</v>
      </c>
      <c r="M2150" s="192">
        <f t="shared" si="99"/>
        <v>25</v>
      </c>
      <c r="N2150" s="193">
        <f t="shared" si="100"/>
        <v>1.1774193548387097</v>
      </c>
      <c r="O2150" s="194">
        <f t="shared" si="101"/>
        <v>4.7096774193548387E-2</v>
      </c>
    </row>
    <row r="2151" spans="1:15" ht="12.75" customHeight="1">
      <c r="A2151" s="188" t="s">
        <v>620</v>
      </c>
      <c r="B2151" s="188" t="s">
        <v>3435</v>
      </c>
      <c r="C2151" s="188" t="s">
        <v>650</v>
      </c>
      <c r="D2151" s="188" t="s">
        <v>3622</v>
      </c>
      <c r="E2151" s="189">
        <v>39447</v>
      </c>
      <c r="F2151" s="190">
        <v>1786</v>
      </c>
      <c r="G2151" s="190">
        <v>0</v>
      </c>
      <c r="H2151" s="191">
        <v>1463.2</v>
      </c>
      <c r="I2151" s="191">
        <v>558</v>
      </c>
      <c r="J2151" s="188" t="s">
        <v>624</v>
      </c>
      <c r="K2151" s="188" t="s">
        <v>427</v>
      </c>
      <c r="L2151" s="188" t="s">
        <v>1449</v>
      </c>
      <c r="M2151" s="192">
        <f t="shared" si="99"/>
        <v>25</v>
      </c>
      <c r="N2151" s="193">
        <f t="shared" si="100"/>
        <v>1.18</v>
      </c>
      <c r="O2151" s="194">
        <f t="shared" si="101"/>
        <v>4.7199999999999999E-2</v>
      </c>
    </row>
    <row r="2152" spans="1:15" ht="12.75" customHeight="1">
      <c r="A2152" s="188" t="s">
        <v>620</v>
      </c>
      <c r="B2152" s="188" t="s">
        <v>3435</v>
      </c>
      <c r="C2152" s="188" t="s">
        <v>650</v>
      </c>
      <c r="D2152" s="188" t="s">
        <v>3623</v>
      </c>
      <c r="E2152" s="189">
        <v>39590</v>
      </c>
      <c r="F2152" s="190">
        <v>1825</v>
      </c>
      <c r="G2152" s="190">
        <v>0</v>
      </c>
      <c r="H2152" s="191">
        <v>1260</v>
      </c>
      <c r="I2152" s="191">
        <v>569.70000000000005</v>
      </c>
      <c r="J2152" s="188" t="s">
        <v>624</v>
      </c>
      <c r="K2152" s="188" t="s">
        <v>1344</v>
      </c>
      <c r="L2152" s="188" t="s">
        <v>954</v>
      </c>
      <c r="M2152" s="192">
        <f t="shared" si="99"/>
        <v>21</v>
      </c>
      <c r="N2152" s="193">
        <f t="shared" si="100"/>
        <v>0.99526066350710896</v>
      </c>
      <c r="O2152" s="194">
        <f t="shared" si="101"/>
        <v>4.7393364928909949E-2</v>
      </c>
    </row>
    <row r="2153" spans="1:15" ht="12.75" customHeight="1">
      <c r="A2153" s="188" t="s">
        <v>620</v>
      </c>
      <c r="B2153" s="188" t="s">
        <v>3435</v>
      </c>
      <c r="C2153" s="188" t="s">
        <v>650</v>
      </c>
      <c r="D2153" s="188" t="s">
        <v>3624</v>
      </c>
      <c r="E2153" s="189">
        <v>39562</v>
      </c>
      <c r="F2153" s="190">
        <v>1404</v>
      </c>
      <c r="G2153" s="190">
        <v>0</v>
      </c>
      <c r="H2153" s="191">
        <v>1385.03</v>
      </c>
      <c r="I2153" s="191">
        <v>438.3</v>
      </c>
      <c r="J2153" s="188" t="s">
        <v>624</v>
      </c>
      <c r="K2153" s="188" t="s">
        <v>257</v>
      </c>
      <c r="L2153" s="188" t="s">
        <v>3625</v>
      </c>
      <c r="M2153" s="192">
        <f t="shared" si="99"/>
        <v>30</v>
      </c>
      <c r="N2153" s="193">
        <f t="shared" si="100"/>
        <v>1.4220020533880904</v>
      </c>
      <c r="O2153" s="194">
        <f t="shared" si="101"/>
        <v>4.7400068446269678E-2</v>
      </c>
    </row>
    <row r="2154" spans="1:15" ht="12.75" customHeight="1">
      <c r="A2154" s="188" t="s">
        <v>620</v>
      </c>
      <c r="B2154" s="188" t="s">
        <v>3435</v>
      </c>
      <c r="C2154" s="188" t="s">
        <v>650</v>
      </c>
      <c r="D2154" s="188" t="s">
        <v>3626</v>
      </c>
      <c r="E2154" s="189">
        <v>39359</v>
      </c>
      <c r="F2154" s="190">
        <v>1500</v>
      </c>
      <c r="G2154" s="190">
        <v>0</v>
      </c>
      <c r="H2154" s="191">
        <v>1037</v>
      </c>
      <c r="I2154" s="191">
        <v>468.45</v>
      </c>
      <c r="J2154" s="188" t="s">
        <v>624</v>
      </c>
      <c r="K2154" s="188" t="s">
        <v>1344</v>
      </c>
      <c r="L2154" s="188" t="s">
        <v>3627</v>
      </c>
      <c r="M2154" s="192">
        <f t="shared" si="99"/>
        <v>21</v>
      </c>
      <c r="N2154" s="193">
        <f t="shared" si="100"/>
        <v>0.99615754082612873</v>
      </c>
      <c r="O2154" s="194">
        <f t="shared" si="101"/>
        <v>4.7436073372672798E-2</v>
      </c>
    </row>
    <row r="2155" spans="1:15" ht="12.75" customHeight="1">
      <c r="A2155" s="188" t="s">
        <v>620</v>
      </c>
      <c r="B2155" s="188" t="s">
        <v>3435</v>
      </c>
      <c r="C2155" s="188" t="s">
        <v>650</v>
      </c>
      <c r="D2155" s="188" t="s">
        <v>3628</v>
      </c>
      <c r="E2155" s="189">
        <v>39611</v>
      </c>
      <c r="F2155" s="190">
        <v>1488</v>
      </c>
      <c r="G2155" s="190">
        <v>0</v>
      </c>
      <c r="H2155" s="191">
        <v>1030</v>
      </c>
      <c r="I2155" s="191">
        <v>464.4</v>
      </c>
      <c r="J2155" s="188" t="s">
        <v>624</v>
      </c>
      <c r="K2155" s="188" t="s">
        <v>1344</v>
      </c>
      <c r="L2155" s="188" t="s">
        <v>908</v>
      </c>
      <c r="M2155" s="192">
        <f t="shared" si="99"/>
        <v>21</v>
      </c>
      <c r="N2155" s="193">
        <f t="shared" si="100"/>
        <v>0.99806201550387597</v>
      </c>
      <c r="O2155" s="194">
        <f t="shared" si="101"/>
        <v>4.752676264304171E-2</v>
      </c>
    </row>
    <row r="2156" spans="1:15" ht="12.75" customHeight="1">
      <c r="A2156" s="188" t="s">
        <v>620</v>
      </c>
      <c r="B2156" s="188" t="s">
        <v>3435</v>
      </c>
      <c r="C2156" s="188" t="s">
        <v>650</v>
      </c>
      <c r="D2156" s="188" t="s">
        <v>3629</v>
      </c>
      <c r="E2156" s="189">
        <v>39447</v>
      </c>
      <c r="F2156" s="190">
        <v>1133</v>
      </c>
      <c r="G2156" s="190">
        <v>0</v>
      </c>
      <c r="H2156" s="191">
        <v>934.47</v>
      </c>
      <c r="I2156" s="191">
        <v>353.7</v>
      </c>
      <c r="J2156" s="188" t="s">
        <v>624</v>
      </c>
      <c r="K2156" s="188" t="s">
        <v>427</v>
      </c>
      <c r="L2156" s="188" t="s">
        <v>3630</v>
      </c>
      <c r="M2156" s="192">
        <f t="shared" si="99"/>
        <v>25</v>
      </c>
      <c r="N2156" s="193">
        <f t="shared" si="100"/>
        <v>1.1888931297709924</v>
      </c>
      <c r="O2156" s="194">
        <f t="shared" si="101"/>
        <v>4.7555725190839698E-2</v>
      </c>
    </row>
    <row r="2157" spans="1:15" ht="12.75" customHeight="1">
      <c r="A2157" s="188" t="s">
        <v>620</v>
      </c>
      <c r="B2157" s="188" t="s">
        <v>3435</v>
      </c>
      <c r="C2157" s="188" t="s">
        <v>650</v>
      </c>
      <c r="D2157" s="188" t="s">
        <v>3631</v>
      </c>
      <c r="E2157" s="189">
        <v>39373</v>
      </c>
      <c r="F2157" s="190">
        <v>5764</v>
      </c>
      <c r="G2157" s="190">
        <v>0</v>
      </c>
      <c r="H2157" s="191">
        <v>3600</v>
      </c>
      <c r="I2157" s="191">
        <v>1800</v>
      </c>
      <c r="J2157" s="188" t="s">
        <v>624</v>
      </c>
      <c r="K2157" s="188" t="s">
        <v>1344</v>
      </c>
      <c r="L2157" s="188" t="s">
        <v>3632</v>
      </c>
      <c r="M2157" s="192">
        <f t="shared" si="99"/>
        <v>21</v>
      </c>
      <c r="N2157" s="193">
        <f t="shared" si="100"/>
        <v>1</v>
      </c>
      <c r="O2157" s="194">
        <f t="shared" si="101"/>
        <v>4.7619047619047616E-2</v>
      </c>
    </row>
    <row r="2158" spans="1:15" ht="12.75" customHeight="1">
      <c r="A2158" s="188" t="s">
        <v>620</v>
      </c>
      <c r="B2158" s="188" t="s">
        <v>3435</v>
      </c>
      <c r="C2158" s="188" t="s">
        <v>650</v>
      </c>
      <c r="D2158" s="188" t="s">
        <v>3633</v>
      </c>
      <c r="E2158" s="189">
        <v>39254</v>
      </c>
      <c r="F2158" s="190">
        <v>1724</v>
      </c>
      <c r="G2158" s="190">
        <v>0</v>
      </c>
      <c r="H2158" s="191">
        <v>1425.03</v>
      </c>
      <c r="I2158" s="191">
        <v>538.20000000000005</v>
      </c>
      <c r="J2158" s="188" t="s">
        <v>624</v>
      </c>
      <c r="K2158" s="188" t="s">
        <v>427</v>
      </c>
      <c r="L2158" s="188" t="s">
        <v>812</v>
      </c>
      <c r="M2158" s="192">
        <f t="shared" si="99"/>
        <v>25</v>
      </c>
      <c r="N2158" s="193">
        <f t="shared" si="100"/>
        <v>1.1914966555183946</v>
      </c>
      <c r="O2158" s="194">
        <f t="shared" si="101"/>
        <v>4.7659866220735786E-2</v>
      </c>
    </row>
    <row r="2159" spans="1:15" ht="12.75" customHeight="1">
      <c r="A2159" s="188" t="s">
        <v>620</v>
      </c>
      <c r="B2159" s="188" t="s">
        <v>3435</v>
      </c>
      <c r="C2159" s="188" t="s">
        <v>650</v>
      </c>
      <c r="D2159" s="188" t="s">
        <v>3634</v>
      </c>
      <c r="E2159" s="189">
        <v>39447</v>
      </c>
      <c r="F2159" s="190">
        <v>2154</v>
      </c>
      <c r="G2159" s="190">
        <v>0</v>
      </c>
      <c r="H2159" s="191">
        <v>1500</v>
      </c>
      <c r="I2159" s="191">
        <v>672.75</v>
      </c>
      <c r="J2159" s="188" t="s">
        <v>624</v>
      </c>
      <c r="K2159" s="188" t="s">
        <v>1344</v>
      </c>
      <c r="L2159" s="188" t="s">
        <v>1662</v>
      </c>
      <c r="M2159" s="192">
        <f t="shared" si="99"/>
        <v>21</v>
      </c>
      <c r="N2159" s="193">
        <f t="shared" si="100"/>
        <v>1.0033444816053512</v>
      </c>
      <c r="O2159" s="194">
        <f t="shared" si="101"/>
        <v>4.7778308647873864E-2</v>
      </c>
    </row>
    <row r="2160" spans="1:15" ht="12.75" customHeight="1">
      <c r="A2160" s="188" t="s">
        <v>620</v>
      </c>
      <c r="B2160" s="188" t="s">
        <v>3435</v>
      </c>
      <c r="C2160" s="188" t="s">
        <v>650</v>
      </c>
      <c r="D2160" s="188" t="s">
        <v>3635</v>
      </c>
      <c r="E2160" s="189">
        <v>39520</v>
      </c>
      <c r="F2160" s="190">
        <v>1495</v>
      </c>
      <c r="G2160" s="190">
        <v>0</v>
      </c>
      <c r="H2160" s="191">
        <v>1255</v>
      </c>
      <c r="I2160" s="191">
        <v>466.65</v>
      </c>
      <c r="J2160" s="188" t="s">
        <v>624</v>
      </c>
      <c r="K2160" s="188" t="s">
        <v>427</v>
      </c>
      <c r="L2160" s="188" t="s">
        <v>1087</v>
      </c>
      <c r="M2160" s="192">
        <f t="shared" si="99"/>
        <v>25</v>
      </c>
      <c r="N2160" s="193">
        <f t="shared" si="100"/>
        <v>1.2102217936354869</v>
      </c>
      <c r="O2160" s="194">
        <f t="shared" si="101"/>
        <v>4.8408871745419475E-2</v>
      </c>
    </row>
    <row r="2161" spans="1:15" ht="12.75" customHeight="1">
      <c r="A2161" s="188" t="s">
        <v>620</v>
      </c>
      <c r="B2161" s="188" t="s">
        <v>3435</v>
      </c>
      <c r="C2161" s="188" t="s">
        <v>650</v>
      </c>
      <c r="D2161" s="188" t="s">
        <v>3636</v>
      </c>
      <c r="E2161" s="189">
        <v>39415</v>
      </c>
      <c r="F2161" s="190">
        <v>2162</v>
      </c>
      <c r="G2161" s="190">
        <v>0</v>
      </c>
      <c r="H2161" s="191">
        <v>1826</v>
      </c>
      <c r="I2161" s="191">
        <v>675</v>
      </c>
      <c r="J2161" s="188" t="s">
        <v>624</v>
      </c>
      <c r="K2161" s="188" t="s">
        <v>427</v>
      </c>
      <c r="L2161" s="188" t="s">
        <v>746</v>
      </c>
      <c r="M2161" s="192">
        <f t="shared" si="99"/>
        <v>25</v>
      </c>
      <c r="N2161" s="193">
        <f t="shared" si="100"/>
        <v>1.2173333333333334</v>
      </c>
      <c r="O2161" s="194">
        <f t="shared" si="101"/>
        <v>4.8693333333333338E-2</v>
      </c>
    </row>
    <row r="2162" spans="1:15" ht="12.75" customHeight="1">
      <c r="A2162" s="188" t="s">
        <v>620</v>
      </c>
      <c r="B2162" s="188" t="s">
        <v>3435</v>
      </c>
      <c r="C2162" s="188" t="s">
        <v>650</v>
      </c>
      <c r="D2162" s="188" t="s">
        <v>3637</v>
      </c>
      <c r="E2162" s="189">
        <v>39447</v>
      </c>
      <c r="F2162" s="190">
        <v>2860</v>
      </c>
      <c r="G2162" s="190">
        <v>0</v>
      </c>
      <c r="H2162" s="191">
        <v>2032</v>
      </c>
      <c r="I2162" s="191">
        <v>893.25</v>
      </c>
      <c r="J2162" s="188" t="s">
        <v>624</v>
      </c>
      <c r="K2162" s="188" t="s">
        <v>1344</v>
      </c>
      <c r="L2162" s="188" t="s">
        <v>980</v>
      </c>
      <c r="M2162" s="192">
        <f t="shared" si="99"/>
        <v>21</v>
      </c>
      <c r="N2162" s="193">
        <f t="shared" si="100"/>
        <v>1.0236775818639798</v>
      </c>
      <c r="O2162" s="194">
        <f t="shared" si="101"/>
        <v>4.874655151733237E-2</v>
      </c>
    </row>
    <row r="2163" spans="1:15" ht="12.75" customHeight="1">
      <c r="A2163" s="188" t="s">
        <v>620</v>
      </c>
      <c r="B2163" s="188" t="s">
        <v>3435</v>
      </c>
      <c r="C2163" s="188" t="s">
        <v>650</v>
      </c>
      <c r="D2163" s="188" t="s">
        <v>3638</v>
      </c>
      <c r="E2163" s="189">
        <v>39499</v>
      </c>
      <c r="F2163" s="190">
        <v>1517</v>
      </c>
      <c r="G2163" s="190">
        <v>0</v>
      </c>
      <c r="H2163" s="191">
        <v>1086</v>
      </c>
      <c r="I2163" s="191">
        <v>473.85</v>
      </c>
      <c r="J2163" s="188" t="s">
        <v>624</v>
      </c>
      <c r="K2163" s="188" t="s">
        <v>1344</v>
      </c>
      <c r="L2163" s="188" t="s">
        <v>882</v>
      </c>
      <c r="M2163" s="192">
        <f t="shared" si="99"/>
        <v>21</v>
      </c>
      <c r="N2163" s="193">
        <f t="shared" si="100"/>
        <v>1.0313390313390314</v>
      </c>
      <c r="O2163" s="194">
        <f t="shared" si="101"/>
        <v>4.911138244471578E-2</v>
      </c>
    </row>
    <row r="2164" spans="1:15" ht="12.75" customHeight="1">
      <c r="A2164" s="188" t="s">
        <v>620</v>
      </c>
      <c r="B2164" s="188" t="s">
        <v>3435</v>
      </c>
      <c r="C2164" s="188" t="s">
        <v>650</v>
      </c>
      <c r="D2164" s="188" t="s">
        <v>3639</v>
      </c>
      <c r="E2164" s="189">
        <v>39380</v>
      </c>
      <c r="F2164" s="190">
        <v>1052</v>
      </c>
      <c r="G2164" s="190">
        <v>0</v>
      </c>
      <c r="H2164" s="191">
        <v>900</v>
      </c>
      <c r="I2164" s="191">
        <v>328.5</v>
      </c>
      <c r="J2164" s="188" t="s">
        <v>624</v>
      </c>
      <c r="K2164" s="188" t="s">
        <v>427</v>
      </c>
      <c r="L2164" s="188" t="s">
        <v>3259</v>
      </c>
      <c r="M2164" s="192">
        <f t="shared" si="99"/>
        <v>25</v>
      </c>
      <c r="N2164" s="193">
        <f t="shared" si="100"/>
        <v>1.2328767123287672</v>
      </c>
      <c r="O2164" s="194">
        <f t="shared" si="101"/>
        <v>4.9315068493150684E-2</v>
      </c>
    </row>
    <row r="2165" spans="1:15" ht="12.75" customHeight="1">
      <c r="A2165" s="188" t="s">
        <v>620</v>
      </c>
      <c r="B2165" s="188" t="s">
        <v>3435</v>
      </c>
      <c r="C2165" s="188" t="s">
        <v>650</v>
      </c>
      <c r="D2165" s="188" t="s">
        <v>3640</v>
      </c>
      <c r="E2165" s="189">
        <v>39436</v>
      </c>
      <c r="F2165" s="190">
        <v>1570</v>
      </c>
      <c r="G2165" s="190">
        <v>0</v>
      </c>
      <c r="H2165" s="191">
        <v>1025</v>
      </c>
      <c r="I2165" s="191">
        <v>490.05</v>
      </c>
      <c r="J2165" s="188" t="s">
        <v>624</v>
      </c>
      <c r="K2165" s="188" t="s">
        <v>667</v>
      </c>
      <c r="L2165" s="188" t="s">
        <v>3641</v>
      </c>
      <c r="M2165" s="192">
        <f t="shared" si="99"/>
        <v>19</v>
      </c>
      <c r="N2165" s="193">
        <f t="shared" si="100"/>
        <v>0.94123048668503217</v>
      </c>
      <c r="O2165" s="194">
        <f t="shared" si="101"/>
        <v>4.9538446667633275E-2</v>
      </c>
    </row>
    <row r="2166" spans="1:15" ht="12.75" customHeight="1">
      <c r="A2166" s="188" t="s">
        <v>620</v>
      </c>
      <c r="B2166" s="188" t="s">
        <v>3435</v>
      </c>
      <c r="C2166" s="188" t="s">
        <v>650</v>
      </c>
      <c r="D2166" s="188" t="s">
        <v>3642</v>
      </c>
      <c r="E2166" s="189">
        <v>39541</v>
      </c>
      <c r="F2166" s="190">
        <v>1499</v>
      </c>
      <c r="G2166" s="190">
        <v>0</v>
      </c>
      <c r="H2166" s="191">
        <v>1086</v>
      </c>
      <c r="I2166" s="191">
        <v>468</v>
      </c>
      <c r="J2166" s="188" t="s">
        <v>624</v>
      </c>
      <c r="K2166" s="188" t="s">
        <v>1344</v>
      </c>
      <c r="L2166" s="188" t="s">
        <v>808</v>
      </c>
      <c r="M2166" s="192">
        <f t="shared" si="99"/>
        <v>21</v>
      </c>
      <c r="N2166" s="193">
        <f t="shared" si="100"/>
        <v>1.0442307692307693</v>
      </c>
      <c r="O2166" s="194">
        <f t="shared" si="101"/>
        <v>4.9725274725274729E-2</v>
      </c>
    </row>
    <row r="2167" spans="1:15" ht="12.75" customHeight="1">
      <c r="A2167" s="188" t="s">
        <v>620</v>
      </c>
      <c r="B2167" s="188" t="s">
        <v>3435</v>
      </c>
      <c r="C2167" s="188" t="s">
        <v>650</v>
      </c>
      <c r="D2167" s="188" t="s">
        <v>3643</v>
      </c>
      <c r="E2167" s="189">
        <v>39415</v>
      </c>
      <c r="F2167" s="190">
        <v>1697</v>
      </c>
      <c r="G2167" s="190">
        <v>0</v>
      </c>
      <c r="H2167" s="191">
        <v>1470</v>
      </c>
      <c r="I2167" s="191">
        <v>530.1</v>
      </c>
      <c r="J2167" s="188" t="s">
        <v>624</v>
      </c>
      <c r="K2167" s="188" t="s">
        <v>427</v>
      </c>
      <c r="L2167" s="188" t="s">
        <v>420</v>
      </c>
      <c r="M2167" s="192">
        <f t="shared" si="99"/>
        <v>25</v>
      </c>
      <c r="N2167" s="193">
        <f t="shared" si="100"/>
        <v>1.2478777589134125</v>
      </c>
      <c r="O2167" s="194">
        <f t="shared" si="101"/>
        <v>4.99151103565365E-2</v>
      </c>
    </row>
    <row r="2168" spans="1:15" ht="12.75" customHeight="1">
      <c r="A2168" s="188" t="s">
        <v>620</v>
      </c>
      <c r="B2168" s="188" t="s">
        <v>3435</v>
      </c>
      <c r="C2168" s="188" t="s">
        <v>650</v>
      </c>
      <c r="D2168" s="188" t="s">
        <v>3644</v>
      </c>
      <c r="E2168" s="189">
        <v>39275</v>
      </c>
      <c r="F2168" s="190">
        <v>865</v>
      </c>
      <c r="G2168" s="190">
        <v>0</v>
      </c>
      <c r="H2168" s="191">
        <v>750</v>
      </c>
      <c r="I2168" s="191">
        <v>270</v>
      </c>
      <c r="J2168" s="188" t="s">
        <v>624</v>
      </c>
      <c r="K2168" s="188" t="s">
        <v>427</v>
      </c>
      <c r="L2168" s="188" t="s">
        <v>677</v>
      </c>
      <c r="M2168" s="192">
        <f t="shared" si="99"/>
        <v>25</v>
      </c>
      <c r="N2168" s="193">
        <f t="shared" si="100"/>
        <v>1.25</v>
      </c>
      <c r="O2168" s="194">
        <f t="shared" si="101"/>
        <v>0.05</v>
      </c>
    </row>
    <row r="2169" spans="1:15" ht="12.75" customHeight="1">
      <c r="A2169" s="188" t="s">
        <v>620</v>
      </c>
      <c r="B2169" s="188" t="s">
        <v>3435</v>
      </c>
      <c r="C2169" s="188" t="s">
        <v>650</v>
      </c>
      <c r="D2169" s="188" t="s">
        <v>3645</v>
      </c>
      <c r="E2169" s="189">
        <v>39282</v>
      </c>
      <c r="F2169" s="190">
        <v>1596</v>
      </c>
      <c r="G2169" s="190">
        <v>0</v>
      </c>
      <c r="H2169" s="191">
        <v>1386</v>
      </c>
      <c r="I2169" s="191">
        <v>498.6</v>
      </c>
      <c r="J2169" s="188" t="s">
        <v>624</v>
      </c>
      <c r="K2169" s="188" t="s">
        <v>427</v>
      </c>
      <c r="L2169" s="188" t="s">
        <v>964</v>
      </c>
      <c r="M2169" s="192">
        <f t="shared" si="99"/>
        <v>25</v>
      </c>
      <c r="N2169" s="193">
        <f t="shared" si="100"/>
        <v>1.2509025270758123</v>
      </c>
      <c r="O2169" s="194">
        <f t="shared" si="101"/>
        <v>5.003610108303249E-2</v>
      </c>
    </row>
    <row r="2170" spans="1:15" ht="12.75" customHeight="1">
      <c r="A2170" s="188" t="s">
        <v>620</v>
      </c>
      <c r="B2170" s="188" t="s">
        <v>3435</v>
      </c>
      <c r="C2170" s="188" t="s">
        <v>650</v>
      </c>
      <c r="D2170" s="188" t="s">
        <v>3646</v>
      </c>
      <c r="E2170" s="189">
        <v>39555</v>
      </c>
      <c r="F2170" s="190">
        <v>1731</v>
      </c>
      <c r="G2170" s="190">
        <v>0</v>
      </c>
      <c r="H2170" s="191">
        <v>1511</v>
      </c>
      <c r="I2170" s="191">
        <v>540.45000000000005</v>
      </c>
      <c r="J2170" s="188" t="s">
        <v>624</v>
      </c>
      <c r="K2170" s="188" t="s">
        <v>427</v>
      </c>
      <c r="L2170" s="188" t="s">
        <v>3647</v>
      </c>
      <c r="M2170" s="192">
        <f t="shared" si="99"/>
        <v>25</v>
      </c>
      <c r="N2170" s="193">
        <f t="shared" si="100"/>
        <v>1.2581182348043298</v>
      </c>
      <c r="O2170" s="194">
        <f t="shared" si="101"/>
        <v>5.0324729392173195E-2</v>
      </c>
    </row>
    <row r="2171" spans="1:15" ht="12.75" customHeight="1">
      <c r="A2171" s="188" t="s">
        <v>620</v>
      </c>
      <c r="B2171" s="188" t="s">
        <v>3435</v>
      </c>
      <c r="C2171" s="188" t="s">
        <v>650</v>
      </c>
      <c r="D2171" s="188" t="s">
        <v>3648</v>
      </c>
      <c r="E2171" s="189">
        <v>39331</v>
      </c>
      <c r="F2171" s="190">
        <v>2521</v>
      </c>
      <c r="G2171" s="190">
        <v>0</v>
      </c>
      <c r="H2171" s="191">
        <v>2206.0500000000002</v>
      </c>
      <c r="I2171" s="191">
        <v>787.5</v>
      </c>
      <c r="J2171" s="188" t="s">
        <v>624</v>
      </c>
      <c r="K2171" s="188" t="s">
        <v>427</v>
      </c>
      <c r="L2171" s="188" t="s">
        <v>727</v>
      </c>
      <c r="M2171" s="192">
        <f t="shared" si="99"/>
        <v>25</v>
      </c>
      <c r="N2171" s="193">
        <f t="shared" si="100"/>
        <v>1.2606000000000002</v>
      </c>
      <c r="O2171" s="194">
        <f t="shared" si="101"/>
        <v>5.0424000000000004E-2</v>
      </c>
    </row>
    <row r="2172" spans="1:15" ht="12.75" customHeight="1">
      <c r="A2172" s="188" t="s">
        <v>620</v>
      </c>
      <c r="B2172" s="188" t="s">
        <v>3435</v>
      </c>
      <c r="C2172" s="188" t="s">
        <v>650</v>
      </c>
      <c r="D2172" s="188" t="s">
        <v>3649</v>
      </c>
      <c r="E2172" s="189">
        <v>39583</v>
      </c>
      <c r="F2172" s="190">
        <v>969</v>
      </c>
      <c r="G2172" s="190">
        <v>0</v>
      </c>
      <c r="H2172" s="191">
        <v>856</v>
      </c>
      <c r="I2172" s="191">
        <v>302.39999999999998</v>
      </c>
      <c r="J2172" s="188" t="s">
        <v>624</v>
      </c>
      <c r="K2172" s="188" t="s">
        <v>427</v>
      </c>
      <c r="L2172" s="188" t="s">
        <v>2957</v>
      </c>
      <c r="M2172" s="192">
        <f t="shared" si="99"/>
        <v>25</v>
      </c>
      <c r="N2172" s="193">
        <f t="shared" si="100"/>
        <v>1.2738095238095237</v>
      </c>
      <c r="O2172" s="194">
        <f t="shared" si="101"/>
        <v>5.095238095238095E-2</v>
      </c>
    </row>
    <row r="2173" spans="1:15" ht="12.75" customHeight="1">
      <c r="A2173" s="188" t="s">
        <v>620</v>
      </c>
      <c r="B2173" s="188" t="s">
        <v>3435</v>
      </c>
      <c r="C2173" s="188" t="s">
        <v>650</v>
      </c>
      <c r="D2173" s="188" t="s">
        <v>3650</v>
      </c>
      <c r="E2173" s="189">
        <v>39436</v>
      </c>
      <c r="F2173" s="190">
        <v>3314</v>
      </c>
      <c r="G2173" s="190">
        <v>0</v>
      </c>
      <c r="H2173" s="191">
        <v>2930</v>
      </c>
      <c r="I2173" s="191">
        <v>1035</v>
      </c>
      <c r="J2173" s="188" t="s">
        <v>624</v>
      </c>
      <c r="K2173" s="188" t="s">
        <v>427</v>
      </c>
      <c r="L2173" s="188" t="s">
        <v>1472</v>
      </c>
      <c r="M2173" s="192">
        <f t="shared" si="99"/>
        <v>25</v>
      </c>
      <c r="N2173" s="193">
        <f t="shared" si="100"/>
        <v>1.2739130434782608</v>
      </c>
      <c r="O2173" s="194">
        <f t="shared" si="101"/>
        <v>5.0956521739130435E-2</v>
      </c>
    </row>
    <row r="2174" spans="1:15" ht="12.75" customHeight="1">
      <c r="A2174" s="188" t="s">
        <v>620</v>
      </c>
      <c r="B2174" s="188" t="s">
        <v>3435</v>
      </c>
      <c r="C2174" s="188" t="s">
        <v>650</v>
      </c>
      <c r="D2174" s="188" t="s">
        <v>3651</v>
      </c>
      <c r="E2174" s="189">
        <v>39562</v>
      </c>
      <c r="F2174" s="190">
        <v>2018</v>
      </c>
      <c r="G2174" s="190">
        <v>0</v>
      </c>
      <c r="H2174" s="191">
        <v>1800</v>
      </c>
      <c r="I2174" s="191">
        <v>630</v>
      </c>
      <c r="J2174" s="188" t="s">
        <v>624</v>
      </c>
      <c r="K2174" s="188" t="s">
        <v>427</v>
      </c>
      <c r="L2174" s="188" t="s">
        <v>754</v>
      </c>
      <c r="M2174" s="192">
        <f t="shared" si="99"/>
        <v>25</v>
      </c>
      <c r="N2174" s="193">
        <f t="shared" si="100"/>
        <v>1.2857142857142858</v>
      </c>
      <c r="O2174" s="194">
        <f t="shared" si="101"/>
        <v>5.1428571428571435E-2</v>
      </c>
    </row>
    <row r="2175" spans="1:15" ht="12.75" customHeight="1">
      <c r="A2175" s="188" t="s">
        <v>620</v>
      </c>
      <c r="B2175" s="188" t="s">
        <v>3435</v>
      </c>
      <c r="C2175" s="188" t="s">
        <v>650</v>
      </c>
      <c r="D2175" s="188" t="s">
        <v>3652</v>
      </c>
      <c r="E2175" s="189">
        <v>39447</v>
      </c>
      <c r="F2175" s="190">
        <v>1568</v>
      </c>
      <c r="G2175" s="190">
        <v>0</v>
      </c>
      <c r="H2175" s="191">
        <v>1403</v>
      </c>
      <c r="I2175" s="191">
        <v>489.6</v>
      </c>
      <c r="J2175" s="188" t="s">
        <v>624</v>
      </c>
      <c r="K2175" s="188" t="s">
        <v>427</v>
      </c>
      <c r="L2175" s="188" t="s">
        <v>2389</v>
      </c>
      <c r="M2175" s="192">
        <f t="shared" si="99"/>
        <v>25</v>
      </c>
      <c r="N2175" s="193">
        <f t="shared" si="100"/>
        <v>1.2895220588235294</v>
      </c>
      <c r="O2175" s="194">
        <f t="shared" si="101"/>
        <v>5.1580882352941178E-2</v>
      </c>
    </row>
    <row r="2176" spans="1:15" ht="12.75" customHeight="1">
      <c r="A2176" s="188" t="s">
        <v>620</v>
      </c>
      <c r="B2176" s="188" t="s">
        <v>3435</v>
      </c>
      <c r="C2176" s="188" t="s">
        <v>650</v>
      </c>
      <c r="D2176" s="188" t="s">
        <v>3653</v>
      </c>
      <c r="E2176" s="189">
        <v>39541</v>
      </c>
      <c r="F2176" s="190">
        <v>2239</v>
      </c>
      <c r="G2176" s="190">
        <v>0</v>
      </c>
      <c r="H2176" s="191">
        <v>1684</v>
      </c>
      <c r="I2176" s="191">
        <v>698.85</v>
      </c>
      <c r="J2176" s="188" t="s">
        <v>624</v>
      </c>
      <c r="K2176" s="188" t="s">
        <v>1344</v>
      </c>
      <c r="L2176" s="188" t="s">
        <v>3654</v>
      </c>
      <c r="M2176" s="192">
        <f t="shared" si="99"/>
        <v>21</v>
      </c>
      <c r="N2176" s="193">
        <f t="shared" si="100"/>
        <v>1.0843528654217642</v>
      </c>
      <c r="O2176" s="194">
        <f t="shared" si="101"/>
        <v>5.1635850734369729E-2</v>
      </c>
    </row>
    <row r="2177" spans="1:15" ht="12.75" customHeight="1">
      <c r="A2177" s="188" t="s">
        <v>620</v>
      </c>
      <c r="B2177" s="188" t="s">
        <v>3435</v>
      </c>
      <c r="C2177" s="188" t="s">
        <v>650</v>
      </c>
      <c r="D2177" s="188" t="s">
        <v>3655</v>
      </c>
      <c r="E2177" s="189">
        <v>39443</v>
      </c>
      <c r="F2177" s="190">
        <v>4503</v>
      </c>
      <c r="G2177" s="190">
        <v>0</v>
      </c>
      <c r="H2177" s="191">
        <v>4844</v>
      </c>
      <c r="I2177" s="191">
        <v>1406.25</v>
      </c>
      <c r="J2177" s="188" t="s">
        <v>624</v>
      </c>
      <c r="K2177" s="188" t="s">
        <v>257</v>
      </c>
      <c r="L2177" s="188" t="s">
        <v>3656</v>
      </c>
      <c r="M2177" s="192">
        <f t="shared" si="99"/>
        <v>30</v>
      </c>
      <c r="N2177" s="193">
        <f t="shared" si="100"/>
        <v>1.5500799999999999</v>
      </c>
      <c r="O2177" s="194">
        <f t="shared" si="101"/>
        <v>5.1669333333333331E-2</v>
      </c>
    </row>
    <row r="2178" spans="1:15" ht="12.75" customHeight="1">
      <c r="A2178" s="188" t="s">
        <v>620</v>
      </c>
      <c r="B2178" s="188" t="s">
        <v>3435</v>
      </c>
      <c r="C2178" s="188" t="s">
        <v>650</v>
      </c>
      <c r="D2178" s="188" t="s">
        <v>3657</v>
      </c>
      <c r="E2178" s="189">
        <v>39447</v>
      </c>
      <c r="F2178" s="190">
        <v>1311</v>
      </c>
      <c r="G2178" s="190">
        <v>0</v>
      </c>
      <c r="H2178" s="191">
        <v>1177.3499999999999</v>
      </c>
      <c r="I2178" s="191">
        <v>409.5</v>
      </c>
      <c r="J2178" s="188" t="s">
        <v>624</v>
      </c>
      <c r="K2178" s="188" t="s">
        <v>427</v>
      </c>
      <c r="L2178" s="188" t="s">
        <v>1518</v>
      </c>
      <c r="M2178" s="192">
        <f t="shared" ref="M2178:M2241" si="102">K2178-J2178</f>
        <v>25</v>
      </c>
      <c r="N2178" s="193">
        <f t="shared" ref="N2178:N2241" si="103">H2178/L2178</f>
        <v>1.2937912087912087</v>
      </c>
      <c r="O2178" s="194">
        <f t="shared" ref="O2178:O2241" si="104">N2178/M2178</f>
        <v>5.1751648351648347E-2</v>
      </c>
    </row>
    <row r="2179" spans="1:15" ht="12.75" customHeight="1">
      <c r="A2179" s="188" t="s">
        <v>620</v>
      </c>
      <c r="B2179" s="188" t="s">
        <v>3435</v>
      </c>
      <c r="C2179" s="188" t="s">
        <v>650</v>
      </c>
      <c r="D2179" s="188" t="s">
        <v>3658</v>
      </c>
      <c r="E2179" s="189">
        <v>39447</v>
      </c>
      <c r="F2179" s="190">
        <v>1557</v>
      </c>
      <c r="G2179" s="190">
        <v>0</v>
      </c>
      <c r="H2179" s="191">
        <v>1400</v>
      </c>
      <c r="I2179" s="191">
        <v>486</v>
      </c>
      <c r="J2179" s="188" t="s">
        <v>624</v>
      </c>
      <c r="K2179" s="188" t="s">
        <v>427</v>
      </c>
      <c r="L2179" s="188" t="s">
        <v>817</v>
      </c>
      <c r="M2179" s="192">
        <f t="shared" si="102"/>
        <v>25</v>
      </c>
      <c r="N2179" s="193">
        <f t="shared" si="103"/>
        <v>1.2962962962962963</v>
      </c>
      <c r="O2179" s="194">
        <f t="shared" si="104"/>
        <v>5.185185185185185E-2</v>
      </c>
    </row>
    <row r="2180" spans="1:15" ht="12.75" customHeight="1">
      <c r="A2180" s="188" t="s">
        <v>620</v>
      </c>
      <c r="B2180" s="188" t="s">
        <v>3435</v>
      </c>
      <c r="C2180" s="188" t="s">
        <v>650</v>
      </c>
      <c r="D2180" s="188" t="s">
        <v>3659</v>
      </c>
      <c r="E2180" s="189">
        <v>39568</v>
      </c>
      <c r="F2180" s="190">
        <v>1586</v>
      </c>
      <c r="G2180" s="190">
        <v>0</v>
      </c>
      <c r="H2180" s="191">
        <v>1426</v>
      </c>
      <c r="I2180" s="191">
        <v>495</v>
      </c>
      <c r="J2180" s="188" t="s">
        <v>624</v>
      </c>
      <c r="K2180" s="188" t="s">
        <v>427</v>
      </c>
      <c r="L2180" s="188" t="s">
        <v>557</v>
      </c>
      <c r="M2180" s="192">
        <f t="shared" si="102"/>
        <v>25</v>
      </c>
      <c r="N2180" s="193">
        <f t="shared" si="103"/>
        <v>1.2963636363636364</v>
      </c>
      <c r="O2180" s="194">
        <f t="shared" si="104"/>
        <v>5.1854545454545459E-2</v>
      </c>
    </row>
    <row r="2181" spans="1:15" ht="12.75" customHeight="1">
      <c r="A2181" s="188" t="s">
        <v>620</v>
      </c>
      <c r="B2181" s="188" t="s">
        <v>3435</v>
      </c>
      <c r="C2181" s="188" t="s">
        <v>650</v>
      </c>
      <c r="D2181" s="188" t="s">
        <v>3660</v>
      </c>
      <c r="E2181" s="189">
        <v>39345</v>
      </c>
      <c r="F2181" s="190">
        <v>1517</v>
      </c>
      <c r="G2181" s="190">
        <v>0</v>
      </c>
      <c r="H2181" s="191">
        <v>1367.95</v>
      </c>
      <c r="I2181" s="191">
        <v>473.85</v>
      </c>
      <c r="J2181" s="188" t="s">
        <v>624</v>
      </c>
      <c r="K2181" s="188" t="s">
        <v>427</v>
      </c>
      <c r="L2181" s="188" t="s">
        <v>882</v>
      </c>
      <c r="M2181" s="192">
        <f t="shared" si="102"/>
        <v>25</v>
      </c>
      <c r="N2181" s="193">
        <f t="shared" si="103"/>
        <v>1.2990978157644826</v>
      </c>
      <c r="O2181" s="194">
        <f t="shared" si="104"/>
        <v>5.1963912630579305E-2</v>
      </c>
    </row>
    <row r="2182" spans="1:15" ht="12.75" customHeight="1">
      <c r="A2182" s="188" t="s">
        <v>620</v>
      </c>
      <c r="B2182" s="188" t="s">
        <v>3435</v>
      </c>
      <c r="C2182" s="188" t="s">
        <v>650</v>
      </c>
      <c r="D2182" s="188" t="s">
        <v>3661</v>
      </c>
      <c r="E2182" s="189">
        <v>39303</v>
      </c>
      <c r="F2182" s="190">
        <v>1774</v>
      </c>
      <c r="G2182" s="190">
        <v>0</v>
      </c>
      <c r="H2182" s="191">
        <v>1351.02</v>
      </c>
      <c r="I2182" s="191">
        <v>553.95000000000005</v>
      </c>
      <c r="J2182" s="188" t="s">
        <v>624</v>
      </c>
      <c r="K2182" s="188" t="s">
        <v>1344</v>
      </c>
      <c r="L2182" s="188" t="s">
        <v>946</v>
      </c>
      <c r="M2182" s="192">
        <f t="shared" si="102"/>
        <v>21</v>
      </c>
      <c r="N2182" s="193">
        <f t="shared" si="103"/>
        <v>1.097497969130788</v>
      </c>
      <c r="O2182" s="194">
        <f t="shared" si="104"/>
        <v>5.2261808053847045E-2</v>
      </c>
    </row>
    <row r="2183" spans="1:15" ht="12.75" customHeight="1">
      <c r="A2183" s="188" t="s">
        <v>620</v>
      </c>
      <c r="B2183" s="188" t="s">
        <v>3435</v>
      </c>
      <c r="C2183" s="188" t="s">
        <v>650</v>
      </c>
      <c r="D2183" s="188" t="s">
        <v>3662</v>
      </c>
      <c r="E2183" s="189">
        <v>39492</v>
      </c>
      <c r="F2183" s="190">
        <v>1268</v>
      </c>
      <c r="G2183" s="190">
        <v>0</v>
      </c>
      <c r="H2183" s="191">
        <v>1152</v>
      </c>
      <c r="I2183" s="191">
        <v>396</v>
      </c>
      <c r="J2183" s="188" t="s">
        <v>624</v>
      </c>
      <c r="K2183" s="188" t="s">
        <v>427</v>
      </c>
      <c r="L2183" s="188" t="s">
        <v>1213</v>
      </c>
      <c r="M2183" s="192">
        <f t="shared" si="102"/>
        <v>25</v>
      </c>
      <c r="N2183" s="193">
        <f t="shared" si="103"/>
        <v>1.3090909090909091</v>
      </c>
      <c r="O2183" s="194">
        <f t="shared" si="104"/>
        <v>5.2363636363636362E-2</v>
      </c>
    </row>
    <row r="2184" spans="1:15" ht="12.75" customHeight="1">
      <c r="A2184" s="188" t="s">
        <v>620</v>
      </c>
      <c r="B2184" s="188" t="s">
        <v>3435</v>
      </c>
      <c r="C2184" s="188" t="s">
        <v>650</v>
      </c>
      <c r="D2184" s="188" t="s">
        <v>3663</v>
      </c>
      <c r="E2184" s="189">
        <v>39527</v>
      </c>
      <c r="F2184" s="190">
        <v>1705</v>
      </c>
      <c r="G2184" s="190">
        <v>0</v>
      </c>
      <c r="H2184" s="191">
        <v>1315</v>
      </c>
      <c r="I2184" s="191">
        <v>532.35</v>
      </c>
      <c r="J2184" s="188" t="s">
        <v>624</v>
      </c>
      <c r="K2184" s="188" t="s">
        <v>1344</v>
      </c>
      <c r="L2184" s="188" t="s">
        <v>821</v>
      </c>
      <c r="M2184" s="192">
        <f t="shared" si="102"/>
        <v>21</v>
      </c>
      <c r="N2184" s="193">
        <f t="shared" si="103"/>
        <v>1.1115807269653424</v>
      </c>
      <c r="O2184" s="194">
        <f t="shared" si="104"/>
        <v>5.2932415569778207E-2</v>
      </c>
    </row>
    <row r="2185" spans="1:15" ht="12.75" customHeight="1">
      <c r="A2185" s="188" t="s">
        <v>620</v>
      </c>
      <c r="B2185" s="188" t="s">
        <v>3435</v>
      </c>
      <c r="C2185" s="188" t="s">
        <v>650</v>
      </c>
      <c r="D2185" s="188" t="s">
        <v>3664</v>
      </c>
      <c r="E2185" s="189">
        <v>39611</v>
      </c>
      <c r="F2185" s="190">
        <v>1297</v>
      </c>
      <c r="G2185" s="190">
        <v>0</v>
      </c>
      <c r="H2185" s="191">
        <v>1003</v>
      </c>
      <c r="I2185" s="191">
        <v>405</v>
      </c>
      <c r="J2185" s="188" t="s">
        <v>624</v>
      </c>
      <c r="K2185" s="188" t="s">
        <v>1344</v>
      </c>
      <c r="L2185" s="188" t="s">
        <v>740</v>
      </c>
      <c r="M2185" s="192">
        <f t="shared" si="102"/>
        <v>21</v>
      </c>
      <c r="N2185" s="193">
        <f t="shared" si="103"/>
        <v>1.1144444444444443</v>
      </c>
      <c r="O2185" s="194">
        <f t="shared" si="104"/>
        <v>5.3068783068783064E-2</v>
      </c>
    </row>
    <row r="2186" spans="1:15" ht="12.75" customHeight="1">
      <c r="A2186" s="188" t="s">
        <v>620</v>
      </c>
      <c r="B2186" s="188" t="s">
        <v>3435</v>
      </c>
      <c r="C2186" s="188" t="s">
        <v>650</v>
      </c>
      <c r="D2186" s="188" t="s">
        <v>3665</v>
      </c>
      <c r="E2186" s="189">
        <v>39555</v>
      </c>
      <c r="F2186" s="190">
        <v>2469</v>
      </c>
      <c r="G2186" s="190">
        <v>0</v>
      </c>
      <c r="H2186" s="191">
        <v>2278</v>
      </c>
      <c r="I2186" s="191">
        <v>770.85</v>
      </c>
      <c r="J2186" s="188" t="s">
        <v>624</v>
      </c>
      <c r="K2186" s="188" t="s">
        <v>427</v>
      </c>
      <c r="L2186" s="188" t="s">
        <v>871</v>
      </c>
      <c r="M2186" s="192">
        <f t="shared" si="102"/>
        <v>25</v>
      </c>
      <c r="N2186" s="193">
        <f t="shared" si="103"/>
        <v>1.3298307063631056</v>
      </c>
      <c r="O2186" s="194">
        <f t="shared" si="104"/>
        <v>5.3193228254524223E-2</v>
      </c>
    </row>
    <row r="2187" spans="1:15" ht="12.75" customHeight="1">
      <c r="A2187" s="188" t="s">
        <v>620</v>
      </c>
      <c r="B2187" s="188" t="s">
        <v>3435</v>
      </c>
      <c r="C2187" s="188" t="s">
        <v>650</v>
      </c>
      <c r="D2187" s="188" t="s">
        <v>3666</v>
      </c>
      <c r="E2187" s="189">
        <v>39296</v>
      </c>
      <c r="F2187" s="190">
        <v>2017</v>
      </c>
      <c r="G2187" s="190">
        <v>0</v>
      </c>
      <c r="H2187" s="191">
        <v>1877.4</v>
      </c>
      <c r="I2187" s="191">
        <v>630</v>
      </c>
      <c r="J2187" s="188" t="s">
        <v>624</v>
      </c>
      <c r="K2187" s="188" t="s">
        <v>427</v>
      </c>
      <c r="L2187" s="188" t="s">
        <v>754</v>
      </c>
      <c r="M2187" s="192">
        <f t="shared" si="102"/>
        <v>25</v>
      </c>
      <c r="N2187" s="193">
        <f t="shared" si="103"/>
        <v>1.341</v>
      </c>
      <c r="O2187" s="194">
        <f t="shared" si="104"/>
        <v>5.364E-2</v>
      </c>
    </row>
    <row r="2188" spans="1:15" ht="12.75" customHeight="1">
      <c r="A2188" s="188" t="s">
        <v>620</v>
      </c>
      <c r="B2188" s="188" t="s">
        <v>3435</v>
      </c>
      <c r="C2188" s="188" t="s">
        <v>650</v>
      </c>
      <c r="D2188" s="188" t="s">
        <v>3667</v>
      </c>
      <c r="E2188" s="189">
        <v>39282</v>
      </c>
      <c r="F2188" s="190">
        <v>1813</v>
      </c>
      <c r="G2188" s="190">
        <v>0</v>
      </c>
      <c r="H2188" s="191">
        <v>1687.98</v>
      </c>
      <c r="I2188" s="191">
        <v>566.1</v>
      </c>
      <c r="J2188" s="188" t="s">
        <v>624</v>
      </c>
      <c r="K2188" s="188" t="s">
        <v>427</v>
      </c>
      <c r="L2188" s="188" t="s">
        <v>2670</v>
      </c>
      <c r="M2188" s="192">
        <f t="shared" si="102"/>
        <v>25</v>
      </c>
      <c r="N2188" s="193">
        <f t="shared" si="103"/>
        <v>1.3417965023847378</v>
      </c>
      <c r="O2188" s="194">
        <f t="shared" si="104"/>
        <v>5.3671860095389511E-2</v>
      </c>
    </row>
    <row r="2189" spans="1:15" ht="12.75" customHeight="1">
      <c r="A2189" s="188" t="s">
        <v>620</v>
      </c>
      <c r="B2189" s="188" t="s">
        <v>3435</v>
      </c>
      <c r="C2189" s="188" t="s">
        <v>650</v>
      </c>
      <c r="D2189" s="188" t="s">
        <v>3668</v>
      </c>
      <c r="E2189" s="189">
        <v>39447</v>
      </c>
      <c r="F2189" s="190">
        <v>2321</v>
      </c>
      <c r="G2189" s="190">
        <v>0</v>
      </c>
      <c r="H2189" s="191">
        <v>2176</v>
      </c>
      <c r="I2189" s="191">
        <v>724.95</v>
      </c>
      <c r="J2189" s="188" t="s">
        <v>624</v>
      </c>
      <c r="K2189" s="188" t="s">
        <v>427</v>
      </c>
      <c r="L2189" s="188" t="s">
        <v>1183</v>
      </c>
      <c r="M2189" s="192">
        <f t="shared" si="102"/>
        <v>25</v>
      </c>
      <c r="N2189" s="193">
        <f t="shared" si="103"/>
        <v>1.350713842333954</v>
      </c>
      <c r="O2189" s="194">
        <f t="shared" si="104"/>
        <v>5.4028553693358156E-2</v>
      </c>
    </row>
    <row r="2190" spans="1:15" ht="12.75" customHeight="1">
      <c r="A2190" s="188" t="s">
        <v>620</v>
      </c>
      <c r="B2190" s="188" t="s">
        <v>3435</v>
      </c>
      <c r="C2190" s="188" t="s">
        <v>650</v>
      </c>
      <c r="D2190" s="188" t="s">
        <v>3669</v>
      </c>
      <c r="E2190" s="189">
        <v>39513</v>
      </c>
      <c r="F2190" s="190">
        <v>1499</v>
      </c>
      <c r="G2190" s="190">
        <v>0</v>
      </c>
      <c r="H2190" s="191">
        <v>1405</v>
      </c>
      <c r="I2190" s="191">
        <v>468</v>
      </c>
      <c r="J2190" s="188" t="s">
        <v>624</v>
      </c>
      <c r="K2190" s="188" t="s">
        <v>427</v>
      </c>
      <c r="L2190" s="188" t="s">
        <v>808</v>
      </c>
      <c r="M2190" s="192">
        <f t="shared" si="102"/>
        <v>25</v>
      </c>
      <c r="N2190" s="193">
        <f t="shared" si="103"/>
        <v>1.3509615384615385</v>
      </c>
      <c r="O2190" s="194">
        <f t="shared" si="104"/>
        <v>5.4038461538461542E-2</v>
      </c>
    </row>
    <row r="2191" spans="1:15" ht="12.75" customHeight="1">
      <c r="A2191" s="188" t="s">
        <v>620</v>
      </c>
      <c r="B2191" s="188" t="s">
        <v>3435</v>
      </c>
      <c r="C2191" s="188" t="s">
        <v>650</v>
      </c>
      <c r="D2191" s="188" t="s">
        <v>3670</v>
      </c>
      <c r="E2191" s="189">
        <v>39429</v>
      </c>
      <c r="F2191" s="190">
        <v>2022</v>
      </c>
      <c r="G2191" s="190">
        <v>0</v>
      </c>
      <c r="H2191" s="191">
        <v>1899</v>
      </c>
      <c r="I2191" s="191">
        <v>631.35</v>
      </c>
      <c r="J2191" s="188" t="s">
        <v>624</v>
      </c>
      <c r="K2191" s="188" t="s">
        <v>427</v>
      </c>
      <c r="L2191" s="188" t="s">
        <v>3671</v>
      </c>
      <c r="M2191" s="192">
        <f t="shared" si="102"/>
        <v>25</v>
      </c>
      <c r="N2191" s="193">
        <f t="shared" si="103"/>
        <v>1.3535281539558091</v>
      </c>
      <c r="O2191" s="194">
        <f t="shared" si="104"/>
        <v>5.4141126158232362E-2</v>
      </c>
    </row>
    <row r="2192" spans="1:15" ht="12.75" customHeight="1">
      <c r="A2192" s="188" t="s">
        <v>620</v>
      </c>
      <c r="B2192" s="188" t="s">
        <v>3435</v>
      </c>
      <c r="C2192" s="188" t="s">
        <v>650</v>
      </c>
      <c r="D2192" s="188" t="s">
        <v>3672</v>
      </c>
      <c r="E2192" s="189">
        <v>39429</v>
      </c>
      <c r="F2192" s="190">
        <v>2450</v>
      </c>
      <c r="G2192" s="190">
        <v>0</v>
      </c>
      <c r="H2192" s="191">
        <v>2763.1</v>
      </c>
      <c r="I2192" s="191">
        <v>765</v>
      </c>
      <c r="J2192" s="188" t="s">
        <v>624</v>
      </c>
      <c r="K2192" s="188" t="s">
        <v>257</v>
      </c>
      <c r="L2192" s="188" t="s">
        <v>833</v>
      </c>
      <c r="M2192" s="192">
        <f t="shared" si="102"/>
        <v>30</v>
      </c>
      <c r="N2192" s="193">
        <f t="shared" si="103"/>
        <v>1.6253529411764704</v>
      </c>
      <c r="O2192" s="194">
        <f t="shared" si="104"/>
        <v>5.4178431372549012E-2</v>
      </c>
    </row>
    <row r="2193" spans="1:15" ht="12.75" customHeight="1">
      <c r="A2193" s="188" t="s">
        <v>620</v>
      </c>
      <c r="B2193" s="188" t="s">
        <v>3435</v>
      </c>
      <c r="C2193" s="188" t="s">
        <v>650</v>
      </c>
      <c r="D2193" s="188" t="s">
        <v>3673</v>
      </c>
      <c r="E2193" s="189">
        <v>39407</v>
      </c>
      <c r="F2193" s="190">
        <v>3314</v>
      </c>
      <c r="G2193" s="190">
        <v>0</v>
      </c>
      <c r="H2193" s="191">
        <v>3148</v>
      </c>
      <c r="I2193" s="191">
        <v>1035</v>
      </c>
      <c r="J2193" s="188" t="s">
        <v>624</v>
      </c>
      <c r="K2193" s="188" t="s">
        <v>427</v>
      </c>
      <c r="L2193" s="188" t="s">
        <v>1472</v>
      </c>
      <c r="M2193" s="192">
        <f t="shared" si="102"/>
        <v>25</v>
      </c>
      <c r="N2193" s="193">
        <f t="shared" si="103"/>
        <v>1.3686956521739131</v>
      </c>
      <c r="O2193" s="194">
        <f t="shared" si="104"/>
        <v>5.4747826086956525E-2</v>
      </c>
    </row>
    <row r="2194" spans="1:15" ht="12.75" customHeight="1">
      <c r="A2194" s="188" t="s">
        <v>620</v>
      </c>
      <c r="B2194" s="188" t="s">
        <v>3435</v>
      </c>
      <c r="C2194" s="188" t="s">
        <v>650</v>
      </c>
      <c r="D2194" s="188" t="s">
        <v>3674</v>
      </c>
      <c r="E2194" s="189">
        <v>39373</v>
      </c>
      <c r="F2194" s="190">
        <v>1729</v>
      </c>
      <c r="G2194" s="190">
        <v>0</v>
      </c>
      <c r="H2194" s="191">
        <v>1643</v>
      </c>
      <c r="I2194" s="191">
        <v>540</v>
      </c>
      <c r="J2194" s="188" t="s">
        <v>624</v>
      </c>
      <c r="K2194" s="188" t="s">
        <v>427</v>
      </c>
      <c r="L2194" s="188" t="s">
        <v>632</v>
      </c>
      <c r="M2194" s="192">
        <f t="shared" si="102"/>
        <v>25</v>
      </c>
      <c r="N2194" s="193">
        <f t="shared" si="103"/>
        <v>1.3691666666666666</v>
      </c>
      <c r="O2194" s="194">
        <f t="shared" si="104"/>
        <v>5.4766666666666665E-2</v>
      </c>
    </row>
    <row r="2195" spans="1:15" ht="12.75" customHeight="1">
      <c r="A2195" s="188" t="s">
        <v>620</v>
      </c>
      <c r="B2195" s="188" t="s">
        <v>3435</v>
      </c>
      <c r="C2195" s="188" t="s">
        <v>650</v>
      </c>
      <c r="D2195" s="188" t="s">
        <v>3675</v>
      </c>
      <c r="E2195" s="189">
        <v>39373</v>
      </c>
      <c r="F2195" s="190">
        <v>144</v>
      </c>
      <c r="G2195" s="190">
        <v>0</v>
      </c>
      <c r="H2195" s="191">
        <v>116</v>
      </c>
      <c r="I2195" s="191">
        <v>45</v>
      </c>
      <c r="J2195" s="188" t="s">
        <v>624</v>
      </c>
      <c r="K2195" s="188" t="s">
        <v>1344</v>
      </c>
      <c r="L2195" s="188" t="s">
        <v>3372</v>
      </c>
      <c r="M2195" s="192">
        <f t="shared" si="102"/>
        <v>21</v>
      </c>
      <c r="N2195" s="193">
        <f t="shared" si="103"/>
        <v>1.1599999999999999</v>
      </c>
      <c r="O2195" s="194">
        <f t="shared" si="104"/>
        <v>5.5238095238095232E-2</v>
      </c>
    </row>
    <row r="2196" spans="1:15" ht="12.75" customHeight="1">
      <c r="A2196" s="188" t="s">
        <v>620</v>
      </c>
      <c r="B2196" s="188" t="s">
        <v>3435</v>
      </c>
      <c r="C2196" s="188" t="s">
        <v>650</v>
      </c>
      <c r="D2196" s="188" t="s">
        <v>3676</v>
      </c>
      <c r="E2196" s="189">
        <v>39555</v>
      </c>
      <c r="F2196" s="190">
        <v>2257</v>
      </c>
      <c r="G2196" s="190">
        <v>0</v>
      </c>
      <c r="H2196" s="191">
        <v>1820</v>
      </c>
      <c r="I2196" s="191">
        <v>704.7</v>
      </c>
      <c r="J2196" s="188" t="s">
        <v>624</v>
      </c>
      <c r="K2196" s="188" t="s">
        <v>1344</v>
      </c>
      <c r="L2196" s="188" t="s">
        <v>792</v>
      </c>
      <c r="M2196" s="192">
        <f t="shared" si="102"/>
        <v>21</v>
      </c>
      <c r="N2196" s="193">
        <f t="shared" si="103"/>
        <v>1.1621966794380587</v>
      </c>
      <c r="O2196" s="194">
        <f t="shared" si="104"/>
        <v>5.5342699020859941E-2</v>
      </c>
    </row>
    <row r="2197" spans="1:15" ht="12.75" customHeight="1">
      <c r="A2197" s="188" t="s">
        <v>620</v>
      </c>
      <c r="B2197" s="188" t="s">
        <v>3435</v>
      </c>
      <c r="C2197" s="188" t="s">
        <v>650</v>
      </c>
      <c r="D2197" s="188" t="s">
        <v>3677</v>
      </c>
      <c r="E2197" s="189">
        <v>39632</v>
      </c>
      <c r="F2197" s="190">
        <v>2237</v>
      </c>
      <c r="G2197" s="190">
        <v>0</v>
      </c>
      <c r="H2197" s="191">
        <v>1632</v>
      </c>
      <c r="I2197" s="191">
        <v>698.4</v>
      </c>
      <c r="J2197" s="188" t="s">
        <v>624</v>
      </c>
      <c r="K2197" s="188" t="s">
        <v>667</v>
      </c>
      <c r="L2197" s="188" t="s">
        <v>3678</v>
      </c>
      <c r="M2197" s="192">
        <f t="shared" si="102"/>
        <v>19</v>
      </c>
      <c r="N2197" s="193">
        <f t="shared" si="103"/>
        <v>1.0515463917525774</v>
      </c>
      <c r="O2197" s="194">
        <f t="shared" si="104"/>
        <v>5.5344546934346178E-2</v>
      </c>
    </row>
    <row r="2198" spans="1:15" ht="12.75" customHeight="1">
      <c r="A2198" s="188" t="s">
        <v>620</v>
      </c>
      <c r="B2198" s="188" t="s">
        <v>3435</v>
      </c>
      <c r="C2198" s="188" t="s">
        <v>650</v>
      </c>
      <c r="D2198" s="188" t="s">
        <v>3679</v>
      </c>
      <c r="E2198" s="189">
        <v>39513</v>
      </c>
      <c r="F2198" s="190">
        <v>2341</v>
      </c>
      <c r="G2198" s="190">
        <v>0</v>
      </c>
      <c r="H2198" s="191">
        <v>1892</v>
      </c>
      <c r="I2198" s="191">
        <v>730.8</v>
      </c>
      <c r="J2198" s="188" t="s">
        <v>624</v>
      </c>
      <c r="K2198" s="188" t="s">
        <v>1344</v>
      </c>
      <c r="L2198" s="188" t="s">
        <v>786</v>
      </c>
      <c r="M2198" s="192">
        <f t="shared" si="102"/>
        <v>21</v>
      </c>
      <c r="N2198" s="193">
        <f t="shared" si="103"/>
        <v>1.1650246305418719</v>
      </c>
      <c r="O2198" s="194">
        <f t="shared" si="104"/>
        <v>5.5477363359136757E-2</v>
      </c>
    </row>
    <row r="2199" spans="1:15" ht="12.75" customHeight="1">
      <c r="A2199" s="188" t="s">
        <v>620</v>
      </c>
      <c r="B2199" s="188" t="s">
        <v>3435</v>
      </c>
      <c r="C2199" s="188" t="s">
        <v>650</v>
      </c>
      <c r="D2199" s="188" t="s">
        <v>3680</v>
      </c>
      <c r="E2199" s="189">
        <v>39632</v>
      </c>
      <c r="F2199" s="190">
        <v>1659</v>
      </c>
      <c r="G2199" s="190">
        <v>0</v>
      </c>
      <c r="H2199" s="191">
        <v>1341</v>
      </c>
      <c r="I2199" s="191">
        <v>517.95000000000005</v>
      </c>
      <c r="J2199" s="188" t="s">
        <v>624</v>
      </c>
      <c r="K2199" s="188" t="s">
        <v>1344</v>
      </c>
      <c r="L2199" s="188" t="s">
        <v>929</v>
      </c>
      <c r="M2199" s="192">
        <f t="shared" si="102"/>
        <v>21</v>
      </c>
      <c r="N2199" s="193">
        <f t="shared" si="103"/>
        <v>1.1650738488271069</v>
      </c>
      <c r="O2199" s="194">
        <f t="shared" si="104"/>
        <v>5.5479707087005087E-2</v>
      </c>
    </row>
    <row r="2200" spans="1:15" ht="12.75" customHeight="1">
      <c r="A2200" s="188" t="s">
        <v>620</v>
      </c>
      <c r="B2200" s="188" t="s">
        <v>3435</v>
      </c>
      <c r="C2200" s="188" t="s">
        <v>650</v>
      </c>
      <c r="D2200" s="188" t="s">
        <v>3681</v>
      </c>
      <c r="E2200" s="189">
        <v>39345</v>
      </c>
      <c r="F2200" s="190">
        <v>2594</v>
      </c>
      <c r="G2200" s="190">
        <v>0</v>
      </c>
      <c r="H2200" s="191">
        <v>2508</v>
      </c>
      <c r="I2200" s="191">
        <v>810</v>
      </c>
      <c r="J2200" s="188" t="s">
        <v>624</v>
      </c>
      <c r="K2200" s="188" t="s">
        <v>427</v>
      </c>
      <c r="L2200" s="188" t="s">
        <v>718</v>
      </c>
      <c r="M2200" s="192">
        <f t="shared" si="102"/>
        <v>25</v>
      </c>
      <c r="N2200" s="193">
        <f t="shared" si="103"/>
        <v>1.3933333333333333</v>
      </c>
      <c r="O2200" s="194">
        <f t="shared" si="104"/>
        <v>5.5733333333333329E-2</v>
      </c>
    </row>
    <row r="2201" spans="1:15" ht="12.75" customHeight="1">
      <c r="A2201" s="188" t="s">
        <v>620</v>
      </c>
      <c r="B2201" s="188" t="s">
        <v>3435</v>
      </c>
      <c r="C2201" s="188" t="s">
        <v>650</v>
      </c>
      <c r="D2201" s="188" t="s">
        <v>3682</v>
      </c>
      <c r="E2201" s="189">
        <v>39289</v>
      </c>
      <c r="F2201" s="190">
        <v>1384</v>
      </c>
      <c r="G2201" s="190">
        <v>0</v>
      </c>
      <c r="H2201" s="191">
        <v>1341.98</v>
      </c>
      <c r="I2201" s="191">
        <v>432</v>
      </c>
      <c r="J2201" s="188" t="s">
        <v>624</v>
      </c>
      <c r="K2201" s="188" t="s">
        <v>427</v>
      </c>
      <c r="L2201" s="188" t="s">
        <v>1146</v>
      </c>
      <c r="M2201" s="192">
        <f t="shared" si="102"/>
        <v>25</v>
      </c>
      <c r="N2201" s="193">
        <f t="shared" si="103"/>
        <v>1.3978958333333333</v>
      </c>
      <c r="O2201" s="194">
        <f t="shared" si="104"/>
        <v>5.5915833333333331E-2</v>
      </c>
    </row>
    <row r="2202" spans="1:15" ht="12.75" customHeight="1">
      <c r="A2202" s="188" t="s">
        <v>620</v>
      </c>
      <c r="B2202" s="188" t="s">
        <v>3435</v>
      </c>
      <c r="C2202" s="188" t="s">
        <v>650</v>
      </c>
      <c r="D2202" s="188" t="s">
        <v>3683</v>
      </c>
      <c r="E2202" s="189">
        <v>39555</v>
      </c>
      <c r="F2202" s="190">
        <v>1777</v>
      </c>
      <c r="G2202" s="190">
        <v>0</v>
      </c>
      <c r="H2202" s="191">
        <v>1724.87</v>
      </c>
      <c r="I2202" s="191">
        <v>554.85</v>
      </c>
      <c r="J2202" s="188" t="s">
        <v>624</v>
      </c>
      <c r="K2202" s="188" t="s">
        <v>427</v>
      </c>
      <c r="L2202" s="188" t="s">
        <v>1226</v>
      </c>
      <c r="M2202" s="192">
        <f t="shared" si="102"/>
        <v>25</v>
      </c>
      <c r="N2202" s="193">
        <f t="shared" si="103"/>
        <v>1.3989213300892132</v>
      </c>
      <c r="O2202" s="194">
        <f t="shared" si="104"/>
        <v>5.5956853203568524E-2</v>
      </c>
    </row>
    <row r="2203" spans="1:15" ht="12.75" customHeight="1">
      <c r="A2203" s="188" t="s">
        <v>620</v>
      </c>
      <c r="B2203" s="188" t="s">
        <v>3435</v>
      </c>
      <c r="C2203" s="188" t="s">
        <v>650</v>
      </c>
      <c r="D2203" s="188" t="s">
        <v>3684</v>
      </c>
      <c r="E2203" s="189">
        <v>39576</v>
      </c>
      <c r="F2203" s="190">
        <v>237</v>
      </c>
      <c r="G2203" s="190">
        <v>0</v>
      </c>
      <c r="H2203" s="191">
        <v>229.54</v>
      </c>
      <c r="I2203" s="191">
        <v>73.8</v>
      </c>
      <c r="J2203" s="188" t="s">
        <v>624</v>
      </c>
      <c r="K2203" s="188" t="s">
        <v>427</v>
      </c>
      <c r="L2203" s="188" t="s">
        <v>388</v>
      </c>
      <c r="M2203" s="192">
        <f t="shared" si="102"/>
        <v>25</v>
      </c>
      <c r="N2203" s="193">
        <f t="shared" si="103"/>
        <v>1.3996341463414634</v>
      </c>
      <c r="O2203" s="194">
        <f t="shared" si="104"/>
        <v>5.5985365853658535E-2</v>
      </c>
    </row>
    <row r="2204" spans="1:15" ht="12.75" customHeight="1">
      <c r="A2204" s="188" t="s">
        <v>620</v>
      </c>
      <c r="B2204" s="188" t="s">
        <v>3435</v>
      </c>
      <c r="C2204" s="188" t="s">
        <v>650</v>
      </c>
      <c r="D2204" s="188" t="s">
        <v>3685</v>
      </c>
      <c r="E2204" s="189">
        <v>39447</v>
      </c>
      <c r="F2204" s="190">
        <v>2162</v>
      </c>
      <c r="G2204" s="190">
        <v>0</v>
      </c>
      <c r="H2204" s="191">
        <v>2100</v>
      </c>
      <c r="I2204" s="191">
        <v>675</v>
      </c>
      <c r="J2204" s="188" t="s">
        <v>624</v>
      </c>
      <c r="K2204" s="188" t="s">
        <v>427</v>
      </c>
      <c r="L2204" s="188" t="s">
        <v>746</v>
      </c>
      <c r="M2204" s="192">
        <f t="shared" si="102"/>
        <v>25</v>
      </c>
      <c r="N2204" s="193">
        <f t="shared" si="103"/>
        <v>1.4</v>
      </c>
      <c r="O2204" s="194">
        <f t="shared" si="104"/>
        <v>5.5999999999999994E-2</v>
      </c>
    </row>
    <row r="2205" spans="1:15" ht="12.75" customHeight="1">
      <c r="A2205" s="188" t="s">
        <v>620</v>
      </c>
      <c r="B2205" s="188" t="s">
        <v>3435</v>
      </c>
      <c r="C2205" s="188" t="s">
        <v>650</v>
      </c>
      <c r="D2205" s="188" t="s">
        <v>3686</v>
      </c>
      <c r="E2205" s="189">
        <v>39415</v>
      </c>
      <c r="F2205" s="190">
        <v>1398</v>
      </c>
      <c r="G2205" s="190">
        <v>0</v>
      </c>
      <c r="H2205" s="191">
        <v>1362</v>
      </c>
      <c r="I2205" s="191">
        <v>436.5</v>
      </c>
      <c r="J2205" s="188" t="s">
        <v>624</v>
      </c>
      <c r="K2205" s="188" t="s">
        <v>427</v>
      </c>
      <c r="L2205" s="188" t="s">
        <v>2680</v>
      </c>
      <c r="M2205" s="192">
        <f t="shared" si="102"/>
        <v>25</v>
      </c>
      <c r="N2205" s="193">
        <f t="shared" si="103"/>
        <v>1.4041237113402061</v>
      </c>
      <c r="O2205" s="194">
        <f t="shared" si="104"/>
        <v>5.6164948453608241E-2</v>
      </c>
    </row>
    <row r="2206" spans="1:15" ht="12.75" customHeight="1">
      <c r="A2206" s="188" t="s">
        <v>620</v>
      </c>
      <c r="B2206" s="188" t="s">
        <v>3435</v>
      </c>
      <c r="C2206" s="188" t="s">
        <v>650</v>
      </c>
      <c r="D2206" s="188" t="s">
        <v>3687</v>
      </c>
      <c r="E2206" s="189">
        <v>39478</v>
      </c>
      <c r="F2206" s="190">
        <v>1517</v>
      </c>
      <c r="G2206" s="190">
        <v>0</v>
      </c>
      <c r="H2206" s="191">
        <v>1256</v>
      </c>
      <c r="I2206" s="191">
        <v>473.85</v>
      </c>
      <c r="J2206" s="188" t="s">
        <v>624</v>
      </c>
      <c r="K2206" s="188" t="s">
        <v>1344</v>
      </c>
      <c r="L2206" s="188" t="s">
        <v>882</v>
      </c>
      <c r="M2206" s="192">
        <f t="shared" si="102"/>
        <v>21</v>
      </c>
      <c r="N2206" s="193">
        <f t="shared" si="103"/>
        <v>1.1927825261158596</v>
      </c>
      <c r="O2206" s="194">
        <f t="shared" si="104"/>
        <v>5.6799167910279023E-2</v>
      </c>
    </row>
    <row r="2207" spans="1:15" ht="12.75" customHeight="1">
      <c r="A2207" s="188" t="s">
        <v>620</v>
      </c>
      <c r="B2207" s="188" t="s">
        <v>3435</v>
      </c>
      <c r="C2207" s="188" t="s">
        <v>650</v>
      </c>
      <c r="D2207" s="188" t="s">
        <v>3688</v>
      </c>
      <c r="E2207" s="189">
        <v>39499</v>
      </c>
      <c r="F2207" s="190">
        <v>1517</v>
      </c>
      <c r="G2207" s="190">
        <v>0</v>
      </c>
      <c r="H2207" s="191">
        <v>1256</v>
      </c>
      <c r="I2207" s="191">
        <v>473.85</v>
      </c>
      <c r="J2207" s="188" t="s">
        <v>624</v>
      </c>
      <c r="K2207" s="188" t="s">
        <v>1344</v>
      </c>
      <c r="L2207" s="188" t="s">
        <v>882</v>
      </c>
      <c r="M2207" s="192">
        <f t="shared" si="102"/>
        <v>21</v>
      </c>
      <c r="N2207" s="193">
        <f t="shared" si="103"/>
        <v>1.1927825261158596</v>
      </c>
      <c r="O2207" s="194">
        <f t="shared" si="104"/>
        <v>5.6799167910279023E-2</v>
      </c>
    </row>
    <row r="2208" spans="1:15" ht="12.75" customHeight="1">
      <c r="A2208" s="188" t="s">
        <v>620</v>
      </c>
      <c r="B2208" s="188" t="s">
        <v>3435</v>
      </c>
      <c r="C2208" s="188" t="s">
        <v>650</v>
      </c>
      <c r="D2208" s="188" t="s">
        <v>3689</v>
      </c>
      <c r="E2208" s="189">
        <v>39247</v>
      </c>
      <c r="F2208" s="190">
        <v>1845</v>
      </c>
      <c r="G2208" s="190">
        <v>0</v>
      </c>
      <c r="H2208" s="191">
        <v>1836.03</v>
      </c>
      <c r="I2208" s="191">
        <v>576</v>
      </c>
      <c r="J2208" s="188" t="s">
        <v>624</v>
      </c>
      <c r="K2208" s="188" t="s">
        <v>427</v>
      </c>
      <c r="L2208" s="188" t="s">
        <v>994</v>
      </c>
      <c r="M2208" s="192">
        <f t="shared" si="102"/>
        <v>25</v>
      </c>
      <c r="N2208" s="193">
        <f t="shared" si="103"/>
        <v>1.4343984375000001</v>
      </c>
      <c r="O2208" s="194">
        <f t="shared" si="104"/>
        <v>5.7375937500000002E-2</v>
      </c>
    </row>
    <row r="2209" spans="1:15" ht="12.75" customHeight="1">
      <c r="A2209" s="188" t="s">
        <v>620</v>
      </c>
      <c r="B2209" s="188" t="s">
        <v>3435</v>
      </c>
      <c r="C2209" s="188" t="s">
        <v>650</v>
      </c>
      <c r="D2209" s="188" t="s">
        <v>3690</v>
      </c>
      <c r="E2209" s="189">
        <v>39429</v>
      </c>
      <c r="F2209" s="190">
        <v>2537</v>
      </c>
      <c r="G2209" s="190">
        <v>0</v>
      </c>
      <c r="H2209" s="191">
        <v>2539</v>
      </c>
      <c r="I2209" s="191">
        <v>792</v>
      </c>
      <c r="J2209" s="188" t="s">
        <v>624</v>
      </c>
      <c r="K2209" s="188" t="s">
        <v>427</v>
      </c>
      <c r="L2209" s="188" t="s">
        <v>1496</v>
      </c>
      <c r="M2209" s="192">
        <f t="shared" si="102"/>
        <v>25</v>
      </c>
      <c r="N2209" s="193">
        <f t="shared" si="103"/>
        <v>1.4426136363636364</v>
      </c>
      <c r="O2209" s="194">
        <f t="shared" si="104"/>
        <v>5.7704545454545453E-2</v>
      </c>
    </row>
    <row r="2210" spans="1:15" ht="12.75" customHeight="1">
      <c r="A2210" s="188" t="s">
        <v>620</v>
      </c>
      <c r="B2210" s="188" t="s">
        <v>3435</v>
      </c>
      <c r="C2210" s="188" t="s">
        <v>650</v>
      </c>
      <c r="D2210" s="188" t="s">
        <v>3691</v>
      </c>
      <c r="E2210" s="189">
        <v>39395</v>
      </c>
      <c r="F2210" s="190">
        <v>1657</v>
      </c>
      <c r="G2210" s="190">
        <v>0</v>
      </c>
      <c r="H2210" s="191">
        <v>1661.55</v>
      </c>
      <c r="I2210" s="191">
        <v>517.5</v>
      </c>
      <c r="J2210" s="188" t="s">
        <v>624</v>
      </c>
      <c r="K2210" s="188" t="s">
        <v>427</v>
      </c>
      <c r="L2210" s="188" t="s">
        <v>697</v>
      </c>
      <c r="M2210" s="192">
        <f t="shared" si="102"/>
        <v>25</v>
      </c>
      <c r="N2210" s="193">
        <f t="shared" si="103"/>
        <v>1.4448260869565217</v>
      </c>
      <c r="O2210" s="194">
        <f t="shared" si="104"/>
        <v>5.7793043478260871E-2</v>
      </c>
    </row>
    <row r="2211" spans="1:15" ht="12.75" customHeight="1">
      <c r="A2211" s="188" t="s">
        <v>620</v>
      </c>
      <c r="B2211" s="188" t="s">
        <v>3435</v>
      </c>
      <c r="C2211" s="188" t="s">
        <v>650</v>
      </c>
      <c r="D2211" s="188" t="s">
        <v>3692</v>
      </c>
      <c r="E2211" s="189">
        <v>39401</v>
      </c>
      <c r="F2211" s="190">
        <v>1384</v>
      </c>
      <c r="G2211" s="190">
        <v>0</v>
      </c>
      <c r="H2211" s="191">
        <v>1391</v>
      </c>
      <c r="I2211" s="191">
        <v>432</v>
      </c>
      <c r="J2211" s="188" t="s">
        <v>624</v>
      </c>
      <c r="K2211" s="188" t="s">
        <v>427</v>
      </c>
      <c r="L2211" s="188" t="s">
        <v>1146</v>
      </c>
      <c r="M2211" s="192">
        <f t="shared" si="102"/>
        <v>25</v>
      </c>
      <c r="N2211" s="193">
        <f t="shared" si="103"/>
        <v>1.4489583333333333</v>
      </c>
      <c r="O2211" s="194">
        <f t="shared" si="104"/>
        <v>5.7958333333333334E-2</v>
      </c>
    </row>
    <row r="2212" spans="1:15" ht="12.75" customHeight="1">
      <c r="A2212" s="188" t="s">
        <v>620</v>
      </c>
      <c r="B2212" s="188" t="s">
        <v>3435</v>
      </c>
      <c r="C2212" s="188" t="s">
        <v>650</v>
      </c>
      <c r="D2212" s="188" t="s">
        <v>3693</v>
      </c>
      <c r="E2212" s="189">
        <v>39345</v>
      </c>
      <c r="F2212" s="190">
        <v>1724</v>
      </c>
      <c r="G2212" s="190">
        <v>0</v>
      </c>
      <c r="H2212" s="191">
        <v>1742</v>
      </c>
      <c r="I2212" s="191">
        <v>538.20000000000005</v>
      </c>
      <c r="J2212" s="188" t="s">
        <v>624</v>
      </c>
      <c r="K2212" s="188" t="s">
        <v>427</v>
      </c>
      <c r="L2212" s="188" t="s">
        <v>812</v>
      </c>
      <c r="M2212" s="192">
        <f t="shared" si="102"/>
        <v>25</v>
      </c>
      <c r="N2212" s="193">
        <f t="shared" si="103"/>
        <v>1.4565217391304348</v>
      </c>
      <c r="O2212" s="194">
        <f t="shared" si="104"/>
        <v>5.8260869565217394E-2</v>
      </c>
    </row>
    <row r="2213" spans="1:15" ht="12.75" customHeight="1">
      <c r="A2213" s="188" t="s">
        <v>620</v>
      </c>
      <c r="B2213" s="188" t="s">
        <v>3435</v>
      </c>
      <c r="C2213" s="188" t="s">
        <v>650</v>
      </c>
      <c r="D2213" s="188" t="s">
        <v>3694</v>
      </c>
      <c r="E2213" s="189">
        <v>39583</v>
      </c>
      <c r="F2213" s="190">
        <v>3070</v>
      </c>
      <c r="G2213" s="190">
        <v>0</v>
      </c>
      <c r="H2213" s="191">
        <v>2622</v>
      </c>
      <c r="I2213" s="191">
        <v>958.5</v>
      </c>
      <c r="J2213" s="188" t="s">
        <v>624</v>
      </c>
      <c r="K2213" s="188" t="s">
        <v>1344</v>
      </c>
      <c r="L2213" s="188" t="s">
        <v>987</v>
      </c>
      <c r="M2213" s="192">
        <f t="shared" si="102"/>
        <v>21</v>
      </c>
      <c r="N2213" s="193">
        <f t="shared" si="103"/>
        <v>1.2309859154929577</v>
      </c>
      <c r="O2213" s="194">
        <f t="shared" si="104"/>
        <v>5.8618376928236078E-2</v>
      </c>
    </row>
    <row r="2214" spans="1:15" ht="12.75" customHeight="1">
      <c r="A2214" s="188" t="s">
        <v>620</v>
      </c>
      <c r="B2214" s="188" t="s">
        <v>3435</v>
      </c>
      <c r="C2214" s="188" t="s">
        <v>650</v>
      </c>
      <c r="D2214" s="188" t="s">
        <v>3695</v>
      </c>
      <c r="E2214" s="189">
        <v>39226</v>
      </c>
      <c r="F2214" s="190">
        <v>1452</v>
      </c>
      <c r="G2214" s="190">
        <v>0</v>
      </c>
      <c r="H2214" s="191">
        <v>1505.04</v>
      </c>
      <c r="I2214" s="191">
        <v>453.6</v>
      </c>
      <c r="J2214" s="188" t="s">
        <v>624</v>
      </c>
      <c r="K2214" s="188" t="s">
        <v>427</v>
      </c>
      <c r="L2214" s="188" t="s">
        <v>736</v>
      </c>
      <c r="M2214" s="192">
        <f t="shared" si="102"/>
        <v>25</v>
      </c>
      <c r="N2214" s="193">
        <f t="shared" si="103"/>
        <v>1.493095238095238</v>
      </c>
      <c r="O2214" s="194">
        <f t="shared" si="104"/>
        <v>5.9723809523809519E-2</v>
      </c>
    </row>
    <row r="2215" spans="1:15" ht="12.75" customHeight="1">
      <c r="A2215" s="188" t="s">
        <v>620</v>
      </c>
      <c r="B2215" s="188" t="s">
        <v>3435</v>
      </c>
      <c r="C2215" s="188" t="s">
        <v>650</v>
      </c>
      <c r="D2215" s="188" t="s">
        <v>3696</v>
      </c>
      <c r="E2215" s="189">
        <v>39395</v>
      </c>
      <c r="F2215" s="190">
        <v>1873</v>
      </c>
      <c r="G2215" s="190">
        <v>0</v>
      </c>
      <c r="H2215" s="191">
        <v>1950</v>
      </c>
      <c r="I2215" s="191">
        <v>585</v>
      </c>
      <c r="J2215" s="188" t="s">
        <v>624</v>
      </c>
      <c r="K2215" s="188" t="s">
        <v>427</v>
      </c>
      <c r="L2215" s="188" t="s">
        <v>699</v>
      </c>
      <c r="M2215" s="192">
        <f t="shared" si="102"/>
        <v>25</v>
      </c>
      <c r="N2215" s="193">
        <f t="shared" si="103"/>
        <v>1.5</v>
      </c>
      <c r="O2215" s="194">
        <f t="shared" si="104"/>
        <v>0.06</v>
      </c>
    </row>
    <row r="2216" spans="1:15" ht="12.75" customHeight="1">
      <c r="A2216" s="188" t="s">
        <v>620</v>
      </c>
      <c r="B2216" s="188" t="s">
        <v>3435</v>
      </c>
      <c r="C2216" s="188" t="s">
        <v>650</v>
      </c>
      <c r="D2216" s="188" t="s">
        <v>3697</v>
      </c>
      <c r="E2216" s="189">
        <v>39366</v>
      </c>
      <c r="F2216" s="190">
        <v>2437</v>
      </c>
      <c r="G2216" s="190">
        <v>0</v>
      </c>
      <c r="H2216" s="191">
        <v>2131</v>
      </c>
      <c r="I2216" s="191">
        <v>760.95</v>
      </c>
      <c r="J2216" s="188" t="s">
        <v>624</v>
      </c>
      <c r="K2216" s="188" t="s">
        <v>1344</v>
      </c>
      <c r="L2216" s="188" t="s">
        <v>3698</v>
      </c>
      <c r="M2216" s="192">
        <f t="shared" si="102"/>
        <v>21</v>
      </c>
      <c r="N2216" s="193">
        <f t="shared" si="103"/>
        <v>1.2602010644589001</v>
      </c>
      <c r="O2216" s="194">
        <f t="shared" si="104"/>
        <v>6.000957449804286E-2</v>
      </c>
    </row>
    <row r="2217" spans="1:15" ht="12.75" customHeight="1">
      <c r="A2217" s="188" t="s">
        <v>620</v>
      </c>
      <c r="B2217" s="188" t="s">
        <v>3435</v>
      </c>
      <c r="C2217" s="188" t="s">
        <v>650</v>
      </c>
      <c r="D2217" s="188" t="s">
        <v>3699</v>
      </c>
      <c r="E2217" s="189">
        <v>39568</v>
      </c>
      <c r="F2217" s="190">
        <v>2450</v>
      </c>
      <c r="G2217" s="190">
        <v>0</v>
      </c>
      <c r="H2217" s="191">
        <v>2592.4</v>
      </c>
      <c r="I2217" s="191">
        <v>765</v>
      </c>
      <c r="J2217" s="188" t="s">
        <v>624</v>
      </c>
      <c r="K2217" s="188" t="s">
        <v>427</v>
      </c>
      <c r="L2217" s="188" t="s">
        <v>833</v>
      </c>
      <c r="M2217" s="192">
        <f t="shared" si="102"/>
        <v>25</v>
      </c>
      <c r="N2217" s="193">
        <f t="shared" si="103"/>
        <v>1.5249411764705882</v>
      </c>
      <c r="O2217" s="194">
        <f t="shared" si="104"/>
        <v>6.0997647058823531E-2</v>
      </c>
    </row>
    <row r="2218" spans="1:15" ht="12.75" customHeight="1">
      <c r="A2218" s="188" t="s">
        <v>620</v>
      </c>
      <c r="B2218" s="188" t="s">
        <v>3435</v>
      </c>
      <c r="C2218" s="188" t="s">
        <v>650</v>
      </c>
      <c r="D2218" s="188" t="s">
        <v>3700</v>
      </c>
      <c r="E2218" s="189">
        <v>39611</v>
      </c>
      <c r="F2218" s="190">
        <v>2714</v>
      </c>
      <c r="G2218" s="190">
        <v>0</v>
      </c>
      <c r="H2218" s="191">
        <v>2872.2</v>
      </c>
      <c r="I2218" s="191">
        <v>847.35</v>
      </c>
      <c r="J2218" s="188" t="s">
        <v>624</v>
      </c>
      <c r="K2218" s="188" t="s">
        <v>427</v>
      </c>
      <c r="L2218" s="188" t="s">
        <v>985</v>
      </c>
      <c r="M2218" s="192">
        <f t="shared" si="102"/>
        <v>25</v>
      </c>
      <c r="N2218" s="193">
        <f t="shared" si="103"/>
        <v>1.5253319171534785</v>
      </c>
      <c r="O2218" s="194">
        <f t="shared" si="104"/>
        <v>6.1013276686139137E-2</v>
      </c>
    </row>
    <row r="2219" spans="1:15" ht="12.75" customHeight="1">
      <c r="A2219" s="188" t="s">
        <v>620</v>
      </c>
      <c r="B2219" s="188" t="s">
        <v>3435</v>
      </c>
      <c r="C2219" s="188" t="s">
        <v>650</v>
      </c>
      <c r="D2219" s="188" t="s">
        <v>3701</v>
      </c>
      <c r="E2219" s="189">
        <v>39447</v>
      </c>
      <c r="F2219" s="190">
        <v>3176</v>
      </c>
      <c r="G2219" s="190">
        <v>0</v>
      </c>
      <c r="H2219" s="191">
        <v>2830</v>
      </c>
      <c r="I2219" s="191">
        <v>991.8</v>
      </c>
      <c r="J2219" s="188" t="s">
        <v>624</v>
      </c>
      <c r="K2219" s="188" t="s">
        <v>1344</v>
      </c>
      <c r="L2219" s="188" t="s">
        <v>3702</v>
      </c>
      <c r="M2219" s="192">
        <f t="shared" si="102"/>
        <v>21</v>
      </c>
      <c r="N2219" s="193">
        <f t="shared" si="103"/>
        <v>1.2840290381125228</v>
      </c>
      <c r="O2219" s="194">
        <f t="shared" si="104"/>
        <v>6.1144239910120135E-2</v>
      </c>
    </row>
    <row r="2220" spans="1:15" ht="12.75" customHeight="1">
      <c r="A2220" s="188" t="s">
        <v>620</v>
      </c>
      <c r="B2220" s="188" t="s">
        <v>3435</v>
      </c>
      <c r="C2220" s="188" t="s">
        <v>650</v>
      </c>
      <c r="D2220" s="188" t="s">
        <v>3703</v>
      </c>
      <c r="E2220" s="189">
        <v>39447</v>
      </c>
      <c r="F2220" s="190">
        <v>1830</v>
      </c>
      <c r="G2220" s="190">
        <v>0</v>
      </c>
      <c r="H2220" s="191">
        <v>1943.2</v>
      </c>
      <c r="I2220" s="191">
        <v>571.5</v>
      </c>
      <c r="J2220" s="188" t="s">
        <v>624</v>
      </c>
      <c r="K2220" s="188" t="s">
        <v>427</v>
      </c>
      <c r="L2220" s="188" t="s">
        <v>1090</v>
      </c>
      <c r="M2220" s="192">
        <f t="shared" si="102"/>
        <v>25</v>
      </c>
      <c r="N2220" s="193">
        <f t="shared" si="103"/>
        <v>1.5300787401574802</v>
      </c>
      <c r="O2220" s="194">
        <f t="shared" si="104"/>
        <v>6.1203149606299211E-2</v>
      </c>
    </row>
    <row r="2221" spans="1:15" ht="12.75" customHeight="1">
      <c r="A2221" s="188" t="s">
        <v>620</v>
      </c>
      <c r="B2221" s="188" t="s">
        <v>3435</v>
      </c>
      <c r="C2221" s="188" t="s">
        <v>650</v>
      </c>
      <c r="D2221" s="188" t="s">
        <v>3704</v>
      </c>
      <c r="E2221" s="189">
        <v>39583</v>
      </c>
      <c r="F2221" s="190">
        <v>2577</v>
      </c>
      <c r="G2221" s="190">
        <v>0</v>
      </c>
      <c r="H2221" s="191">
        <v>2739.2</v>
      </c>
      <c r="I2221" s="191">
        <v>804.6</v>
      </c>
      <c r="J2221" s="188" t="s">
        <v>624</v>
      </c>
      <c r="K2221" s="188" t="s">
        <v>427</v>
      </c>
      <c r="L2221" s="188" t="s">
        <v>406</v>
      </c>
      <c r="M2221" s="192">
        <f t="shared" si="102"/>
        <v>25</v>
      </c>
      <c r="N2221" s="193">
        <f t="shared" si="103"/>
        <v>1.5319910514541386</v>
      </c>
      <c r="O2221" s="194">
        <f t="shared" si="104"/>
        <v>6.1279642058165544E-2</v>
      </c>
    </row>
    <row r="2222" spans="1:15" ht="12.75" customHeight="1">
      <c r="A2222" s="188" t="s">
        <v>620</v>
      </c>
      <c r="B2222" s="188" t="s">
        <v>3435</v>
      </c>
      <c r="C2222" s="188" t="s">
        <v>650</v>
      </c>
      <c r="D2222" s="188" t="s">
        <v>3705</v>
      </c>
      <c r="E2222" s="189">
        <v>39303</v>
      </c>
      <c r="F2222" s="190">
        <v>1733</v>
      </c>
      <c r="G2222" s="190">
        <v>0</v>
      </c>
      <c r="H2222" s="191">
        <v>1843.03</v>
      </c>
      <c r="I2222" s="191">
        <v>540.9</v>
      </c>
      <c r="J2222" s="188" t="s">
        <v>624</v>
      </c>
      <c r="K2222" s="188" t="s">
        <v>427</v>
      </c>
      <c r="L2222" s="188" t="s">
        <v>3706</v>
      </c>
      <c r="M2222" s="192">
        <f t="shared" si="102"/>
        <v>25</v>
      </c>
      <c r="N2222" s="193">
        <f t="shared" si="103"/>
        <v>1.5333028286189683</v>
      </c>
      <c r="O2222" s="194">
        <f t="shared" si="104"/>
        <v>6.1332113144758733E-2</v>
      </c>
    </row>
    <row r="2223" spans="1:15" ht="12.75" customHeight="1">
      <c r="A2223" s="188" t="s">
        <v>620</v>
      </c>
      <c r="B2223" s="188" t="s">
        <v>3435</v>
      </c>
      <c r="C2223" s="188" t="s">
        <v>650</v>
      </c>
      <c r="D2223" s="188" t="s">
        <v>3707</v>
      </c>
      <c r="E2223" s="189">
        <v>39447</v>
      </c>
      <c r="F2223" s="190">
        <v>1049</v>
      </c>
      <c r="G2223" s="190">
        <v>0</v>
      </c>
      <c r="H2223" s="191">
        <v>1118.32</v>
      </c>
      <c r="I2223" s="191">
        <v>327.60000000000002</v>
      </c>
      <c r="J2223" s="188" t="s">
        <v>624</v>
      </c>
      <c r="K2223" s="188" t="s">
        <v>427</v>
      </c>
      <c r="L2223" s="188" t="s">
        <v>1249</v>
      </c>
      <c r="M2223" s="192">
        <f t="shared" si="102"/>
        <v>25</v>
      </c>
      <c r="N2223" s="193">
        <f t="shared" si="103"/>
        <v>1.536153846153846</v>
      </c>
      <c r="O2223" s="194">
        <f t="shared" si="104"/>
        <v>6.1446153846153838E-2</v>
      </c>
    </row>
    <row r="2224" spans="1:15" ht="12.75" customHeight="1">
      <c r="A2224" s="188" t="s">
        <v>620</v>
      </c>
      <c r="B2224" s="188" t="s">
        <v>3435</v>
      </c>
      <c r="C2224" s="188" t="s">
        <v>650</v>
      </c>
      <c r="D2224" s="188" t="s">
        <v>3708</v>
      </c>
      <c r="E2224" s="189">
        <v>39541</v>
      </c>
      <c r="F2224" s="190">
        <v>2306</v>
      </c>
      <c r="G2224" s="190">
        <v>0</v>
      </c>
      <c r="H2224" s="191">
        <v>2074</v>
      </c>
      <c r="I2224" s="191">
        <v>720</v>
      </c>
      <c r="J2224" s="188" t="s">
        <v>624</v>
      </c>
      <c r="K2224" s="188" t="s">
        <v>1344</v>
      </c>
      <c r="L2224" s="188" t="s">
        <v>625</v>
      </c>
      <c r="M2224" s="192">
        <f t="shared" si="102"/>
        <v>21</v>
      </c>
      <c r="N2224" s="193">
        <f t="shared" si="103"/>
        <v>1.2962499999999999</v>
      </c>
      <c r="O2224" s="194">
        <f t="shared" si="104"/>
        <v>6.1726190476190469E-2</v>
      </c>
    </row>
    <row r="2225" spans="1:15" ht="12.75" customHeight="1">
      <c r="A2225" s="188" t="s">
        <v>620</v>
      </c>
      <c r="B2225" s="188" t="s">
        <v>3435</v>
      </c>
      <c r="C2225" s="188" t="s">
        <v>650</v>
      </c>
      <c r="D2225" s="188" t="s">
        <v>3709</v>
      </c>
      <c r="E2225" s="189">
        <v>39555</v>
      </c>
      <c r="F2225" s="190">
        <v>1802</v>
      </c>
      <c r="G2225" s="190">
        <v>0</v>
      </c>
      <c r="H2225" s="191">
        <v>1622</v>
      </c>
      <c r="I2225" s="191">
        <v>562.5</v>
      </c>
      <c r="J2225" s="188" t="s">
        <v>624</v>
      </c>
      <c r="K2225" s="188" t="s">
        <v>1344</v>
      </c>
      <c r="L2225" s="188" t="s">
        <v>716</v>
      </c>
      <c r="M2225" s="192">
        <f t="shared" si="102"/>
        <v>21</v>
      </c>
      <c r="N2225" s="193">
        <f t="shared" si="103"/>
        <v>1.2976000000000001</v>
      </c>
      <c r="O2225" s="194">
        <f t="shared" si="104"/>
        <v>6.1790476190476194E-2</v>
      </c>
    </row>
    <row r="2226" spans="1:15" ht="12.75" customHeight="1">
      <c r="A2226" s="188" t="s">
        <v>620</v>
      </c>
      <c r="B2226" s="188" t="s">
        <v>3435</v>
      </c>
      <c r="C2226" s="188" t="s">
        <v>650</v>
      </c>
      <c r="D2226" s="188" t="s">
        <v>3710</v>
      </c>
      <c r="E2226" s="189">
        <v>39541</v>
      </c>
      <c r="F2226" s="190">
        <v>3754</v>
      </c>
      <c r="G2226" s="190">
        <v>0</v>
      </c>
      <c r="H2226" s="191">
        <v>4900</v>
      </c>
      <c r="I2226" s="191">
        <v>1171.8</v>
      </c>
      <c r="J2226" s="188" t="s">
        <v>624</v>
      </c>
      <c r="K2226" s="188" t="s">
        <v>257</v>
      </c>
      <c r="L2226" s="188" t="s">
        <v>3711</v>
      </c>
      <c r="M2226" s="192">
        <f t="shared" si="102"/>
        <v>30</v>
      </c>
      <c r="N2226" s="193">
        <f t="shared" si="103"/>
        <v>1.881720430107527</v>
      </c>
      <c r="O2226" s="194">
        <f t="shared" si="104"/>
        <v>6.2724014336917572E-2</v>
      </c>
    </row>
    <row r="2227" spans="1:15" ht="12.75" customHeight="1">
      <c r="A2227" s="188" t="s">
        <v>620</v>
      </c>
      <c r="B2227" s="188" t="s">
        <v>3435</v>
      </c>
      <c r="C2227" s="188" t="s">
        <v>650</v>
      </c>
      <c r="D2227" s="188" t="s">
        <v>3712</v>
      </c>
      <c r="E2227" s="189">
        <v>39429</v>
      </c>
      <c r="F2227" s="190">
        <v>2374</v>
      </c>
      <c r="G2227" s="190">
        <v>0</v>
      </c>
      <c r="H2227" s="191">
        <v>2588</v>
      </c>
      <c r="I2227" s="191">
        <v>741.15</v>
      </c>
      <c r="J2227" s="188" t="s">
        <v>624</v>
      </c>
      <c r="K2227" s="188" t="s">
        <v>427</v>
      </c>
      <c r="L2227" s="188" t="s">
        <v>2838</v>
      </c>
      <c r="M2227" s="192">
        <f t="shared" si="102"/>
        <v>25</v>
      </c>
      <c r="N2227" s="193">
        <f t="shared" si="103"/>
        <v>1.5713418336369156</v>
      </c>
      <c r="O2227" s="194">
        <f t="shared" si="104"/>
        <v>6.2853673345476618E-2</v>
      </c>
    </row>
    <row r="2228" spans="1:15" ht="12.75" customHeight="1">
      <c r="A2228" s="188" t="s">
        <v>620</v>
      </c>
      <c r="B2228" s="188" t="s">
        <v>3435</v>
      </c>
      <c r="C2228" s="188" t="s">
        <v>650</v>
      </c>
      <c r="D2228" s="188" t="s">
        <v>3713</v>
      </c>
      <c r="E2228" s="189">
        <v>39562</v>
      </c>
      <c r="F2228" s="190">
        <v>1441</v>
      </c>
      <c r="G2228" s="190">
        <v>0</v>
      </c>
      <c r="H2228" s="191">
        <v>1200</v>
      </c>
      <c r="I2228" s="191">
        <v>450</v>
      </c>
      <c r="J2228" s="188" t="s">
        <v>624</v>
      </c>
      <c r="K2228" s="188" t="s">
        <v>667</v>
      </c>
      <c r="L2228" s="188" t="s">
        <v>636</v>
      </c>
      <c r="M2228" s="192">
        <f t="shared" si="102"/>
        <v>19</v>
      </c>
      <c r="N2228" s="193">
        <f t="shared" si="103"/>
        <v>1.2</v>
      </c>
      <c r="O2228" s="194">
        <f t="shared" si="104"/>
        <v>6.3157894736842107E-2</v>
      </c>
    </row>
    <row r="2229" spans="1:15" ht="12.75" customHeight="1">
      <c r="A2229" s="188" t="s">
        <v>620</v>
      </c>
      <c r="B2229" s="188" t="s">
        <v>3435</v>
      </c>
      <c r="C2229" s="188" t="s">
        <v>650</v>
      </c>
      <c r="D2229" s="188" t="s">
        <v>3714</v>
      </c>
      <c r="E2229" s="189">
        <v>39541</v>
      </c>
      <c r="F2229" s="190">
        <v>1874</v>
      </c>
      <c r="G2229" s="190">
        <v>0</v>
      </c>
      <c r="H2229" s="191">
        <v>2057</v>
      </c>
      <c r="I2229" s="191">
        <v>585</v>
      </c>
      <c r="J2229" s="188" t="s">
        <v>624</v>
      </c>
      <c r="K2229" s="188" t="s">
        <v>427</v>
      </c>
      <c r="L2229" s="188" t="s">
        <v>699</v>
      </c>
      <c r="M2229" s="192">
        <f t="shared" si="102"/>
        <v>25</v>
      </c>
      <c r="N2229" s="193">
        <f t="shared" si="103"/>
        <v>1.5823076923076924</v>
      </c>
      <c r="O2229" s="194">
        <f t="shared" si="104"/>
        <v>6.3292307692307703E-2</v>
      </c>
    </row>
    <row r="2230" spans="1:15" ht="12.75" customHeight="1">
      <c r="A2230" s="188" t="s">
        <v>620</v>
      </c>
      <c r="B2230" s="188" t="s">
        <v>3435</v>
      </c>
      <c r="C2230" s="188" t="s">
        <v>650</v>
      </c>
      <c r="D2230" s="188" t="s">
        <v>3715</v>
      </c>
      <c r="E2230" s="189">
        <v>39576</v>
      </c>
      <c r="F2230" s="190">
        <v>2116</v>
      </c>
      <c r="G2230" s="190">
        <v>0</v>
      </c>
      <c r="H2230" s="191">
        <v>2323.9499999999998</v>
      </c>
      <c r="I2230" s="191">
        <v>660.6</v>
      </c>
      <c r="J2230" s="188" t="s">
        <v>624</v>
      </c>
      <c r="K2230" s="188" t="s">
        <v>427</v>
      </c>
      <c r="L2230" s="188" t="s">
        <v>2901</v>
      </c>
      <c r="M2230" s="192">
        <f t="shared" si="102"/>
        <v>25</v>
      </c>
      <c r="N2230" s="193">
        <f t="shared" si="103"/>
        <v>1.5830722070844685</v>
      </c>
      <c r="O2230" s="194">
        <f t="shared" si="104"/>
        <v>6.3322888283378745E-2</v>
      </c>
    </row>
    <row r="2231" spans="1:15" ht="12.75" customHeight="1">
      <c r="A2231" s="188" t="s">
        <v>620</v>
      </c>
      <c r="B2231" s="188" t="s">
        <v>3435</v>
      </c>
      <c r="C2231" s="188" t="s">
        <v>650</v>
      </c>
      <c r="D2231" s="188" t="s">
        <v>3716</v>
      </c>
      <c r="E2231" s="189">
        <v>39541</v>
      </c>
      <c r="F2231" s="190">
        <v>865</v>
      </c>
      <c r="G2231" s="190">
        <v>0</v>
      </c>
      <c r="H2231" s="191">
        <v>954.7</v>
      </c>
      <c r="I2231" s="191">
        <v>270</v>
      </c>
      <c r="J2231" s="188" t="s">
        <v>624</v>
      </c>
      <c r="K2231" s="188" t="s">
        <v>427</v>
      </c>
      <c r="L2231" s="188" t="s">
        <v>677</v>
      </c>
      <c r="M2231" s="192">
        <f t="shared" si="102"/>
        <v>25</v>
      </c>
      <c r="N2231" s="193">
        <f t="shared" si="103"/>
        <v>1.5911666666666668</v>
      </c>
      <c r="O2231" s="194">
        <f t="shared" si="104"/>
        <v>6.3646666666666671E-2</v>
      </c>
    </row>
    <row r="2232" spans="1:15" ht="12.75" customHeight="1">
      <c r="A2232" s="188" t="s">
        <v>620</v>
      </c>
      <c r="B2232" s="188" t="s">
        <v>3435</v>
      </c>
      <c r="C2232" s="188" t="s">
        <v>650</v>
      </c>
      <c r="D2232" s="188" t="s">
        <v>3717</v>
      </c>
      <c r="E2232" s="189">
        <v>39520</v>
      </c>
      <c r="F2232" s="190">
        <v>1349</v>
      </c>
      <c r="G2232" s="190">
        <v>0</v>
      </c>
      <c r="H2232" s="191">
        <v>1132</v>
      </c>
      <c r="I2232" s="191">
        <v>421.2</v>
      </c>
      <c r="J2232" s="188" t="s">
        <v>624</v>
      </c>
      <c r="K2232" s="188" t="s">
        <v>667</v>
      </c>
      <c r="L2232" s="188" t="s">
        <v>1618</v>
      </c>
      <c r="M2232" s="192">
        <f t="shared" si="102"/>
        <v>19</v>
      </c>
      <c r="N2232" s="193">
        <f t="shared" si="103"/>
        <v>1.2094017094017093</v>
      </c>
      <c r="O2232" s="194">
        <f t="shared" si="104"/>
        <v>6.365272154745838E-2</v>
      </c>
    </row>
    <row r="2233" spans="1:15" ht="12.75" customHeight="1">
      <c r="A2233" s="188" t="s">
        <v>620</v>
      </c>
      <c r="B2233" s="188" t="s">
        <v>3435</v>
      </c>
      <c r="C2233" s="188" t="s">
        <v>650</v>
      </c>
      <c r="D2233" s="188" t="s">
        <v>3718</v>
      </c>
      <c r="E2233" s="189">
        <v>39618</v>
      </c>
      <c r="F2233" s="190">
        <v>1672</v>
      </c>
      <c r="G2233" s="190">
        <v>0</v>
      </c>
      <c r="H2233" s="191">
        <v>1551</v>
      </c>
      <c r="I2233" s="191">
        <v>522</v>
      </c>
      <c r="J2233" s="188" t="s">
        <v>624</v>
      </c>
      <c r="K2233" s="188" t="s">
        <v>1344</v>
      </c>
      <c r="L2233" s="188" t="s">
        <v>1001</v>
      </c>
      <c r="M2233" s="192">
        <f t="shared" si="102"/>
        <v>21</v>
      </c>
      <c r="N2233" s="193">
        <f t="shared" si="103"/>
        <v>1.3370689655172414</v>
      </c>
      <c r="O2233" s="194">
        <f t="shared" si="104"/>
        <v>6.3669950738916264E-2</v>
      </c>
    </row>
    <row r="2234" spans="1:15" ht="12.75" customHeight="1">
      <c r="A2234" s="188" t="s">
        <v>620</v>
      </c>
      <c r="B2234" s="188" t="s">
        <v>3435</v>
      </c>
      <c r="C2234" s="188" t="s">
        <v>650</v>
      </c>
      <c r="D2234" s="188" t="s">
        <v>3719</v>
      </c>
      <c r="E2234" s="189">
        <v>39548</v>
      </c>
      <c r="F2234" s="190">
        <v>2376</v>
      </c>
      <c r="G2234" s="190">
        <v>0</v>
      </c>
      <c r="H2234" s="191">
        <v>2652</v>
      </c>
      <c r="I2234" s="191">
        <v>741.6</v>
      </c>
      <c r="J2234" s="188" t="s">
        <v>624</v>
      </c>
      <c r="K2234" s="188" t="s">
        <v>427</v>
      </c>
      <c r="L2234" s="188" t="s">
        <v>1645</v>
      </c>
      <c r="M2234" s="192">
        <f t="shared" si="102"/>
        <v>25</v>
      </c>
      <c r="N2234" s="193">
        <f t="shared" si="103"/>
        <v>1.6092233009708738</v>
      </c>
      <c r="O2234" s="194">
        <f t="shared" si="104"/>
        <v>6.4368932038834953E-2</v>
      </c>
    </row>
    <row r="2235" spans="1:15" ht="12.75" customHeight="1">
      <c r="A2235" s="188" t="s">
        <v>620</v>
      </c>
      <c r="B2235" s="188" t="s">
        <v>3435</v>
      </c>
      <c r="C2235" s="188" t="s">
        <v>650</v>
      </c>
      <c r="D2235" s="188" t="s">
        <v>3720</v>
      </c>
      <c r="E2235" s="189">
        <v>39447</v>
      </c>
      <c r="F2235" s="190">
        <v>1686</v>
      </c>
      <c r="G2235" s="190">
        <v>0</v>
      </c>
      <c r="H2235" s="191">
        <v>1883</v>
      </c>
      <c r="I2235" s="191">
        <v>526.5</v>
      </c>
      <c r="J2235" s="188" t="s">
        <v>624</v>
      </c>
      <c r="K2235" s="188" t="s">
        <v>427</v>
      </c>
      <c r="L2235" s="188" t="s">
        <v>1261</v>
      </c>
      <c r="M2235" s="192">
        <f t="shared" si="102"/>
        <v>25</v>
      </c>
      <c r="N2235" s="193">
        <f t="shared" si="103"/>
        <v>1.6094017094017095</v>
      </c>
      <c r="O2235" s="194">
        <f t="shared" si="104"/>
        <v>6.4376068376068379E-2</v>
      </c>
    </row>
    <row r="2236" spans="1:15" ht="12.75" customHeight="1">
      <c r="A2236" s="188" t="s">
        <v>620</v>
      </c>
      <c r="B2236" s="188" t="s">
        <v>3435</v>
      </c>
      <c r="C2236" s="188" t="s">
        <v>650</v>
      </c>
      <c r="D2236" s="188" t="s">
        <v>3721</v>
      </c>
      <c r="E2236" s="189">
        <v>39282</v>
      </c>
      <c r="F2236" s="190">
        <v>1484</v>
      </c>
      <c r="G2236" s="190">
        <v>0</v>
      </c>
      <c r="H2236" s="191">
        <v>1670.35</v>
      </c>
      <c r="I2236" s="191">
        <v>463.5</v>
      </c>
      <c r="J2236" s="188" t="s">
        <v>624</v>
      </c>
      <c r="K2236" s="188" t="s">
        <v>427</v>
      </c>
      <c r="L2236" s="188" t="s">
        <v>298</v>
      </c>
      <c r="M2236" s="192">
        <f t="shared" si="102"/>
        <v>25</v>
      </c>
      <c r="N2236" s="193">
        <f t="shared" si="103"/>
        <v>1.6216990291262134</v>
      </c>
      <c r="O2236" s="194">
        <f t="shared" si="104"/>
        <v>6.4867961165048532E-2</v>
      </c>
    </row>
    <row r="2237" spans="1:15" ht="12.75" customHeight="1">
      <c r="A2237" s="188" t="s">
        <v>620</v>
      </c>
      <c r="B2237" s="188" t="s">
        <v>3435</v>
      </c>
      <c r="C2237" s="188" t="s">
        <v>650</v>
      </c>
      <c r="D2237" s="188" t="s">
        <v>3722</v>
      </c>
      <c r="E2237" s="189">
        <v>39331</v>
      </c>
      <c r="F2237" s="190">
        <v>2017</v>
      </c>
      <c r="G2237" s="190">
        <v>0</v>
      </c>
      <c r="H2237" s="191">
        <v>2730</v>
      </c>
      <c r="I2237" s="191">
        <v>630</v>
      </c>
      <c r="J2237" s="188" t="s">
        <v>624</v>
      </c>
      <c r="K2237" s="188" t="s">
        <v>257</v>
      </c>
      <c r="L2237" s="188" t="s">
        <v>754</v>
      </c>
      <c r="M2237" s="192">
        <f t="shared" si="102"/>
        <v>30</v>
      </c>
      <c r="N2237" s="193">
        <f t="shared" si="103"/>
        <v>1.95</v>
      </c>
      <c r="O2237" s="194">
        <f t="shared" si="104"/>
        <v>6.5000000000000002E-2</v>
      </c>
    </row>
    <row r="2238" spans="1:15" ht="12.75" customHeight="1">
      <c r="A2238" s="188" t="s">
        <v>620</v>
      </c>
      <c r="B2238" s="188" t="s">
        <v>3435</v>
      </c>
      <c r="C2238" s="188" t="s">
        <v>650</v>
      </c>
      <c r="D2238" s="188" t="s">
        <v>3723</v>
      </c>
      <c r="E2238" s="189">
        <v>39618</v>
      </c>
      <c r="F2238" s="190">
        <v>2021</v>
      </c>
      <c r="G2238" s="190">
        <v>0</v>
      </c>
      <c r="H2238" s="191">
        <v>2284</v>
      </c>
      <c r="I2238" s="191">
        <v>630.9</v>
      </c>
      <c r="J2238" s="188" t="s">
        <v>624</v>
      </c>
      <c r="K2238" s="188" t="s">
        <v>427</v>
      </c>
      <c r="L2238" s="188" t="s">
        <v>2520</v>
      </c>
      <c r="M2238" s="192">
        <f t="shared" si="102"/>
        <v>25</v>
      </c>
      <c r="N2238" s="193">
        <f t="shared" si="103"/>
        <v>1.6291012838801713</v>
      </c>
      <c r="O2238" s="194">
        <f t="shared" si="104"/>
        <v>6.5164051355206851E-2</v>
      </c>
    </row>
    <row r="2239" spans="1:15" ht="12.75" customHeight="1">
      <c r="A2239" s="188" t="s">
        <v>620</v>
      </c>
      <c r="B2239" s="188" t="s">
        <v>3435</v>
      </c>
      <c r="C2239" s="188" t="s">
        <v>650</v>
      </c>
      <c r="D2239" s="188" t="s">
        <v>3724</v>
      </c>
      <c r="E2239" s="189">
        <v>39485</v>
      </c>
      <c r="F2239" s="190">
        <v>1049</v>
      </c>
      <c r="G2239" s="190">
        <v>0</v>
      </c>
      <c r="H2239" s="191">
        <v>1186.6400000000001</v>
      </c>
      <c r="I2239" s="191">
        <v>327.60000000000002</v>
      </c>
      <c r="J2239" s="188" t="s">
        <v>624</v>
      </c>
      <c r="K2239" s="188" t="s">
        <v>427</v>
      </c>
      <c r="L2239" s="188" t="s">
        <v>1249</v>
      </c>
      <c r="M2239" s="192">
        <f t="shared" si="102"/>
        <v>25</v>
      </c>
      <c r="N2239" s="193">
        <f t="shared" si="103"/>
        <v>1.6300000000000001</v>
      </c>
      <c r="O2239" s="194">
        <f t="shared" si="104"/>
        <v>6.5200000000000008E-2</v>
      </c>
    </row>
    <row r="2240" spans="1:15" ht="12.75" customHeight="1">
      <c r="A2240" s="188" t="s">
        <v>620</v>
      </c>
      <c r="B2240" s="188" t="s">
        <v>3435</v>
      </c>
      <c r="C2240" s="188" t="s">
        <v>650</v>
      </c>
      <c r="D2240" s="188" t="s">
        <v>3725</v>
      </c>
      <c r="E2240" s="189">
        <v>39499</v>
      </c>
      <c r="F2240" s="190">
        <v>2386</v>
      </c>
      <c r="G2240" s="190">
        <v>0</v>
      </c>
      <c r="H2240" s="191">
        <v>2070</v>
      </c>
      <c r="I2240" s="191">
        <v>745.2</v>
      </c>
      <c r="J2240" s="188" t="s">
        <v>624</v>
      </c>
      <c r="K2240" s="188" t="s">
        <v>667</v>
      </c>
      <c r="L2240" s="188" t="s">
        <v>852</v>
      </c>
      <c r="M2240" s="192">
        <f t="shared" si="102"/>
        <v>19</v>
      </c>
      <c r="N2240" s="193">
        <f t="shared" si="103"/>
        <v>1.25</v>
      </c>
      <c r="O2240" s="194">
        <f t="shared" si="104"/>
        <v>6.5789473684210523E-2</v>
      </c>
    </row>
    <row r="2241" spans="1:15" ht="12.75" customHeight="1">
      <c r="A2241" s="188" t="s">
        <v>620</v>
      </c>
      <c r="B2241" s="188" t="s">
        <v>3435</v>
      </c>
      <c r="C2241" s="188" t="s">
        <v>650</v>
      </c>
      <c r="D2241" s="188" t="s">
        <v>3726</v>
      </c>
      <c r="E2241" s="189">
        <v>39359</v>
      </c>
      <c r="F2241" s="190">
        <v>1210</v>
      </c>
      <c r="G2241" s="190">
        <v>0</v>
      </c>
      <c r="H2241" s="191">
        <v>1052</v>
      </c>
      <c r="I2241" s="191">
        <v>378</v>
      </c>
      <c r="J2241" s="188" t="s">
        <v>624</v>
      </c>
      <c r="K2241" s="188" t="s">
        <v>667</v>
      </c>
      <c r="L2241" s="188" t="s">
        <v>906</v>
      </c>
      <c r="M2241" s="192">
        <f t="shared" si="102"/>
        <v>19</v>
      </c>
      <c r="N2241" s="193">
        <f t="shared" si="103"/>
        <v>1.2523809523809524</v>
      </c>
      <c r="O2241" s="194">
        <f t="shared" si="104"/>
        <v>6.5914786967418551E-2</v>
      </c>
    </row>
    <row r="2242" spans="1:15" ht="12.75" customHeight="1">
      <c r="A2242" s="188" t="s">
        <v>620</v>
      </c>
      <c r="B2242" s="188" t="s">
        <v>3435</v>
      </c>
      <c r="C2242" s="188" t="s">
        <v>650</v>
      </c>
      <c r="D2242" s="188" t="s">
        <v>3727</v>
      </c>
      <c r="E2242" s="189">
        <v>39380</v>
      </c>
      <c r="F2242" s="190">
        <v>1521</v>
      </c>
      <c r="G2242" s="190">
        <v>0</v>
      </c>
      <c r="H2242" s="191">
        <v>1740.92</v>
      </c>
      <c r="I2242" s="191">
        <v>475.2</v>
      </c>
      <c r="J2242" s="188" t="s">
        <v>624</v>
      </c>
      <c r="K2242" s="188" t="s">
        <v>427</v>
      </c>
      <c r="L2242" s="188" t="s">
        <v>1354</v>
      </c>
      <c r="M2242" s="192">
        <f t="shared" ref="M2242:M2305" si="105">K2242-J2242</f>
        <v>25</v>
      </c>
      <c r="N2242" s="193">
        <f t="shared" ref="N2242:N2305" si="106">H2242/L2242</f>
        <v>1.6485984848484849</v>
      </c>
      <c r="O2242" s="194">
        <f t="shared" ref="O2242:O2305" si="107">N2242/M2242</f>
        <v>6.5943939393939402E-2</v>
      </c>
    </row>
    <row r="2243" spans="1:15" ht="12.75" customHeight="1">
      <c r="A2243" s="188" t="s">
        <v>620</v>
      </c>
      <c r="B2243" s="188" t="s">
        <v>3435</v>
      </c>
      <c r="C2243" s="188" t="s">
        <v>650</v>
      </c>
      <c r="D2243" s="188" t="s">
        <v>3728</v>
      </c>
      <c r="E2243" s="189">
        <v>39373</v>
      </c>
      <c r="F2243" s="190">
        <v>2487</v>
      </c>
      <c r="G2243" s="190">
        <v>0</v>
      </c>
      <c r="H2243" s="191">
        <v>2867.92</v>
      </c>
      <c r="I2243" s="191">
        <v>776.7</v>
      </c>
      <c r="J2243" s="188" t="s">
        <v>624</v>
      </c>
      <c r="K2243" s="188" t="s">
        <v>427</v>
      </c>
      <c r="L2243" s="188" t="s">
        <v>3729</v>
      </c>
      <c r="M2243" s="192">
        <f t="shared" si="105"/>
        <v>25</v>
      </c>
      <c r="N2243" s="193">
        <f t="shared" si="106"/>
        <v>1.6615990730011587</v>
      </c>
      <c r="O2243" s="194">
        <f t="shared" si="107"/>
        <v>6.6463962920046346E-2</v>
      </c>
    </row>
    <row r="2244" spans="1:15" ht="12.75" customHeight="1">
      <c r="A2244" s="188" t="s">
        <v>620</v>
      </c>
      <c r="B2244" s="188" t="s">
        <v>3435</v>
      </c>
      <c r="C2244" s="188" t="s">
        <v>650</v>
      </c>
      <c r="D2244" s="188" t="s">
        <v>3730</v>
      </c>
      <c r="E2244" s="189">
        <v>39507</v>
      </c>
      <c r="F2244" s="190">
        <v>1729</v>
      </c>
      <c r="G2244" s="190">
        <v>0</v>
      </c>
      <c r="H2244" s="191">
        <v>2000</v>
      </c>
      <c r="I2244" s="191">
        <v>540</v>
      </c>
      <c r="J2244" s="188" t="s">
        <v>624</v>
      </c>
      <c r="K2244" s="188" t="s">
        <v>427</v>
      </c>
      <c r="L2244" s="188" t="s">
        <v>632</v>
      </c>
      <c r="M2244" s="192">
        <f t="shared" si="105"/>
        <v>25</v>
      </c>
      <c r="N2244" s="193">
        <f t="shared" si="106"/>
        <v>1.6666666666666667</v>
      </c>
      <c r="O2244" s="194">
        <f t="shared" si="107"/>
        <v>6.6666666666666666E-2</v>
      </c>
    </row>
    <row r="2245" spans="1:15" ht="12.75" customHeight="1">
      <c r="A2245" s="188" t="s">
        <v>620</v>
      </c>
      <c r="B2245" s="188" t="s">
        <v>3435</v>
      </c>
      <c r="C2245" s="188" t="s">
        <v>650</v>
      </c>
      <c r="D2245" s="188" t="s">
        <v>3731</v>
      </c>
      <c r="E2245" s="189">
        <v>39407</v>
      </c>
      <c r="F2245" s="190">
        <v>1577</v>
      </c>
      <c r="G2245" s="190">
        <v>0</v>
      </c>
      <c r="H2245" s="191">
        <v>1830.07</v>
      </c>
      <c r="I2245" s="191">
        <v>492.75</v>
      </c>
      <c r="J2245" s="188" t="s">
        <v>624</v>
      </c>
      <c r="K2245" s="188" t="s">
        <v>427</v>
      </c>
      <c r="L2245" s="188" t="s">
        <v>2492</v>
      </c>
      <c r="M2245" s="192">
        <f t="shared" si="105"/>
        <v>25</v>
      </c>
      <c r="N2245" s="193">
        <f t="shared" si="106"/>
        <v>1.6712968036529681</v>
      </c>
      <c r="O2245" s="194">
        <f t="shared" si="107"/>
        <v>6.6851872146118721E-2</v>
      </c>
    </row>
    <row r="2246" spans="1:15" ht="12.75" customHeight="1">
      <c r="A2246" s="188" t="s">
        <v>620</v>
      </c>
      <c r="B2246" s="188" t="s">
        <v>3435</v>
      </c>
      <c r="C2246" s="188" t="s">
        <v>650</v>
      </c>
      <c r="D2246" s="188" t="s">
        <v>3732</v>
      </c>
      <c r="E2246" s="189">
        <v>39373</v>
      </c>
      <c r="F2246" s="190">
        <v>1585</v>
      </c>
      <c r="G2246" s="190">
        <v>0</v>
      </c>
      <c r="H2246" s="191">
        <v>1544.4</v>
      </c>
      <c r="I2246" s="191">
        <v>495</v>
      </c>
      <c r="J2246" s="188" t="s">
        <v>624</v>
      </c>
      <c r="K2246" s="188" t="s">
        <v>1344</v>
      </c>
      <c r="L2246" s="188" t="s">
        <v>557</v>
      </c>
      <c r="M2246" s="192">
        <f t="shared" si="105"/>
        <v>21</v>
      </c>
      <c r="N2246" s="193">
        <f t="shared" si="106"/>
        <v>1.4040000000000001</v>
      </c>
      <c r="O2246" s="194">
        <f t="shared" si="107"/>
        <v>6.6857142857142865E-2</v>
      </c>
    </row>
    <row r="2247" spans="1:15" ht="12.75" customHeight="1">
      <c r="A2247" s="188" t="s">
        <v>620</v>
      </c>
      <c r="B2247" s="188" t="s">
        <v>3435</v>
      </c>
      <c r="C2247" s="188" t="s">
        <v>650</v>
      </c>
      <c r="D2247" s="188" t="s">
        <v>3733</v>
      </c>
      <c r="E2247" s="189">
        <v>39317</v>
      </c>
      <c r="F2247" s="190">
        <v>3747</v>
      </c>
      <c r="G2247" s="190">
        <v>0</v>
      </c>
      <c r="H2247" s="191">
        <v>3655.6</v>
      </c>
      <c r="I2247" s="191">
        <v>1170</v>
      </c>
      <c r="J2247" s="188" t="s">
        <v>624</v>
      </c>
      <c r="K2247" s="188" t="s">
        <v>1344</v>
      </c>
      <c r="L2247" s="188" t="s">
        <v>2328</v>
      </c>
      <c r="M2247" s="192">
        <f t="shared" si="105"/>
        <v>21</v>
      </c>
      <c r="N2247" s="193">
        <f t="shared" si="106"/>
        <v>1.4059999999999999</v>
      </c>
      <c r="O2247" s="194">
        <f t="shared" si="107"/>
        <v>6.6952380952380944E-2</v>
      </c>
    </row>
    <row r="2248" spans="1:15" ht="12.75" customHeight="1">
      <c r="A2248" s="188" t="s">
        <v>620</v>
      </c>
      <c r="B2248" s="188" t="s">
        <v>3435</v>
      </c>
      <c r="C2248" s="188" t="s">
        <v>650</v>
      </c>
      <c r="D2248" s="188" t="s">
        <v>3734</v>
      </c>
      <c r="E2248" s="189">
        <v>39576</v>
      </c>
      <c r="F2248" s="190">
        <v>490</v>
      </c>
      <c r="G2248" s="190">
        <v>0</v>
      </c>
      <c r="H2248" s="191">
        <v>432.75</v>
      </c>
      <c r="I2248" s="191">
        <v>153</v>
      </c>
      <c r="J2248" s="188" t="s">
        <v>624</v>
      </c>
      <c r="K2248" s="188" t="s">
        <v>667</v>
      </c>
      <c r="L2248" s="188" t="s">
        <v>3397</v>
      </c>
      <c r="M2248" s="192">
        <f t="shared" si="105"/>
        <v>19</v>
      </c>
      <c r="N2248" s="193">
        <f t="shared" si="106"/>
        <v>1.2727941176470587</v>
      </c>
      <c r="O2248" s="194">
        <f t="shared" si="107"/>
        <v>6.69891640866873E-2</v>
      </c>
    </row>
    <row r="2249" spans="1:15" ht="12.75" customHeight="1">
      <c r="A2249" s="188" t="s">
        <v>620</v>
      </c>
      <c r="B2249" s="188" t="s">
        <v>3435</v>
      </c>
      <c r="C2249" s="188" t="s">
        <v>650</v>
      </c>
      <c r="D2249" s="188" t="s">
        <v>3735</v>
      </c>
      <c r="E2249" s="189">
        <v>39520</v>
      </c>
      <c r="F2249" s="190">
        <v>1009</v>
      </c>
      <c r="G2249" s="190">
        <v>0</v>
      </c>
      <c r="H2249" s="191">
        <v>1175</v>
      </c>
      <c r="I2249" s="191">
        <v>315</v>
      </c>
      <c r="J2249" s="188" t="s">
        <v>624</v>
      </c>
      <c r="K2249" s="188" t="s">
        <v>427</v>
      </c>
      <c r="L2249" s="188" t="s">
        <v>1827</v>
      </c>
      <c r="M2249" s="192">
        <f t="shared" si="105"/>
        <v>25</v>
      </c>
      <c r="N2249" s="193">
        <f t="shared" si="106"/>
        <v>1.6785714285714286</v>
      </c>
      <c r="O2249" s="194">
        <f t="shared" si="107"/>
        <v>6.7142857142857143E-2</v>
      </c>
    </row>
    <row r="2250" spans="1:15" ht="12.75" customHeight="1">
      <c r="A2250" s="188" t="s">
        <v>620</v>
      </c>
      <c r="B2250" s="188" t="s">
        <v>3435</v>
      </c>
      <c r="C2250" s="188" t="s">
        <v>650</v>
      </c>
      <c r="D2250" s="188" t="s">
        <v>3736</v>
      </c>
      <c r="E2250" s="189">
        <v>39226</v>
      </c>
      <c r="F2250" s="190">
        <v>2334</v>
      </c>
      <c r="G2250" s="190">
        <v>0</v>
      </c>
      <c r="H2250" s="191">
        <v>2726.95</v>
      </c>
      <c r="I2250" s="191">
        <v>729</v>
      </c>
      <c r="J2250" s="188" t="s">
        <v>624</v>
      </c>
      <c r="K2250" s="188" t="s">
        <v>427</v>
      </c>
      <c r="L2250" s="188" t="s">
        <v>1195</v>
      </c>
      <c r="M2250" s="192">
        <f t="shared" si="105"/>
        <v>25</v>
      </c>
      <c r="N2250" s="193">
        <f t="shared" si="106"/>
        <v>1.6833024691358023</v>
      </c>
      <c r="O2250" s="194">
        <f t="shared" si="107"/>
        <v>6.7332098765432086E-2</v>
      </c>
    </row>
    <row r="2251" spans="1:15" ht="12.75" customHeight="1">
      <c r="A2251" s="188" t="s">
        <v>620</v>
      </c>
      <c r="B2251" s="188" t="s">
        <v>3435</v>
      </c>
      <c r="C2251" s="188" t="s">
        <v>650</v>
      </c>
      <c r="D2251" s="188" t="s">
        <v>3737</v>
      </c>
      <c r="E2251" s="189">
        <v>39289</v>
      </c>
      <c r="F2251" s="190">
        <v>1441</v>
      </c>
      <c r="G2251" s="190">
        <v>0</v>
      </c>
      <c r="H2251" s="191">
        <v>1419</v>
      </c>
      <c r="I2251" s="191">
        <v>450</v>
      </c>
      <c r="J2251" s="188" t="s">
        <v>624</v>
      </c>
      <c r="K2251" s="188" t="s">
        <v>1344</v>
      </c>
      <c r="L2251" s="188" t="s">
        <v>636</v>
      </c>
      <c r="M2251" s="192">
        <f t="shared" si="105"/>
        <v>21</v>
      </c>
      <c r="N2251" s="193">
        <f t="shared" si="106"/>
        <v>1.419</v>
      </c>
      <c r="O2251" s="194">
        <f t="shared" si="107"/>
        <v>6.7571428571428574E-2</v>
      </c>
    </row>
    <row r="2252" spans="1:15" ht="12.75" customHeight="1">
      <c r="A2252" s="188" t="s">
        <v>620</v>
      </c>
      <c r="B2252" s="188" t="s">
        <v>3435</v>
      </c>
      <c r="C2252" s="188" t="s">
        <v>650</v>
      </c>
      <c r="D2252" s="188" t="s">
        <v>3738</v>
      </c>
      <c r="E2252" s="189">
        <v>39548</v>
      </c>
      <c r="F2252" s="190">
        <v>1937</v>
      </c>
      <c r="G2252" s="190">
        <v>0</v>
      </c>
      <c r="H2252" s="191">
        <v>2285</v>
      </c>
      <c r="I2252" s="191">
        <v>604.79999999999995</v>
      </c>
      <c r="J2252" s="188" t="s">
        <v>624</v>
      </c>
      <c r="K2252" s="188" t="s">
        <v>427</v>
      </c>
      <c r="L2252" s="188" t="s">
        <v>764</v>
      </c>
      <c r="M2252" s="192">
        <f t="shared" si="105"/>
        <v>25</v>
      </c>
      <c r="N2252" s="193">
        <f t="shared" si="106"/>
        <v>1.7001488095238095</v>
      </c>
      <c r="O2252" s="194">
        <f t="shared" si="107"/>
        <v>6.8005952380952375E-2</v>
      </c>
    </row>
    <row r="2253" spans="1:15" ht="12.75" customHeight="1">
      <c r="A2253" s="188" t="s">
        <v>620</v>
      </c>
      <c r="B2253" s="188" t="s">
        <v>3435</v>
      </c>
      <c r="C2253" s="188" t="s">
        <v>650</v>
      </c>
      <c r="D2253" s="188" t="s">
        <v>3739</v>
      </c>
      <c r="E2253" s="189">
        <v>39296</v>
      </c>
      <c r="F2253" s="190">
        <v>1902</v>
      </c>
      <c r="G2253" s="190">
        <v>0</v>
      </c>
      <c r="H2253" s="191">
        <v>2077.02</v>
      </c>
      <c r="I2253" s="191">
        <v>594</v>
      </c>
      <c r="J2253" s="188" t="s">
        <v>387</v>
      </c>
      <c r="K2253" s="188" t="s">
        <v>427</v>
      </c>
      <c r="L2253" s="188" t="s">
        <v>1050</v>
      </c>
      <c r="M2253" s="192">
        <f t="shared" si="105"/>
        <v>23</v>
      </c>
      <c r="N2253" s="193">
        <f t="shared" si="106"/>
        <v>1.5734999999999999</v>
      </c>
      <c r="O2253" s="194">
        <f t="shared" si="107"/>
        <v>6.8413043478260868E-2</v>
      </c>
    </row>
    <row r="2254" spans="1:15" ht="12.75" customHeight="1">
      <c r="A2254" s="188" t="s">
        <v>620</v>
      </c>
      <c r="B2254" s="188" t="s">
        <v>3435</v>
      </c>
      <c r="C2254" s="188" t="s">
        <v>650</v>
      </c>
      <c r="D2254" s="188" t="s">
        <v>3740</v>
      </c>
      <c r="E2254" s="189">
        <v>39219</v>
      </c>
      <c r="F2254" s="190">
        <v>2147</v>
      </c>
      <c r="G2254" s="190">
        <v>0</v>
      </c>
      <c r="H2254" s="191">
        <v>1937</v>
      </c>
      <c r="I2254" s="191">
        <v>670.5</v>
      </c>
      <c r="J2254" s="188" t="s">
        <v>624</v>
      </c>
      <c r="K2254" s="188" t="s">
        <v>667</v>
      </c>
      <c r="L2254" s="188" t="s">
        <v>2546</v>
      </c>
      <c r="M2254" s="192">
        <f t="shared" si="105"/>
        <v>19</v>
      </c>
      <c r="N2254" s="193">
        <f t="shared" si="106"/>
        <v>1.3</v>
      </c>
      <c r="O2254" s="194">
        <f t="shared" si="107"/>
        <v>6.8421052631578952E-2</v>
      </c>
    </row>
    <row r="2255" spans="1:15" ht="12.75" customHeight="1">
      <c r="A2255" s="188" t="s">
        <v>620</v>
      </c>
      <c r="B2255" s="188" t="s">
        <v>3435</v>
      </c>
      <c r="C2255" s="188" t="s">
        <v>650</v>
      </c>
      <c r="D2255" s="188" t="s">
        <v>3741</v>
      </c>
      <c r="E2255" s="189">
        <v>39247</v>
      </c>
      <c r="F2255" s="190">
        <v>831</v>
      </c>
      <c r="G2255" s="190">
        <v>0</v>
      </c>
      <c r="H2255" s="191">
        <v>990.03</v>
      </c>
      <c r="I2255" s="191">
        <v>259.2</v>
      </c>
      <c r="J2255" s="188" t="s">
        <v>624</v>
      </c>
      <c r="K2255" s="188" t="s">
        <v>427</v>
      </c>
      <c r="L2255" s="188" t="s">
        <v>3017</v>
      </c>
      <c r="M2255" s="192">
        <f t="shared" si="105"/>
        <v>25</v>
      </c>
      <c r="N2255" s="193">
        <f t="shared" si="106"/>
        <v>1.7188020833333333</v>
      </c>
      <c r="O2255" s="194">
        <f t="shared" si="107"/>
        <v>6.8752083333333325E-2</v>
      </c>
    </row>
    <row r="2256" spans="1:15" ht="12.75" customHeight="1">
      <c r="A2256" s="188" t="s">
        <v>620</v>
      </c>
      <c r="B2256" s="188" t="s">
        <v>3435</v>
      </c>
      <c r="C2256" s="188" t="s">
        <v>650</v>
      </c>
      <c r="D2256" s="188" t="s">
        <v>3742</v>
      </c>
      <c r="E2256" s="189">
        <v>39471</v>
      </c>
      <c r="F2256" s="190">
        <v>1254</v>
      </c>
      <c r="G2256" s="190">
        <v>0</v>
      </c>
      <c r="H2256" s="191">
        <v>1500</v>
      </c>
      <c r="I2256" s="191">
        <v>391.5</v>
      </c>
      <c r="J2256" s="188" t="s">
        <v>624</v>
      </c>
      <c r="K2256" s="188" t="s">
        <v>427</v>
      </c>
      <c r="L2256" s="188" t="s">
        <v>1979</v>
      </c>
      <c r="M2256" s="192">
        <f t="shared" si="105"/>
        <v>25</v>
      </c>
      <c r="N2256" s="193">
        <f t="shared" si="106"/>
        <v>1.7241379310344827</v>
      </c>
      <c r="O2256" s="194">
        <f t="shared" si="107"/>
        <v>6.8965517241379309E-2</v>
      </c>
    </row>
    <row r="2257" spans="1:15" ht="12.75" customHeight="1">
      <c r="A2257" s="188" t="s">
        <v>620</v>
      </c>
      <c r="B2257" s="188" t="s">
        <v>3435</v>
      </c>
      <c r="C2257" s="188" t="s">
        <v>650</v>
      </c>
      <c r="D2257" s="188" t="s">
        <v>3743</v>
      </c>
      <c r="E2257" s="189">
        <v>39422</v>
      </c>
      <c r="F2257" s="190">
        <v>3386</v>
      </c>
      <c r="G2257" s="190">
        <v>0</v>
      </c>
      <c r="H2257" s="191">
        <v>3081</v>
      </c>
      <c r="I2257" s="191">
        <v>1057.5</v>
      </c>
      <c r="J2257" s="188" t="s">
        <v>624</v>
      </c>
      <c r="K2257" s="188" t="s">
        <v>667</v>
      </c>
      <c r="L2257" s="188" t="s">
        <v>1929</v>
      </c>
      <c r="M2257" s="192">
        <f t="shared" si="105"/>
        <v>19</v>
      </c>
      <c r="N2257" s="193">
        <f t="shared" si="106"/>
        <v>1.3110638297872341</v>
      </c>
      <c r="O2257" s="194">
        <f t="shared" si="107"/>
        <v>6.9003359462486008E-2</v>
      </c>
    </row>
    <row r="2258" spans="1:15" ht="12.75" customHeight="1">
      <c r="A2258" s="188" t="s">
        <v>620</v>
      </c>
      <c r="B2258" s="188" t="s">
        <v>3435</v>
      </c>
      <c r="C2258" s="188" t="s">
        <v>650</v>
      </c>
      <c r="D2258" s="188" t="s">
        <v>3744</v>
      </c>
      <c r="E2258" s="189">
        <v>39590</v>
      </c>
      <c r="F2258" s="190">
        <v>1441</v>
      </c>
      <c r="G2258" s="190">
        <v>0</v>
      </c>
      <c r="H2258" s="191">
        <v>1452</v>
      </c>
      <c r="I2258" s="191">
        <v>450</v>
      </c>
      <c r="J2258" s="188" t="s">
        <v>624</v>
      </c>
      <c r="K2258" s="188" t="s">
        <v>1344</v>
      </c>
      <c r="L2258" s="188" t="s">
        <v>636</v>
      </c>
      <c r="M2258" s="192">
        <f t="shared" si="105"/>
        <v>21</v>
      </c>
      <c r="N2258" s="193">
        <f t="shared" si="106"/>
        <v>1.452</v>
      </c>
      <c r="O2258" s="194">
        <f t="shared" si="107"/>
        <v>6.9142857142857145E-2</v>
      </c>
    </row>
    <row r="2259" spans="1:15" ht="12.75" customHeight="1">
      <c r="A2259" s="188" t="s">
        <v>620</v>
      </c>
      <c r="B2259" s="188" t="s">
        <v>3435</v>
      </c>
      <c r="C2259" s="188" t="s">
        <v>650</v>
      </c>
      <c r="D2259" s="188" t="s">
        <v>3745</v>
      </c>
      <c r="E2259" s="189">
        <v>39499</v>
      </c>
      <c r="F2259" s="190">
        <v>2162</v>
      </c>
      <c r="G2259" s="190">
        <v>0</v>
      </c>
      <c r="H2259" s="191">
        <v>2606</v>
      </c>
      <c r="I2259" s="191">
        <v>675</v>
      </c>
      <c r="J2259" s="188" t="s">
        <v>624</v>
      </c>
      <c r="K2259" s="188" t="s">
        <v>427</v>
      </c>
      <c r="L2259" s="188" t="s">
        <v>746</v>
      </c>
      <c r="M2259" s="192">
        <f t="shared" si="105"/>
        <v>25</v>
      </c>
      <c r="N2259" s="193">
        <f t="shared" si="106"/>
        <v>1.7373333333333334</v>
      </c>
      <c r="O2259" s="194">
        <f t="shared" si="107"/>
        <v>6.9493333333333338E-2</v>
      </c>
    </row>
    <row r="2260" spans="1:15" ht="12.75" customHeight="1">
      <c r="A2260" s="188" t="s">
        <v>620</v>
      </c>
      <c r="B2260" s="188" t="s">
        <v>3435</v>
      </c>
      <c r="C2260" s="188" t="s">
        <v>650</v>
      </c>
      <c r="D2260" s="188" t="s">
        <v>3746</v>
      </c>
      <c r="E2260" s="189">
        <v>39576</v>
      </c>
      <c r="F2260" s="190">
        <v>2450</v>
      </c>
      <c r="G2260" s="190">
        <v>0</v>
      </c>
      <c r="H2260" s="191">
        <v>2011</v>
      </c>
      <c r="I2260" s="191">
        <v>765</v>
      </c>
      <c r="J2260" s="188" t="s">
        <v>720</v>
      </c>
      <c r="K2260" s="188" t="s">
        <v>1344</v>
      </c>
      <c r="L2260" s="188" t="s">
        <v>833</v>
      </c>
      <c r="M2260" s="192">
        <f t="shared" si="105"/>
        <v>17</v>
      </c>
      <c r="N2260" s="193">
        <f t="shared" si="106"/>
        <v>1.1829411764705882</v>
      </c>
      <c r="O2260" s="194">
        <f t="shared" si="107"/>
        <v>6.958477508650518E-2</v>
      </c>
    </row>
    <row r="2261" spans="1:15" ht="12.75" customHeight="1">
      <c r="A2261" s="188" t="s">
        <v>620</v>
      </c>
      <c r="B2261" s="188" t="s">
        <v>3435</v>
      </c>
      <c r="C2261" s="188" t="s">
        <v>650</v>
      </c>
      <c r="D2261" s="188" t="s">
        <v>3747</v>
      </c>
      <c r="E2261" s="189">
        <v>39339</v>
      </c>
      <c r="F2261" s="190">
        <v>1747</v>
      </c>
      <c r="G2261" s="190">
        <v>0</v>
      </c>
      <c r="H2261" s="191">
        <v>2145</v>
      </c>
      <c r="I2261" s="191">
        <v>545.4</v>
      </c>
      <c r="J2261" s="188" t="s">
        <v>624</v>
      </c>
      <c r="K2261" s="188" t="s">
        <v>427</v>
      </c>
      <c r="L2261" s="188" t="s">
        <v>3748</v>
      </c>
      <c r="M2261" s="192">
        <f t="shared" si="105"/>
        <v>25</v>
      </c>
      <c r="N2261" s="193">
        <f t="shared" si="106"/>
        <v>1.7698019801980198</v>
      </c>
      <c r="O2261" s="194">
        <f t="shared" si="107"/>
        <v>7.0792079207920799E-2</v>
      </c>
    </row>
    <row r="2262" spans="1:15" ht="12.75" customHeight="1">
      <c r="A2262" s="188" t="s">
        <v>620</v>
      </c>
      <c r="B2262" s="188" t="s">
        <v>3435</v>
      </c>
      <c r="C2262" s="188" t="s">
        <v>650</v>
      </c>
      <c r="D2262" s="188" t="s">
        <v>3749</v>
      </c>
      <c r="E2262" s="189">
        <v>39443</v>
      </c>
      <c r="F2262" s="190">
        <v>1931</v>
      </c>
      <c r="G2262" s="190">
        <v>0</v>
      </c>
      <c r="H2262" s="191">
        <v>2373</v>
      </c>
      <c r="I2262" s="191">
        <v>603</v>
      </c>
      <c r="J2262" s="188" t="s">
        <v>624</v>
      </c>
      <c r="K2262" s="188" t="s">
        <v>427</v>
      </c>
      <c r="L2262" s="188" t="s">
        <v>815</v>
      </c>
      <c r="M2262" s="192">
        <f t="shared" si="105"/>
        <v>25</v>
      </c>
      <c r="N2262" s="193">
        <f t="shared" si="106"/>
        <v>1.7708955223880598</v>
      </c>
      <c r="O2262" s="194">
        <f t="shared" si="107"/>
        <v>7.0835820895522386E-2</v>
      </c>
    </row>
    <row r="2263" spans="1:15" ht="12.75" customHeight="1">
      <c r="A2263" s="188" t="s">
        <v>620</v>
      </c>
      <c r="B2263" s="188" t="s">
        <v>3435</v>
      </c>
      <c r="C2263" s="188" t="s">
        <v>650</v>
      </c>
      <c r="D2263" s="188" t="s">
        <v>3750</v>
      </c>
      <c r="E2263" s="189">
        <v>39447</v>
      </c>
      <c r="F2263" s="190">
        <v>2213</v>
      </c>
      <c r="G2263" s="190">
        <v>0</v>
      </c>
      <c r="H2263" s="191">
        <v>2073</v>
      </c>
      <c r="I2263" s="191">
        <v>691.2</v>
      </c>
      <c r="J2263" s="188" t="s">
        <v>624</v>
      </c>
      <c r="K2263" s="188" t="s">
        <v>667</v>
      </c>
      <c r="L2263" s="188" t="s">
        <v>1659</v>
      </c>
      <c r="M2263" s="192">
        <f t="shared" si="105"/>
        <v>19</v>
      </c>
      <c r="N2263" s="193">
        <f t="shared" si="106"/>
        <v>1.349609375</v>
      </c>
      <c r="O2263" s="194">
        <f t="shared" si="107"/>
        <v>7.1032072368421059E-2</v>
      </c>
    </row>
    <row r="2264" spans="1:15" ht="12.75" customHeight="1">
      <c r="A2264" s="188" t="s">
        <v>620</v>
      </c>
      <c r="B2264" s="188" t="s">
        <v>3435</v>
      </c>
      <c r="C2264" s="188" t="s">
        <v>650</v>
      </c>
      <c r="D2264" s="188" t="s">
        <v>3751</v>
      </c>
      <c r="E2264" s="189">
        <v>39233</v>
      </c>
      <c r="F2264" s="190">
        <v>2090</v>
      </c>
      <c r="G2264" s="190">
        <v>0</v>
      </c>
      <c r="H2264" s="191">
        <v>1957.07</v>
      </c>
      <c r="I2264" s="191">
        <v>652.5</v>
      </c>
      <c r="J2264" s="188" t="s">
        <v>624</v>
      </c>
      <c r="K2264" s="188" t="s">
        <v>667</v>
      </c>
      <c r="L2264" s="188" t="s">
        <v>920</v>
      </c>
      <c r="M2264" s="192">
        <f t="shared" si="105"/>
        <v>19</v>
      </c>
      <c r="N2264" s="193">
        <f t="shared" si="106"/>
        <v>1.3497034482758621</v>
      </c>
      <c r="O2264" s="194">
        <f t="shared" si="107"/>
        <v>7.103702359346642E-2</v>
      </c>
    </row>
    <row r="2265" spans="1:15" ht="12.75" customHeight="1">
      <c r="A2265" s="188" t="s">
        <v>620</v>
      </c>
      <c r="B2265" s="188" t="s">
        <v>3435</v>
      </c>
      <c r="C2265" s="188" t="s">
        <v>650</v>
      </c>
      <c r="D2265" s="188" t="s">
        <v>3752</v>
      </c>
      <c r="E2265" s="189">
        <v>39443</v>
      </c>
      <c r="F2265" s="190">
        <v>1718</v>
      </c>
      <c r="G2265" s="190">
        <v>0</v>
      </c>
      <c r="H2265" s="191">
        <v>2148.2399999999998</v>
      </c>
      <c r="I2265" s="191">
        <v>536.4</v>
      </c>
      <c r="J2265" s="188" t="s">
        <v>624</v>
      </c>
      <c r="K2265" s="188" t="s">
        <v>427</v>
      </c>
      <c r="L2265" s="188" t="s">
        <v>3753</v>
      </c>
      <c r="M2265" s="192">
        <f t="shared" si="105"/>
        <v>25</v>
      </c>
      <c r="N2265" s="193">
        <f t="shared" si="106"/>
        <v>1.802214765100671</v>
      </c>
      <c r="O2265" s="194">
        <f t="shared" si="107"/>
        <v>7.2088590604026836E-2</v>
      </c>
    </row>
    <row r="2266" spans="1:15" ht="12.75" customHeight="1">
      <c r="A2266" s="188" t="s">
        <v>620</v>
      </c>
      <c r="B2266" s="188" t="s">
        <v>3435</v>
      </c>
      <c r="C2266" s="188" t="s">
        <v>650</v>
      </c>
      <c r="D2266" s="188" t="s">
        <v>3754</v>
      </c>
      <c r="E2266" s="189">
        <v>39339</v>
      </c>
      <c r="F2266" s="190">
        <v>1464</v>
      </c>
      <c r="G2266" s="190">
        <v>0</v>
      </c>
      <c r="H2266" s="191">
        <v>1840.38</v>
      </c>
      <c r="I2266" s="191">
        <v>457.2</v>
      </c>
      <c r="J2266" s="188" t="s">
        <v>624</v>
      </c>
      <c r="K2266" s="188" t="s">
        <v>427</v>
      </c>
      <c r="L2266" s="188" t="s">
        <v>1240</v>
      </c>
      <c r="M2266" s="192">
        <f t="shared" si="105"/>
        <v>25</v>
      </c>
      <c r="N2266" s="193">
        <f t="shared" si="106"/>
        <v>1.8113976377952756</v>
      </c>
      <c r="O2266" s="194">
        <f t="shared" si="107"/>
        <v>7.2455905511811025E-2</v>
      </c>
    </row>
    <row r="2267" spans="1:15" ht="12.75" customHeight="1">
      <c r="A2267" s="188" t="s">
        <v>620</v>
      </c>
      <c r="B2267" s="188" t="s">
        <v>3435</v>
      </c>
      <c r="C2267" s="188" t="s">
        <v>650</v>
      </c>
      <c r="D2267" s="188" t="s">
        <v>3755</v>
      </c>
      <c r="E2267" s="189">
        <v>39289</v>
      </c>
      <c r="F2267" s="190">
        <v>937</v>
      </c>
      <c r="G2267" s="190">
        <v>0</v>
      </c>
      <c r="H2267" s="191">
        <v>1187.1600000000001</v>
      </c>
      <c r="I2267" s="191">
        <v>292.5</v>
      </c>
      <c r="J2267" s="188" t="s">
        <v>624</v>
      </c>
      <c r="K2267" s="188" t="s">
        <v>427</v>
      </c>
      <c r="L2267" s="188" t="s">
        <v>1774</v>
      </c>
      <c r="M2267" s="192">
        <f t="shared" si="105"/>
        <v>25</v>
      </c>
      <c r="N2267" s="193">
        <f t="shared" si="106"/>
        <v>1.8264</v>
      </c>
      <c r="O2267" s="194">
        <f t="shared" si="107"/>
        <v>7.3055999999999996E-2</v>
      </c>
    </row>
    <row r="2268" spans="1:15" ht="12.75" customHeight="1">
      <c r="A2268" s="188" t="s">
        <v>620</v>
      </c>
      <c r="B2268" s="188" t="s">
        <v>3435</v>
      </c>
      <c r="C2268" s="188" t="s">
        <v>650</v>
      </c>
      <c r="D2268" s="188" t="s">
        <v>3756</v>
      </c>
      <c r="E2268" s="189">
        <v>39541</v>
      </c>
      <c r="F2268" s="190">
        <v>1479</v>
      </c>
      <c r="G2268" s="190">
        <v>0</v>
      </c>
      <c r="H2268" s="191">
        <v>1588</v>
      </c>
      <c r="I2268" s="191">
        <v>387.9</v>
      </c>
      <c r="J2268" s="188" t="s">
        <v>624</v>
      </c>
      <c r="K2268" s="188" t="s">
        <v>427</v>
      </c>
      <c r="L2268" s="188" t="s">
        <v>3079</v>
      </c>
      <c r="M2268" s="192">
        <f t="shared" si="105"/>
        <v>25</v>
      </c>
      <c r="N2268" s="193">
        <f t="shared" si="106"/>
        <v>1.8422273781902552</v>
      </c>
      <c r="O2268" s="194">
        <f t="shared" si="107"/>
        <v>7.368909512761021E-2</v>
      </c>
    </row>
    <row r="2269" spans="1:15" ht="12.75" customHeight="1">
      <c r="A2269" s="188" t="s">
        <v>620</v>
      </c>
      <c r="B2269" s="188" t="s">
        <v>3435</v>
      </c>
      <c r="C2269" s="188" t="s">
        <v>650</v>
      </c>
      <c r="D2269" s="188" t="s">
        <v>3757</v>
      </c>
      <c r="E2269" s="189">
        <v>39317</v>
      </c>
      <c r="F2269" s="190">
        <v>1657</v>
      </c>
      <c r="G2269" s="190">
        <v>0</v>
      </c>
      <c r="H2269" s="191">
        <v>935.99</v>
      </c>
      <c r="I2269" s="191">
        <v>517.5</v>
      </c>
      <c r="J2269" s="188" t="s">
        <v>639</v>
      </c>
      <c r="K2269" s="188" t="s">
        <v>344</v>
      </c>
      <c r="L2269" s="188" t="s">
        <v>697</v>
      </c>
      <c r="M2269" s="192">
        <f t="shared" si="105"/>
        <v>11</v>
      </c>
      <c r="N2269" s="193">
        <f t="shared" si="106"/>
        <v>0.813904347826087</v>
      </c>
      <c r="O2269" s="194">
        <f t="shared" si="107"/>
        <v>7.3991304347826095E-2</v>
      </c>
    </row>
    <row r="2270" spans="1:15" ht="12.75" customHeight="1">
      <c r="A2270" s="188" t="s">
        <v>620</v>
      </c>
      <c r="B2270" s="188" t="s">
        <v>3435</v>
      </c>
      <c r="C2270" s="188" t="s">
        <v>650</v>
      </c>
      <c r="D2270" s="188" t="s">
        <v>3758</v>
      </c>
      <c r="E2270" s="189">
        <v>39562</v>
      </c>
      <c r="F2270" s="190">
        <v>2306</v>
      </c>
      <c r="G2270" s="190">
        <v>0</v>
      </c>
      <c r="H2270" s="191">
        <v>2995</v>
      </c>
      <c r="I2270" s="191">
        <v>720</v>
      </c>
      <c r="J2270" s="188" t="s">
        <v>624</v>
      </c>
      <c r="K2270" s="188" t="s">
        <v>427</v>
      </c>
      <c r="L2270" s="188" t="s">
        <v>625</v>
      </c>
      <c r="M2270" s="192">
        <f t="shared" si="105"/>
        <v>25</v>
      </c>
      <c r="N2270" s="193">
        <f t="shared" si="106"/>
        <v>1.871875</v>
      </c>
      <c r="O2270" s="194">
        <f t="shared" si="107"/>
        <v>7.4874999999999997E-2</v>
      </c>
    </row>
    <row r="2271" spans="1:15" ht="12.75" customHeight="1">
      <c r="A2271" s="188" t="s">
        <v>620</v>
      </c>
      <c r="B2271" s="188" t="s">
        <v>3435</v>
      </c>
      <c r="C2271" s="188" t="s">
        <v>650</v>
      </c>
      <c r="D2271" s="188" t="s">
        <v>3759</v>
      </c>
      <c r="E2271" s="189">
        <v>39447</v>
      </c>
      <c r="F2271" s="190">
        <v>1368</v>
      </c>
      <c r="G2271" s="190">
        <v>0</v>
      </c>
      <c r="H2271" s="191">
        <v>1795.5</v>
      </c>
      <c r="I2271" s="191">
        <v>427.5</v>
      </c>
      <c r="J2271" s="188" t="s">
        <v>624</v>
      </c>
      <c r="K2271" s="188" t="s">
        <v>427</v>
      </c>
      <c r="L2271" s="188" t="s">
        <v>1164</v>
      </c>
      <c r="M2271" s="192">
        <f t="shared" si="105"/>
        <v>25</v>
      </c>
      <c r="N2271" s="193">
        <f t="shared" si="106"/>
        <v>1.89</v>
      </c>
      <c r="O2271" s="194">
        <f t="shared" si="107"/>
        <v>7.5600000000000001E-2</v>
      </c>
    </row>
    <row r="2272" spans="1:15" ht="12.75" customHeight="1">
      <c r="A2272" s="188" t="s">
        <v>620</v>
      </c>
      <c r="B2272" s="188" t="s">
        <v>3435</v>
      </c>
      <c r="C2272" s="188" t="s">
        <v>650</v>
      </c>
      <c r="D2272" s="188" t="s">
        <v>3759</v>
      </c>
      <c r="E2272" s="189">
        <v>39618</v>
      </c>
      <c r="F2272" s="190">
        <v>1630</v>
      </c>
      <c r="G2272" s="190">
        <v>0</v>
      </c>
      <c r="H2272" s="191">
        <v>1795.5</v>
      </c>
      <c r="I2272" s="191">
        <v>427.5</v>
      </c>
      <c r="J2272" s="188" t="s">
        <v>624</v>
      </c>
      <c r="K2272" s="188" t="s">
        <v>427</v>
      </c>
      <c r="L2272" s="188" t="s">
        <v>1164</v>
      </c>
      <c r="M2272" s="192">
        <f t="shared" si="105"/>
        <v>25</v>
      </c>
      <c r="N2272" s="193">
        <f t="shared" si="106"/>
        <v>1.89</v>
      </c>
      <c r="O2272" s="194">
        <f t="shared" si="107"/>
        <v>7.5600000000000001E-2</v>
      </c>
    </row>
    <row r="2273" spans="1:15" ht="12.75" customHeight="1">
      <c r="A2273" s="188" t="s">
        <v>620</v>
      </c>
      <c r="B2273" s="188" t="s">
        <v>3435</v>
      </c>
      <c r="C2273" s="188" t="s">
        <v>650</v>
      </c>
      <c r="D2273" s="188" t="s">
        <v>3759</v>
      </c>
      <c r="E2273" s="189">
        <v>39618</v>
      </c>
      <c r="F2273" s="190">
        <v>-1630</v>
      </c>
      <c r="G2273" s="190">
        <v>0</v>
      </c>
      <c r="H2273" s="191">
        <v>1795.5</v>
      </c>
      <c r="I2273" s="191">
        <v>427.5</v>
      </c>
      <c r="J2273" s="188" t="s">
        <v>624</v>
      </c>
      <c r="K2273" s="188" t="s">
        <v>427</v>
      </c>
      <c r="L2273" s="188" t="s">
        <v>1164</v>
      </c>
      <c r="M2273" s="192">
        <f t="shared" si="105"/>
        <v>25</v>
      </c>
      <c r="N2273" s="193">
        <f t="shared" si="106"/>
        <v>1.89</v>
      </c>
      <c r="O2273" s="194">
        <f t="shared" si="107"/>
        <v>7.5600000000000001E-2</v>
      </c>
    </row>
    <row r="2274" spans="1:15" ht="12.75" customHeight="1">
      <c r="A2274" s="188" t="s">
        <v>620</v>
      </c>
      <c r="B2274" s="188" t="s">
        <v>3435</v>
      </c>
      <c r="C2274" s="188" t="s">
        <v>650</v>
      </c>
      <c r="D2274" s="188" t="s">
        <v>3760</v>
      </c>
      <c r="E2274" s="189">
        <v>39576</v>
      </c>
      <c r="F2274" s="190">
        <v>721</v>
      </c>
      <c r="G2274" s="190">
        <v>0</v>
      </c>
      <c r="H2274" s="191">
        <v>958</v>
      </c>
      <c r="I2274" s="191">
        <v>225</v>
      </c>
      <c r="J2274" s="188" t="s">
        <v>624</v>
      </c>
      <c r="K2274" s="188" t="s">
        <v>427</v>
      </c>
      <c r="L2274" s="188" t="s">
        <v>858</v>
      </c>
      <c r="M2274" s="192">
        <f t="shared" si="105"/>
        <v>25</v>
      </c>
      <c r="N2274" s="193">
        <f t="shared" si="106"/>
        <v>1.9159999999999999</v>
      </c>
      <c r="O2274" s="194">
        <f t="shared" si="107"/>
        <v>7.664E-2</v>
      </c>
    </row>
    <row r="2275" spans="1:15" ht="12.75" customHeight="1">
      <c r="A2275" s="188" t="s">
        <v>620</v>
      </c>
      <c r="B2275" s="188" t="s">
        <v>3435</v>
      </c>
      <c r="C2275" s="188" t="s">
        <v>650</v>
      </c>
      <c r="D2275" s="188" t="s">
        <v>3761</v>
      </c>
      <c r="E2275" s="189">
        <v>39499</v>
      </c>
      <c r="F2275" s="190">
        <v>2437</v>
      </c>
      <c r="G2275" s="190">
        <v>0</v>
      </c>
      <c r="H2275" s="191">
        <v>2493</v>
      </c>
      <c r="I2275" s="191">
        <v>760.95</v>
      </c>
      <c r="J2275" s="188" t="s">
        <v>624</v>
      </c>
      <c r="K2275" s="188" t="s">
        <v>667</v>
      </c>
      <c r="L2275" s="188" t="s">
        <v>3698</v>
      </c>
      <c r="M2275" s="192">
        <f t="shared" si="105"/>
        <v>19</v>
      </c>
      <c r="N2275" s="193">
        <f t="shared" si="106"/>
        <v>1.4742755765819042</v>
      </c>
      <c r="O2275" s="194">
        <f t="shared" si="107"/>
        <v>7.7593451399047594E-2</v>
      </c>
    </row>
    <row r="2276" spans="1:15" ht="12.75" customHeight="1">
      <c r="A2276" s="188" t="s">
        <v>620</v>
      </c>
      <c r="B2276" s="188" t="s">
        <v>3435</v>
      </c>
      <c r="C2276" s="188" t="s">
        <v>650</v>
      </c>
      <c r="D2276" s="188" t="s">
        <v>3762</v>
      </c>
      <c r="E2276" s="189">
        <v>39310</v>
      </c>
      <c r="F2276" s="190">
        <v>1614</v>
      </c>
      <c r="G2276" s="190">
        <v>0</v>
      </c>
      <c r="H2276" s="191">
        <v>1826.05</v>
      </c>
      <c r="I2276" s="191">
        <v>504</v>
      </c>
      <c r="J2276" s="188" t="s">
        <v>624</v>
      </c>
      <c r="K2276" s="188" t="s">
        <v>1344</v>
      </c>
      <c r="L2276" s="188" t="s">
        <v>825</v>
      </c>
      <c r="M2276" s="192">
        <f t="shared" si="105"/>
        <v>21</v>
      </c>
      <c r="N2276" s="193">
        <f t="shared" si="106"/>
        <v>1.6304017857142856</v>
      </c>
      <c r="O2276" s="194">
        <f t="shared" si="107"/>
        <v>7.7638180272108837E-2</v>
      </c>
    </row>
    <row r="2277" spans="1:15" ht="12.75" customHeight="1">
      <c r="A2277" s="188" t="s">
        <v>620</v>
      </c>
      <c r="B2277" s="188" t="s">
        <v>3435</v>
      </c>
      <c r="C2277" s="188" t="s">
        <v>650</v>
      </c>
      <c r="D2277" s="188" t="s">
        <v>3763</v>
      </c>
      <c r="E2277" s="189">
        <v>39548</v>
      </c>
      <c r="F2277" s="190">
        <v>1384</v>
      </c>
      <c r="G2277" s="190">
        <v>0</v>
      </c>
      <c r="H2277" s="191">
        <v>1875</v>
      </c>
      <c r="I2277" s="191">
        <v>432</v>
      </c>
      <c r="J2277" s="188" t="s">
        <v>624</v>
      </c>
      <c r="K2277" s="188" t="s">
        <v>427</v>
      </c>
      <c r="L2277" s="188" t="s">
        <v>1146</v>
      </c>
      <c r="M2277" s="192">
        <f t="shared" si="105"/>
        <v>25</v>
      </c>
      <c r="N2277" s="193">
        <f t="shared" si="106"/>
        <v>1.953125</v>
      </c>
      <c r="O2277" s="194">
        <f t="shared" si="107"/>
        <v>7.8125E-2</v>
      </c>
    </row>
    <row r="2278" spans="1:15" ht="12.75" customHeight="1">
      <c r="A2278" s="188" t="s">
        <v>620</v>
      </c>
      <c r="B2278" s="188" t="s">
        <v>3435</v>
      </c>
      <c r="C2278" s="188" t="s">
        <v>650</v>
      </c>
      <c r="D2278" s="188" t="s">
        <v>3764</v>
      </c>
      <c r="E2278" s="189">
        <v>39534</v>
      </c>
      <c r="F2278" s="190">
        <v>1675</v>
      </c>
      <c r="G2278" s="190">
        <v>0</v>
      </c>
      <c r="H2278" s="191">
        <v>1912</v>
      </c>
      <c r="I2278" s="191">
        <v>522.9</v>
      </c>
      <c r="J2278" s="188" t="s">
        <v>624</v>
      </c>
      <c r="K2278" s="188" t="s">
        <v>1344</v>
      </c>
      <c r="L2278" s="188" t="s">
        <v>346</v>
      </c>
      <c r="M2278" s="192">
        <f t="shared" si="105"/>
        <v>21</v>
      </c>
      <c r="N2278" s="193">
        <f t="shared" si="106"/>
        <v>1.6454388984509467</v>
      </c>
      <c r="O2278" s="194">
        <f t="shared" si="107"/>
        <v>7.835423325956889E-2</v>
      </c>
    </row>
    <row r="2279" spans="1:15" ht="12.75" customHeight="1">
      <c r="A2279" s="188" t="s">
        <v>620</v>
      </c>
      <c r="B2279" s="188" t="s">
        <v>3435</v>
      </c>
      <c r="C2279" s="188" t="s">
        <v>650</v>
      </c>
      <c r="D2279" s="188" t="s">
        <v>3765</v>
      </c>
      <c r="E2279" s="189">
        <v>39447</v>
      </c>
      <c r="F2279" s="190">
        <v>2140</v>
      </c>
      <c r="G2279" s="190">
        <v>0</v>
      </c>
      <c r="H2279" s="191">
        <v>2449</v>
      </c>
      <c r="I2279" s="191">
        <v>668.25</v>
      </c>
      <c r="J2279" s="188" t="s">
        <v>624</v>
      </c>
      <c r="K2279" s="188" t="s">
        <v>1344</v>
      </c>
      <c r="L2279" s="188" t="s">
        <v>1699</v>
      </c>
      <c r="M2279" s="192">
        <f t="shared" si="105"/>
        <v>21</v>
      </c>
      <c r="N2279" s="193">
        <f t="shared" si="106"/>
        <v>1.6491582491582493</v>
      </c>
      <c r="O2279" s="194">
        <f t="shared" si="107"/>
        <v>7.8531345198011873E-2</v>
      </c>
    </row>
    <row r="2280" spans="1:15" ht="12.75" customHeight="1">
      <c r="A2280" s="188" t="s">
        <v>620</v>
      </c>
      <c r="B2280" s="188" t="s">
        <v>3435</v>
      </c>
      <c r="C2280" s="188" t="s">
        <v>650</v>
      </c>
      <c r="D2280" s="188" t="s">
        <v>3766</v>
      </c>
      <c r="E2280" s="189">
        <v>39373</v>
      </c>
      <c r="F2280" s="190">
        <v>2426</v>
      </c>
      <c r="G2280" s="190">
        <v>0</v>
      </c>
      <c r="H2280" s="191">
        <v>2545</v>
      </c>
      <c r="I2280" s="191">
        <v>757.35</v>
      </c>
      <c r="J2280" s="188" t="s">
        <v>624</v>
      </c>
      <c r="K2280" s="188" t="s">
        <v>667</v>
      </c>
      <c r="L2280" s="188" t="s">
        <v>1144</v>
      </c>
      <c r="M2280" s="192">
        <f t="shared" si="105"/>
        <v>19</v>
      </c>
      <c r="N2280" s="193">
        <f t="shared" si="106"/>
        <v>1.5121806298276887</v>
      </c>
      <c r="O2280" s="194">
        <f t="shared" si="107"/>
        <v>7.9588454201457298E-2</v>
      </c>
    </row>
    <row r="2281" spans="1:15" ht="12.75" customHeight="1">
      <c r="A2281" s="188" t="s">
        <v>620</v>
      </c>
      <c r="B2281" s="188" t="s">
        <v>3435</v>
      </c>
      <c r="C2281" s="188" t="s">
        <v>650</v>
      </c>
      <c r="D2281" s="188" t="s">
        <v>3767</v>
      </c>
      <c r="E2281" s="189">
        <v>39604</v>
      </c>
      <c r="F2281" s="190">
        <v>2177</v>
      </c>
      <c r="G2281" s="190">
        <v>0</v>
      </c>
      <c r="H2281" s="191">
        <v>2567</v>
      </c>
      <c r="I2281" s="191">
        <v>679.5</v>
      </c>
      <c r="J2281" s="188" t="s">
        <v>624</v>
      </c>
      <c r="K2281" s="188" t="s">
        <v>1344</v>
      </c>
      <c r="L2281" s="188" t="s">
        <v>2506</v>
      </c>
      <c r="M2281" s="192">
        <f t="shared" si="105"/>
        <v>21</v>
      </c>
      <c r="N2281" s="193">
        <f t="shared" si="106"/>
        <v>1.7</v>
      </c>
      <c r="O2281" s="194">
        <f t="shared" si="107"/>
        <v>8.0952380952380956E-2</v>
      </c>
    </row>
    <row r="2282" spans="1:15" ht="12.75" customHeight="1">
      <c r="A2282" s="188" t="s">
        <v>620</v>
      </c>
      <c r="B2282" s="188" t="s">
        <v>3435</v>
      </c>
      <c r="C2282" s="188" t="s">
        <v>650</v>
      </c>
      <c r="D2282" s="188" t="s">
        <v>3768</v>
      </c>
      <c r="E2282" s="189">
        <v>39520</v>
      </c>
      <c r="F2282" s="190">
        <v>1153</v>
      </c>
      <c r="G2282" s="190">
        <v>0</v>
      </c>
      <c r="H2282" s="191">
        <v>1986</v>
      </c>
      <c r="I2282" s="191">
        <v>360</v>
      </c>
      <c r="J2282" s="188" t="s">
        <v>624</v>
      </c>
      <c r="K2282" s="188" t="s">
        <v>257</v>
      </c>
      <c r="L2282" s="188" t="s">
        <v>752</v>
      </c>
      <c r="M2282" s="192">
        <f t="shared" si="105"/>
        <v>30</v>
      </c>
      <c r="N2282" s="193">
        <f t="shared" si="106"/>
        <v>2.4824999999999999</v>
      </c>
      <c r="O2282" s="194">
        <f t="shared" si="107"/>
        <v>8.2750000000000004E-2</v>
      </c>
    </row>
    <row r="2283" spans="1:15" ht="12.75" customHeight="1">
      <c r="A2283" s="188" t="s">
        <v>620</v>
      </c>
      <c r="B2283" s="188" t="s">
        <v>3435</v>
      </c>
      <c r="C2283" s="188" t="s">
        <v>650</v>
      </c>
      <c r="D2283" s="188" t="s">
        <v>3769</v>
      </c>
      <c r="E2283" s="189">
        <v>39507</v>
      </c>
      <c r="F2283" s="190">
        <v>2767</v>
      </c>
      <c r="G2283" s="190">
        <v>0</v>
      </c>
      <c r="H2283" s="191">
        <v>4057</v>
      </c>
      <c r="I2283" s="191">
        <v>864</v>
      </c>
      <c r="J2283" s="188" t="s">
        <v>624</v>
      </c>
      <c r="K2283" s="188" t="s">
        <v>427</v>
      </c>
      <c r="L2283" s="188" t="s">
        <v>640</v>
      </c>
      <c r="M2283" s="192">
        <f t="shared" si="105"/>
        <v>25</v>
      </c>
      <c r="N2283" s="193">
        <f t="shared" si="106"/>
        <v>2.1130208333333331</v>
      </c>
      <c r="O2283" s="194">
        <f t="shared" si="107"/>
        <v>8.4520833333333323E-2</v>
      </c>
    </row>
    <row r="2284" spans="1:15" ht="12.75" customHeight="1">
      <c r="A2284" s="188" t="s">
        <v>620</v>
      </c>
      <c r="B2284" s="188" t="s">
        <v>3435</v>
      </c>
      <c r="C2284" s="188" t="s">
        <v>650</v>
      </c>
      <c r="D2284" s="188" t="s">
        <v>3770</v>
      </c>
      <c r="E2284" s="189">
        <v>39387</v>
      </c>
      <c r="F2284" s="190">
        <v>432</v>
      </c>
      <c r="G2284" s="190">
        <v>0</v>
      </c>
      <c r="H2284" s="191">
        <v>670</v>
      </c>
      <c r="I2284" s="191">
        <v>135</v>
      </c>
      <c r="J2284" s="188" t="s">
        <v>624</v>
      </c>
      <c r="K2284" s="188" t="s">
        <v>427</v>
      </c>
      <c r="L2284" s="188" t="s">
        <v>1315</v>
      </c>
      <c r="M2284" s="192">
        <f t="shared" si="105"/>
        <v>25</v>
      </c>
      <c r="N2284" s="193">
        <f t="shared" si="106"/>
        <v>2.2333333333333334</v>
      </c>
      <c r="O2284" s="194">
        <f t="shared" si="107"/>
        <v>8.9333333333333334E-2</v>
      </c>
    </row>
    <row r="2285" spans="1:15" ht="12.75" customHeight="1">
      <c r="A2285" s="188" t="s">
        <v>620</v>
      </c>
      <c r="B2285" s="188" t="s">
        <v>3435</v>
      </c>
      <c r="C2285" s="188" t="s">
        <v>650</v>
      </c>
      <c r="D2285" s="188" t="s">
        <v>3771</v>
      </c>
      <c r="E2285" s="189">
        <v>39366</v>
      </c>
      <c r="F2285" s="190">
        <v>2098</v>
      </c>
      <c r="G2285" s="190">
        <v>0</v>
      </c>
      <c r="H2285" s="191">
        <v>3276</v>
      </c>
      <c r="I2285" s="191">
        <v>655.20000000000005</v>
      </c>
      <c r="J2285" s="188" t="s">
        <v>624</v>
      </c>
      <c r="K2285" s="188" t="s">
        <v>427</v>
      </c>
      <c r="L2285" s="188" t="s">
        <v>1383</v>
      </c>
      <c r="M2285" s="192">
        <f t="shared" si="105"/>
        <v>25</v>
      </c>
      <c r="N2285" s="193">
        <f t="shared" si="106"/>
        <v>2.25</v>
      </c>
      <c r="O2285" s="194">
        <f t="shared" si="107"/>
        <v>0.09</v>
      </c>
    </row>
    <row r="2286" spans="1:15" ht="12.75" customHeight="1">
      <c r="A2286" s="188" t="s">
        <v>620</v>
      </c>
      <c r="B2286" s="188" t="s">
        <v>3435</v>
      </c>
      <c r="C2286" s="188" t="s">
        <v>650</v>
      </c>
      <c r="D2286" s="188" t="s">
        <v>3772</v>
      </c>
      <c r="E2286" s="189">
        <v>39513</v>
      </c>
      <c r="F2286" s="190">
        <v>1274</v>
      </c>
      <c r="G2286" s="190">
        <v>0</v>
      </c>
      <c r="H2286" s="191">
        <v>2013</v>
      </c>
      <c r="I2286" s="191">
        <v>397.8</v>
      </c>
      <c r="J2286" s="188" t="s">
        <v>624</v>
      </c>
      <c r="K2286" s="188" t="s">
        <v>427</v>
      </c>
      <c r="L2286" s="188" t="s">
        <v>3581</v>
      </c>
      <c r="M2286" s="192">
        <f t="shared" si="105"/>
        <v>25</v>
      </c>
      <c r="N2286" s="193">
        <f t="shared" si="106"/>
        <v>2.2771493212669682</v>
      </c>
      <c r="O2286" s="194">
        <f t="shared" si="107"/>
        <v>9.1085972850678723E-2</v>
      </c>
    </row>
    <row r="2287" spans="1:15" ht="12.75" customHeight="1">
      <c r="A2287" s="188" t="s">
        <v>620</v>
      </c>
      <c r="B2287" s="188" t="s">
        <v>3435</v>
      </c>
      <c r="C2287" s="188" t="s">
        <v>650</v>
      </c>
      <c r="D2287" s="188" t="s">
        <v>3773</v>
      </c>
      <c r="E2287" s="189">
        <v>39447</v>
      </c>
      <c r="F2287" s="190">
        <v>1498</v>
      </c>
      <c r="G2287" s="190">
        <v>0</v>
      </c>
      <c r="H2287" s="191">
        <v>1821</v>
      </c>
      <c r="I2287" s="191">
        <v>468</v>
      </c>
      <c r="J2287" s="188" t="s">
        <v>624</v>
      </c>
      <c r="K2287" s="188" t="s">
        <v>667</v>
      </c>
      <c r="L2287" s="188" t="s">
        <v>808</v>
      </c>
      <c r="M2287" s="192">
        <f t="shared" si="105"/>
        <v>19</v>
      </c>
      <c r="N2287" s="193">
        <f t="shared" si="106"/>
        <v>1.7509615384615385</v>
      </c>
      <c r="O2287" s="194">
        <f t="shared" si="107"/>
        <v>9.2155870445344124E-2</v>
      </c>
    </row>
    <row r="2288" spans="1:15" ht="12.75" customHeight="1">
      <c r="A2288" s="188" t="s">
        <v>620</v>
      </c>
      <c r="B2288" s="188" t="s">
        <v>3435</v>
      </c>
      <c r="C2288" s="188" t="s">
        <v>650</v>
      </c>
      <c r="D2288" s="188" t="s">
        <v>3774</v>
      </c>
      <c r="E2288" s="189">
        <v>39527</v>
      </c>
      <c r="F2288" s="190">
        <v>937</v>
      </c>
      <c r="G2288" s="190">
        <v>0</v>
      </c>
      <c r="H2288" s="191">
        <v>1543</v>
      </c>
      <c r="I2288" s="191">
        <v>292.5</v>
      </c>
      <c r="J2288" s="188" t="s">
        <v>624</v>
      </c>
      <c r="K2288" s="188" t="s">
        <v>427</v>
      </c>
      <c r="L2288" s="188" t="s">
        <v>1774</v>
      </c>
      <c r="M2288" s="192">
        <f t="shared" si="105"/>
        <v>25</v>
      </c>
      <c r="N2288" s="193">
        <f t="shared" si="106"/>
        <v>2.3738461538461539</v>
      </c>
      <c r="O2288" s="194">
        <f t="shared" si="107"/>
        <v>9.4953846153846153E-2</v>
      </c>
    </row>
    <row r="2289" spans="1:15" ht="12.75" customHeight="1">
      <c r="A2289" s="188" t="s">
        <v>620</v>
      </c>
      <c r="B2289" s="188" t="s">
        <v>3435</v>
      </c>
      <c r="C2289" s="188" t="s">
        <v>650</v>
      </c>
      <c r="D2289" s="188" t="s">
        <v>3775</v>
      </c>
      <c r="E2289" s="189">
        <v>39492</v>
      </c>
      <c r="F2289" s="190">
        <v>2738</v>
      </c>
      <c r="G2289" s="190">
        <v>0</v>
      </c>
      <c r="H2289" s="191">
        <v>3677</v>
      </c>
      <c r="I2289" s="191">
        <v>855</v>
      </c>
      <c r="J2289" s="188" t="s">
        <v>742</v>
      </c>
      <c r="K2289" s="188" t="s">
        <v>427</v>
      </c>
      <c r="L2289" s="188" t="s">
        <v>1673</v>
      </c>
      <c r="M2289" s="192">
        <f t="shared" si="105"/>
        <v>20</v>
      </c>
      <c r="N2289" s="193">
        <f t="shared" si="106"/>
        <v>1.9352631578947368</v>
      </c>
      <c r="O2289" s="194">
        <f t="shared" si="107"/>
        <v>9.6763157894736843E-2</v>
      </c>
    </row>
    <row r="2290" spans="1:15" ht="12.75" customHeight="1">
      <c r="A2290" s="188" t="s">
        <v>620</v>
      </c>
      <c r="B2290" s="188" t="s">
        <v>3435</v>
      </c>
      <c r="C2290" s="188" t="s">
        <v>650</v>
      </c>
      <c r="D2290" s="188" t="s">
        <v>3776</v>
      </c>
      <c r="E2290" s="189">
        <v>39632</v>
      </c>
      <c r="F2290" s="190">
        <v>2946</v>
      </c>
      <c r="G2290" s="190">
        <v>0</v>
      </c>
      <c r="H2290" s="191">
        <v>3831</v>
      </c>
      <c r="I2290" s="191">
        <v>919.8</v>
      </c>
      <c r="J2290" s="188" t="s">
        <v>639</v>
      </c>
      <c r="K2290" s="188" t="s">
        <v>257</v>
      </c>
      <c r="L2290" s="188" t="s">
        <v>3777</v>
      </c>
      <c r="M2290" s="192">
        <f t="shared" si="105"/>
        <v>19</v>
      </c>
      <c r="N2290" s="193">
        <f t="shared" si="106"/>
        <v>1.87426614481409</v>
      </c>
      <c r="O2290" s="194">
        <f t="shared" si="107"/>
        <v>9.8645586569162627E-2</v>
      </c>
    </row>
    <row r="2291" spans="1:15" ht="12.75" customHeight="1">
      <c r="A2291" s="188" t="s">
        <v>620</v>
      </c>
      <c r="B2291" s="188" t="s">
        <v>3435</v>
      </c>
      <c r="C2291" s="188" t="s">
        <v>650</v>
      </c>
      <c r="D2291" s="188" t="s">
        <v>3778</v>
      </c>
      <c r="E2291" s="189">
        <v>39401</v>
      </c>
      <c r="F2291" s="190">
        <v>1673</v>
      </c>
      <c r="G2291" s="190">
        <v>0</v>
      </c>
      <c r="H2291" s="191">
        <v>2984.47</v>
      </c>
      <c r="I2291" s="191">
        <v>522.45000000000005</v>
      </c>
      <c r="J2291" s="188" t="s">
        <v>624</v>
      </c>
      <c r="K2291" s="188" t="s">
        <v>427</v>
      </c>
      <c r="L2291" s="188" t="s">
        <v>1279</v>
      </c>
      <c r="M2291" s="192">
        <f t="shared" si="105"/>
        <v>25</v>
      </c>
      <c r="N2291" s="193">
        <f t="shared" si="106"/>
        <v>2.570602928509905</v>
      </c>
      <c r="O2291" s="194">
        <f t="shared" si="107"/>
        <v>0.1028241171403962</v>
      </c>
    </row>
    <row r="2292" spans="1:15" ht="12.75" customHeight="1">
      <c r="A2292" s="188" t="s">
        <v>620</v>
      </c>
      <c r="B2292" s="188" t="s">
        <v>3435</v>
      </c>
      <c r="C2292" s="188" t="s">
        <v>650</v>
      </c>
      <c r="D2292" s="188" t="s">
        <v>3779</v>
      </c>
      <c r="E2292" s="189">
        <v>39429</v>
      </c>
      <c r="F2292" s="190">
        <v>1199</v>
      </c>
      <c r="G2292" s="190">
        <v>0</v>
      </c>
      <c r="H2292" s="191">
        <v>1639.04</v>
      </c>
      <c r="I2292" s="191">
        <v>374.4</v>
      </c>
      <c r="J2292" s="188" t="s">
        <v>639</v>
      </c>
      <c r="K2292" s="188" t="s">
        <v>257</v>
      </c>
      <c r="L2292" s="188" t="s">
        <v>734</v>
      </c>
      <c r="M2292" s="192">
        <f t="shared" si="105"/>
        <v>19</v>
      </c>
      <c r="N2292" s="193">
        <f t="shared" si="106"/>
        <v>1.97</v>
      </c>
      <c r="O2292" s="194">
        <f t="shared" si="107"/>
        <v>0.10368421052631578</v>
      </c>
    </row>
    <row r="2293" spans="1:15" ht="12.75" customHeight="1">
      <c r="A2293" s="188" t="s">
        <v>620</v>
      </c>
      <c r="B2293" s="188" t="s">
        <v>3435</v>
      </c>
      <c r="C2293" s="188" t="s">
        <v>650</v>
      </c>
      <c r="D2293" s="188" t="s">
        <v>3780</v>
      </c>
      <c r="E2293" s="189">
        <v>39583</v>
      </c>
      <c r="F2293" s="190">
        <v>1522</v>
      </c>
      <c r="G2293" s="190">
        <v>0</v>
      </c>
      <c r="H2293" s="191">
        <v>2375.31</v>
      </c>
      <c r="I2293" s="191">
        <v>475.2</v>
      </c>
      <c r="J2293" s="188" t="s">
        <v>624</v>
      </c>
      <c r="K2293" s="188" t="s">
        <v>667</v>
      </c>
      <c r="L2293" s="188" t="s">
        <v>1354</v>
      </c>
      <c r="M2293" s="192">
        <f t="shared" si="105"/>
        <v>19</v>
      </c>
      <c r="N2293" s="193">
        <f t="shared" si="106"/>
        <v>2.2493465909090911</v>
      </c>
      <c r="O2293" s="194">
        <f t="shared" si="107"/>
        <v>0.11838666267942584</v>
      </c>
    </row>
    <row r="2294" spans="1:15" ht="12.75" customHeight="1">
      <c r="A2294" s="188" t="s">
        <v>620</v>
      </c>
      <c r="B2294" s="188" t="s">
        <v>3435</v>
      </c>
      <c r="C2294" s="188" t="s">
        <v>650</v>
      </c>
      <c r="D2294" s="188" t="s">
        <v>3781</v>
      </c>
      <c r="E2294" s="189">
        <v>39447</v>
      </c>
      <c r="F2294" s="190">
        <v>1859</v>
      </c>
      <c r="G2294" s="190">
        <v>0</v>
      </c>
      <c r="H2294" s="191">
        <v>1696.84</v>
      </c>
      <c r="I2294" s="191">
        <v>580.5</v>
      </c>
      <c r="J2294" s="188" t="s">
        <v>624</v>
      </c>
      <c r="K2294" s="188" t="s">
        <v>639</v>
      </c>
      <c r="L2294" s="188" t="s">
        <v>2665</v>
      </c>
      <c r="M2294" s="192">
        <f t="shared" si="105"/>
        <v>11</v>
      </c>
      <c r="N2294" s="193">
        <f t="shared" si="106"/>
        <v>1.3153798449612402</v>
      </c>
      <c r="O2294" s="194">
        <f t="shared" si="107"/>
        <v>0.11957998590556729</v>
      </c>
    </row>
    <row r="2295" spans="1:15" ht="12.75" customHeight="1">
      <c r="A2295" s="188" t="s">
        <v>620</v>
      </c>
      <c r="B2295" s="188" t="s">
        <v>3435</v>
      </c>
      <c r="C2295" s="188" t="s">
        <v>650</v>
      </c>
      <c r="D2295" s="188" t="s">
        <v>3782</v>
      </c>
      <c r="E2295" s="189">
        <v>39618</v>
      </c>
      <c r="F2295" s="190">
        <v>721</v>
      </c>
      <c r="G2295" s="190">
        <v>0</v>
      </c>
      <c r="H2295" s="191">
        <v>1855</v>
      </c>
      <c r="I2295" s="191">
        <v>225</v>
      </c>
      <c r="J2295" s="188" t="s">
        <v>624</v>
      </c>
      <c r="K2295" s="188" t="s">
        <v>257</v>
      </c>
      <c r="L2295" s="188" t="s">
        <v>858</v>
      </c>
      <c r="M2295" s="192">
        <f t="shared" si="105"/>
        <v>30</v>
      </c>
      <c r="N2295" s="193">
        <f t="shared" si="106"/>
        <v>3.71</v>
      </c>
      <c r="O2295" s="194">
        <f t="shared" si="107"/>
        <v>0.12366666666666666</v>
      </c>
    </row>
    <row r="2296" spans="1:15" ht="12.75" customHeight="1">
      <c r="A2296" s="188" t="s">
        <v>620</v>
      </c>
      <c r="B2296" s="188" t="s">
        <v>3435</v>
      </c>
      <c r="C2296" s="188" t="s">
        <v>650</v>
      </c>
      <c r="D2296" s="188" t="s">
        <v>3783</v>
      </c>
      <c r="E2296" s="189">
        <v>39447</v>
      </c>
      <c r="F2296" s="190">
        <v>778</v>
      </c>
      <c r="G2296" s="190">
        <v>0</v>
      </c>
      <c r="H2296" s="191">
        <v>951</v>
      </c>
      <c r="I2296" s="191">
        <v>243</v>
      </c>
      <c r="J2296" s="188" t="s">
        <v>639</v>
      </c>
      <c r="K2296" s="188" t="s">
        <v>427</v>
      </c>
      <c r="L2296" s="188" t="s">
        <v>1081</v>
      </c>
      <c r="M2296" s="192">
        <f t="shared" si="105"/>
        <v>14</v>
      </c>
      <c r="N2296" s="193">
        <f t="shared" si="106"/>
        <v>1.7611111111111111</v>
      </c>
      <c r="O2296" s="194">
        <f t="shared" si="107"/>
        <v>0.12579365079365079</v>
      </c>
    </row>
    <row r="2297" spans="1:15" ht="12.75" customHeight="1">
      <c r="A2297" s="188" t="s">
        <v>620</v>
      </c>
      <c r="B2297" s="188" t="s">
        <v>3435</v>
      </c>
      <c r="C2297" s="188" t="s">
        <v>650</v>
      </c>
      <c r="D2297" s="188" t="s">
        <v>3784</v>
      </c>
      <c r="E2297" s="189">
        <v>39541</v>
      </c>
      <c r="F2297" s="190">
        <v>1927</v>
      </c>
      <c r="G2297" s="190">
        <v>0</v>
      </c>
      <c r="H2297" s="191">
        <v>1987</v>
      </c>
      <c r="I2297" s="191">
        <v>601.65</v>
      </c>
      <c r="J2297" s="188" t="s">
        <v>639</v>
      </c>
      <c r="K2297" s="188" t="s">
        <v>344</v>
      </c>
      <c r="L2297" s="188" t="s">
        <v>1573</v>
      </c>
      <c r="M2297" s="192">
        <f t="shared" si="105"/>
        <v>11</v>
      </c>
      <c r="N2297" s="193">
        <f t="shared" si="106"/>
        <v>1.4861630516080777</v>
      </c>
      <c r="O2297" s="194">
        <f t="shared" si="107"/>
        <v>0.1351057319643707</v>
      </c>
    </row>
    <row r="2298" spans="1:15" ht="12.75" customHeight="1">
      <c r="A2298" s="188" t="s">
        <v>620</v>
      </c>
      <c r="B2298" s="188" t="s">
        <v>3435</v>
      </c>
      <c r="C2298" s="188" t="s">
        <v>650</v>
      </c>
      <c r="D2298" s="188" t="s">
        <v>3785</v>
      </c>
      <c r="E2298" s="189">
        <v>39499</v>
      </c>
      <c r="F2298" s="190">
        <v>807</v>
      </c>
      <c r="G2298" s="190">
        <v>0</v>
      </c>
      <c r="H2298" s="191">
        <v>1801</v>
      </c>
      <c r="I2298" s="191">
        <v>252</v>
      </c>
      <c r="J2298" s="188" t="s">
        <v>624</v>
      </c>
      <c r="K2298" s="188" t="s">
        <v>571</v>
      </c>
      <c r="L2298" s="188" t="s">
        <v>2142</v>
      </c>
      <c r="M2298" s="192">
        <f t="shared" si="105"/>
        <v>15</v>
      </c>
      <c r="N2298" s="193">
        <f t="shared" si="106"/>
        <v>3.2160714285714285</v>
      </c>
      <c r="O2298" s="194">
        <f t="shared" si="107"/>
        <v>0.2144047619047619</v>
      </c>
    </row>
    <row r="2299" spans="1:15" ht="12.75" customHeight="1">
      <c r="A2299" s="188" t="s">
        <v>620</v>
      </c>
      <c r="B2299" s="188" t="s">
        <v>3435</v>
      </c>
      <c r="C2299" s="188" t="s">
        <v>650</v>
      </c>
      <c r="D2299" s="188" t="s">
        <v>3786</v>
      </c>
      <c r="E2299" s="189">
        <v>39395</v>
      </c>
      <c r="F2299" s="190">
        <v>61</v>
      </c>
      <c r="G2299" s="190">
        <v>0</v>
      </c>
      <c r="H2299" s="191">
        <v>438</v>
      </c>
      <c r="I2299" s="191">
        <v>18.899999999999999</v>
      </c>
      <c r="J2299" s="188" t="s">
        <v>624</v>
      </c>
      <c r="K2299" s="188" t="s">
        <v>427</v>
      </c>
      <c r="L2299" s="188" t="s">
        <v>1092</v>
      </c>
      <c r="M2299" s="192">
        <f t="shared" si="105"/>
        <v>25</v>
      </c>
      <c r="N2299" s="193">
        <f t="shared" si="106"/>
        <v>10.428571428571429</v>
      </c>
      <c r="O2299" s="194">
        <f t="shared" si="107"/>
        <v>0.41714285714285715</v>
      </c>
    </row>
    <row r="2300" spans="1:15" ht="12.75" customHeight="1">
      <c r="A2300" s="188" t="s">
        <v>620</v>
      </c>
      <c r="B2300" s="188" t="s">
        <v>3787</v>
      </c>
      <c r="C2300" s="188" t="s">
        <v>659</v>
      </c>
      <c r="D2300" s="188" t="s">
        <v>3788</v>
      </c>
      <c r="E2300" s="189">
        <v>39317</v>
      </c>
      <c r="F2300" s="190">
        <v>0</v>
      </c>
      <c r="G2300" s="190">
        <v>0.06</v>
      </c>
      <c r="H2300" s="191">
        <v>204</v>
      </c>
      <c r="I2300" s="191">
        <v>204</v>
      </c>
      <c r="J2300" s="188" t="s">
        <v>624</v>
      </c>
      <c r="K2300" s="188" t="s">
        <v>427</v>
      </c>
      <c r="L2300" s="188" t="s">
        <v>663</v>
      </c>
      <c r="M2300" s="192">
        <f t="shared" si="105"/>
        <v>25</v>
      </c>
      <c r="N2300" s="193">
        <f t="shared" si="106"/>
        <v>0.15407854984894259</v>
      </c>
      <c r="O2300" s="194">
        <f t="shared" si="107"/>
        <v>6.1631419939577039E-3</v>
      </c>
    </row>
    <row r="2301" spans="1:15" ht="12.75" customHeight="1">
      <c r="A2301" s="188" t="s">
        <v>620</v>
      </c>
      <c r="B2301" s="188" t="s">
        <v>3787</v>
      </c>
      <c r="C2301" s="188" t="s">
        <v>659</v>
      </c>
      <c r="D2301" s="188" t="s">
        <v>3789</v>
      </c>
      <c r="E2301" s="189">
        <v>39447</v>
      </c>
      <c r="F2301" s="190">
        <v>0</v>
      </c>
      <c r="G2301" s="190">
        <v>0.06</v>
      </c>
      <c r="H2301" s="191">
        <v>143.71</v>
      </c>
      <c r="I2301" s="191">
        <v>143.71</v>
      </c>
      <c r="J2301" s="188" t="s">
        <v>624</v>
      </c>
      <c r="K2301" s="188" t="s">
        <v>427</v>
      </c>
      <c r="L2301" s="188" t="s">
        <v>740</v>
      </c>
      <c r="M2301" s="192">
        <f t="shared" si="105"/>
        <v>25</v>
      </c>
      <c r="N2301" s="193">
        <f t="shared" si="106"/>
        <v>0.15967777777777778</v>
      </c>
      <c r="O2301" s="194">
        <f t="shared" si="107"/>
        <v>6.3871111111111108E-3</v>
      </c>
    </row>
    <row r="2302" spans="1:15" ht="12.75" customHeight="1">
      <c r="A2302" s="188" t="s">
        <v>620</v>
      </c>
      <c r="B2302" s="188" t="s">
        <v>3787</v>
      </c>
      <c r="C2302" s="188" t="s">
        <v>659</v>
      </c>
      <c r="D2302" s="188" t="s">
        <v>3790</v>
      </c>
      <c r="E2302" s="189">
        <v>39492</v>
      </c>
      <c r="F2302" s="190">
        <v>0</v>
      </c>
      <c r="G2302" s="190">
        <v>106.62</v>
      </c>
      <c r="H2302" s="191">
        <v>300</v>
      </c>
      <c r="I2302" s="191">
        <v>749.7</v>
      </c>
      <c r="J2302" s="188" t="s">
        <v>624</v>
      </c>
      <c r="K2302" s="188" t="s">
        <v>427</v>
      </c>
      <c r="L2302" s="188" t="s">
        <v>2608</v>
      </c>
      <c r="M2302" s="192">
        <f t="shared" si="105"/>
        <v>25</v>
      </c>
      <c r="N2302" s="193">
        <f t="shared" si="106"/>
        <v>0.18007202881152462</v>
      </c>
      <c r="O2302" s="194">
        <f t="shared" si="107"/>
        <v>7.2028811524609852E-3</v>
      </c>
    </row>
    <row r="2303" spans="1:15" ht="12.75" customHeight="1">
      <c r="A2303" s="188" t="s">
        <v>620</v>
      </c>
      <c r="B2303" s="188" t="s">
        <v>3787</v>
      </c>
      <c r="C2303" s="188" t="s">
        <v>659</v>
      </c>
      <c r="D2303" s="188" t="s">
        <v>3791</v>
      </c>
      <c r="E2303" s="189">
        <v>39611</v>
      </c>
      <c r="F2303" s="190">
        <v>0</v>
      </c>
      <c r="G2303" s="190">
        <v>0.06</v>
      </c>
      <c r="H2303" s="191">
        <v>394.87</v>
      </c>
      <c r="I2303" s="191">
        <v>394.87</v>
      </c>
      <c r="J2303" s="188" t="s">
        <v>624</v>
      </c>
      <c r="K2303" s="188" t="s">
        <v>427</v>
      </c>
      <c r="L2303" s="188" t="s">
        <v>2101</v>
      </c>
      <c r="M2303" s="192">
        <f t="shared" si="105"/>
        <v>25</v>
      </c>
      <c r="N2303" s="193">
        <f t="shared" si="106"/>
        <v>0.31640224358974361</v>
      </c>
      <c r="O2303" s="194">
        <f t="shared" si="107"/>
        <v>1.2656089743589744E-2</v>
      </c>
    </row>
    <row r="2304" spans="1:15" ht="12.75" customHeight="1">
      <c r="A2304" s="188" t="s">
        <v>620</v>
      </c>
      <c r="B2304" s="188" t="s">
        <v>3787</v>
      </c>
      <c r="C2304" s="188" t="s">
        <v>659</v>
      </c>
      <c r="D2304" s="188" t="s">
        <v>3792</v>
      </c>
      <c r="E2304" s="189">
        <v>39527</v>
      </c>
      <c r="F2304" s="190">
        <v>0</v>
      </c>
      <c r="G2304" s="190">
        <v>60.8</v>
      </c>
      <c r="H2304" s="191">
        <v>438.67</v>
      </c>
      <c r="I2304" s="191">
        <v>427.5</v>
      </c>
      <c r="J2304" s="188" t="s">
        <v>624</v>
      </c>
      <c r="K2304" s="188" t="s">
        <v>257</v>
      </c>
      <c r="L2304" s="188" t="s">
        <v>1164</v>
      </c>
      <c r="M2304" s="192">
        <f t="shared" si="105"/>
        <v>30</v>
      </c>
      <c r="N2304" s="193">
        <f t="shared" si="106"/>
        <v>0.46175789473684214</v>
      </c>
      <c r="O2304" s="194">
        <f t="shared" si="107"/>
        <v>1.5391929824561406E-2</v>
      </c>
    </row>
    <row r="2305" spans="1:15" ht="12.75" customHeight="1">
      <c r="A2305" s="188" t="s">
        <v>620</v>
      </c>
      <c r="B2305" s="188" t="s">
        <v>3787</v>
      </c>
      <c r="C2305" s="188" t="s">
        <v>659</v>
      </c>
      <c r="D2305" s="188" t="s">
        <v>3793</v>
      </c>
      <c r="E2305" s="189">
        <v>39416</v>
      </c>
      <c r="F2305" s="190">
        <v>0</v>
      </c>
      <c r="G2305" s="190">
        <v>0.06</v>
      </c>
      <c r="H2305" s="191">
        <v>230</v>
      </c>
      <c r="I2305" s="191">
        <v>230</v>
      </c>
      <c r="J2305" s="188" t="s">
        <v>624</v>
      </c>
      <c r="K2305" s="188" t="s">
        <v>1344</v>
      </c>
      <c r="L2305" s="188" t="s">
        <v>3794</v>
      </c>
      <c r="M2305" s="192">
        <f t="shared" si="105"/>
        <v>21</v>
      </c>
      <c r="N2305" s="193">
        <f t="shared" si="106"/>
        <v>0.33625730994152048</v>
      </c>
      <c r="O2305" s="194">
        <f t="shared" si="107"/>
        <v>1.6012252854358117E-2</v>
      </c>
    </row>
    <row r="2306" spans="1:15" ht="12.75" customHeight="1">
      <c r="A2306" s="188" t="s">
        <v>620</v>
      </c>
      <c r="B2306" s="188" t="s">
        <v>3787</v>
      </c>
      <c r="C2306" s="188" t="s">
        <v>659</v>
      </c>
      <c r="D2306" s="188" t="s">
        <v>3795</v>
      </c>
      <c r="E2306" s="189">
        <v>39395</v>
      </c>
      <c r="F2306" s="190">
        <v>0</v>
      </c>
      <c r="G2306" s="190">
        <v>20.48</v>
      </c>
      <c r="H2306" s="191">
        <v>135</v>
      </c>
      <c r="I2306" s="191">
        <v>144</v>
      </c>
      <c r="J2306" s="188" t="s">
        <v>624</v>
      </c>
      <c r="K2306" s="188" t="s">
        <v>427</v>
      </c>
      <c r="L2306" s="188" t="s">
        <v>3452</v>
      </c>
      <c r="M2306" s="192">
        <f t="shared" ref="M2306:M2369" si="108">K2306-J2306</f>
        <v>25</v>
      </c>
      <c r="N2306" s="193">
        <f t="shared" ref="N2306:N2369" si="109">H2306/L2306</f>
        <v>0.421875</v>
      </c>
      <c r="O2306" s="194">
        <f t="shared" ref="O2306:O2369" si="110">N2306/M2306</f>
        <v>1.6875000000000001E-2</v>
      </c>
    </row>
    <row r="2307" spans="1:15" ht="12.75" customHeight="1">
      <c r="A2307" s="188" t="s">
        <v>620</v>
      </c>
      <c r="B2307" s="188" t="s">
        <v>3787</v>
      </c>
      <c r="C2307" s="188" t="s">
        <v>659</v>
      </c>
      <c r="D2307" s="188" t="s">
        <v>3796</v>
      </c>
      <c r="E2307" s="189">
        <v>39339</v>
      </c>
      <c r="F2307" s="190">
        <v>0</v>
      </c>
      <c r="G2307" s="190">
        <v>0.06</v>
      </c>
      <c r="H2307" s="191">
        <v>432.25</v>
      </c>
      <c r="I2307" s="191">
        <v>432.25</v>
      </c>
      <c r="J2307" s="188" t="s">
        <v>624</v>
      </c>
      <c r="K2307" s="188" t="s">
        <v>427</v>
      </c>
      <c r="L2307" s="188" t="s">
        <v>636</v>
      </c>
      <c r="M2307" s="192">
        <f t="shared" si="108"/>
        <v>25</v>
      </c>
      <c r="N2307" s="193">
        <f t="shared" si="109"/>
        <v>0.43225000000000002</v>
      </c>
      <c r="O2307" s="194">
        <f t="shared" si="110"/>
        <v>1.729E-2</v>
      </c>
    </row>
    <row r="2308" spans="1:15" ht="12.75" customHeight="1">
      <c r="A2308" s="188" t="s">
        <v>620</v>
      </c>
      <c r="B2308" s="188" t="s">
        <v>3787</v>
      </c>
      <c r="C2308" s="188" t="s">
        <v>659</v>
      </c>
      <c r="D2308" s="188" t="s">
        <v>3797</v>
      </c>
      <c r="E2308" s="189">
        <v>39555</v>
      </c>
      <c r="F2308" s="190">
        <v>0</v>
      </c>
      <c r="G2308" s="190">
        <v>76.86</v>
      </c>
      <c r="H2308" s="191">
        <v>530</v>
      </c>
      <c r="I2308" s="191">
        <v>540.45000000000005</v>
      </c>
      <c r="J2308" s="188" t="s">
        <v>624</v>
      </c>
      <c r="K2308" s="188" t="s">
        <v>427</v>
      </c>
      <c r="L2308" s="188" t="s">
        <v>3647</v>
      </c>
      <c r="M2308" s="192">
        <f t="shared" si="108"/>
        <v>25</v>
      </c>
      <c r="N2308" s="193">
        <f t="shared" si="109"/>
        <v>0.44129891756869277</v>
      </c>
      <c r="O2308" s="194">
        <f t="shared" si="110"/>
        <v>1.7651956702747711E-2</v>
      </c>
    </row>
    <row r="2309" spans="1:15" ht="12.75" customHeight="1">
      <c r="A2309" s="188" t="s">
        <v>620</v>
      </c>
      <c r="B2309" s="188" t="s">
        <v>3787</v>
      </c>
      <c r="C2309" s="188" t="s">
        <v>659</v>
      </c>
      <c r="D2309" s="188" t="s">
        <v>3798</v>
      </c>
      <c r="E2309" s="189">
        <v>39261</v>
      </c>
      <c r="F2309" s="190">
        <v>0</v>
      </c>
      <c r="G2309" s="190">
        <v>75.010000000000005</v>
      </c>
      <c r="H2309" s="191">
        <v>640.03</v>
      </c>
      <c r="I2309" s="191">
        <v>527.4</v>
      </c>
      <c r="J2309" s="188" t="s">
        <v>639</v>
      </c>
      <c r="K2309" s="188" t="s">
        <v>733</v>
      </c>
      <c r="L2309" s="188" t="s">
        <v>1738</v>
      </c>
      <c r="M2309" s="192">
        <f t="shared" si="108"/>
        <v>30</v>
      </c>
      <c r="N2309" s="193">
        <f t="shared" si="109"/>
        <v>0.54610068259385658</v>
      </c>
      <c r="O2309" s="194">
        <f t="shared" si="110"/>
        <v>1.8203356086461887E-2</v>
      </c>
    </row>
    <row r="2310" spans="1:15" ht="12.75" customHeight="1">
      <c r="A2310" s="188" t="s">
        <v>620</v>
      </c>
      <c r="B2310" s="188" t="s">
        <v>3787</v>
      </c>
      <c r="C2310" s="188" t="s">
        <v>659</v>
      </c>
      <c r="D2310" s="188" t="s">
        <v>3799</v>
      </c>
      <c r="E2310" s="189">
        <v>39387</v>
      </c>
      <c r="F2310" s="190">
        <v>0</v>
      </c>
      <c r="G2310" s="190">
        <v>45.06</v>
      </c>
      <c r="H2310" s="191">
        <v>352</v>
      </c>
      <c r="I2310" s="191">
        <v>316.8</v>
      </c>
      <c r="J2310" s="188" t="s">
        <v>624</v>
      </c>
      <c r="K2310" s="188" t="s">
        <v>427</v>
      </c>
      <c r="L2310" s="188" t="s">
        <v>3244</v>
      </c>
      <c r="M2310" s="192">
        <f t="shared" si="108"/>
        <v>25</v>
      </c>
      <c r="N2310" s="193">
        <f t="shared" si="109"/>
        <v>0.5</v>
      </c>
      <c r="O2310" s="194">
        <f t="shared" si="110"/>
        <v>0.02</v>
      </c>
    </row>
    <row r="2311" spans="1:15" ht="12.75" customHeight="1">
      <c r="A2311" s="188" t="s">
        <v>620</v>
      </c>
      <c r="B2311" s="188" t="s">
        <v>3787</v>
      </c>
      <c r="C2311" s="188" t="s">
        <v>659</v>
      </c>
      <c r="D2311" s="188" t="s">
        <v>3800</v>
      </c>
      <c r="E2311" s="189">
        <v>39541</v>
      </c>
      <c r="F2311" s="190">
        <v>0</v>
      </c>
      <c r="G2311" s="190">
        <v>76.8</v>
      </c>
      <c r="H2311" s="191">
        <v>600</v>
      </c>
      <c r="I2311" s="191">
        <v>540</v>
      </c>
      <c r="J2311" s="188" t="s">
        <v>624</v>
      </c>
      <c r="K2311" s="188" t="s">
        <v>427</v>
      </c>
      <c r="L2311" s="188" t="s">
        <v>632</v>
      </c>
      <c r="M2311" s="192">
        <f t="shared" si="108"/>
        <v>25</v>
      </c>
      <c r="N2311" s="193">
        <f t="shared" si="109"/>
        <v>0.5</v>
      </c>
      <c r="O2311" s="194">
        <f t="shared" si="110"/>
        <v>0.02</v>
      </c>
    </row>
    <row r="2312" spans="1:15" ht="12.75" customHeight="1">
      <c r="A2312" s="188" t="s">
        <v>620</v>
      </c>
      <c r="B2312" s="188" t="s">
        <v>3787</v>
      </c>
      <c r="C2312" s="188" t="s">
        <v>659</v>
      </c>
      <c r="D2312" s="188" t="s">
        <v>3801</v>
      </c>
      <c r="E2312" s="189">
        <v>39541</v>
      </c>
      <c r="F2312" s="190">
        <v>0</v>
      </c>
      <c r="G2312" s="190">
        <v>35.200000000000003</v>
      </c>
      <c r="H2312" s="191">
        <v>420</v>
      </c>
      <c r="I2312" s="191">
        <v>247.5</v>
      </c>
      <c r="J2312" s="188" t="s">
        <v>624</v>
      </c>
      <c r="K2312" s="188" t="s">
        <v>338</v>
      </c>
      <c r="L2312" s="188" t="s">
        <v>1873</v>
      </c>
      <c r="M2312" s="192">
        <f t="shared" si="108"/>
        <v>38</v>
      </c>
      <c r="N2312" s="193">
        <f t="shared" si="109"/>
        <v>0.76363636363636367</v>
      </c>
      <c r="O2312" s="194">
        <f t="shared" si="110"/>
        <v>2.0095693779904306E-2</v>
      </c>
    </row>
    <row r="2313" spans="1:15" ht="12.75" customHeight="1">
      <c r="A2313" s="188" t="s">
        <v>620</v>
      </c>
      <c r="B2313" s="188" t="s">
        <v>3787</v>
      </c>
      <c r="C2313" s="188" t="s">
        <v>659</v>
      </c>
      <c r="D2313" s="188" t="s">
        <v>3802</v>
      </c>
      <c r="E2313" s="189">
        <v>39576</v>
      </c>
      <c r="F2313" s="190">
        <v>0</v>
      </c>
      <c r="G2313" s="190">
        <v>85.12</v>
      </c>
      <c r="H2313" s="191">
        <v>816</v>
      </c>
      <c r="I2313" s="191">
        <v>598.5</v>
      </c>
      <c r="J2313" s="188" t="s">
        <v>624</v>
      </c>
      <c r="K2313" s="188" t="s">
        <v>257</v>
      </c>
      <c r="L2313" s="188" t="s">
        <v>3803</v>
      </c>
      <c r="M2313" s="192">
        <f t="shared" si="108"/>
        <v>30</v>
      </c>
      <c r="N2313" s="193">
        <f t="shared" si="109"/>
        <v>0.61353383458646615</v>
      </c>
      <c r="O2313" s="194">
        <f t="shared" si="110"/>
        <v>2.0451127819548873E-2</v>
      </c>
    </row>
    <row r="2314" spans="1:15" ht="12.75" customHeight="1">
      <c r="A2314" s="188" t="s">
        <v>620</v>
      </c>
      <c r="B2314" s="188" t="s">
        <v>3787</v>
      </c>
      <c r="C2314" s="188" t="s">
        <v>659</v>
      </c>
      <c r="D2314" s="188" t="s">
        <v>3804</v>
      </c>
      <c r="E2314" s="189">
        <v>39520</v>
      </c>
      <c r="F2314" s="190">
        <v>0</v>
      </c>
      <c r="G2314" s="190">
        <v>89.6</v>
      </c>
      <c r="H2314" s="191">
        <v>726</v>
      </c>
      <c r="I2314" s="191">
        <v>630</v>
      </c>
      <c r="J2314" s="188" t="s">
        <v>624</v>
      </c>
      <c r="K2314" s="188" t="s">
        <v>427</v>
      </c>
      <c r="L2314" s="188" t="s">
        <v>754</v>
      </c>
      <c r="M2314" s="192">
        <f t="shared" si="108"/>
        <v>25</v>
      </c>
      <c r="N2314" s="193">
        <f t="shared" si="109"/>
        <v>0.51857142857142857</v>
      </c>
      <c r="O2314" s="194">
        <f t="shared" si="110"/>
        <v>2.0742857142857143E-2</v>
      </c>
    </row>
    <row r="2315" spans="1:15" ht="12.75" customHeight="1">
      <c r="A2315" s="188" t="s">
        <v>620</v>
      </c>
      <c r="B2315" s="188" t="s">
        <v>3787</v>
      </c>
      <c r="C2315" s="188" t="s">
        <v>659</v>
      </c>
      <c r="D2315" s="188" t="s">
        <v>3805</v>
      </c>
      <c r="E2315" s="189">
        <v>39366</v>
      </c>
      <c r="F2315" s="190">
        <v>0</v>
      </c>
      <c r="G2315" s="190">
        <v>102.4</v>
      </c>
      <c r="H2315" s="191">
        <v>850</v>
      </c>
      <c r="I2315" s="191">
        <v>720</v>
      </c>
      <c r="J2315" s="188" t="s">
        <v>624</v>
      </c>
      <c r="K2315" s="188" t="s">
        <v>427</v>
      </c>
      <c r="L2315" s="188" t="s">
        <v>625</v>
      </c>
      <c r="M2315" s="192">
        <f t="shared" si="108"/>
        <v>25</v>
      </c>
      <c r="N2315" s="193">
        <f t="shared" si="109"/>
        <v>0.53125</v>
      </c>
      <c r="O2315" s="194">
        <f t="shared" si="110"/>
        <v>2.1250000000000002E-2</v>
      </c>
    </row>
    <row r="2316" spans="1:15" ht="12.75" customHeight="1">
      <c r="A2316" s="188" t="s">
        <v>620</v>
      </c>
      <c r="B2316" s="188" t="s">
        <v>3787</v>
      </c>
      <c r="C2316" s="188" t="s">
        <v>659</v>
      </c>
      <c r="D2316" s="188" t="s">
        <v>3806</v>
      </c>
      <c r="E2316" s="189">
        <v>39555</v>
      </c>
      <c r="F2316" s="190">
        <v>0</v>
      </c>
      <c r="G2316" s="190">
        <v>6.14</v>
      </c>
      <c r="H2316" s="191">
        <v>43.4</v>
      </c>
      <c r="I2316" s="191">
        <v>43.2</v>
      </c>
      <c r="J2316" s="188" t="s">
        <v>624</v>
      </c>
      <c r="K2316" s="188" t="s">
        <v>1344</v>
      </c>
      <c r="L2316" s="188" t="s">
        <v>3807</v>
      </c>
      <c r="M2316" s="192">
        <f t="shared" si="108"/>
        <v>21</v>
      </c>
      <c r="N2316" s="193">
        <f t="shared" si="109"/>
        <v>0.45208333333333334</v>
      </c>
      <c r="O2316" s="194">
        <f t="shared" si="110"/>
        <v>2.1527777777777778E-2</v>
      </c>
    </row>
    <row r="2317" spans="1:15" ht="12.75" customHeight="1">
      <c r="A2317" s="188" t="s">
        <v>620</v>
      </c>
      <c r="B2317" s="188" t="s">
        <v>3787</v>
      </c>
      <c r="C2317" s="188" t="s">
        <v>659</v>
      </c>
      <c r="D2317" s="188" t="s">
        <v>3808</v>
      </c>
      <c r="E2317" s="189">
        <v>39583</v>
      </c>
      <c r="F2317" s="190">
        <v>0</v>
      </c>
      <c r="G2317" s="190">
        <v>62.72</v>
      </c>
      <c r="H2317" s="191">
        <v>638.44000000000005</v>
      </c>
      <c r="I2317" s="191">
        <v>441</v>
      </c>
      <c r="J2317" s="188" t="s">
        <v>624</v>
      </c>
      <c r="K2317" s="188" t="s">
        <v>257</v>
      </c>
      <c r="L2317" s="188" t="s">
        <v>1487</v>
      </c>
      <c r="M2317" s="192">
        <f t="shared" si="108"/>
        <v>30</v>
      </c>
      <c r="N2317" s="193">
        <f t="shared" si="109"/>
        <v>0.6514693877551021</v>
      </c>
      <c r="O2317" s="194">
        <f t="shared" si="110"/>
        <v>2.1715646258503404E-2</v>
      </c>
    </row>
    <row r="2318" spans="1:15" ht="12.75" customHeight="1">
      <c r="A2318" s="188" t="s">
        <v>620</v>
      </c>
      <c r="B2318" s="188" t="s">
        <v>3787</v>
      </c>
      <c r="C2318" s="188" t="s">
        <v>659</v>
      </c>
      <c r="D2318" s="188" t="s">
        <v>3809</v>
      </c>
      <c r="E2318" s="189">
        <v>39436</v>
      </c>
      <c r="F2318" s="190">
        <v>0</v>
      </c>
      <c r="G2318" s="190">
        <v>43.01</v>
      </c>
      <c r="H2318" s="191">
        <v>308.10000000000002</v>
      </c>
      <c r="I2318" s="191">
        <v>302.39999999999998</v>
      </c>
      <c r="J2318" s="188" t="s">
        <v>624</v>
      </c>
      <c r="K2318" s="188" t="s">
        <v>1344</v>
      </c>
      <c r="L2318" s="188" t="s">
        <v>2957</v>
      </c>
      <c r="M2318" s="192">
        <f t="shared" si="108"/>
        <v>21</v>
      </c>
      <c r="N2318" s="193">
        <f t="shared" si="109"/>
        <v>0.45848214285714289</v>
      </c>
      <c r="O2318" s="194">
        <f t="shared" si="110"/>
        <v>2.1832482993197282E-2</v>
      </c>
    </row>
    <row r="2319" spans="1:15" ht="12.75" customHeight="1">
      <c r="A2319" s="188" t="s">
        <v>620</v>
      </c>
      <c r="B2319" s="188" t="s">
        <v>3787</v>
      </c>
      <c r="C2319" s="188" t="s">
        <v>659</v>
      </c>
      <c r="D2319" s="188" t="s">
        <v>3810</v>
      </c>
      <c r="E2319" s="189">
        <v>39289</v>
      </c>
      <c r="F2319" s="190">
        <v>0</v>
      </c>
      <c r="G2319" s="190">
        <v>52.16</v>
      </c>
      <c r="H2319" s="191">
        <v>462.51</v>
      </c>
      <c r="I2319" s="191">
        <v>366.75</v>
      </c>
      <c r="J2319" s="188" t="s">
        <v>624</v>
      </c>
      <c r="K2319" s="188" t="s">
        <v>427</v>
      </c>
      <c r="L2319" s="188" t="s">
        <v>3041</v>
      </c>
      <c r="M2319" s="192">
        <f t="shared" si="108"/>
        <v>25</v>
      </c>
      <c r="N2319" s="193">
        <f t="shared" si="109"/>
        <v>0.56749693251533739</v>
      </c>
      <c r="O2319" s="194">
        <f t="shared" si="110"/>
        <v>2.2699877300613496E-2</v>
      </c>
    </row>
    <row r="2320" spans="1:15" ht="12.75" customHeight="1">
      <c r="A2320" s="188" t="s">
        <v>620</v>
      </c>
      <c r="B2320" s="188" t="s">
        <v>3787</v>
      </c>
      <c r="C2320" s="188" t="s">
        <v>659</v>
      </c>
      <c r="D2320" s="188" t="s">
        <v>3811</v>
      </c>
      <c r="E2320" s="189">
        <v>39598</v>
      </c>
      <c r="F2320" s="190">
        <v>0</v>
      </c>
      <c r="G2320" s="190">
        <v>4.3499999999999996</v>
      </c>
      <c r="H2320" s="191">
        <v>46.86</v>
      </c>
      <c r="I2320" s="191">
        <v>30.6</v>
      </c>
      <c r="J2320" s="188" t="s">
        <v>624</v>
      </c>
      <c r="K2320" s="188" t="s">
        <v>257</v>
      </c>
      <c r="L2320" s="188" t="s">
        <v>418</v>
      </c>
      <c r="M2320" s="192">
        <f t="shared" si="108"/>
        <v>30</v>
      </c>
      <c r="N2320" s="193">
        <f t="shared" si="109"/>
        <v>0.6891176470588235</v>
      </c>
      <c r="O2320" s="194">
        <f t="shared" si="110"/>
        <v>2.2970588235294118E-2</v>
      </c>
    </row>
    <row r="2321" spans="1:15" ht="12.75" customHeight="1">
      <c r="A2321" s="188" t="s">
        <v>620</v>
      </c>
      <c r="B2321" s="188" t="s">
        <v>3787</v>
      </c>
      <c r="C2321" s="188" t="s">
        <v>659</v>
      </c>
      <c r="D2321" s="188" t="s">
        <v>3812</v>
      </c>
      <c r="E2321" s="189">
        <v>39447</v>
      </c>
      <c r="F2321" s="190">
        <v>0</v>
      </c>
      <c r="G2321" s="190">
        <v>70.400000000000006</v>
      </c>
      <c r="H2321" s="191">
        <v>637</v>
      </c>
      <c r="I2321" s="191">
        <v>495</v>
      </c>
      <c r="J2321" s="188" t="s">
        <v>624</v>
      </c>
      <c r="K2321" s="188" t="s">
        <v>427</v>
      </c>
      <c r="L2321" s="188" t="s">
        <v>557</v>
      </c>
      <c r="M2321" s="192">
        <f t="shared" si="108"/>
        <v>25</v>
      </c>
      <c r="N2321" s="193">
        <f t="shared" si="109"/>
        <v>0.5790909090909091</v>
      </c>
      <c r="O2321" s="194">
        <f t="shared" si="110"/>
        <v>2.3163636363636365E-2</v>
      </c>
    </row>
    <row r="2322" spans="1:15" ht="12.75" customHeight="1">
      <c r="A2322" s="188" t="s">
        <v>620</v>
      </c>
      <c r="B2322" s="188" t="s">
        <v>3787</v>
      </c>
      <c r="C2322" s="188" t="s">
        <v>659</v>
      </c>
      <c r="D2322" s="188" t="s">
        <v>3813</v>
      </c>
      <c r="E2322" s="189">
        <v>39275</v>
      </c>
      <c r="F2322" s="190">
        <v>0</v>
      </c>
      <c r="G2322" s="190">
        <v>96</v>
      </c>
      <c r="H2322" s="191">
        <v>868.95</v>
      </c>
      <c r="I2322" s="191">
        <v>675</v>
      </c>
      <c r="J2322" s="188" t="s">
        <v>624</v>
      </c>
      <c r="K2322" s="188" t="s">
        <v>427</v>
      </c>
      <c r="L2322" s="188" t="s">
        <v>746</v>
      </c>
      <c r="M2322" s="192">
        <f t="shared" si="108"/>
        <v>25</v>
      </c>
      <c r="N2322" s="193">
        <f t="shared" si="109"/>
        <v>0.57930000000000004</v>
      </c>
      <c r="O2322" s="194">
        <f t="shared" si="110"/>
        <v>2.3172000000000002E-2</v>
      </c>
    </row>
    <row r="2323" spans="1:15" ht="12.75" customHeight="1">
      <c r="A2323" s="188" t="s">
        <v>620</v>
      </c>
      <c r="B2323" s="188" t="s">
        <v>3787</v>
      </c>
      <c r="C2323" s="188" t="s">
        <v>659</v>
      </c>
      <c r="D2323" s="188" t="s">
        <v>3814</v>
      </c>
      <c r="E2323" s="189">
        <v>39583</v>
      </c>
      <c r="F2323" s="190">
        <v>0</v>
      </c>
      <c r="G2323" s="190">
        <v>39.36</v>
      </c>
      <c r="H2323" s="191">
        <v>357.31</v>
      </c>
      <c r="I2323" s="191">
        <v>276.75</v>
      </c>
      <c r="J2323" s="188" t="s">
        <v>624</v>
      </c>
      <c r="K2323" s="188" t="s">
        <v>427</v>
      </c>
      <c r="L2323" s="188" t="s">
        <v>2165</v>
      </c>
      <c r="M2323" s="192">
        <f t="shared" si="108"/>
        <v>25</v>
      </c>
      <c r="N2323" s="193">
        <f t="shared" si="109"/>
        <v>0.58099186991869922</v>
      </c>
      <c r="O2323" s="194">
        <f t="shared" si="110"/>
        <v>2.3239674796747968E-2</v>
      </c>
    </row>
    <row r="2324" spans="1:15" ht="12.75" customHeight="1">
      <c r="A2324" s="188" t="s">
        <v>620</v>
      </c>
      <c r="B2324" s="188" t="s">
        <v>3787</v>
      </c>
      <c r="C2324" s="188" t="s">
        <v>659</v>
      </c>
      <c r="D2324" s="188" t="s">
        <v>3815</v>
      </c>
      <c r="E2324" s="189">
        <v>39464</v>
      </c>
      <c r="F2324" s="190">
        <v>0</v>
      </c>
      <c r="G2324" s="190">
        <v>60.48</v>
      </c>
      <c r="H2324" s="191">
        <v>660</v>
      </c>
      <c r="I2324" s="191">
        <v>425.25</v>
      </c>
      <c r="J2324" s="188" t="s">
        <v>624</v>
      </c>
      <c r="K2324" s="188" t="s">
        <v>257</v>
      </c>
      <c r="L2324" s="188" t="s">
        <v>1483</v>
      </c>
      <c r="M2324" s="192">
        <f t="shared" si="108"/>
        <v>30</v>
      </c>
      <c r="N2324" s="193">
        <f t="shared" si="109"/>
        <v>0.69841269841269837</v>
      </c>
      <c r="O2324" s="194">
        <f t="shared" si="110"/>
        <v>2.328042328042328E-2</v>
      </c>
    </row>
    <row r="2325" spans="1:15" ht="12.75" customHeight="1">
      <c r="A2325" s="188" t="s">
        <v>620</v>
      </c>
      <c r="B2325" s="188" t="s">
        <v>3787</v>
      </c>
      <c r="C2325" s="188" t="s">
        <v>659</v>
      </c>
      <c r="D2325" s="188" t="s">
        <v>3816</v>
      </c>
      <c r="E2325" s="189">
        <v>39555</v>
      </c>
      <c r="F2325" s="190">
        <v>0</v>
      </c>
      <c r="G2325" s="190">
        <v>111.68</v>
      </c>
      <c r="H2325" s="191">
        <v>1020</v>
      </c>
      <c r="I2325" s="191">
        <v>785.25</v>
      </c>
      <c r="J2325" s="188" t="s">
        <v>624</v>
      </c>
      <c r="K2325" s="188" t="s">
        <v>427</v>
      </c>
      <c r="L2325" s="188" t="s">
        <v>1443</v>
      </c>
      <c r="M2325" s="192">
        <f t="shared" si="108"/>
        <v>25</v>
      </c>
      <c r="N2325" s="193">
        <f t="shared" si="109"/>
        <v>0.58452722063037255</v>
      </c>
      <c r="O2325" s="194">
        <f t="shared" si="110"/>
        <v>2.3381088825214901E-2</v>
      </c>
    </row>
    <row r="2326" spans="1:15" ht="12.75" customHeight="1">
      <c r="A2326" s="188" t="s">
        <v>620</v>
      </c>
      <c r="B2326" s="188" t="s">
        <v>3787</v>
      </c>
      <c r="C2326" s="188" t="s">
        <v>659</v>
      </c>
      <c r="D2326" s="188" t="s">
        <v>3817</v>
      </c>
      <c r="E2326" s="189">
        <v>39429</v>
      </c>
      <c r="F2326" s="190">
        <v>0</v>
      </c>
      <c r="G2326" s="190">
        <v>4.8</v>
      </c>
      <c r="H2326" s="191">
        <v>44</v>
      </c>
      <c r="I2326" s="191">
        <v>33.75</v>
      </c>
      <c r="J2326" s="188" t="s">
        <v>624</v>
      </c>
      <c r="K2326" s="188" t="s">
        <v>427</v>
      </c>
      <c r="L2326" s="188" t="s">
        <v>311</v>
      </c>
      <c r="M2326" s="192">
        <f t="shared" si="108"/>
        <v>25</v>
      </c>
      <c r="N2326" s="193">
        <f t="shared" si="109"/>
        <v>0.58666666666666667</v>
      </c>
      <c r="O2326" s="194">
        <f t="shared" si="110"/>
        <v>2.3466666666666667E-2</v>
      </c>
    </row>
    <row r="2327" spans="1:15" ht="12.75" customHeight="1">
      <c r="A2327" s="188" t="s">
        <v>620</v>
      </c>
      <c r="B2327" s="188" t="s">
        <v>3787</v>
      </c>
      <c r="C2327" s="188" t="s">
        <v>659</v>
      </c>
      <c r="D2327" s="188" t="s">
        <v>3818</v>
      </c>
      <c r="E2327" s="189">
        <v>39534</v>
      </c>
      <c r="F2327" s="190">
        <v>0</v>
      </c>
      <c r="G2327" s="190">
        <v>96.96</v>
      </c>
      <c r="H2327" s="191">
        <v>890</v>
      </c>
      <c r="I2327" s="191">
        <v>681.75</v>
      </c>
      <c r="J2327" s="188" t="s">
        <v>624</v>
      </c>
      <c r="K2327" s="188" t="s">
        <v>427</v>
      </c>
      <c r="L2327" s="188" t="s">
        <v>1422</v>
      </c>
      <c r="M2327" s="192">
        <f t="shared" si="108"/>
        <v>25</v>
      </c>
      <c r="N2327" s="193">
        <f t="shared" si="109"/>
        <v>0.58745874587458746</v>
      </c>
      <c r="O2327" s="194">
        <f t="shared" si="110"/>
        <v>2.3498349834983497E-2</v>
      </c>
    </row>
    <row r="2328" spans="1:15" ht="12.75" customHeight="1">
      <c r="A2328" s="188" t="s">
        <v>620</v>
      </c>
      <c r="B2328" s="188" t="s">
        <v>3787</v>
      </c>
      <c r="C2328" s="188" t="s">
        <v>659</v>
      </c>
      <c r="D2328" s="188" t="s">
        <v>3819</v>
      </c>
      <c r="E2328" s="189">
        <v>39555</v>
      </c>
      <c r="F2328" s="190">
        <v>0</v>
      </c>
      <c r="G2328" s="190">
        <v>128.96</v>
      </c>
      <c r="H2328" s="191">
        <v>1425</v>
      </c>
      <c r="I2328" s="191">
        <v>906.75</v>
      </c>
      <c r="J2328" s="188" t="s">
        <v>624</v>
      </c>
      <c r="K2328" s="188" t="s">
        <v>257</v>
      </c>
      <c r="L2328" s="188" t="s">
        <v>2532</v>
      </c>
      <c r="M2328" s="192">
        <f t="shared" si="108"/>
        <v>30</v>
      </c>
      <c r="N2328" s="193">
        <f t="shared" si="109"/>
        <v>0.70719602977667495</v>
      </c>
      <c r="O2328" s="194">
        <f t="shared" si="110"/>
        <v>2.3573200992555832E-2</v>
      </c>
    </row>
    <row r="2329" spans="1:15" ht="12.75" customHeight="1">
      <c r="A2329" s="188" t="s">
        <v>620</v>
      </c>
      <c r="B2329" s="188" t="s">
        <v>3787</v>
      </c>
      <c r="C2329" s="188" t="s">
        <v>659</v>
      </c>
      <c r="D2329" s="188" t="s">
        <v>3820</v>
      </c>
      <c r="E2329" s="189">
        <v>39527</v>
      </c>
      <c r="F2329" s="190">
        <v>0</v>
      </c>
      <c r="G2329" s="190">
        <v>57.6</v>
      </c>
      <c r="H2329" s="191">
        <v>532.1</v>
      </c>
      <c r="I2329" s="191">
        <v>405</v>
      </c>
      <c r="J2329" s="188" t="s">
        <v>624</v>
      </c>
      <c r="K2329" s="188" t="s">
        <v>427</v>
      </c>
      <c r="L2329" s="188" t="s">
        <v>740</v>
      </c>
      <c r="M2329" s="192">
        <f t="shared" si="108"/>
        <v>25</v>
      </c>
      <c r="N2329" s="193">
        <f t="shared" si="109"/>
        <v>0.5912222222222222</v>
      </c>
      <c r="O2329" s="194">
        <f t="shared" si="110"/>
        <v>2.3648888888888889E-2</v>
      </c>
    </row>
    <row r="2330" spans="1:15" ht="12.75" customHeight="1">
      <c r="A2330" s="188" t="s">
        <v>620</v>
      </c>
      <c r="B2330" s="188" t="s">
        <v>3787</v>
      </c>
      <c r="C2330" s="188" t="s">
        <v>659</v>
      </c>
      <c r="D2330" s="188" t="s">
        <v>3821</v>
      </c>
      <c r="E2330" s="189">
        <v>39507</v>
      </c>
      <c r="F2330" s="190">
        <v>0</v>
      </c>
      <c r="G2330" s="190">
        <v>102.14</v>
      </c>
      <c r="H2330" s="191">
        <v>945</v>
      </c>
      <c r="I2330" s="191">
        <v>718.2</v>
      </c>
      <c r="J2330" s="188" t="s">
        <v>624</v>
      </c>
      <c r="K2330" s="188" t="s">
        <v>427</v>
      </c>
      <c r="L2330" s="188" t="s">
        <v>1516</v>
      </c>
      <c r="M2330" s="192">
        <f t="shared" si="108"/>
        <v>25</v>
      </c>
      <c r="N2330" s="193">
        <f t="shared" si="109"/>
        <v>0.59210526315789469</v>
      </c>
      <c r="O2330" s="194">
        <f t="shared" si="110"/>
        <v>2.3684210526315787E-2</v>
      </c>
    </row>
    <row r="2331" spans="1:15" ht="12.75" customHeight="1">
      <c r="A2331" s="188" t="s">
        <v>620</v>
      </c>
      <c r="B2331" s="188" t="s">
        <v>3787</v>
      </c>
      <c r="C2331" s="188" t="s">
        <v>659</v>
      </c>
      <c r="D2331" s="188" t="s">
        <v>3822</v>
      </c>
      <c r="E2331" s="189">
        <v>39478</v>
      </c>
      <c r="F2331" s="190">
        <v>0</v>
      </c>
      <c r="G2331" s="190">
        <v>125.82</v>
      </c>
      <c r="H2331" s="191">
        <v>1180</v>
      </c>
      <c r="I2331" s="191">
        <v>884.7</v>
      </c>
      <c r="J2331" s="188" t="s">
        <v>624</v>
      </c>
      <c r="K2331" s="188" t="s">
        <v>427</v>
      </c>
      <c r="L2331" s="188" t="s">
        <v>1011</v>
      </c>
      <c r="M2331" s="192">
        <f t="shared" si="108"/>
        <v>25</v>
      </c>
      <c r="N2331" s="193">
        <f t="shared" si="109"/>
        <v>0.60020345879959314</v>
      </c>
      <c r="O2331" s="194">
        <f t="shared" si="110"/>
        <v>2.4008138351983725E-2</v>
      </c>
    </row>
    <row r="2332" spans="1:15" ht="12.75" customHeight="1">
      <c r="A2332" s="188" t="s">
        <v>620</v>
      </c>
      <c r="B2332" s="188" t="s">
        <v>3787</v>
      </c>
      <c r="C2332" s="188" t="s">
        <v>659</v>
      </c>
      <c r="D2332" s="188" t="s">
        <v>3823</v>
      </c>
      <c r="E2332" s="189">
        <v>39447</v>
      </c>
      <c r="F2332" s="190">
        <v>0</v>
      </c>
      <c r="G2332" s="190">
        <v>45.06</v>
      </c>
      <c r="H2332" s="191">
        <v>513.6</v>
      </c>
      <c r="I2332" s="191">
        <v>316.8</v>
      </c>
      <c r="J2332" s="188" t="s">
        <v>624</v>
      </c>
      <c r="K2332" s="188" t="s">
        <v>257</v>
      </c>
      <c r="L2332" s="188" t="s">
        <v>3244</v>
      </c>
      <c r="M2332" s="192">
        <f t="shared" si="108"/>
        <v>30</v>
      </c>
      <c r="N2332" s="193">
        <f t="shared" si="109"/>
        <v>0.72954545454545461</v>
      </c>
      <c r="O2332" s="194">
        <f t="shared" si="110"/>
        <v>2.4318181818181819E-2</v>
      </c>
    </row>
    <row r="2333" spans="1:15" ht="12.75" customHeight="1">
      <c r="A2333" s="188" t="s">
        <v>620</v>
      </c>
      <c r="B2333" s="188" t="s">
        <v>3787</v>
      </c>
      <c r="C2333" s="188" t="s">
        <v>659</v>
      </c>
      <c r="D2333" s="188" t="s">
        <v>3824</v>
      </c>
      <c r="E2333" s="189">
        <v>39303</v>
      </c>
      <c r="F2333" s="190">
        <v>0</v>
      </c>
      <c r="G2333" s="190">
        <v>76.03</v>
      </c>
      <c r="H2333" s="191">
        <v>548.97</v>
      </c>
      <c r="I2333" s="191">
        <v>534.6</v>
      </c>
      <c r="J2333" s="188" t="s">
        <v>624</v>
      </c>
      <c r="K2333" s="188" t="s">
        <v>667</v>
      </c>
      <c r="L2333" s="188" t="s">
        <v>790</v>
      </c>
      <c r="M2333" s="192">
        <f t="shared" si="108"/>
        <v>19</v>
      </c>
      <c r="N2333" s="193">
        <f t="shared" si="109"/>
        <v>0.46209595959595962</v>
      </c>
      <c r="O2333" s="194">
        <f t="shared" si="110"/>
        <v>2.4320839978734715E-2</v>
      </c>
    </row>
    <row r="2334" spans="1:15" ht="12.75" customHeight="1">
      <c r="A2334" s="188" t="s">
        <v>620</v>
      </c>
      <c r="B2334" s="188" t="s">
        <v>3787</v>
      </c>
      <c r="C2334" s="188" t="s">
        <v>659</v>
      </c>
      <c r="D2334" s="188" t="s">
        <v>3825</v>
      </c>
      <c r="E2334" s="189">
        <v>39562</v>
      </c>
      <c r="F2334" s="190">
        <v>0</v>
      </c>
      <c r="G2334" s="190">
        <v>115.2</v>
      </c>
      <c r="H2334" s="191">
        <v>1100</v>
      </c>
      <c r="I2334" s="191">
        <v>810</v>
      </c>
      <c r="J2334" s="188" t="s">
        <v>624</v>
      </c>
      <c r="K2334" s="188" t="s">
        <v>427</v>
      </c>
      <c r="L2334" s="188" t="s">
        <v>718</v>
      </c>
      <c r="M2334" s="192">
        <f t="shared" si="108"/>
        <v>25</v>
      </c>
      <c r="N2334" s="193">
        <f t="shared" si="109"/>
        <v>0.61111111111111116</v>
      </c>
      <c r="O2334" s="194">
        <f t="shared" si="110"/>
        <v>2.4444444444444446E-2</v>
      </c>
    </row>
    <row r="2335" spans="1:15" ht="12.75" customHeight="1">
      <c r="A2335" s="188" t="s">
        <v>620</v>
      </c>
      <c r="B2335" s="188" t="s">
        <v>3787</v>
      </c>
      <c r="C2335" s="188" t="s">
        <v>659</v>
      </c>
      <c r="D2335" s="188" t="s">
        <v>3826</v>
      </c>
      <c r="E2335" s="189">
        <v>39436</v>
      </c>
      <c r="F2335" s="190">
        <v>0</v>
      </c>
      <c r="G2335" s="190">
        <v>104.51</v>
      </c>
      <c r="H2335" s="191">
        <v>1000</v>
      </c>
      <c r="I2335" s="191">
        <v>734.85</v>
      </c>
      <c r="J2335" s="188" t="s">
        <v>624</v>
      </c>
      <c r="K2335" s="188" t="s">
        <v>427</v>
      </c>
      <c r="L2335" s="188" t="s">
        <v>3827</v>
      </c>
      <c r="M2335" s="192">
        <f t="shared" si="108"/>
        <v>25</v>
      </c>
      <c r="N2335" s="193">
        <f t="shared" si="109"/>
        <v>0.61236987140232702</v>
      </c>
      <c r="O2335" s="194">
        <f t="shared" si="110"/>
        <v>2.4494794856093082E-2</v>
      </c>
    </row>
    <row r="2336" spans="1:15" ht="12.75" customHeight="1">
      <c r="A2336" s="188" t="s">
        <v>620</v>
      </c>
      <c r="B2336" s="188" t="s">
        <v>3787</v>
      </c>
      <c r="C2336" s="188" t="s">
        <v>659</v>
      </c>
      <c r="D2336" s="188" t="s">
        <v>3828</v>
      </c>
      <c r="E2336" s="189">
        <v>39401</v>
      </c>
      <c r="F2336" s="190">
        <v>0</v>
      </c>
      <c r="G2336" s="190">
        <v>40.96</v>
      </c>
      <c r="H2336" s="191">
        <v>396</v>
      </c>
      <c r="I2336" s="191">
        <v>288</v>
      </c>
      <c r="J2336" s="188" t="s">
        <v>624</v>
      </c>
      <c r="K2336" s="188" t="s">
        <v>427</v>
      </c>
      <c r="L2336" s="188" t="s">
        <v>1849</v>
      </c>
      <c r="M2336" s="192">
        <f t="shared" si="108"/>
        <v>25</v>
      </c>
      <c r="N2336" s="193">
        <f t="shared" si="109"/>
        <v>0.61875000000000002</v>
      </c>
      <c r="O2336" s="194">
        <f t="shared" si="110"/>
        <v>2.4750000000000001E-2</v>
      </c>
    </row>
    <row r="2337" spans="1:15" ht="12.75" customHeight="1">
      <c r="A2337" s="188" t="s">
        <v>620</v>
      </c>
      <c r="B2337" s="188" t="s">
        <v>3787</v>
      </c>
      <c r="C2337" s="188" t="s">
        <v>659</v>
      </c>
      <c r="D2337" s="188" t="s">
        <v>3829</v>
      </c>
      <c r="E2337" s="189">
        <v>39401</v>
      </c>
      <c r="F2337" s="190">
        <v>0</v>
      </c>
      <c r="G2337" s="190">
        <v>60.03</v>
      </c>
      <c r="H2337" s="191">
        <v>703.52</v>
      </c>
      <c r="I2337" s="191">
        <v>422.1</v>
      </c>
      <c r="J2337" s="188" t="s">
        <v>624</v>
      </c>
      <c r="K2337" s="188" t="s">
        <v>257</v>
      </c>
      <c r="L2337" s="188" t="s">
        <v>2290</v>
      </c>
      <c r="M2337" s="192">
        <f t="shared" si="108"/>
        <v>30</v>
      </c>
      <c r="N2337" s="193">
        <f t="shared" si="109"/>
        <v>0.75002132196162041</v>
      </c>
      <c r="O2337" s="194">
        <f t="shared" si="110"/>
        <v>2.5000710732054014E-2</v>
      </c>
    </row>
    <row r="2338" spans="1:15" ht="12.75" customHeight="1">
      <c r="A2338" s="188" t="s">
        <v>620</v>
      </c>
      <c r="B2338" s="188" t="s">
        <v>3787</v>
      </c>
      <c r="C2338" s="188" t="s">
        <v>659</v>
      </c>
      <c r="D2338" s="188" t="s">
        <v>3830</v>
      </c>
      <c r="E2338" s="189">
        <v>39436</v>
      </c>
      <c r="F2338" s="190">
        <v>0</v>
      </c>
      <c r="G2338" s="190">
        <v>65.540000000000006</v>
      </c>
      <c r="H2338" s="191">
        <v>643</v>
      </c>
      <c r="I2338" s="191">
        <v>460.8</v>
      </c>
      <c r="J2338" s="188" t="s">
        <v>624</v>
      </c>
      <c r="K2338" s="188" t="s">
        <v>427</v>
      </c>
      <c r="L2338" s="188" t="s">
        <v>507</v>
      </c>
      <c r="M2338" s="192">
        <f t="shared" si="108"/>
        <v>25</v>
      </c>
      <c r="N2338" s="193">
        <f t="shared" si="109"/>
        <v>0.6279296875</v>
      </c>
      <c r="O2338" s="194">
        <f t="shared" si="110"/>
        <v>2.5117187499999999E-2</v>
      </c>
    </row>
    <row r="2339" spans="1:15" ht="12.75" customHeight="1">
      <c r="A2339" s="188" t="s">
        <v>620</v>
      </c>
      <c r="B2339" s="188" t="s">
        <v>3787</v>
      </c>
      <c r="C2339" s="188" t="s">
        <v>659</v>
      </c>
      <c r="D2339" s="188" t="s">
        <v>3831</v>
      </c>
      <c r="E2339" s="189">
        <v>39395</v>
      </c>
      <c r="F2339" s="190">
        <v>0</v>
      </c>
      <c r="G2339" s="190">
        <v>37.630000000000003</v>
      </c>
      <c r="H2339" s="191">
        <v>281.36</v>
      </c>
      <c r="I2339" s="191">
        <v>264.60000000000002</v>
      </c>
      <c r="J2339" s="188" t="s">
        <v>624</v>
      </c>
      <c r="K2339" s="188" t="s">
        <v>667</v>
      </c>
      <c r="L2339" s="188" t="s">
        <v>3832</v>
      </c>
      <c r="M2339" s="192">
        <f t="shared" si="108"/>
        <v>19</v>
      </c>
      <c r="N2339" s="193">
        <f t="shared" si="109"/>
        <v>0.47850340136054426</v>
      </c>
      <c r="O2339" s="194">
        <f t="shared" si="110"/>
        <v>2.5184389545291803E-2</v>
      </c>
    </row>
    <row r="2340" spans="1:15" ht="12.75" customHeight="1">
      <c r="A2340" s="188" t="s">
        <v>620</v>
      </c>
      <c r="B2340" s="188" t="s">
        <v>3787</v>
      </c>
      <c r="C2340" s="188" t="s">
        <v>659</v>
      </c>
      <c r="D2340" s="188" t="s">
        <v>3833</v>
      </c>
      <c r="E2340" s="189">
        <v>39499</v>
      </c>
      <c r="F2340" s="190">
        <v>0</v>
      </c>
      <c r="G2340" s="190">
        <v>122.11</v>
      </c>
      <c r="H2340" s="191">
        <v>1215</v>
      </c>
      <c r="I2340" s="191">
        <v>858.6</v>
      </c>
      <c r="J2340" s="188" t="s">
        <v>624</v>
      </c>
      <c r="K2340" s="188" t="s">
        <v>427</v>
      </c>
      <c r="L2340" s="188" t="s">
        <v>3834</v>
      </c>
      <c r="M2340" s="192">
        <f t="shared" si="108"/>
        <v>25</v>
      </c>
      <c r="N2340" s="193">
        <f t="shared" si="109"/>
        <v>0.6367924528301887</v>
      </c>
      <c r="O2340" s="194">
        <f t="shared" si="110"/>
        <v>2.5471698113207548E-2</v>
      </c>
    </row>
    <row r="2341" spans="1:15" ht="12.75" customHeight="1">
      <c r="A2341" s="188" t="s">
        <v>620</v>
      </c>
      <c r="B2341" s="188" t="s">
        <v>3787</v>
      </c>
      <c r="C2341" s="188" t="s">
        <v>659</v>
      </c>
      <c r="D2341" s="188" t="s">
        <v>3835</v>
      </c>
      <c r="E2341" s="189">
        <v>39471</v>
      </c>
      <c r="F2341" s="190">
        <v>0</v>
      </c>
      <c r="G2341" s="190">
        <v>66.56</v>
      </c>
      <c r="H2341" s="191">
        <v>671.28</v>
      </c>
      <c r="I2341" s="191">
        <v>468</v>
      </c>
      <c r="J2341" s="188" t="s">
        <v>624</v>
      </c>
      <c r="K2341" s="188" t="s">
        <v>427</v>
      </c>
      <c r="L2341" s="188" t="s">
        <v>808</v>
      </c>
      <c r="M2341" s="192">
        <f t="shared" si="108"/>
        <v>25</v>
      </c>
      <c r="N2341" s="193">
        <f t="shared" si="109"/>
        <v>0.64546153846153842</v>
      </c>
      <c r="O2341" s="194">
        <f t="shared" si="110"/>
        <v>2.5818461538461537E-2</v>
      </c>
    </row>
    <row r="2342" spans="1:15" ht="12.75" customHeight="1">
      <c r="A2342" s="188" t="s">
        <v>620</v>
      </c>
      <c r="B2342" s="188" t="s">
        <v>3787</v>
      </c>
      <c r="C2342" s="188" t="s">
        <v>659</v>
      </c>
      <c r="D2342" s="188" t="s">
        <v>3836</v>
      </c>
      <c r="E2342" s="189">
        <v>39254</v>
      </c>
      <c r="F2342" s="190">
        <v>0</v>
      </c>
      <c r="G2342" s="190">
        <v>86.34</v>
      </c>
      <c r="H2342" s="191">
        <v>879.95</v>
      </c>
      <c r="I2342" s="191">
        <v>607.04999999999995</v>
      </c>
      <c r="J2342" s="188" t="s">
        <v>624</v>
      </c>
      <c r="K2342" s="188" t="s">
        <v>427</v>
      </c>
      <c r="L2342" s="188" t="s">
        <v>3837</v>
      </c>
      <c r="M2342" s="192">
        <f t="shared" si="108"/>
        <v>25</v>
      </c>
      <c r="N2342" s="193">
        <f t="shared" si="109"/>
        <v>0.65229799851742032</v>
      </c>
      <c r="O2342" s="194">
        <f t="shared" si="110"/>
        <v>2.6091919940696814E-2</v>
      </c>
    </row>
    <row r="2343" spans="1:15" ht="12.75" customHeight="1">
      <c r="A2343" s="188" t="s">
        <v>620</v>
      </c>
      <c r="B2343" s="188" t="s">
        <v>3787</v>
      </c>
      <c r="C2343" s="188" t="s">
        <v>659</v>
      </c>
      <c r="D2343" s="188" t="s">
        <v>3838</v>
      </c>
      <c r="E2343" s="189">
        <v>39520</v>
      </c>
      <c r="F2343" s="190">
        <v>0</v>
      </c>
      <c r="G2343" s="190">
        <v>48</v>
      </c>
      <c r="H2343" s="191">
        <v>495.75</v>
      </c>
      <c r="I2343" s="191">
        <v>337.5</v>
      </c>
      <c r="J2343" s="188" t="s">
        <v>624</v>
      </c>
      <c r="K2343" s="188" t="s">
        <v>427</v>
      </c>
      <c r="L2343" s="188" t="s">
        <v>1058</v>
      </c>
      <c r="M2343" s="192">
        <f t="shared" si="108"/>
        <v>25</v>
      </c>
      <c r="N2343" s="193">
        <f t="shared" si="109"/>
        <v>0.66100000000000003</v>
      </c>
      <c r="O2343" s="194">
        <f t="shared" si="110"/>
        <v>2.6440000000000002E-2</v>
      </c>
    </row>
    <row r="2344" spans="1:15" ht="12.75" customHeight="1">
      <c r="A2344" s="188" t="s">
        <v>620</v>
      </c>
      <c r="B2344" s="188" t="s">
        <v>3787</v>
      </c>
      <c r="C2344" s="188" t="s">
        <v>659</v>
      </c>
      <c r="D2344" s="188" t="s">
        <v>3839</v>
      </c>
      <c r="E2344" s="189">
        <v>39548</v>
      </c>
      <c r="F2344" s="190">
        <v>0</v>
      </c>
      <c r="G2344" s="190">
        <v>45.76</v>
      </c>
      <c r="H2344" s="191">
        <v>475</v>
      </c>
      <c r="I2344" s="191">
        <v>321.75</v>
      </c>
      <c r="J2344" s="188" t="s">
        <v>624</v>
      </c>
      <c r="K2344" s="188" t="s">
        <v>427</v>
      </c>
      <c r="L2344" s="188" t="s">
        <v>3840</v>
      </c>
      <c r="M2344" s="192">
        <f t="shared" si="108"/>
        <v>25</v>
      </c>
      <c r="N2344" s="193">
        <f t="shared" si="109"/>
        <v>0.66433566433566438</v>
      </c>
      <c r="O2344" s="194">
        <f t="shared" si="110"/>
        <v>2.6573426573426574E-2</v>
      </c>
    </row>
    <row r="2345" spans="1:15" ht="12.75" customHeight="1">
      <c r="A2345" s="188" t="s">
        <v>620</v>
      </c>
      <c r="B2345" s="188" t="s">
        <v>3787</v>
      </c>
      <c r="C2345" s="188" t="s">
        <v>659</v>
      </c>
      <c r="D2345" s="188" t="s">
        <v>3841</v>
      </c>
      <c r="E2345" s="189">
        <v>39436</v>
      </c>
      <c r="F2345" s="190">
        <v>0</v>
      </c>
      <c r="G2345" s="190">
        <v>85.76</v>
      </c>
      <c r="H2345" s="191">
        <v>1074.6500000000001</v>
      </c>
      <c r="I2345" s="191">
        <v>603</v>
      </c>
      <c r="J2345" s="188" t="s">
        <v>624</v>
      </c>
      <c r="K2345" s="188" t="s">
        <v>257</v>
      </c>
      <c r="L2345" s="188" t="s">
        <v>815</v>
      </c>
      <c r="M2345" s="192">
        <f t="shared" si="108"/>
        <v>30</v>
      </c>
      <c r="N2345" s="193">
        <f t="shared" si="109"/>
        <v>0.8019776119402986</v>
      </c>
      <c r="O2345" s="194">
        <f t="shared" si="110"/>
        <v>2.673258706467662E-2</v>
      </c>
    </row>
    <row r="2346" spans="1:15" ht="12.75" customHeight="1">
      <c r="A2346" s="188" t="s">
        <v>620</v>
      </c>
      <c r="B2346" s="188" t="s">
        <v>3787</v>
      </c>
      <c r="C2346" s="188" t="s">
        <v>659</v>
      </c>
      <c r="D2346" s="188" t="s">
        <v>3842</v>
      </c>
      <c r="E2346" s="189">
        <v>39289</v>
      </c>
      <c r="F2346" s="190">
        <v>0</v>
      </c>
      <c r="G2346" s="190">
        <v>113.66</v>
      </c>
      <c r="H2346" s="191">
        <v>1193.47</v>
      </c>
      <c r="I2346" s="191">
        <v>799.2</v>
      </c>
      <c r="J2346" s="188" t="s">
        <v>624</v>
      </c>
      <c r="K2346" s="188" t="s">
        <v>427</v>
      </c>
      <c r="L2346" s="188" t="s">
        <v>1042</v>
      </c>
      <c r="M2346" s="192">
        <f t="shared" si="108"/>
        <v>25</v>
      </c>
      <c r="N2346" s="193">
        <f t="shared" si="109"/>
        <v>0.67199887387387391</v>
      </c>
      <c r="O2346" s="194">
        <f t="shared" si="110"/>
        <v>2.6879954954954956E-2</v>
      </c>
    </row>
    <row r="2347" spans="1:15" ht="12.75" customHeight="1">
      <c r="A2347" s="188" t="s">
        <v>620</v>
      </c>
      <c r="B2347" s="188" t="s">
        <v>3787</v>
      </c>
      <c r="C2347" s="188" t="s">
        <v>659</v>
      </c>
      <c r="D2347" s="188" t="s">
        <v>3843</v>
      </c>
      <c r="E2347" s="189">
        <v>39597</v>
      </c>
      <c r="F2347" s="190">
        <v>0</v>
      </c>
      <c r="G2347" s="190">
        <v>134.4</v>
      </c>
      <c r="H2347" s="191">
        <v>1695</v>
      </c>
      <c r="I2347" s="191">
        <v>945</v>
      </c>
      <c r="J2347" s="188" t="s">
        <v>624</v>
      </c>
      <c r="K2347" s="188" t="s">
        <v>257</v>
      </c>
      <c r="L2347" s="188" t="s">
        <v>701</v>
      </c>
      <c r="M2347" s="192">
        <f t="shared" si="108"/>
        <v>30</v>
      </c>
      <c r="N2347" s="193">
        <f t="shared" si="109"/>
        <v>0.80714285714285716</v>
      </c>
      <c r="O2347" s="194">
        <f t="shared" si="110"/>
        <v>2.6904761904761907E-2</v>
      </c>
    </row>
    <row r="2348" spans="1:15" ht="12.75" customHeight="1">
      <c r="A2348" s="188" t="s">
        <v>620</v>
      </c>
      <c r="B2348" s="188" t="s">
        <v>3787</v>
      </c>
      <c r="C2348" s="188" t="s">
        <v>659</v>
      </c>
      <c r="D2348" s="188" t="s">
        <v>3844</v>
      </c>
      <c r="E2348" s="189">
        <v>39485</v>
      </c>
      <c r="F2348" s="190">
        <v>0</v>
      </c>
      <c r="G2348" s="190">
        <v>140.80000000000001</v>
      </c>
      <c r="H2348" s="191">
        <v>1500</v>
      </c>
      <c r="I2348" s="191">
        <v>990</v>
      </c>
      <c r="J2348" s="188" t="s">
        <v>624</v>
      </c>
      <c r="K2348" s="188" t="s">
        <v>427</v>
      </c>
      <c r="L2348" s="188" t="s">
        <v>938</v>
      </c>
      <c r="M2348" s="192">
        <f t="shared" si="108"/>
        <v>25</v>
      </c>
      <c r="N2348" s="193">
        <f t="shared" si="109"/>
        <v>0.68181818181818177</v>
      </c>
      <c r="O2348" s="194">
        <f t="shared" si="110"/>
        <v>2.7272727272727271E-2</v>
      </c>
    </row>
    <row r="2349" spans="1:15" ht="12.75" customHeight="1">
      <c r="A2349" s="188" t="s">
        <v>620</v>
      </c>
      <c r="B2349" s="188" t="s">
        <v>3787</v>
      </c>
      <c r="C2349" s="188" t="s">
        <v>659</v>
      </c>
      <c r="D2349" s="188" t="s">
        <v>3845</v>
      </c>
      <c r="E2349" s="189">
        <v>39576</v>
      </c>
      <c r="F2349" s="190">
        <v>0</v>
      </c>
      <c r="G2349" s="190">
        <v>153.02000000000001</v>
      </c>
      <c r="H2349" s="191">
        <v>1985</v>
      </c>
      <c r="I2349" s="191">
        <v>1075.95</v>
      </c>
      <c r="J2349" s="188" t="s">
        <v>624</v>
      </c>
      <c r="K2349" s="188" t="s">
        <v>257</v>
      </c>
      <c r="L2349" s="188" t="s">
        <v>3846</v>
      </c>
      <c r="M2349" s="192">
        <f t="shared" si="108"/>
        <v>30</v>
      </c>
      <c r="N2349" s="193">
        <f t="shared" si="109"/>
        <v>0.83019657047260564</v>
      </c>
      <c r="O2349" s="194">
        <f t="shared" si="110"/>
        <v>2.7673219015753522E-2</v>
      </c>
    </row>
    <row r="2350" spans="1:15" ht="12.75" customHeight="1">
      <c r="A2350" s="188" t="s">
        <v>620</v>
      </c>
      <c r="B2350" s="188" t="s">
        <v>3787</v>
      </c>
      <c r="C2350" s="188" t="s">
        <v>659</v>
      </c>
      <c r="D2350" s="188" t="s">
        <v>3847</v>
      </c>
      <c r="E2350" s="189">
        <v>39541</v>
      </c>
      <c r="F2350" s="190">
        <v>0</v>
      </c>
      <c r="G2350" s="190">
        <v>94.08</v>
      </c>
      <c r="H2350" s="191">
        <v>1017</v>
      </c>
      <c r="I2350" s="191">
        <v>661.5</v>
      </c>
      <c r="J2350" s="188" t="s">
        <v>624</v>
      </c>
      <c r="K2350" s="188" t="s">
        <v>427</v>
      </c>
      <c r="L2350" s="188" t="s">
        <v>3136</v>
      </c>
      <c r="M2350" s="192">
        <f t="shared" si="108"/>
        <v>25</v>
      </c>
      <c r="N2350" s="193">
        <f t="shared" si="109"/>
        <v>0.69183673469387752</v>
      </c>
      <c r="O2350" s="194">
        <f t="shared" si="110"/>
        <v>2.7673469387755101E-2</v>
      </c>
    </row>
    <row r="2351" spans="1:15" ht="12.75" customHeight="1">
      <c r="A2351" s="188" t="s">
        <v>620</v>
      </c>
      <c r="B2351" s="188" t="s">
        <v>3787</v>
      </c>
      <c r="C2351" s="188" t="s">
        <v>659</v>
      </c>
      <c r="D2351" s="188" t="s">
        <v>3848</v>
      </c>
      <c r="E2351" s="189">
        <v>39507</v>
      </c>
      <c r="F2351" s="190">
        <v>0</v>
      </c>
      <c r="G2351" s="190">
        <v>96.83</v>
      </c>
      <c r="H2351" s="191">
        <v>1050</v>
      </c>
      <c r="I2351" s="191">
        <v>680.85</v>
      </c>
      <c r="J2351" s="188" t="s">
        <v>624</v>
      </c>
      <c r="K2351" s="188" t="s">
        <v>427</v>
      </c>
      <c r="L2351" s="188" t="s">
        <v>2117</v>
      </c>
      <c r="M2351" s="192">
        <f t="shared" si="108"/>
        <v>25</v>
      </c>
      <c r="N2351" s="193">
        <f t="shared" si="109"/>
        <v>0.69398545935228029</v>
      </c>
      <c r="O2351" s="194">
        <f t="shared" si="110"/>
        <v>2.775941837409121E-2</v>
      </c>
    </row>
    <row r="2352" spans="1:15" ht="12.75" customHeight="1">
      <c r="A2352" s="188" t="s">
        <v>620</v>
      </c>
      <c r="B2352" s="188" t="s">
        <v>3787</v>
      </c>
      <c r="C2352" s="188" t="s">
        <v>659</v>
      </c>
      <c r="D2352" s="188" t="s">
        <v>3849</v>
      </c>
      <c r="E2352" s="189">
        <v>39447</v>
      </c>
      <c r="F2352" s="190">
        <v>0</v>
      </c>
      <c r="G2352" s="190">
        <v>108.29</v>
      </c>
      <c r="H2352" s="191">
        <v>1412</v>
      </c>
      <c r="I2352" s="191">
        <v>761.4</v>
      </c>
      <c r="J2352" s="188" t="s">
        <v>624</v>
      </c>
      <c r="K2352" s="188" t="s">
        <v>257</v>
      </c>
      <c r="L2352" s="188" t="s">
        <v>1476</v>
      </c>
      <c r="M2352" s="192">
        <f t="shared" si="108"/>
        <v>30</v>
      </c>
      <c r="N2352" s="193">
        <f t="shared" si="109"/>
        <v>0.83451536643026003</v>
      </c>
      <c r="O2352" s="194">
        <f t="shared" si="110"/>
        <v>2.7817178881008667E-2</v>
      </c>
    </row>
    <row r="2353" spans="1:15" ht="12.75" customHeight="1">
      <c r="A2353" s="188" t="s">
        <v>620</v>
      </c>
      <c r="B2353" s="188" t="s">
        <v>3787</v>
      </c>
      <c r="C2353" s="188" t="s">
        <v>659</v>
      </c>
      <c r="D2353" s="188" t="s">
        <v>3850</v>
      </c>
      <c r="E2353" s="189">
        <v>39422</v>
      </c>
      <c r="F2353" s="190">
        <v>0</v>
      </c>
      <c r="G2353" s="190">
        <v>64</v>
      </c>
      <c r="H2353" s="191">
        <v>700</v>
      </c>
      <c r="I2353" s="191">
        <v>450</v>
      </c>
      <c r="J2353" s="188" t="s">
        <v>624</v>
      </c>
      <c r="K2353" s="188" t="s">
        <v>427</v>
      </c>
      <c r="L2353" s="188" t="s">
        <v>636</v>
      </c>
      <c r="M2353" s="192">
        <f t="shared" si="108"/>
        <v>25</v>
      </c>
      <c r="N2353" s="193">
        <f t="shared" si="109"/>
        <v>0.7</v>
      </c>
      <c r="O2353" s="194">
        <f t="shared" si="110"/>
        <v>2.7999999999999997E-2</v>
      </c>
    </row>
    <row r="2354" spans="1:15" ht="12.75" customHeight="1">
      <c r="A2354" s="188" t="s">
        <v>620</v>
      </c>
      <c r="B2354" s="188" t="s">
        <v>3787</v>
      </c>
      <c r="C2354" s="188" t="s">
        <v>659</v>
      </c>
      <c r="D2354" s="188" t="s">
        <v>3851</v>
      </c>
      <c r="E2354" s="189">
        <v>39289</v>
      </c>
      <c r="F2354" s="190">
        <v>0</v>
      </c>
      <c r="G2354" s="190">
        <v>81.92</v>
      </c>
      <c r="H2354" s="191">
        <v>861.7</v>
      </c>
      <c r="I2354" s="191">
        <v>576</v>
      </c>
      <c r="J2354" s="188" t="s">
        <v>1052</v>
      </c>
      <c r="K2354" s="188" t="s">
        <v>338</v>
      </c>
      <c r="L2354" s="188" t="s">
        <v>994</v>
      </c>
      <c r="M2354" s="192">
        <f t="shared" si="108"/>
        <v>24</v>
      </c>
      <c r="N2354" s="193">
        <f t="shared" si="109"/>
        <v>0.67320312500000001</v>
      </c>
      <c r="O2354" s="194">
        <f t="shared" si="110"/>
        <v>2.8050130208333333E-2</v>
      </c>
    </row>
    <row r="2355" spans="1:15" ht="12.75" customHeight="1">
      <c r="A2355" s="188" t="s">
        <v>620</v>
      </c>
      <c r="B2355" s="188" t="s">
        <v>3787</v>
      </c>
      <c r="C2355" s="188" t="s">
        <v>659</v>
      </c>
      <c r="D2355" s="188" t="s">
        <v>3852</v>
      </c>
      <c r="E2355" s="189">
        <v>39478</v>
      </c>
      <c r="F2355" s="190">
        <v>0</v>
      </c>
      <c r="G2355" s="190">
        <v>89.6</v>
      </c>
      <c r="H2355" s="191">
        <v>985</v>
      </c>
      <c r="I2355" s="191">
        <v>630</v>
      </c>
      <c r="J2355" s="188" t="s">
        <v>624</v>
      </c>
      <c r="K2355" s="188" t="s">
        <v>427</v>
      </c>
      <c r="L2355" s="188" t="s">
        <v>754</v>
      </c>
      <c r="M2355" s="192">
        <f t="shared" si="108"/>
        <v>25</v>
      </c>
      <c r="N2355" s="193">
        <f t="shared" si="109"/>
        <v>0.70357142857142863</v>
      </c>
      <c r="O2355" s="194">
        <f t="shared" si="110"/>
        <v>2.8142857142857147E-2</v>
      </c>
    </row>
    <row r="2356" spans="1:15" ht="12.75" customHeight="1">
      <c r="A2356" s="188" t="s">
        <v>620</v>
      </c>
      <c r="B2356" s="188" t="s">
        <v>3787</v>
      </c>
      <c r="C2356" s="188" t="s">
        <v>659</v>
      </c>
      <c r="D2356" s="188" t="s">
        <v>3853</v>
      </c>
      <c r="E2356" s="189">
        <v>39247</v>
      </c>
      <c r="F2356" s="190">
        <v>0</v>
      </c>
      <c r="G2356" s="190">
        <v>89.92</v>
      </c>
      <c r="H2356" s="191">
        <v>989.96</v>
      </c>
      <c r="I2356" s="191">
        <v>632.25</v>
      </c>
      <c r="J2356" s="188" t="s">
        <v>624</v>
      </c>
      <c r="K2356" s="188" t="s">
        <v>427</v>
      </c>
      <c r="L2356" s="188" t="s">
        <v>2146</v>
      </c>
      <c r="M2356" s="192">
        <f t="shared" si="108"/>
        <v>25</v>
      </c>
      <c r="N2356" s="193">
        <f t="shared" si="109"/>
        <v>0.70459786476868325</v>
      </c>
      <c r="O2356" s="194">
        <f t="shared" si="110"/>
        <v>2.818391459074733E-2</v>
      </c>
    </row>
    <row r="2357" spans="1:15" ht="12.75" customHeight="1">
      <c r="A2357" s="188" t="s">
        <v>620</v>
      </c>
      <c r="B2357" s="188" t="s">
        <v>3787</v>
      </c>
      <c r="C2357" s="188" t="s">
        <v>659</v>
      </c>
      <c r="D2357" s="188" t="s">
        <v>3854</v>
      </c>
      <c r="E2357" s="189">
        <v>39541</v>
      </c>
      <c r="F2357" s="190">
        <v>0</v>
      </c>
      <c r="G2357" s="190">
        <v>108.8</v>
      </c>
      <c r="H2357" s="191">
        <v>1700</v>
      </c>
      <c r="I2357" s="191">
        <v>765</v>
      </c>
      <c r="J2357" s="188" t="s">
        <v>624</v>
      </c>
      <c r="K2357" s="188" t="s">
        <v>257</v>
      </c>
      <c r="L2357" s="188" t="s">
        <v>756</v>
      </c>
      <c r="M2357" s="192">
        <f t="shared" si="108"/>
        <v>30</v>
      </c>
      <c r="N2357" s="193">
        <f t="shared" si="109"/>
        <v>0.85</v>
      </c>
      <c r="O2357" s="194">
        <f t="shared" si="110"/>
        <v>2.8333333333333332E-2</v>
      </c>
    </row>
    <row r="2358" spans="1:15" ht="12.75" customHeight="1">
      <c r="A2358" s="188" t="s">
        <v>620</v>
      </c>
      <c r="B2358" s="188" t="s">
        <v>3787</v>
      </c>
      <c r="C2358" s="188" t="s">
        <v>659</v>
      </c>
      <c r="D2358" s="188" t="s">
        <v>3855</v>
      </c>
      <c r="E2358" s="189">
        <v>39212</v>
      </c>
      <c r="F2358" s="190">
        <v>0</v>
      </c>
      <c r="G2358" s="190">
        <v>89.6</v>
      </c>
      <c r="H2358" s="191">
        <v>994</v>
      </c>
      <c r="I2358" s="191">
        <v>630</v>
      </c>
      <c r="J2358" s="188" t="s">
        <v>624</v>
      </c>
      <c r="K2358" s="188" t="s">
        <v>427</v>
      </c>
      <c r="L2358" s="188" t="s">
        <v>754</v>
      </c>
      <c r="M2358" s="192">
        <f t="shared" si="108"/>
        <v>25</v>
      </c>
      <c r="N2358" s="193">
        <f t="shared" si="109"/>
        <v>0.71</v>
      </c>
      <c r="O2358" s="194">
        <f t="shared" si="110"/>
        <v>2.8399999999999998E-2</v>
      </c>
    </row>
    <row r="2359" spans="1:15" ht="12.75" customHeight="1">
      <c r="A2359" s="188" t="s">
        <v>620</v>
      </c>
      <c r="B2359" s="188" t="s">
        <v>3787</v>
      </c>
      <c r="C2359" s="188" t="s">
        <v>659</v>
      </c>
      <c r="D2359" s="188" t="s">
        <v>3856</v>
      </c>
      <c r="E2359" s="189">
        <v>39219</v>
      </c>
      <c r="F2359" s="190">
        <v>0</v>
      </c>
      <c r="G2359" s="190">
        <v>63.36</v>
      </c>
      <c r="H2359" s="191">
        <v>702.9</v>
      </c>
      <c r="I2359" s="191">
        <v>445.5</v>
      </c>
      <c r="J2359" s="188" t="s">
        <v>624</v>
      </c>
      <c r="K2359" s="188" t="s">
        <v>427</v>
      </c>
      <c r="L2359" s="188" t="s">
        <v>738</v>
      </c>
      <c r="M2359" s="192">
        <f t="shared" si="108"/>
        <v>25</v>
      </c>
      <c r="N2359" s="193">
        <f t="shared" si="109"/>
        <v>0.71</v>
      </c>
      <c r="O2359" s="194">
        <f t="shared" si="110"/>
        <v>2.8399999999999998E-2</v>
      </c>
    </row>
    <row r="2360" spans="1:15" ht="12.75" customHeight="1">
      <c r="A2360" s="188" t="s">
        <v>620</v>
      </c>
      <c r="B2360" s="188" t="s">
        <v>3787</v>
      </c>
      <c r="C2360" s="188" t="s">
        <v>659</v>
      </c>
      <c r="D2360" s="188" t="s">
        <v>3857</v>
      </c>
      <c r="E2360" s="189">
        <v>39247</v>
      </c>
      <c r="F2360" s="190">
        <v>0</v>
      </c>
      <c r="G2360" s="190">
        <v>134.4</v>
      </c>
      <c r="H2360" s="191">
        <v>1500.03</v>
      </c>
      <c r="I2360" s="191">
        <v>945</v>
      </c>
      <c r="J2360" s="188" t="s">
        <v>624</v>
      </c>
      <c r="K2360" s="188" t="s">
        <v>427</v>
      </c>
      <c r="L2360" s="188" t="s">
        <v>701</v>
      </c>
      <c r="M2360" s="192">
        <f t="shared" si="108"/>
        <v>25</v>
      </c>
      <c r="N2360" s="193">
        <f t="shared" si="109"/>
        <v>0.71429999999999993</v>
      </c>
      <c r="O2360" s="194">
        <f t="shared" si="110"/>
        <v>2.8571999999999997E-2</v>
      </c>
    </row>
    <row r="2361" spans="1:15" ht="12.75" customHeight="1">
      <c r="A2361" s="188" t="s">
        <v>620</v>
      </c>
      <c r="B2361" s="188" t="s">
        <v>3787</v>
      </c>
      <c r="C2361" s="188" t="s">
        <v>659</v>
      </c>
      <c r="D2361" s="188" t="s">
        <v>3858</v>
      </c>
      <c r="E2361" s="189">
        <v>39471</v>
      </c>
      <c r="F2361" s="190">
        <v>0</v>
      </c>
      <c r="G2361" s="190">
        <v>96</v>
      </c>
      <c r="H2361" s="191">
        <v>1075</v>
      </c>
      <c r="I2361" s="191">
        <v>675</v>
      </c>
      <c r="J2361" s="188" t="s">
        <v>624</v>
      </c>
      <c r="K2361" s="188" t="s">
        <v>427</v>
      </c>
      <c r="L2361" s="188" t="s">
        <v>746</v>
      </c>
      <c r="M2361" s="192">
        <f t="shared" si="108"/>
        <v>25</v>
      </c>
      <c r="N2361" s="193">
        <f t="shared" si="109"/>
        <v>0.71666666666666667</v>
      </c>
      <c r="O2361" s="194">
        <f t="shared" si="110"/>
        <v>2.8666666666666667E-2</v>
      </c>
    </row>
    <row r="2362" spans="1:15" ht="12.75" customHeight="1">
      <c r="A2362" s="188" t="s">
        <v>620</v>
      </c>
      <c r="B2362" s="188" t="s">
        <v>3787</v>
      </c>
      <c r="C2362" s="188" t="s">
        <v>659</v>
      </c>
      <c r="D2362" s="188" t="s">
        <v>3859</v>
      </c>
      <c r="E2362" s="189">
        <v>39499</v>
      </c>
      <c r="F2362" s="190">
        <v>0</v>
      </c>
      <c r="G2362" s="190">
        <v>76.8</v>
      </c>
      <c r="H2362" s="191">
        <v>861</v>
      </c>
      <c r="I2362" s="191">
        <v>540</v>
      </c>
      <c r="J2362" s="188" t="s">
        <v>624</v>
      </c>
      <c r="K2362" s="188" t="s">
        <v>427</v>
      </c>
      <c r="L2362" s="188" t="s">
        <v>632</v>
      </c>
      <c r="M2362" s="192">
        <f t="shared" si="108"/>
        <v>25</v>
      </c>
      <c r="N2362" s="193">
        <f t="shared" si="109"/>
        <v>0.71750000000000003</v>
      </c>
      <c r="O2362" s="194">
        <f t="shared" si="110"/>
        <v>2.87E-2</v>
      </c>
    </row>
    <row r="2363" spans="1:15" ht="12.75" customHeight="1">
      <c r="A2363" s="188" t="s">
        <v>620</v>
      </c>
      <c r="B2363" s="188" t="s">
        <v>3787</v>
      </c>
      <c r="C2363" s="188" t="s">
        <v>659</v>
      </c>
      <c r="D2363" s="188" t="s">
        <v>3860</v>
      </c>
      <c r="E2363" s="189">
        <v>39471</v>
      </c>
      <c r="F2363" s="190">
        <v>0</v>
      </c>
      <c r="G2363" s="190">
        <v>57.6</v>
      </c>
      <c r="H2363" s="191">
        <v>777.17</v>
      </c>
      <c r="I2363" s="191">
        <v>405</v>
      </c>
      <c r="J2363" s="188" t="s">
        <v>624</v>
      </c>
      <c r="K2363" s="188" t="s">
        <v>257</v>
      </c>
      <c r="L2363" s="188" t="s">
        <v>740</v>
      </c>
      <c r="M2363" s="192">
        <f t="shared" si="108"/>
        <v>30</v>
      </c>
      <c r="N2363" s="193">
        <f t="shared" si="109"/>
        <v>0.86352222222222219</v>
      </c>
      <c r="O2363" s="194">
        <f t="shared" si="110"/>
        <v>2.8784074074074073E-2</v>
      </c>
    </row>
    <row r="2364" spans="1:15" ht="12.75" customHeight="1">
      <c r="A2364" s="188" t="s">
        <v>620</v>
      </c>
      <c r="B2364" s="188" t="s">
        <v>3787</v>
      </c>
      <c r="C2364" s="188" t="s">
        <v>659</v>
      </c>
      <c r="D2364" s="188" t="s">
        <v>3861</v>
      </c>
      <c r="E2364" s="189">
        <v>39380</v>
      </c>
      <c r="F2364" s="190">
        <v>0</v>
      </c>
      <c r="G2364" s="190">
        <v>57.6</v>
      </c>
      <c r="H2364" s="191">
        <v>650</v>
      </c>
      <c r="I2364" s="191">
        <v>405</v>
      </c>
      <c r="J2364" s="188" t="s">
        <v>624</v>
      </c>
      <c r="K2364" s="188" t="s">
        <v>427</v>
      </c>
      <c r="L2364" s="188" t="s">
        <v>740</v>
      </c>
      <c r="M2364" s="192">
        <f t="shared" si="108"/>
        <v>25</v>
      </c>
      <c r="N2364" s="193">
        <f t="shared" si="109"/>
        <v>0.72222222222222221</v>
      </c>
      <c r="O2364" s="194">
        <f t="shared" si="110"/>
        <v>2.8888888888888888E-2</v>
      </c>
    </row>
    <row r="2365" spans="1:15" ht="12.75" customHeight="1">
      <c r="A2365" s="188" t="s">
        <v>620</v>
      </c>
      <c r="B2365" s="188" t="s">
        <v>3787</v>
      </c>
      <c r="C2365" s="188" t="s">
        <v>659</v>
      </c>
      <c r="D2365" s="188" t="s">
        <v>3862</v>
      </c>
      <c r="E2365" s="189">
        <v>39485</v>
      </c>
      <c r="F2365" s="190">
        <v>0</v>
      </c>
      <c r="G2365" s="190">
        <v>70.400000000000006</v>
      </c>
      <c r="H2365" s="191">
        <v>795</v>
      </c>
      <c r="I2365" s="191">
        <v>495</v>
      </c>
      <c r="J2365" s="188" t="s">
        <v>624</v>
      </c>
      <c r="K2365" s="188" t="s">
        <v>427</v>
      </c>
      <c r="L2365" s="188" t="s">
        <v>557</v>
      </c>
      <c r="M2365" s="192">
        <f t="shared" si="108"/>
        <v>25</v>
      </c>
      <c r="N2365" s="193">
        <f t="shared" si="109"/>
        <v>0.72272727272727277</v>
      </c>
      <c r="O2365" s="194">
        <f t="shared" si="110"/>
        <v>2.8909090909090912E-2</v>
      </c>
    </row>
    <row r="2366" spans="1:15" ht="12.75" customHeight="1">
      <c r="A2366" s="188" t="s">
        <v>620</v>
      </c>
      <c r="B2366" s="188" t="s">
        <v>3787</v>
      </c>
      <c r="C2366" s="188" t="s">
        <v>659</v>
      </c>
      <c r="D2366" s="188" t="s">
        <v>3863</v>
      </c>
      <c r="E2366" s="189">
        <v>39499</v>
      </c>
      <c r="F2366" s="190">
        <v>0</v>
      </c>
      <c r="G2366" s="190">
        <v>92.93</v>
      </c>
      <c r="H2366" s="191">
        <v>1050</v>
      </c>
      <c r="I2366" s="191">
        <v>653.4</v>
      </c>
      <c r="J2366" s="188" t="s">
        <v>624</v>
      </c>
      <c r="K2366" s="188" t="s">
        <v>427</v>
      </c>
      <c r="L2366" s="188" t="s">
        <v>768</v>
      </c>
      <c r="M2366" s="192">
        <f t="shared" si="108"/>
        <v>25</v>
      </c>
      <c r="N2366" s="193">
        <f t="shared" si="109"/>
        <v>0.72314049586776863</v>
      </c>
      <c r="O2366" s="194">
        <f t="shared" si="110"/>
        <v>2.8925619834710745E-2</v>
      </c>
    </row>
    <row r="2367" spans="1:15" ht="12.75" customHeight="1">
      <c r="A2367" s="188" t="s">
        <v>620</v>
      </c>
      <c r="B2367" s="188" t="s">
        <v>3787</v>
      </c>
      <c r="C2367" s="188" t="s">
        <v>659</v>
      </c>
      <c r="D2367" s="188" t="s">
        <v>3864</v>
      </c>
      <c r="E2367" s="189">
        <v>39395</v>
      </c>
      <c r="F2367" s="190">
        <v>0</v>
      </c>
      <c r="G2367" s="190">
        <v>79.62</v>
      </c>
      <c r="H2367" s="191">
        <v>900</v>
      </c>
      <c r="I2367" s="191">
        <v>559.79999999999995</v>
      </c>
      <c r="J2367" s="188" t="s">
        <v>624</v>
      </c>
      <c r="K2367" s="188" t="s">
        <v>427</v>
      </c>
      <c r="L2367" s="188" t="s">
        <v>1943</v>
      </c>
      <c r="M2367" s="192">
        <f t="shared" si="108"/>
        <v>25</v>
      </c>
      <c r="N2367" s="193">
        <f t="shared" si="109"/>
        <v>0.72347266881028938</v>
      </c>
      <c r="O2367" s="194">
        <f t="shared" si="110"/>
        <v>2.8938906752411574E-2</v>
      </c>
    </row>
    <row r="2368" spans="1:15" ht="12.75" customHeight="1">
      <c r="A2368" s="188" t="s">
        <v>620</v>
      </c>
      <c r="B2368" s="188" t="s">
        <v>3787</v>
      </c>
      <c r="C2368" s="188" t="s">
        <v>659</v>
      </c>
      <c r="D2368" s="188" t="s">
        <v>3865</v>
      </c>
      <c r="E2368" s="189">
        <v>39499</v>
      </c>
      <c r="F2368" s="190">
        <v>0</v>
      </c>
      <c r="G2368" s="190">
        <v>73.599999999999994</v>
      </c>
      <c r="H2368" s="191">
        <v>835</v>
      </c>
      <c r="I2368" s="191">
        <v>517.5</v>
      </c>
      <c r="J2368" s="188" t="s">
        <v>624</v>
      </c>
      <c r="K2368" s="188" t="s">
        <v>427</v>
      </c>
      <c r="L2368" s="188" t="s">
        <v>697</v>
      </c>
      <c r="M2368" s="192">
        <f t="shared" si="108"/>
        <v>25</v>
      </c>
      <c r="N2368" s="193">
        <f t="shared" si="109"/>
        <v>0.72608695652173916</v>
      </c>
      <c r="O2368" s="194">
        <f t="shared" si="110"/>
        <v>2.9043478260869567E-2</v>
      </c>
    </row>
    <row r="2369" spans="1:15" ht="12.75" customHeight="1">
      <c r="A2369" s="188" t="s">
        <v>620</v>
      </c>
      <c r="B2369" s="188" t="s">
        <v>3787</v>
      </c>
      <c r="C2369" s="188" t="s">
        <v>659</v>
      </c>
      <c r="D2369" s="188" t="s">
        <v>3866</v>
      </c>
      <c r="E2369" s="189">
        <v>39447</v>
      </c>
      <c r="F2369" s="190">
        <v>0</v>
      </c>
      <c r="G2369" s="190">
        <v>86.91</v>
      </c>
      <c r="H2369" s="191">
        <v>998</v>
      </c>
      <c r="I2369" s="191">
        <v>611.1</v>
      </c>
      <c r="J2369" s="188" t="s">
        <v>624</v>
      </c>
      <c r="K2369" s="188" t="s">
        <v>427</v>
      </c>
      <c r="L2369" s="188" t="s">
        <v>1751</v>
      </c>
      <c r="M2369" s="192">
        <f t="shared" si="108"/>
        <v>25</v>
      </c>
      <c r="N2369" s="193">
        <f t="shared" si="109"/>
        <v>0.73490427098674527</v>
      </c>
      <c r="O2369" s="194">
        <f t="shared" si="110"/>
        <v>2.9396170839469812E-2</v>
      </c>
    </row>
    <row r="2370" spans="1:15" ht="12.75" customHeight="1">
      <c r="A2370" s="188" t="s">
        <v>620</v>
      </c>
      <c r="B2370" s="188" t="s">
        <v>3787</v>
      </c>
      <c r="C2370" s="188" t="s">
        <v>659</v>
      </c>
      <c r="D2370" s="188" t="s">
        <v>3867</v>
      </c>
      <c r="E2370" s="189">
        <v>39541</v>
      </c>
      <c r="F2370" s="190">
        <v>0</v>
      </c>
      <c r="G2370" s="190">
        <v>97.28</v>
      </c>
      <c r="H2370" s="191">
        <v>1120</v>
      </c>
      <c r="I2370" s="191">
        <v>684</v>
      </c>
      <c r="J2370" s="188" t="s">
        <v>624</v>
      </c>
      <c r="K2370" s="188" t="s">
        <v>427</v>
      </c>
      <c r="L2370" s="188" t="s">
        <v>1452</v>
      </c>
      <c r="M2370" s="192">
        <f t="shared" ref="M2370:M2433" si="111">K2370-J2370</f>
        <v>25</v>
      </c>
      <c r="N2370" s="193">
        <f t="shared" ref="N2370:N2433" si="112">H2370/L2370</f>
        <v>0.73684210526315785</v>
      </c>
      <c r="O2370" s="194">
        <f t="shared" ref="O2370:O2433" si="113">N2370/M2370</f>
        <v>2.9473684210526315E-2</v>
      </c>
    </row>
    <row r="2371" spans="1:15" ht="12.75" customHeight="1">
      <c r="A2371" s="188" t="s">
        <v>620</v>
      </c>
      <c r="B2371" s="188" t="s">
        <v>3787</v>
      </c>
      <c r="C2371" s="188" t="s">
        <v>659</v>
      </c>
      <c r="D2371" s="188" t="s">
        <v>3868</v>
      </c>
      <c r="E2371" s="189">
        <v>39590</v>
      </c>
      <c r="F2371" s="190">
        <v>0</v>
      </c>
      <c r="G2371" s="190">
        <v>61.44</v>
      </c>
      <c r="H2371" s="191">
        <v>855</v>
      </c>
      <c r="I2371" s="191">
        <v>432</v>
      </c>
      <c r="J2371" s="188" t="s">
        <v>624</v>
      </c>
      <c r="K2371" s="188" t="s">
        <v>257</v>
      </c>
      <c r="L2371" s="188" t="s">
        <v>1146</v>
      </c>
      <c r="M2371" s="192">
        <f t="shared" si="111"/>
        <v>30</v>
      </c>
      <c r="N2371" s="193">
        <f t="shared" si="112"/>
        <v>0.890625</v>
      </c>
      <c r="O2371" s="194">
        <f t="shared" si="113"/>
        <v>2.9687499999999999E-2</v>
      </c>
    </row>
    <row r="2372" spans="1:15" ht="12.75" customHeight="1">
      <c r="A2372" s="188" t="s">
        <v>620</v>
      </c>
      <c r="B2372" s="188" t="s">
        <v>3787</v>
      </c>
      <c r="C2372" s="188" t="s">
        <v>659</v>
      </c>
      <c r="D2372" s="188" t="s">
        <v>3869</v>
      </c>
      <c r="E2372" s="189">
        <v>39562</v>
      </c>
      <c r="F2372" s="190">
        <v>0</v>
      </c>
      <c r="G2372" s="190">
        <v>105.6</v>
      </c>
      <c r="H2372" s="191">
        <v>1225</v>
      </c>
      <c r="I2372" s="191">
        <v>742.5</v>
      </c>
      <c r="J2372" s="188" t="s">
        <v>624</v>
      </c>
      <c r="K2372" s="188" t="s">
        <v>427</v>
      </c>
      <c r="L2372" s="188" t="s">
        <v>885</v>
      </c>
      <c r="M2372" s="192">
        <f t="shared" si="111"/>
        <v>25</v>
      </c>
      <c r="N2372" s="193">
        <f t="shared" si="112"/>
        <v>0.74242424242424243</v>
      </c>
      <c r="O2372" s="194">
        <f t="shared" si="113"/>
        <v>2.9696969696969697E-2</v>
      </c>
    </row>
    <row r="2373" spans="1:15" ht="12.75" customHeight="1">
      <c r="A2373" s="188" t="s">
        <v>620</v>
      </c>
      <c r="B2373" s="188" t="s">
        <v>3787</v>
      </c>
      <c r="C2373" s="188" t="s">
        <v>659</v>
      </c>
      <c r="D2373" s="188" t="s">
        <v>3870</v>
      </c>
      <c r="E2373" s="189">
        <v>39471</v>
      </c>
      <c r="F2373" s="190">
        <v>0</v>
      </c>
      <c r="G2373" s="190">
        <v>72.319999999999993</v>
      </c>
      <c r="H2373" s="191">
        <v>840</v>
      </c>
      <c r="I2373" s="191">
        <v>508.5</v>
      </c>
      <c r="J2373" s="188" t="s">
        <v>624</v>
      </c>
      <c r="K2373" s="188" t="s">
        <v>427</v>
      </c>
      <c r="L2373" s="188" t="s">
        <v>1749</v>
      </c>
      <c r="M2373" s="192">
        <f t="shared" si="111"/>
        <v>25</v>
      </c>
      <c r="N2373" s="193">
        <f t="shared" si="112"/>
        <v>0.74336283185840712</v>
      </c>
      <c r="O2373" s="194">
        <f t="shared" si="113"/>
        <v>2.9734513274336283E-2</v>
      </c>
    </row>
    <row r="2374" spans="1:15" ht="12.75" customHeight="1">
      <c r="A2374" s="188" t="s">
        <v>620</v>
      </c>
      <c r="B2374" s="188" t="s">
        <v>3787</v>
      </c>
      <c r="C2374" s="188" t="s">
        <v>659</v>
      </c>
      <c r="D2374" s="188" t="s">
        <v>3871</v>
      </c>
      <c r="E2374" s="189">
        <v>39507</v>
      </c>
      <c r="F2374" s="190">
        <v>0</v>
      </c>
      <c r="G2374" s="190">
        <v>67.84</v>
      </c>
      <c r="H2374" s="191">
        <v>946</v>
      </c>
      <c r="I2374" s="191">
        <v>477</v>
      </c>
      <c r="J2374" s="188" t="s">
        <v>624</v>
      </c>
      <c r="K2374" s="188" t="s">
        <v>257</v>
      </c>
      <c r="L2374" s="188" t="s">
        <v>3475</v>
      </c>
      <c r="M2374" s="192">
        <f t="shared" si="111"/>
        <v>30</v>
      </c>
      <c r="N2374" s="193">
        <f t="shared" si="112"/>
        <v>0.89245283018867927</v>
      </c>
      <c r="O2374" s="194">
        <f t="shared" si="113"/>
        <v>2.9748427672955977E-2</v>
      </c>
    </row>
    <row r="2375" spans="1:15" ht="12.75" customHeight="1">
      <c r="A2375" s="188" t="s">
        <v>620</v>
      </c>
      <c r="B2375" s="188" t="s">
        <v>3787</v>
      </c>
      <c r="C2375" s="188" t="s">
        <v>659</v>
      </c>
      <c r="D2375" s="188" t="s">
        <v>3872</v>
      </c>
      <c r="E2375" s="189">
        <v>39401</v>
      </c>
      <c r="F2375" s="190">
        <v>0</v>
      </c>
      <c r="G2375" s="190">
        <v>71.680000000000007</v>
      </c>
      <c r="H2375" s="191">
        <v>835</v>
      </c>
      <c r="I2375" s="191">
        <v>504</v>
      </c>
      <c r="J2375" s="188" t="s">
        <v>624</v>
      </c>
      <c r="K2375" s="188" t="s">
        <v>427</v>
      </c>
      <c r="L2375" s="188" t="s">
        <v>825</v>
      </c>
      <c r="M2375" s="192">
        <f t="shared" si="111"/>
        <v>25</v>
      </c>
      <c r="N2375" s="193">
        <f t="shared" si="112"/>
        <v>0.7455357142857143</v>
      </c>
      <c r="O2375" s="194">
        <f t="shared" si="113"/>
        <v>2.9821428571428572E-2</v>
      </c>
    </row>
    <row r="2376" spans="1:15" ht="12.75" customHeight="1">
      <c r="A2376" s="188" t="s">
        <v>620</v>
      </c>
      <c r="B2376" s="188" t="s">
        <v>3787</v>
      </c>
      <c r="C2376" s="188" t="s">
        <v>659</v>
      </c>
      <c r="D2376" s="188" t="s">
        <v>3873</v>
      </c>
      <c r="E2376" s="189">
        <v>39296</v>
      </c>
      <c r="F2376" s="190">
        <v>0</v>
      </c>
      <c r="G2376" s="190">
        <v>112</v>
      </c>
      <c r="H2376" s="191">
        <v>1304.98</v>
      </c>
      <c r="I2376" s="191">
        <v>787.5</v>
      </c>
      <c r="J2376" s="188" t="s">
        <v>624</v>
      </c>
      <c r="K2376" s="188" t="s">
        <v>427</v>
      </c>
      <c r="L2376" s="188" t="s">
        <v>727</v>
      </c>
      <c r="M2376" s="192">
        <f t="shared" si="111"/>
        <v>25</v>
      </c>
      <c r="N2376" s="193">
        <f t="shared" si="112"/>
        <v>0.74570285714285711</v>
      </c>
      <c r="O2376" s="194">
        <f t="shared" si="113"/>
        <v>2.9828114285714285E-2</v>
      </c>
    </row>
    <row r="2377" spans="1:15" ht="12.75" customHeight="1">
      <c r="A2377" s="188" t="s">
        <v>620</v>
      </c>
      <c r="B2377" s="188" t="s">
        <v>3787</v>
      </c>
      <c r="C2377" s="188" t="s">
        <v>659</v>
      </c>
      <c r="D2377" s="188" t="s">
        <v>3874</v>
      </c>
      <c r="E2377" s="189">
        <v>39339</v>
      </c>
      <c r="F2377" s="190">
        <v>0</v>
      </c>
      <c r="G2377" s="190">
        <v>130.82</v>
      </c>
      <c r="H2377" s="191">
        <v>1525.03</v>
      </c>
      <c r="I2377" s="191">
        <v>919.8</v>
      </c>
      <c r="J2377" s="188" t="s">
        <v>624</v>
      </c>
      <c r="K2377" s="188" t="s">
        <v>427</v>
      </c>
      <c r="L2377" s="188" t="s">
        <v>3777</v>
      </c>
      <c r="M2377" s="192">
        <f t="shared" si="111"/>
        <v>25</v>
      </c>
      <c r="N2377" s="193">
        <f t="shared" si="112"/>
        <v>0.74610078277886493</v>
      </c>
      <c r="O2377" s="194">
        <f t="shared" si="113"/>
        <v>2.9844031311154599E-2</v>
      </c>
    </row>
    <row r="2378" spans="1:15" ht="12.75" customHeight="1">
      <c r="A2378" s="188" t="s">
        <v>620</v>
      </c>
      <c r="B2378" s="188" t="s">
        <v>3787</v>
      </c>
      <c r="C2378" s="188" t="s">
        <v>659</v>
      </c>
      <c r="D2378" s="188" t="s">
        <v>3875</v>
      </c>
      <c r="E2378" s="189">
        <v>39639</v>
      </c>
      <c r="F2378" s="190">
        <v>0</v>
      </c>
      <c r="G2378" s="190">
        <v>116.86</v>
      </c>
      <c r="H2378" s="191">
        <v>1369</v>
      </c>
      <c r="I2378" s="191">
        <v>821.7</v>
      </c>
      <c r="J2378" s="188" t="s">
        <v>624</v>
      </c>
      <c r="K2378" s="188" t="s">
        <v>427</v>
      </c>
      <c r="L2378" s="188" t="s">
        <v>3876</v>
      </c>
      <c r="M2378" s="192">
        <f t="shared" si="111"/>
        <v>25</v>
      </c>
      <c r="N2378" s="193">
        <f t="shared" si="112"/>
        <v>0.74972617743702086</v>
      </c>
      <c r="O2378" s="194">
        <f t="shared" si="113"/>
        <v>2.9989047097480834E-2</v>
      </c>
    </row>
    <row r="2379" spans="1:15" ht="12.75" customHeight="1">
      <c r="A2379" s="188" t="s">
        <v>620</v>
      </c>
      <c r="B2379" s="188" t="s">
        <v>3787</v>
      </c>
      <c r="C2379" s="188" t="s">
        <v>659</v>
      </c>
      <c r="D2379" s="188" t="s">
        <v>3877</v>
      </c>
      <c r="E2379" s="189">
        <v>39275</v>
      </c>
      <c r="F2379" s="190">
        <v>0</v>
      </c>
      <c r="G2379" s="190">
        <v>64</v>
      </c>
      <c r="H2379" s="191">
        <v>750</v>
      </c>
      <c r="I2379" s="191">
        <v>450</v>
      </c>
      <c r="J2379" s="188" t="s">
        <v>624</v>
      </c>
      <c r="K2379" s="188" t="s">
        <v>427</v>
      </c>
      <c r="L2379" s="188" t="s">
        <v>636</v>
      </c>
      <c r="M2379" s="192">
        <f t="shared" si="111"/>
        <v>25</v>
      </c>
      <c r="N2379" s="193">
        <f t="shared" si="112"/>
        <v>0.75</v>
      </c>
      <c r="O2379" s="194">
        <f t="shared" si="113"/>
        <v>0.03</v>
      </c>
    </row>
    <row r="2380" spans="1:15" ht="12.75" customHeight="1">
      <c r="A2380" s="188" t="s">
        <v>620</v>
      </c>
      <c r="B2380" s="188" t="s">
        <v>3787</v>
      </c>
      <c r="C2380" s="188" t="s">
        <v>659</v>
      </c>
      <c r="D2380" s="188" t="s">
        <v>3878</v>
      </c>
      <c r="E2380" s="189">
        <v>39447</v>
      </c>
      <c r="F2380" s="190">
        <v>0</v>
      </c>
      <c r="G2380" s="190">
        <v>100.86</v>
      </c>
      <c r="H2380" s="191">
        <v>1182</v>
      </c>
      <c r="I2380" s="191">
        <v>709.2</v>
      </c>
      <c r="J2380" s="188" t="s">
        <v>624</v>
      </c>
      <c r="K2380" s="188" t="s">
        <v>427</v>
      </c>
      <c r="L2380" s="188" t="s">
        <v>982</v>
      </c>
      <c r="M2380" s="192">
        <f t="shared" si="111"/>
        <v>25</v>
      </c>
      <c r="N2380" s="193">
        <f t="shared" si="112"/>
        <v>0.75</v>
      </c>
      <c r="O2380" s="194">
        <f t="shared" si="113"/>
        <v>0.03</v>
      </c>
    </row>
    <row r="2381" spans="1:15" ht="12.75" customHeight="1">
      <c r="A2381" s="188" t="s">
        <v>620</v>
      </c>
      <c r="B2381" s="188" t="s">
        <v>3787</v>
      </c>
      <c r="C2381" s="188" t="s">
        <v>659</v>
      </c>
      <c r="D2381" s="188" t="s">
        <v>3879</v>
      </c>
      <c r="E2381" s="189">
        <v>39478</v>
      </c>
      <c r="F2381" s="190">
        <v>0</v>
      </c>
      <c r="G2381" s="190">
        <v>0.06</v>
      </c>
      <c r="H2381" s="191">
        <v>1425</v>
      </c>
      <c r="I2381" s="191">
        <v>855</v>
      </c>
      <c r="J2381" s="188" t="s">
        <v>624</v>
      </c>
      <c r="K2381" s="188" t="s">
        <v>427</v>
      </c>
      <c r="L2381" s="188" t="s">
        <v>1673</v>
      </c>
      <c r="M2381" s="192">
        <f t="shared" si="111"/>
        <v>25</v>
      </c>
      <c r="N2381" s="193">
        <f t="shared" si="112"/>
        <v>0.75</v>
      </c>
      <c r="O2381" s="194">
        <f t="shared" si="113"/>
        <v>0.03</v>
      </c>
    </row>
    <row r="2382" spans="1:15" ht="12.75" customHeight="1">
      <c r="A2382" s="188" t="s">
        <v>620</v>
      </c>
      <c r="B2382" s="188" t="s">
        <v>3787</v>
      </c>
      <c r="C2382" s="188" t="s">
        <v>659</v>
      </c>
      <c r="D2382" s="188" t="s">
        <v>3880</v>
      </c>
      <c r="E2382" s="189">
        <v>39282</v>
      </c>
      <c r="F2382" s="190">
        <v>0</v>
      </c>
      <c r="G2382" s="190">
        <v>22.14</v>
      </c>
      <c r="H2382" s="191">
        <v>259.98</v>
      </c>
      <c r="I2382" s="191">
        <v>155.69999999999999</v>
      </c>
      <c r="J2382" s="188" t="s">
        <v>624</v>
      </c>
      <c r="K2382" s="188" t="s">
        <v>427</v>
      </c>
      <c r="L2382" s="188" t="s">
        <v>3881</v>
      </c>
      <c r="M2382" s="192">
        <f t="shared" si="111"/>
        <v>25</v>
      </c>
      <c r="N2382" s="193">
        <f t="shared" si="112"/>
        <v>0.75138728323699422</v>
      </c>
      <c r="O2382" s="194">
        <f t="shared" si="113"/>
        <v>3.005549132947977E-2</v>
      </c>
    </row>
    <row r="2383" spans="1:15" ht="12.75" customHeight="1">
      <c r="A2383" s="188" t="s">
        <v>620</v>
      </c>
      <c r="B2383" s="188" t="s">
        <v>3787</v>
      </c>
      <c r="C2383" s="188" t="s">
        <v>659</v>
      </c>
      <c r="D2383" s="188" t="s">
        <v>3882</v>
      </c>
      <c r="E2383" s="189">
        <v>39269</v>
      </c>
      <c r="F2383" s="190">
        <v>0</v>
      </c>
      <c r="G2383" s="190">
        <v>25.6</v>
      </c>
      <c r="H2383" s="191">
        <v>361</v>
      </c>
      <c r="I2383" s="191">
        <v>180</v>
      </c>
      <c r="J2383" s="188" t="s">
        <v>624</v>
      </c>
      <c r="K2383" s="188" t="s">
        <v>257</v>
      </c>
      <c r="L2383" s="188" t="s">
        <v>910</v>
      </c>
      <c r="M2383" s="192">
        <f t="shared" si="111"/>
        <v>30</v>
      </c>
      <c r="N2383" s="193">
        <f t="shared" si="112"/>
        <v>0.90249999999999997</v>
      </c>
      <c r="O2383" s="194">
        <f t="shared" si="113"/>
        <v>3.0083333333333333E-2</v>
      </c>
    </row>
    <row r="2384" spans="1:15" ht="12.75" customHeight="1">
      <c r="A2384" s="188" t="s">
        <v>620</v>
      </c>
      <c r="B2384" s="188" t="s">
        <v>3787</v>
      </c>
      <c r="C2384" s="188" t="s">
        <v>659</v>
      </c>
      <c r="D2384" s="188" t="s">
        <v>3883</v>
      </c>
      <c r="E2384" s="189">
        <v>39507</v>
      </c>
      <c r="F2384" s="190">
        <v>0</v>
      </c>
      <c r="G2384" s="190">
        <v>80.7</v>
      </c>
      <c r="H2384" s="191">
        <v>950</v>
      </c>
      <c r="I2384" s="191">
        <v>567.45000000000005</v>
      </c>
      <c r="J2384" s="188" t="s">
        <v>624</v>
      </c>
      <c r="K2384" s="188" t="s">
        <v>427</v>
      </c>
      <c r="L2384" s="188" t="s">
        <v>1970</v>
      </c>
      <c r="M2384" s="192">
        <f t="shared" si="111"/>
        <v>25</v>
      </c>
      <c r="N2384" s="193">
        <f t="shared" si="112"/>
        <v>0.75337034099920697</v>
      </c>
      <c r="O2384" s="194">
        <f t="shared" si="113"/>
        <v>3.013481363996828E-2</v>
      </c>
    </row>
    <row r="2385" spans="1:15" ht="12.75" customHeight="1">
      <c r="A2385" s="188" t="s">
        <v>620</v>
      </c>
      <c r="B2385" s="188" t="s">
        <v>3787</v>
      </c>
      <c r="C2385" s="188" t="s">
        <v>659</v>
      </c>
      <c r="D2385" s="188" t="s">
        <v>3884</v>
      </c>
      <c r="E2385" s="189">
        <v>39353</v>
      </c>
      <c r="F2385" s="190">
        <v>0</v>
      </c>
      <c r="G2385" s="190">
        <v>89.6</v>
      </c>
      <c r="H2385" s="191">
        <v>1056.5999999999999</v>
      </c>
      <c r="I2385" s="191">
        <v>630</v>
      </c>
      <c r="J2385" s="188" t="s">
        <v>624</v>
      </c>
      <c r="K2385" s="188" t="s">
        <v>427</v>
      </c>
      <c r="L2385" s="188" t="s">
        <v>754</v>
      </c>
      <c r="M2385" s="192">
        <f t="shared" si="111"/>
        <v>25</v>
      </c>
      <c r="N2385" s="193">
        <f t="shared" si="112"/>
        <v>0.75471428571428567</v>
      </c>
      <c r="O2385" s="194">
        <f t="shared" si="113"/>
        <v>3.0188571428571426E-2</v>
      </c>
    </row>
    <row r="2386" spans="1:15" ht="12.75" customHeight="1">
      <c r="A2386" s="188" t="s">
        <v>620</v>
      </c>
      <c r="B2386" s="188" t="s">
        <v>3787</v>
      </c>
      <c r="C2386" s="188" t="s">
        <v>659</v>
      </c>
      <c r="D2386" s="188" t="s">
        <v>3885</v>
      </c>
      <c r="E2386" s="189">
        <v>39447</v>
      </c>
      <c r="F2386" s="190">
        <v>0</v>
      </c>
      <c r="G2386" s="190">
        <v>85.76</v>
      </c>
      <c r="H2386" s="191">
        <v>1095</v>
      </c>
      <c r="I2386" s="191">
        <v>603</v>
      </c>
      <c r="J2386" s="188" t="s">
        <v>639</v>
      </c>
      <c r="K2386" s="188" t="s">
        <v>338</v>
      </c>
      <c r="L2386" s="188" t="s">
        <v>815</v>
      </c>
      <c r="M2386" s="192">
        <f t="shared" si="111"/>
        <v>27</v>
      </c>
      <c r="N2386" s="193">
        <f t="shared" si="112"/>
        <v>0.81716417910447758</v>
      </c>
      <c r="O2386" s="194">
        <f t="shared" si="113"/>
        <v>3.0265339966832502E-2</v>
      </c>
    </row>
    <row r="2387" spans="1:15" ht="12.75" customHeight="1">
      <c r="A2387" s="188" t="s">
        <v>620</v>
      </c>
      <c r="B2387" s="188" t="s">
        <v>3787</v>
      </c>
      <c r="C2387" s="188" t="s">
        <v>659</v>
      </c>
      <c r="D2387" s="188" t="s">
        <v>3886</v>
      </c>
      <c r="E2387" s="189">
        <v>39471</v>
      </c>
      <c r="F2387" s="190">
        <v>0</v>
      </c>
      <c r="G2387" s="190">
        <v>35.97</v>
      </c>
      <c r="H2387" s="191">
        <v>429.44</v>
      </c>
      <c r="I2387" s="191">
        <v>252.9</v>
      </c>
      <c r="J2387" s="188" t="s">
        <v>624</v>
      </c>
      <c r="K2387" s="188" t="s">
        <v>427</v>
      </c>
      <c r="L2387" s="188" t="s">
        <v>2701</v>
      </c>
      <c r="M2387" s="192">
        <f t="shared" si="111"/>
        <v>25</v>
      </c>
      <c r="N2387" s="193">
        <f t="shared" si="112"/>
        <v>0.76412811387900359</v>
      </c>
      <c r="O2387" s="194">
        <f t="shared" si="113"/>
        <v>3.0565124555160143E-2</v>
      </c>
    </row>
    <row r="2388" spans="1:15" ht="12.75" customHeight="1">
      <c r="A2388" s="188" t="s">
        <v>620</v>
      </c>
      <c r="B2388" s="188" t="s">
        <v>3787</v>
      </c>
      <c r="C2388" s="188" t="s">
        <v>659</v>
      </c>
      <c r="D2388" s="188" t="s">
        <v>3887</v>
      </c>
      <c r="E2388" s="189">
        <v>39548</v>
      </c>
      <c r="F2388" s="190">
        <v>0</v>
      </c>
      <c r="G2388" s="190">
        <v>66.11</v>
      </c>
      <c r="H2388" s="191">
        <v>950</v>
      </c>
      <c r="I2388" s="191">
        <v>464.85</v>
      </c>
      <c r="J2388" s="188" t="s">
        <v>624</v>
      </c>
      <c r="K2388" s="188" t="s">
        <v>257</v>
      </c>
      <c r="L2388" s="188" t="s">
        <v>1552</v>
      </c>
      <c r="M2388" s="192">
        <f t="shared" si="111"/>
        <v>30</v>
      </c>
      <c r="N2388" s="193">
        <f t="shared" si="112"/>
        <v>0.91965150048402711</v>
      </c>
      <c r="O2388" s="194">
        <f t="shared" si="113"/>
        <v>3.0655050016134236E-2</v>
      </c>
    </row>
    <row r="2389" spans="1:15" ht="12.75" customHeight="1">
      <c r="A2389" s="188" t="s">
        <v>620</v>
      </c>
      <c r="B2389" s="188" t="s">
        <v>3787</v>
      </c>
      <c r="C2389" s="188" t="s">
        <v>659</v>
      </c>
      <c r="D2389" s="188" t="s">
        <v>3888</v>
      </c>
      <c r="E2389" s="189">
        <v>39429</v>
      </c>
      <c r="F2389" s="190">
        <v>0</v>
      </c>
      <c r="G2389" s="190">
        <v>96</v>
      </c>
      <c r="H2389" s="191">
        <v>1150</v>
      </c>
      <c r="I2389" s="191">
        <v>675</v>
      </c>
      <c r="J2389" s="188" t="s">
        <v>624</v>
      </c>
      <c r="K2389" s="188" t="s">
        <v>427</v>
      </c>
      <c r="L2389" s="188" t="s">
        <v>746</v>
      </c>
      <c r="M2389" s="192">
        <f t="shared" si="111"/>
        <v>25</v>
      </c>
      <c r="N2389" s="193">
        <f t="shared" si="112"/>
        <v>0.76666666666666672</v>
      </c>
      <c r="O2389" s="194">
        <f t="shared" si="113"/>
        <v>3.0666666666666668E-2</v>
      </c>
    </row>
    <row r="2390" spans="1:15" ht="12.75" customHeight="1">
      <c r="A2390" s="188" t="s">
        <v>620</v>
      </c>
      <c r="B2390" s="188" t="s">
        <v>3787</v>
      </c>
      <c r="C2390" s="188" t="s">
        <v>659</v>
      </c>
      <c r="D2390" s="188" t="s">
        <v>3889</v>
      </c>
      <c r="E2390" s="189">
        <v>39407</v>
      </c>
      <c r="F2390" s="190">
        <v>0</v>
      </c>
      <c r="G2390" s="190">
        <v>60.16</v>
      </c>
      <c r="H2390" s="191">
        <v>721</v>
      </c>
      <c r="I2390" s="191">
        <v>423</v>
      </c>
      <c r="J2390" s="188" t="s">
        <v>624</v>
      </c>
      <c r="K2390" s="188" t="s">
        <v>427</v>
      </c>
      <c r="L2390" s="188" t="s">
        <v>810</v>
      </c>
      <c r="M2390" s="192">
        <f t="shared" si="111"/>
        <v>25</v>
      </c>
      <c r="N2390" s="193">
        <f t="shared" si="112"/>
        <v>0.76702127659574471</v>
      </c>
      <c r="O2390" s="194">
        <f t="shared" si="113"/>
        <v>3.0680851063829787E-2</v>
      </c>
    </row>
    <row r="2391" spans="1:15" ht="12.75" customHeight="1">
      <c r="A2391" s="188" t="s">
        <v>620</v>
      </c>
      <c r="B2391" s="188" t="s">
        <v>3787</v>
      </c>
      <c r="C2391" s="188" t="s">
        <v>659</v>
      </c>
      <c r="D2391" s="188" t="s">
        <v>3890</v>
      </c>
      <c r="E2391" s="189">
        <v>39373</v>
      </c>
      <c r="F2391" s="190">
        <v>0</v>
      </c>
      <c r="G2391" s="190">
        <v>83.2</v>
      </c>
      <c r="H2391" s="191">
        <v>1000</v>
      </c>
      <c r="I2391" s="191">
        <v>585</v>
      </c>
      <c r="J2391" s="188" t="s">
        <v>624</v>
      </c>
      <c r="K2391" s="188" t="s">
        <v>427</v>
      </c>
      <c r="L2391" s="188" t="s">
        <v>699</v>
      </c>
      <c r="M2391" s="192">
        <f t="shared" si="111"/>
        <v>25</v>
      </c>
      <c r="N2391" s="193">
        <f t="shared" si="112"/>
        <v>0.76923076923076927</v>
      </c>
      <c r="O2391" s="194">
        <f t="shared" si="113"/>
        <v>3.0769230769230771E-2</v>
      </c>
    </row>
    <row r="2392" spans="1:15" ht="12.75" customHeight="1">
      <c r="A2392" s="188" t="s">
        <v>620</v>
      </c>
      <c r="B2392" s="188" t="s">
        <v>3787</v>
      </c>
      <c r="C2392" s="188" t="s">
        <v>659</v>
      </c>
      <c r="D2392" s="188" t="s">
        <v>3891</v>
      </c>
      <c r="E2392" s="189">
        <v>39447</v>
      </c>
      <c r="F2392" s="190">
        <v>0</v>
      </c>
      <c r="G2392" s="190">
        <v>76.8</v>
      </c>
      <c r="H2392" s="191">
        <v>925</v>
      </c>
      <c r="I2392" s="191">
        <v>540</v>
      </c>
      <c r="J2392" s="188" t="s">
        <v>624</v>
      </c>
      <c r="K2392" s="188" t="s">
        <v>427</v>
      </c>
      <c r="L2392" s="188" t="s">
        <v>632</v>
      </c>
      <c r="M2392" s="192">
        <f t="shared" si="111"/>
        <v>25</v>
      </c>
      <c r="N2392" s="193">
        <f t="shared" si="112"/>
        <v>0.77083333333333337</v>
      </c>
      <c r="O2392" s="194">
        <f t="shared" si="113"/>
        <v>3.0833333333333334E-2</v>
      </c>
    </row>
    <row r="2393" spans="1:15" ht="12.75" customHeight="1">
      <c r="A2393" s="188" t="s">
        <v>620</v>
      </c>
      <c r="B2393" s="188" t="s">
        <v>3787</v>
      </c>
      <c r="C2393" s="188" t="s">
        <v>659</v>
      </c>
      <c r="D2393" s="188" t="s">
        <v>3892</v>
      </c>
      <c r="E2393" s="189">
        <v>39380</v>
      </c>
      <c r="F2393" s="190">
        <v>0</v>
      </c>
      <c r="G2393" s="190">
        <v>114.11</v>
      </c>
      <c r="H2393" s="191">
        <v>1375</v>
      </c>
      <c r="I2393" s="191">
        <v>802.35</v>
      </c>
      <c r="J2393" s="188" t="s">
        <v>624</v>
      </c>
      <c r="K2393" s="188" t="s">
        <v>427</v>
      </c>
      <c r="L2393" s="188" t="s">
        <v>1821</v>
      </c>
      <c r="M2393" s="192">
        <f t="shared" si="111"/>
        <v>25</v>
      </c>
      <c r="N2393" s="193">
        <f t="shared" si="112"/>
        <v>0.7711721817162086</v>
      </c>
      <c r="O2393" s="194">
        <f t="shared" si="113"/>
        <v>3.0846887268648343E-2</v>
      </c>
    </row>
    <row r="2394" spans="1:15" ht="12.75" customHeight="1">
      <c r="A2394" s="188" t="s">
        <v>620</v>
      </c>
      <c r="B2394" s="188" t="s">
        <v>3787</v>
      </c>
      <c r="C2394" s="188" t="s">
        <v>659</v>
      </c>
      <c r="D2394" s="188" t="s">
        <v>3893</v>
      </c>
      <c r="E2394" s="189">
        <v>39548</v>
      </c>
      <c r="F2394" s="190">
        <v>0</v>
      </c>
      <c r="G2394" s="190">
        <v>145.91999999999999</v>
      </c>
      <c r="H2394" s="191">
        <v>1765</v>
      </c>
      <c r="I2394" s="191">
        <v>1026</v>
      </c>
      <c r="J2394" s="188" t="s">
        <v>624</v>
      </c>
      <c r="K2394" s="188" t="s">
        <v>427</v>
      </c>
      <c r="L2394" s="188" t="s">
        <v>1348</v>
      </c>
      <c r="M2394" s="192">
        <f t="shared" si="111"/>
        <v>25</v>
      </c>
      <c r="N2394" s="193">
        <f t="shared" si="112"/>
        <v>0.77412280701754388</v>
      </c>
      <c r="O2394" s="194">
        <f t="shared" si="113"/>
        <v>3.0964912280701754E-2</v>
      </c>
    </row>
    <row r="2395" spans="1:15" ht="12.75" customHeight="1">
      <c r="A2395" s="188" t="s">
        <v>620</v>
      </c>
      <c r="B2395" s="188" t="s">
        <v>3787</v>
      </c>
      <c r="C2395" s="188" t="s">
        <v>659</v>
      </c>
      <c r="D2395" s="188" t="s">
        <v>3894</v>
      </c>
      <c r="E2395" s="189">
        <v>39527</v>
      </c>
      <c r="F2395" s="190">
        <v>0</v>
      </c>
      <c r="G2395" s="190">
        <v>138.88</v>
      </c>
      <c r="H2395" s="191">
        <v>1680</v>
      </c>
      <c r="I2395" s="191">
        <v>976.5</v>
      </c>
      <c r="J2395" s="188" t="s">
        <v>624</v>
      </c>
      <c r="K2395" s="188" t="s">
        <v>427</v>
      </c>
      <c r="L2395" s="188" t="s">
        <v>3895</v>
      </c>
      <c r="M2395" s="192">
        <f t="shared" si="111"/>
        <v>25</v>
      </c>
      <c r="N2395" s="193">
        <f t="shared" si="112"/>
        <v>0.77419354838709675</v>
      </c>
      <c r="O2395" s="194">
        <f t="shared" si="113"/>
        <v>3.0967741935483871E-2</v>
      </c>
    </row>
    <row r="2396" spans="1:15" ht="12.75" customHeight="1">
      <c r="A2396" s="188" t="s">
        <v>620</v>
      </c>
      <c r="B2396" s="188" t="s">
        <v>3787</v>
      </c>
      <c r="C2396" s="188" t="s">
        <v>659</v>
      </c>
      <c r="D2396" s="188" t="s">
        <v>3896</v>
      </c>
      <c r="E2396" s="189">
        <v>39380</v>
      </c>
      <c r="F2396" s="190">
        <v>0</v>
      </c>
      <c r="G2396" s="190">
        <v>64</v>
      </c>
      <c r="H2396" s="191">
        <v>775</v>
      </c>
      <c r="I2396" s="191">
        <v>450</v>
      </c>
      <c r="J2396" s="188" t="s">
        <v>624</v>
      </c>
      <c r="K2396" s="188" t="s">
        <v>427</v>
      </c>
      <c r="L2396" s="188" t="s">
        <v>636</v>
      </c>
      <c r="M2396" s="192">
        <f t="shared" si="111"/>
        <v>25</v>
      </c>
      <c r="N2396" s="193">
        <f t="shared" si="112"/>
        <v>0.77500000000000002</v>
      </c>
      <c r="O2396" s="194">
        <f t="shared" si="113"/>
        <v>3.1E-2</v>
      </c>
    </row>
    <row r="2397" spans="1:15" ht="12.75" customHeight="1">
      <c r="A2397" s="188" t="s">
        <v>620</v>
      </c>
      <c r="B2397" s="188" t="s">
        <v>3787</v>
      </c>
      <c r="C2397" s="188" t="s">
        <v>659</v>
      </c>
      <c r="D2397" s="188" t="s">
        <v>3897</v>
      </c>
      <c r="E2397" s="189">
        <v>39254</v>
      </c>
      <c r="F2397" s="190">
        <v>0</v>
      </c>
      <c r="G2397" s="190">
        <v>57.6</v>
      </c>
      <c r="H2397" s="191">
        <v>700.02</v>
      </c>
      <c r="I2397" s="191">
        <v>405</v>
      </c>
      <c r="J2397" s="188" t="s">
        <v>624</v>
      </c>
      <c r="K2397" s="188" t="s">
        <v>427</v>
      </c>
      <c r="L2397" s="188" t="s">
        <v>740</v>
      </c>
      <c r="M2397" s="192">
        <f t="shared" si="111"/>
        <v>25</v>
      </c>
      <c r="N2397" s="193">
        <f t="shared" si="112"/>
        <v>0.77779999999999994</v>
      </c>
      <c r="O2397" s="194">
        <f t="shared" si="113"/>
        <v>3.1111999999999997E-2</v>
      </c>
    </row>
    <row r="2398" spans="1:15" ht="12.75" customHeight="1">
      <c r="A2398" s="188" t="s">
        <v>620</v>
      </c>
      <c r="B2398" s="188" t="s">
        <v>3787</v>
      </c>
      <c r="C2398" s="188" t="s">
        <v>659</v>
      </c>
      <c r="D2398" s="188" t="s">
        <v>3898</v>
      </c>
      <c r="E2398" s="189">
        <v>39212</v>
      </c>
      <c r="F2398" s="190">
        <v>0</v>
      </c>
      <c r="G2398" s="190">
        <v>69.12</v>
      </c>
      <c r="H2398" s="191">
        <v>842.4</v>
      </c>
      <c r="I2398" s="191">
        <v>486</v>
      </c>
      <c r="J2398" s="188" t="s">
        <v>624</v>
      </c>
      <c r="K2398" s="188" t="s">
        <v>427</v>
      </c>
      <c r="L2398" s="188" t="s">
        <v>817</v>
      </c>
      <c r="M2398" s="192">
        <f t="shared" si="111"/>
        <v>25</v>
      </c>
      <c r="N2398" s="193">
        <f t="shared" si="112"/>
        <v>0.78</v>
      </c>
      <c r="O2398" s="194">
        <f t="shared" si="113"/>
        <v>3.1200000000000002E-2</v>
      </c>
    </row>
    <row r="2399" spans="1:15" ht="12.75" customHeight="1">
      <c r="A2399" s="188" t="s">
        <v>620</v>
      </c>
      <c r="B2399" s="188" t="s">
        <v>3787</v>
      </c>
      <c r="C2399" s="188" t="s">
        <v>659</v>
      </c>
      <c r="D2399" s="188" t="s">
        <v>3899</v>
      </c>
      <c r="E2399" s="189">
        <v>39240</v>
      </c>
      <c r="F2399" s="190">
        <v>0</v>
      </c>
      <c r="G2399" s="190">
        <v>65.599999999999994</v>
      </c>
      <c r="H2399" s="191">
        <v>800.01</v>
      </c>
      <c r="I2399" s="191">
        <v>461.25</v>
      </c>
      <c r="J2399" s="188" t="s">
        <v>624</v>
      </c>
      <c r="K2399" s="188" t="s">
        <v>427</v>
      </c>
      <c r="L2399" s="188" t="s">
        <v>3900</v>
      </c>
      <c r="M2399" s="192">
        <f t="shared" si="111"/>
        <v>25</v>
      </c>
      <c r="N2399" s="193">
        <f t="shared" si="112"/>
        <v>0.78049756097560974</v>
      </c>
      <c r="O2399" s="194">
        <f t="shared" si="113"/>
        <v>3.1219902439024391E-2</v>
      </c>
    </row>
    <row r="2400" spans="1:15" ht="12.75" customHeight="1">
      <c r="A2400" s="188" t="s">
        <v>620</v>
      </c>
      <c r="B2400" s="188" t="s">
        <v>3787</v>
      </c>
      <c r="C2400" s="188" t="s">
        <v>659</v>
      </c>
      <c r="D2400" s="188" t="s">
        <v>3901</v>
      </c>
      <c r="E2400" s="189">
        <v>39639</v>
      </c>
      <c r="F2400" s="190">
        <v>0</v>
      </c>
      <c r="G2400" s="190">
        <v>119.55</v>
      </c>
      <c r="H2400" s="191">
        <v>1760</v>
      </c>
      <c r="I2400" s="191">
        <v>840.6</v>
      </c>
      <c r="J2400" s="188" t="s">
        <v>624</v>
      </c>
      <c r="K2400" s="188" t="s">
        <v>257</v>
      </c>
      <c r="L2400" s="188" t="s">
        <v>3902</v>
      </c>
      <c r="M2400" s="192">
        <f t="shared" si="111"/>
        <v>30</v>
      </c>
      <c r="N2400" s="193">
        <f t="shared" si="112"/>
        <v>0.94218415417558887</v>
      </c>
      <c r="O2400" s="194">
        <f t="shared" si="113"/>
        <v>3.1406138472519628E-2</v>
      </c>
    </row>
    <row r="2401" spans="1:15" ht="12.75" customHeight="1">
      <c r="A2401" s="188" t="s">
        <v>620</v>
      </c>
      <c r="B2401" s="188" t="s">
        <v>3787</v>
      </c>
      <c r="C2401" s="188" t="s">
        <v>659</v>
      </c>
      <c r="D2401" s="188" t="s">
        <v>3903</v>
      </c>
      <c r="E2401" s="189">
        <v>39485</v>
      </c>
      <c r="F2401" s="190">
        <v>0</v>
      </c>
      <c r="G2401" s="190">
        <v>89.6</v>
      </c>
      <c r="H2401" s="191">
        <v>1100</v>
      </c>
      <c r="I2401" s="191">
        <v>630</v>
      </c>
      <c r="J2401" s="188" t="s">
        <v>624</v>
      </c>
      <c r="K2401" s="188" t="s">
        <v>427</v>
      </c>
      <c r="L2401" s="188" t="s">
        <v>754</v>
      </c>
      <c r="M2401" s="192">
        <f t="shared" si="111"/>
        <v>25</v>
      </c>
      <c r="N2401" s="193">
        <f t="shared" si="112"/>
        <v>0.7857142857142857</v>
      </c>
      <c r="O2401" s="194">
        <f t="shared" si="113"/>
        <v>3.1428571428571431E-2</v>
      </c>
    </row>
    <row r="2402" spans="1:15" ht="12.75" customHeight="1">
      <c r="A2402" s="188" t="s">
        <v>620</v>
      </c>
      <c r="B2402" s="188" t="s">
        <v>3787</v>
      </c>
      <c r="C2402" s="188" t="s">
        <v>659</v>
      </c>
      <c r="D2402" s="188" t="s">
        <v>3904</v>
      </c>
      <c r="E2402" s="189">
        <v>39395</v>
      </c>
      <c r="F2402" s="190">
        <v>0</v>
      </c>
      <c r="G2402" s="190">
        <v>94.72</v>
      </c>
      <c r="H2402" s="191">
        <v>1164</v>
      </c>
      <c r="I2402" s="191">
        <v>666</v>
      </c>
      <c r="J2402" s="188" t="s">
        <v>624</v>
      </c>
      <c r="K2402" s="188" t="s">
        <v>427</v>
      </c>
      <c r="L2402" s="188" t="s">
        <v>1479</v>
      </c>
      <c r="M2402" s="192">
        <f t="shared" si="111"/>
        <v>25</v>
      </c>
      <c r="N2402" s="193">
        <f t="shared" si="112"/>
        <v>0.78648648648648645</v>
      </c>
      <c r="O2402" s="194">
        <f t="shared" si="113"/>
        <v>3.1459459459459459E-2</v>
      </c>
    </row>
    <row r="2403" spans="1:15" ht="12.75" customHeight="1">
      <c r="A2403" s="188" t="s">
        <v>620</v>
      </c>
      <c r="B2403" s="188" t="s">
        <v>3787</v>
      </c>
      <c r="C2403" s="188" t="s">
        <v>659</v>
      </c>
      <c r="D2403" s="188" t="s">
        <v>3905</v>
      </c>
      <c r="E2403" s="189">
        <v>39541</v>
      </c>
      <c r="F2403" s="190">
        <v>0</v>
      </c>
      <c r="G2403" s="190">
        <v>150.4</v>
      </c>
      <c r="H2403" s="191">
        <v>1850</v>
      </c>
      <c r="I2403" s="191">
        <v>1057.5</v>
      </c>
      <c r="J2403" s="188" t="s">
        <v>624</v>
      </c>
      <c r="K2403" s="188" t="s">
        <v>427</v>
      </c>
      <c r="L2403" s="188" t="s">
        <v>1929</v>
      </c>
      <c r="M2403" s="192">
        <f t="shared" si="111"/>
        <v>25</v>
      </c>
      <c r="N2403" s="193">
        <f t="shared" si="112"/>
        <v>0.78723404255319152</v>
      </c>
      <c r="O2403" s="194">
        <f t="shared" si="113"/>
        <v>3.1489361702127662E-2</v>
      </c>
    </row>
    <row r="2404" spans="1:15" ht="12.75" customHeight="1">
      <c r="A2404" s="188" t="s">
        <v>620</v>
      </c>
      <c r="B2404" s="188" t="s">
        <v>3787</v>
      </c>
      <c r="C2404" s="188" t="s">
        <v>659</v>
      </c>
      <c r="D2404" s="188" t="s">
        <v>3906</v>
      </c>
      <c r="E2404" s="189">
        <v>39447</v>
      </c>
      <c r="F2404" s="190">
        <v>0</v>
      </c>
      <c r="G2404" s="190">
        <v>56.9</v>
      </c>
      <c r="H2404" s="191">
        <v>700</v>
      </c>
      <c r="I2404" s="191">
        <v>400.05</v>
      </c>
      <c r="J2404" s="188" t="s">
        <v>624</v>
      </c>
      <c r="K2404" s="188" t="s">
        <v>427</v>
      </c>
      <c r="L2404" s="188" t="s">
        <v>3907</v>
      </c>
      <c r="M2404" s="192">
        <f t="shared" si="111"/>
        <v>25</v>
      </c>
      <c r="N2404" s="193">
        <f t="shared" si="112"/>
        <v>0.78740157480314965</v>
      </c>
      <c r="O2404" s="194">
        <f t="shared" si="113"/>
        <v>3.1496062992125984E-2</v>
      </c>
    </row>
    <row r="2405" spans="1:15" ht="12.75" customHeight="1">
      <c r="A2405" s="188" t="s">
        <v>620</v>
      </c>
      <c r="B2405" s="188" t="s">
        <v>3787</v>
      </c>
      <c r="C2405" s="188" t="s">
        <v>659</v>
      </c>
      <c r="D2405" s="188" t="s">
        <v>3908</v>
      </c>
      <c r="E2405" s="189">
        <v>39436</v>
      </c>
      <c r="F2405" s="190">
        <v>0</v>
      </c>
      <c r="G2405" s="190">
        <v>106.69</v>
      </c>
      <c r="H2405" s="191">
        <v>1103</v>
      </c>
      <c r="I2405" s="191">
        <v>750.15</v>
      </c>
      <c r="J2405" s="188" t="s">
        <v>624</v>
      </c>
      <c r="K2405" s="188" t="s">
        <v>1344</v>
      </c>
      <c r="L2405" s="188" t="s">
        <v>3909</v>
      </c>
      <c r="M2405" s="192">
        <f t="shared" si="111"/>
        <v>21</v>
      </c>
      <c r="N2405" s="193">
        <f t="shared" si="112"/>
        <v>0.66166766646670661</v>
      </c>
      <c r="O2405" s="194">
        <f t="shared" si="113"/>
        <v>3.1507984117462216E-2</v>
      </c>
    </row>
    <row r="2406" spans="1:15" ht="12.75" customHeight="1">
      <c r="A2406" s="188" t="s">
        <v>620</v>
      </c>
      <c r="B2406" s="188" t="s">
        <v>3787</v>
      </c>
      <c r="C2406" s="188" t="s">
        <v>659</v>
      </c>
      <c r="D2406" s="188" t="s">
        <v>3910</v>
      </c>
      <c r="E2406" s="189">
        <v>39492</v>
      </c>
      <c r="F2406" s="190">
        <v>0</v>
      </c>
      <c r="G2406" s="190">
        <v>83.2</v>
      </c>
      <c r="H2406" s="191">
        <v>1025</v>
      </c>
      <c r="I2406" s="191">
        <v>585</v>
      </c>
      <c r="J2406" s="188" t="s">
        <v>624</v>
      </c>
      <c r="K2406" s="188" t="s">
        <v>427</v>
      </c>
      <c r="L2406" s="188" t="s">
        <v>699</v>
      </c>
      <c r="M2406" s="192">
        <f t="shared" si="111"/>
        <v>25</v>
      </c>
      <c r="N2406" s="193">
        <f t="shared" si="112"/>
        <v>0.78846153846153844</v>
      </c>
      <c r="O2406" s="194">
        <f t="shared" si="113"/>
        <v>3.1538461538461536E-2</v>
      </c>
    </row>
    <row r="2407" spans="1:15" ht="12.75" customHeight="1">
      <c r="A2407" s="188" t="s">
        <v>620</v>
      </c>
      <c r="B2407" s="188" t="s">
        <v>3787</v>
      </c>
      <c r="C2407" s="188" t="s">
        <v>659</v>
      </c>
      <c r="D2407" s="188" t="s">
        <v>3911</v>
      </c>
      <c r="E2407" s="189">
        <v>39240</v>
      </c>
      <c r="F2407" s="190">
        <v>0</v>
      </c>
      <c r="G2407" s="190">
        <v>64</v>
      </c>
      <c r="H2407" s="191">
        <v>600</v>
      </c>
      <c r="I2407" s="191">
        <v>450</v>
      </c>
      <c r="J2407" s="188" t="s">
        <v>624</v>
      </c>
      <c r="K2407" s="188" t="s">
        <v>667</v>
      </c>
      <c r="L2407" s="188" t="s">
        <v>636</v>
      </c>
      <c r="M2407" s="192">
        <f t="shared" si="111"/>
        <v>19</v>
      </c>
      <c r="N2407" s="193">
        <f t="shared" si="112"/>
        <v>0.6</v>
      </c>
      <c r="O2407" s="194">
        <f t="shared" si="113"/>
        <v>3.1578947368421054E-2</v>
      </c>
    </row>
    <row r="2408" spans="1:15" ht="12.75" customHeight="1">
      <c r="A2408" s="188" t="s">
        <v>620</v>
      </c>
      <c r="B2408" s="188" t="s">
        <v>3787</v>
      </c>
      <c r="C2408" s="188" t="s">
        <v>659</v>
      </c>
      <c r="D2408" s="188" t="s">
        <v>3912</v>
      </c>
      <c r="E2408" s="189">
        <v>39447</v>
      </c>
      <c r="F2408" s="190">
        <v>0</v>
      </c>
      <c r="G2408" s="190">
        <v>76.8</v>
      </c>
      <c r="H2408" s="191">
        <v>950</v>
      </c>
      <c r="I2408" s="191">
        <v>540</v>
      </c>
      <c r="J2408" s="188" t="s">
        <v>624</v>
      </c>
      <c r="K2408" s="188" t="s">
        <v>427</v>
      </c>
      <c r="L2408" s="188" t="s">
        <v>632</v>
      </c>
      <c r="M2408" s="192">
        <f t="shared" si="111"/>
        <v>25</v>
      </c>
      <c r="N2408" s="193">
        <f t="shared" si="112"/>
        <v>0.79166666666666663</v>
      </c>
      <c r="O2408" s="194">
        <f t="shared" si="113"/>
        <v>3.1666666666666662E-2</v>
      </c>
    </row>
    <row r="2409" spans="1:15" ht="12.75" customHeight="1">
      <c r="A2409" s="188" t="s">
        <v>620</v>
      </c>
      <c r="B2409" s="188" t="s">
        <v>3787</v>
      </c>
      <c r="C2409" s="188" t="s">
        <v>659</v>
      </c>
      <c r="D2409" s="188" t="s">
        <v>3913</v>
      </c>
      <c r="E2409" s="189">
        <v>39507</v>
      </c>
      <c r="F2409" s="190">
        <v>0</v>
      </c>
      <c r="G2409" s="190">
        <v>92.16</v>
      </c>
      <c r="H2409" s="191">
        <v>1140</v>
      </c>
      <c r="I2409" s="191">
        <v>648</v>
      </c>
      <c r="J2409" s="188" t="s">
        <v>624</v>
      </c>
      <c r="K2409" s="188" t="s">
        <v>427</v>
      </c>
      <c r="L2409" s="188" t="s">
        <v>682</v>
      </c>
      <c r="M2409" s="192">
        <f t="shared" si="111"/>
        <v>25</v>
      </c>
      <c r="N2409" s="193">
        <f t="shared" si="112"/>
        <v>0.79166666666666663</v>
      </c>
      <c r="O2409" s="194">
        <f t="shared" si="113"/>
        <v>3.1666666666666662E-2</v>
      </c>
    </row>
    <row r="2410" spans="1:15" ht="12.75" customHeight="1">
      <c r="A2410" s="188" t="s">
        <v>620</v>
      </c>
      <c r="B2410" s="188" t="s">
        <v>3787</v>
      </c>
      <c r="C2410" s="188" t="s">
        <v>659</v>
      </c>
      <c r="D2410" s="188" t="s">
        <v>3914</v>
      </c>
      <c r="E2410" s="189">
        <v>39331</v>
      </c>
      <c r="F2410" s="190">
        <v>0</v>
      </c>
      <c r="G2410" s="190">
        <v>76.8</v>
      </c>
      <c r="H2410" s="191">
        <v>950.04</v>
      </c>
      <c r="I2410" s="191">
        <v>540</v>
      </c>
      <c r="J2410" s="188" t="s">
        <v>624</v>
      </c>
      <c r="K2410" s="188" t="s">
        <v>427</v>
      </c>
      <c r="L2410" s="188" t="s">
        <v>632</v>
      </c>
      <c r="M2410" s="192">
        <f t="shared" si="111"/>
        <v>25</v>
      </c>
      <c r="N2410" s="193">
        <f t="shared" si="112"/>
        <v>0.79169999999999996</v>
      </c>
      <c r="O2410" s="194">
        <f t="shared" si="113"/>
        <v>3.1668000000000002E-2</v>
      </c>
    </row>
    <row r="2411" spans="1:15" ht="12.75" customHeight="1">
      <c r="A2411" s="188" t="s">
        <v>620</v>
      </c>
      <c r="B2411" s="188" t="s">
        <v>3787</v>
      </c>
      <c r="C2411" s="188" t="s">
        <v>659</v>
      </c>
      <c r="D2411" s="188" t="s">
        <v>3915</v>
      </c>
      <c r="E2411" s="189">
        <v>39555</v>
      </c>
      <c r="F2411" s="190">
        <v>0</v>
      </c>
      <c r="G2411" s="190">
        <v>104.19</v>
      </c>
      <c r="H2411" s="191">
        <v>1290</v>
      </c>
      <c r="I2411" s="191">
        <v>732.6</v>
      </c>
      <c r="J2411" s="188" t="s">
        <v>624</v>
      </c>
      <c r="K2411" s="188" t="s">
        <v>427</v>
      </c>
      <c r="L2411" s="188" t="s">
        <v>827</v>
      </c>
      <c r="M2411" s="192">
        <f t="shared" si="111"/>
        <v>25</v>
      </c>
      <c r="N2411" s="193">
        <f t="shared" si="112"/>
        <v>0.79238329238329241</v>
      </c>
      <c r="O2411" s="194">
        <f t="shared" si="113"/>
        <v>3.1695331695331695E-2</v>
      </c>
    </row>
    <row r="2412" spans="1:15" ht="12.75" customHeight="1">
      <c r="A2412" s="188" t="s">
        <v>620</v>
      </c>
      <c r="B2412" s="188" t="s">
        <v>3787</v>
      </c>
      <c r="C2412" s="188" t="s">
        <v>659</v>
      </c>
      <c r="D2412" s="188" t="s">
        <v>3916</v>
      </c>
      <c r="E2412" s="189">
        <v>39632</v>
      </c>
      <c r="F2412" s="190">
        <v>0</v>
      </c>
      <c r="G2412" s="190">
        <v>86.4</v>
      </c>
      <c r="H2412" s="191">
        <v>1071</v>
      </c>
      <c r="I2412" s="191">
        <v>607.5</v>
      </c>
      <c r="J2412" s="188" t="s">
        <v>624</v>
      </c>
      <c r="K2412" s="188" t="s">
        <v>427</v>
      </c>
      <c r="L2412" s="188" t="s">
        <v>707</v>
      </c>
      <c r="M2412" s="192">
        <f t="shared" si="111"/>
        <v>25</v>
      </c>
      <c r="N2412" s="193">
        <f t="shared" si="112"/>
        <v>0.79333333333333333</v>
      </c>
      <c r="O2412" s="194">
        <f t="shared" si="113"/>
        <v>3.1733333333333336E-2</v>
      </c>
    </row>
    <row r="2413" spans="1:15" ht="12.75" customHeight="1">
      <c r="A2413" s="188" t="s">
        <v>620</v>
      </c>
      <c r="B2413" s="188" t="s">
        <v>3787</v>
      </c>
      <c r="C2413" s="188" t="s">
        <v>659</v>
      </c>
      <c r="D2413" s="188" t="s">
        <v>3917</v>
      </c>
      <c r="E2413" s="189">
        <v>39289</v>
      </c>
      <c r="F2413" s="190">
        <v>0</v>
      </c>
      <c r="G2413" s="190">
        <v>96</v>
      </c>
      <c r="H2413" s="191">
        <v>1000.05</v>
      </c>
      <c r="I2413" s="191">
        <v>675</v>
      </c>
      <c r="J2413" s="188" t="s">
        <v>624</v>
      </c>
      <c r="K2413" s="188" t="s">
        <v>1344</v>
      </c>
      <c r="L2413" s="188" t="s">
        <v>746</v>
      </c>
      <c r="M2413" s="192">
        <f t="shared" si="111"/>
        <v>21</v>
      </c>
      <c r="N2413" s="193">
        <f t="shared" si="112"/>
        <v>0.66669999999999996</v>
      </c>
      <c r="O2413" s="194">
        <f t="shared" si="113"/>
        <v>3.1747619047619045E-2</v>
      </c>
    </row>
    <row r="2414" spans="1:15" ht="12.75" customHeight="1">
      <c r="A2414" s="188" t="s">
        <v>620</v>
      </c>
      <c r="B2414" s="188" t="s">
        <v>3787</v>
      </c>
      <c r="C2414" s="188" t="s">
        <v>659</v>
      </c>
      <c r="D2414" s="188" t="s">
        <v>3918</v>
      </c>
      <c r="E2414" s="189">
        <v>39548</v>
      </c>
      <c r="F2414" s="190">
        <v>0</v>
      </c>
      <c r="G2414" s="190">
        <v>76.8</v>
      </c>
      <c r="H2414" s="191">
        <v>955</v>
      </c>
      <c r="I2414" s="191">
        <v>540</v>
      </c>
      <c r="J2414" s="188" t="s">
        <v>624</v>
      </c>
      <c r="K2414" s="188" t="s">
        <v>427</v>
      </c>
      <c r="L2414" s="188" t="s">
        <v>632</v>
      </c>
      <c r="M2414" s="192">
        <f t="shared" si="111"/>
        <v>25</v>
      </c>
      <c r="N2414" s="193">
        <f t="shared" si="112"/>
        <v>0.79583333333333328</v>
      </c>
      <c r="O2414" s="194">
        <f t="shared" si="113"/>
        <v>3.1833333333333332E-2</v>
      </c>
    </row>
    <row r="2415" spans="1:15" ht="12.75" customHeight="1">
      <c r="A2415" s="188" t="s">
        <v>620</v>
      </c>
      <c r="B2415" s="188" t="s">
        <v>3787</v>
      </c>
      <c r="C2415" s="188" t="s">
        <v>659</v>
      </c>
      <c r="D2415" s="188" t="s">
        <v>3919</v>
      </c>
      <c r="E2415" s="189">
        <v>39422</v>
      </c>
      <c r="F2415" s="190">
        <v>0</v>
      </c>
      <c r="G2415" s="190">
        <v>100.48</v>
      </c>
      <c r="H2415" s="191">
        <v>1250</v>
      </c>
      <c r="I2415" s="191">
        <v>706.5</v>
      </c>
      <c r="J2415" s="188" t="s">
        <v>624</v>
      </c>
      <c r="K2415" s="188" t="s">
        <v>427</v>
      </c>
      <c r="L2415" s="188" t="s">
        <v>3920</v>
      </c>
      <c r="M2415" s="192">
        <f t="shared" si="111"/>
        <v>25</v>
      </c>
      <c r="N2415" s="193">
        <f t="shared" si="112"/>
        <v>0.79617834394904463</v>
      </c>
      <c r="O2415" s="194">
        <f t="shared" si="113"/>
        <v>3.1847133757961783E-2</v>
      </c>
    </row>
    <row r="2416" spans="1:15" ht="12.75" customHeight="1">
      <c r="A2416" s="188" t="s">
        <v>620</v>
      </c>
      <c r="B2416" s="188" t="s">
        <v>3787</v>
      </c>
      <c r="C2416" s="188" t="s">
        <v>659</v>
      </c>
      <c r="D2416" s="188" t="s">
        <v>3921</v>
      </c>
      <c r="E2416" s="189">
        <v>39471</v>
      </c>
      <c r="F2416" s="190">
        <v>0</v>
      </c>
      <c r="G2416" s="190">
        <v>46.08</v>
      </c>
      <c r="H2416" s="191">
        <v>575</v>
      </c>
      <c r="I2416" s="191">
        <v>324</v>
      </c>
      <c r="J2416" s="188" t="s">
        <v>624</v>
      </c>
      <c r="K2416" s="188" t="s">
        <v>427</v>
      </c>
      <c r="L2416" s="188" t="s">
        <v>313</v>
      </c>
      <c r="M2416" s="192">
        <f t="shared" si="111"/>
        <v>25</v>
      </c>
      <c r="N2416" s="193">
        <f t="shared" si="112"/>
        <v>0.79861111111111116</v>
      </c>
      <c r="O2416" s="194">
        <f t="shared" si="113"/>
        <v>3.1944444444444449E-2</v>
      </c>
    </row>
    <row r="2417" spans="1:15" ht="12.75" customHeight="1">
      <c r="A2417" s="188" t="s">
        <v>620</v>
      </c>
      <c r="B2417" s="188" t="s">
        <v>3787</v>
      </c>
      <c r="C2417" s="188" t="s">
        <v>659</v>
      </c>
      <c r="D2417" s="188" t="s">
        <v>3922</v>
      </c>
      <c r="E2417" s="189">
        <v>39436</v>
      </c>
      <c r="F2417" s="190">
        <v>0</v>
      </c>
      <c r="G2417" s="190">
        <v>96</v>
      </c>
      <c r="H2417" s="191">
        <v>1200</v>
      </c>
      <c r="I2417" s="191">
        <v>675</v>
      </c>
      <c r="J2417" s="188" t="s">
        <v>624</v>
      </c>
      <c r="K2417" s="188" t="s">
        <v>427</v>
      </c>
      <c r="L2417" s="188" t="s">
        <v>746</v>
      </c>
      <c r="M2417" s="192">
        <f t="shared" si="111"/>
        <v>25</v>
      </c>
      <c r="N2417" s="193">
        <f t="shared" si="112"/>
        <v>0.8</v>
      </c>
      <c r="O2417" s="194">
        <f t="shared" si="113"/>
        <v>3.2000000000000001E-2</v>
      </c>
    </row>
    <row r="2418" spans="1:15" ht="12.75" customHeight="1">
      <c r="A2418" s="188" t="s">
        <v>620</v>
      </c>
      <c r="B2418" s="188" t="s">
        <v>3787</v>
      </c>
      <c r="C2418" s="188" t="s">
        <v>659</v>
      </c>
      <c r="D2418" s="188" t="s">
        <v>3923</v>
      </c>
      <c r="E2418" s="189">
        <v>39611</v>
      </c>
      <c r="F2418" s="190">
        <v>0</v>
      </c>
      <c r="G2418" s="190">
        <v>23.94</v>
      </c>
      <c r="H2418" s="191">
        <v>361</v>
      </c>
      <c r="I2418" s="191">
        <v>168.3</v>
      </c>
      <c r="J2418" s="188" t="s">
        <v>624</v>
      </c>
      <c r="K2418" s="188" t="s">
        <v>257</v>
      </c>
      <c r="L2418" s="188" t="s">
        <v>3924</v>
      </c>
      <c r="M2418" s="192">
        <f t="shared" si="111"/>
        <v>30</v>
      </c>
      <c r="N2418" s="193">
        <f t="shared" si="112"/>
        <v>0.96524064171122992</v>
      </c>
      <c r="O2418" s="194">
        <f t="shared" si="113"/>
        <v>3.2174688057040997E-2</v>
      </c>
    </row>
    <row r="2419" spans="1:15" ht="12.75" customHeight="1">
      <c r="A2419" s="188" t="s">
        <v>620</v>
      </c>
      <c r="B2419" s="188" t="s">
        <v>3787</v>
      </c>
      <c r="C2419" s="188" t="s">
        <v>659</v>
      </c>
      <c r="D2419" s="188" t="s">
        <v>3925</v>
      </c>
      <c r="E2419" s="189">
        <v>39555</v>
      </c>
      <c r="F2419" s="190">
        <v>0</v>
      </c>
      <c r="G2419" s="190">
        <v>57.34</v>
      </c>
      <c r="H2419" s="191">
        <v>722</v>
      </c>
      <c r="I2419" s="191">
        <v>403.2</v>
      </c>
      <c r="J2419" s="188" t="s">
        <v>624</v>
      </c>
      <c r="K2419" s="188" t="s">
        <v>427</v>
      </c>
      <c r="L2419" s="188" t="s">
        <v>654</v>
      </c>
      <c r="M2419" s="192">
        <f t="shared" si="111"/>
        <v>25</v>
      </c>
      <c r="N2419" s="193">
        <f t="shared" si="112"/>
        <v>0.8058035714285714</v>
      </c>
      <c r="O2419" s="194">
        <f t="shared" si="113"/>
        <v>3.2232142857142855E-2</v>
      </c>
    </row>
    <row r="2420" spans="1:15" ht="12.75" customHeight="1">
      <c r="A2420" s="188" t="s">
        <v>620</v>
      </c>
      <c r="B2420" s="188" t="s">
        <v>3787</v>
      </c>
      <c r="C2420" s="188" t="s">
        <v>659</v>
      </c>
      <c r="D2420" s="188" t="s">
        <v>3926</v>
      </c>
      <c r="E2420" s="189">
        <v>39240</v>
      </c>
      <c r="F2420" s="190">
        <v>0</v>
      </c>
      <c r="G2420" s="190">
        <v>83.2</v>
      </c>
      <c r="H2420" s="191">
        <v>1050.01</v>
      </c>
      <c r="I2420" s="191">
        <v>585</v>
      </c>
      <c r="J2420" s="188" t="s">
        <v>624</v>
      </c>
      <c r="K2420" s="188" t="s">
        <v>427</v>
      </c>
      <c r="L2420" s="188" t="s">
        <v>699</v>
      </c>
      <c r="M2420" s="192">
        <f t="shared" si="111"/>
        <v>25</v>
      </c>
      <c r="N2420" s="193">
        <f t="shared" si="112"/>
        <v>0.80769999999999997</v>
      </c>
      <c r="O2420" s="194">
        <f t="shared" si="113"/>
        <v>3.2307999999999996E-2</v>
      </c>
    </row>
    <row r="2421" spans="1:15" ht="12.75" customHeight="1">
      <c r="A2421" s="188" t="s">
        <v>620</v>
      </c>
      <c r="B2421" s="188" t="s">
        <v>3787</v>
      </c>
      <c r="C2421" s="188" t="s">
        <v>659</v>
      </c>
      <c r="D2421" s="188" t="s">
        <v>3927</v>
      </c>
      <c r="E2421" s="189">
        <v>39576</v>
      </c>
      <c r="F2421" s="190">
        <v>0</v>
      </c>
      <c r="G2421" s="190">
        <v>70.849999999999994</v>
      </c>
      <c r="H2421" s="191">
        <v>895</v>
      </c>
      <c r="I2421" s="191">
        <v>498.15</v>
      </c>
      <c r="J2421" s="188" t="s">
        <v>624</v>
      </c>
      <c r="K2421" s="188" t="s">
        <v>427</v>
      </c>
      <c r="L2421" s="188" t="s">
        <v>3928</v>
      </c>
      <c r="M2421" s="192">
        <f t="shared" si="111"/>
        <v>25</v>
      </c>
      <c r="N2421" s="193">
        <f t="shared" si="112"/>
        <v>0.8084914182475158</v>
      </c>
      <c r="O2421" s="194">
        <f t="shared" si="113"/>
        <v>3.2339656729900634E-2</v>
      </c>
    </row>
    <row r="2422" spans="1:15" ht="12.75" customHeight="1">
      <c r="A2422" s="188" t="s">
        <v>620</v>
      </c>
      <c r="B2422" s="188" t="s">
        <v>3787</v>
      </c>
      <c r="C2422" s="188" t="s">
        <v>659</v>
      </c>
      <c r="D2422" s="188" t="s">
        <v>3929</v>
      </c>
      <c r="E2422" s="189">
        <v>39447</v>
      </c>
      <c r="F2422" s="190">
        <v>0</v>
      </c>
      <c r="G2422" s="190">
        <v>63.1</v>
      </c>
      <c r="H2422" s="191">
        <v>800</v>
      </c>
      <c r="I2422" s="191">
        <v>443.7</v>
      </c>
      <c r="J2422" s="188" t="s">
        <v>624</v>
      </c>
      <c r="K2422" s="188" t="s">
        <v>427</v>
      </c>
      <c r="L2422" s="188" t="s">
        <v>3930</v>
      </c>
      <c r="M2422" s="192">
        <f t="shared" si="111"/>
        <v>25</v>
      </c>
      <c r="N2422" s="193">
        <f t="shared" si="112"/>
        <v>0.81135902636916835</v>
      </c>
      <c r="O2422" s="194">
        <f t="shared" si="113"/>
        <v>3.2454361054766734E-2</v>
      </c>
    </row>
    <row r="2423" spans="1:15" ht="12.75" customHeight="1">
      <c r="A2423" s="188" t="s">
        <v>620</v>
      </c>
      <c r="B2423" s="188" t="s">
        <v>3787</v>
      </c>
      <c r="C2423" s="188" t="s">
        <v>659</v>
      </c>
      <c r="D2423" s="188" t="s">
        <v>3931</v>
      </c>
      <c r="E2423" s="189">
        <v>39555</v>
      </c>
      <c r="F2423" s="190">
        <v>0</v>
      </c>
      <c r="G2423" s="190">
        <v>196.16</v>
      </c>
      <c r="H2423" s="191">
        <v>2495</v>
      </c>
      <c r="I2423" s="191">
        <v>1379.25</v>
      </c>
      <c r="J2423" s="188" t="s">
        <v>624</v>
      </c>
      <c r="K2423" s="188" t="s">
        <v>427</v>
      </c>
      <c r="L2423" s="188" t="s">
        <v>3932</v>
      </c>
      <c r="M2423" s="192">
        <f t="shared" si="111"/>
        <v>25</v>
      </c>
      <c r="N2423" s="193">
        <f t="shared" si="112"/>
        <v>0.81402936378466562</v>
      </c>
      <c r="O2423" s="194">
        <f t="shared" si="113"/>
        <v>3.2561174551386622E-2</v>
      </c>
    </row>
    <row r="2424" spans="1:15" ht="12.75" customHeight="1">
      <c r="A2424" s="188" t="s">
        <v>620</v>
      </c>
      <c r="B2424" s="188" t="s">
        <v>3787</v>
      </c>
      <c r="C2424" s="188" t="s">
        <v>659</v>
      </c>
      <c r="D2424" s="188" t="s">
        <v>3933</v>
      </c>
      <c r="E2424" s="189">
        <v>39373</v>
      </c>
      <c r="F2424" s="190">
        <v>0</v>
      </c>
      <c r="G2424" s="190">
        <v>54.14</v>
      </c>
      <c r="H2424" s="191">
        <v>690</v>
      </c>
      <c r="I2424" s="191">
        <v>380.7</v>
      </c>
      <c r="J2424" s="188" t="s">
        <v>624</v>
      </c>
      <c r="K2424" s="188" t="s">
        <v>427</v>
      </c>
      <c r="L2424" s="188" t="s">
        <v>1005</v>
      </c>
      <c r="M2424" s="192">
        <f t="shared" si="111"/>
        <v>25</v>
      </c>
      <c r="N2424" s="193">
        <f t="shared" si="112"/>
        <v>0.81560283687943258</v>
      </c>
      <c r="O2424" s="194">
        <f t="shared" si="113"/>
        <v>3.2624113475177303E-2</v>
      </c>
    </row>
    <row r="2425" spans="1:15" ht="12.75" customHeight="1">
      <c r="A2425" s="188" t="s">
        <v>620</v>
      </c>
      <c r="B2425" s="188" t="s">
        <v>3787</v>
      </c>
      <c r="C2425" s="188" t="s">
        <v>659</v>
      </c>
      <c r="D2425" s="188" t="s">
        <v>3934</v>
      </c>
      <c r="E2425" s="189">
        <v>39625</v>
      </c>
      <c r="F2425" s="190">
        <v>0</v>
      </c>
      <c r="G2425" s="190">
        <v>96</v>
      </c>
      <c r="H2425" s="191">
        <v>1230</v>
      </c>
      <c r="I2425" s="191">
        <v>675</v>
      </c>
      <c r="J2425" s="188" t="s">
        <v>624</v>
      </c>
      <c r="K2425" s="188" t="s">
        <v>427</v>
      </c>
      <c r="L2425" s="188" t="s">
        <v>746</v>
      </c>
      <c r="M2425" s="192">
        <f t="shared" si="111"/>
        <v>25</v>
      </c>
      <c r="N2425" s="193">
        <f t="shared" si="112"/>
        <v>0.82</v>
      </c>
      <c r="O2425" s="194">
        <f t="shared" si="113"/>
        <v>3.2799999999999996E-2</v>
      </c>
    </row>
    <row r="2426" spans="1:15" ht="12.75" customHeight="1">
      <c r="A2426" s="188" t="s">
        <v>620</v>
      </c>
      <c r="B2426" s="188" t="s">
        <v>3787</v>
      </c>
      <c r="C2426" s="188" t="s">
        <v>659</v>
      </c>
      <c r="D2426" s="188" t="s">
        <v>3935</v>
      </c>
      <c r="E2426" s="189">
        <v>39471</v>
      </c>
      <c r="F2426" s="190">
        <v>0</v>
      </c>
      <c r="G2426" s="190">
        <v>118.78</v>
      </c>
      <c r="H2426" s="191">
        <v>1525</v>
      </c>
      <c r="I2426" s="191">
        <v>835.2</v>
      </c>
      <c r="J2426" s="188" t="s">
        <v>624</v>
      </c>
      <c r="K2426" s="188" t="s">
        <v>427</v>
      </c>
      <c r="L2426" s="188" t="s">
        <v>1034</v>
      </c>
      <c r="M2426" s="192">
        <f t="shared" si="111"/>
        <v>25</v>
      </c>
      <c r="N2426" s="193">
        <f t="shared" si="112"/>
        <v>0.82165948275862066</v>
      </c>
      <c r="O2426" s="194">
        <f t="shared" si="113"/>
        <v>3.2866379310344827E-2</v>
      </c>
    </row>
    <row r="2427" spans="1:15" ht="12.75" customHeight="1">
      <c r="A2427" s="188" t="s">
        <v>620</v>
      </c>
      <c r="B2427" s="188" t="s">
        <v>3787</v>
      </c>
      <c r="C2427" s="188" t="s">
        <v>659</v>
      </c>
      <c r="D2427" s="188" t="s">
        <v>3936</v>
      </c>
      <c r="E2427" s="189">
        <v>39352</v>
      </c>
      <c r="F2427" s="190">
        <v>0</v>
      </c>
      <c r="G2427" s="190">
        <v>76.8</v>
      </c>
      <c r="H2427" s="191">
        <v>986</v>
      </c>
      <c r="I2427" s="191">
        <v>540</v>
      </c>
      <c r="J2427" s="188" t="s">
        <v>624</v>
      </c>
      <c r="K2427" s="188" t="s">
        <v>427</v>
      </c>
      <c r="L2427" s="188" t="s">
        <v>632</v>
      </c>
      <c r="M2427" s="192">
        <f t="shared" si="111"/>
        <v>25</v>
      </c>
      <c r="N2427" s="193">
        <f t="shared" si="112"/>
        <v>0.82166666666666666</v>
      </c>
      <c r="O2427" s="194">
        <f t="shared" si="113"/>
        <v>3.2866666666666669E-2</v>
      </c>
    </row>
    <row r="2428" spans="1:15" ht="12.75" customHeight="1">
      <c r="A2428" s="188" t="s">
        <v>620</v>
      </c>
      <c r="B2428" s="188" t="s">
        <v>3787</v>
      </c>
      <c r="C2428" s="188" t="s">
        <v>659</v>
      </c>
      <c r="D2428" s="188" t="s">
        <v>3937</v>
      </c>
      <c r="E2428" s="189">
        <v>39527</v>
      </c>
      <c r="F2428" s="190">
        <v>0</v>
      </c>
      <c r="G2428" s="190">
        <v>35.840000000000003</v>
      </c>
      <c r="H2428" s="191">
        <v>553</v>
      </c>
      <c r="I2428" s="191">
        <v>252</v>
      </c>
      <c r="J2428" s="188" t="s">
        <v>624</v>
      </c>
      <c r="K2428" s="188" t="s">
        <v>257</v>
      </c>
      <c r="L2428" s="188" t="s">
        <v>2142</v>
      </c>
      <c r="M2428" s="192">
        <f t="shared" si="111"/>
        <v>30</v>
      </c>
      <c r="N2428" s="193">
        <f t="shared" si="112"/>
        <v>0.98750000000000004</v>
      </c>
      <c r="O2428" s="194">
        <f t="shared" si="113"/>
        <v>3.291666666666667E-2</v>
      </c>
    </row>
    <row r="2429" spans="1:15" ht="12.75" customHeight="1">
      <c r="A2429" s="188" t="s">
        <v>620</v>
      </c>
      <c r="B2429" s="188" t="s">
        <v>3787</v>
      </c>
      <c r="C2429" s="188" t="s">
        <v>659</v>
      </c>
      <c r="D2429" s="188" t="s">
        <v>3938</v>
      </c>
      <c r="E2429" s="189">
        <v>39422</v>
      </c>
      <c r="F2429" s="190">
        <v>0</v>
      </c>
      <c r="G2429" s="190">
        <v>71.680000000000007</v>
      </c>
      <c r="H2429" s="191">
        <v>1110</v>
      </c>
      <c r="I2429" s="191">
        <v>504</v>
      </c>
      <c r="J2429" s="188" t="s">
        <v>624</v>
      </c>
      <c r="K2429" s="188" t="s">
        <v>257</v>
      </c>
      <c r="L2429" s="188" t="s">
        <v>825</v>
      </c>
      <c r="M2429" s="192">
        <f t="shared" si="111"/>
        <v>30</v>
      </c>
      <c r="N2429" s="193">
        <f t="shared" si="112"/>
        <v>0.9910714285714286</v>
      </c>
      <c r="O2429" s="194">
        <f t="shared" si="113"/>
        <v>3.3035714285714286E-2</v>
      </c>
    </row>
    <row r="2430" spans="1:15" ht="12.75" customHeight="1">
      <c r="A2430" s="188" t="s">
        <v>620</v>
      </c>
      <c r="B2430" s="188" t="s">
        <v>3787</v>
      </c>
      <c r="C2430" s="188" t="s">
        <v>659</v>
      </c>
      <c r="D2430" s="188" t="s">
        <v>3939</v>
      </c>
      <c r="E2430" s="189">
        <v>39471</v>
      </c>
      <c r="F2430" s="190">
        <v>0</v>
      </c>
      <c r="G2430" s="190">
        <v>15.36</v>
      </c>
      <c r="H2430" s="191">
        <v>198.31</v>
      </c>
      <c r="I2430" s="191">
        <v>108</v>
      </c>
      <c r="J2430" s="188" t="s">
        <v>624</v>
      </c>
      <c r="K2430" s="188" t="s">
        <v>427</v>
      </c>
      <c r="L2430" s="188" t="s">
        <v>3940</v>
      </c>
      <c r="M2430" s="192">
        <f t="shared" si="111"/>
        <v>25</v>
      </c>
      <c r="N2430" s="193">
        <f t="shared" si="112"/>
        <v>0.82629166666666665</v>
      </c>
      <c r="O2430" s="194">
        <f t="shared" si="113"/>
        <v>3.3051666666666667E-2</v>
      </c>
    </row>
    <row r="2431" spans="1:15" ht="12.75" customHeight="1">
      <c r="A2431" s="188" t="s">
        <v>620</v>
      </c>
      <c r="B2431" s="188" t="s">
        <v>3787</v>
      </c>
      <c r="C2431" s="188" t="s">
        <v>659</v>
      </c>
      <c r="D2431" s="188" t="s">
        <v>3941</v>
      </c>
      <c r="E2431" s="189">
        <v>39618</v>
      </c>
      <c r="F2431" s="190">
        <v>0</v>
      </c>
      <c r="G2431" s="190">
        <v>30.98</v>
      </c>
      <c r="H2431" s="191">
        <v>400</v>
      </c>
      <c r="I2431" s="191">
        <v>217.8</v>
      </c>
      <c r="J2431" s="188" t="s">
        <v>624</v>
      </c>
      <c r="K2431" s="188" t="s">
        <v>427</v>
      </c>
      <c r="L2431" s="188" t="s">
        <v>3942</v>
      </c>
      <c r="M2431" s="192">
        <f t="shared" si="111"/>
        <v>25</v>
      </c>
      <c r="N2431" s="193">
        <f t="shared" si="112"/>
        <v>0.82644628099173556</v>
      </c>
      <c r="O2431" s="194">
        <f t="shared" si="113"/>
        <v>3.3057851239669422E-2</v>
      </c>
    </row>
    <row r="2432" spans="1:15" ht="12.75" customHeight="1">
      <c r="A2432" s="188" t="s">
        <v>620</v>
      </c>
      <c r="B2432" s="188" t="s">
        <v>3787</v>
      </c>
      <c r="C2432" s="188" t="s">
        <v>659</v>
      </c>
      <c r="D2432" s="188" t="s">
        <v>3943</v>
      </c>
      <c r="E2432" s="189">
        <v>39373</v>
      </c>
      <c r="F2432" s="190">
        <v>0</v>
      </c>
      <c r="G2432" s="190">
        <v>119.94</v>
      </c>
      <c r="H2432" s="191">
        <v>1550</v>
      </c>
      <c r="I2432" s="191">
        <v>843.3</v>
      </c>
      <c r="J2432" s="188" t="s">
        <v>624</v>
      </c>
      <c r="K2432" s="188" t="s">
        <v>427</v>
      </c>
      <c r="L2432" s="188" t="s">
        <v>3944</v>
      </c>
      <c r="M2432" s="192">
        <f t="shared" si="111"/>
        <v>25</v>
      </c>
      <c r="N2432" s="193">
        <f t="shared" si="112"/>
        <v>0.82710779082177166</v>
      </c>
      <c r="O2432" s="194">
        <f t="shared" si="113"/>
        <v>3.3084311632870865E-2</v>
      </c>
    </row>
    <row r="2433" spans="1:15" ht="12.75" customHeight="1">
      <c r="A2433" s="188" t="s">
        <v>620</v>
      </c>
      <c r="B2433" s="188" t="s">
        <v>3787</v>
      </c>
      <c r="C2433" s="188" t="s">
        <v>659</v>
      </c>
      <c r="D2433" s="188" t="s">
        <v>3945</v>
      </c>
      <c r="E2433" s="189">
        <v>39275</v>
      </c>
      <c r="F2433" s="190">
        <v>0</v>
      </c>
      <c r="G2433" s="190">
        <v>64</v>
      </c>
      <c r="H2433" s="191">
        <v>830</v>
      </c>
      <c r="I2433" s="191">
        <v>450</v>
      </c>
      <c r="J2433" s="188" t="s">
        <v>624</v>
      </c>
      <c r="K2433" s="188" t="s">
        <v>427</v>
      </c>
      <c r="L2433" s="188" t="s">
        <v>636</v>
      </c>
      <c r="M2433" s="192">
        <f t="shared" si="111"/>
        <v>25</v>
      </c>
      <c r="N2433" s="193">
        <f t="shared" si="112"/>
        <v>0.83</v>
      </c>
      <c r="O2433" s="194">
        <f t="shared" si="113"/>
        <v>3.32E-2</v>
      </c>
    </row>
    <row r="2434" spans="1:15" ht="12.75" customHeight="1">
      <c r="A2434" s="188" t="s">
        <v>620</v>
      </c>
      <c r="B2434" s="188" t="s">
        <v>3787</v>
      </c>
      <c r="C2434" s="188" t="s">
        <v>659</v>
      </c>
      <c r="D2434" s="188" t="s">
        <v>3946</v>
      </c>
      <c r="E2434" s="189">
        <v>39324</v>
      </c>
      <c r="F2434" s="190">
        <v>0</v>
      </c>
      <c r="G2434" s="190">
        <v>78.400000000000006</v>
      </c>
      <c r="H2434" s="191">
        <v>1020.06</v>
      </c>
      <c r="I2434" s="191">
        <v>551.25</v>
      </c>
      <c r="J2434" s="188" t="s">
        <v>624</v>
      </c>
      <c r="K2434" s="188" t="s">
        <v>427</v>
      </c>
      <c r="L2434" s="188" t="s">
        <v>1653</v>
      </c>
      <c r="M2434" s="192">
        <f t="shared" ref="M2434:M2497" si="114">K2434-J2434</f>
        <v>25</v>
      </c>
      <c r="N2434" s="193">
        <f t="shared" ref="N2434:N2497" si="115">H2434/L2434</f>
        <v>0.83270204081632648</v>
      </c>
      <c r="O2434" s="194">
        <f t="shared" ref="O2434:O2497" si="116">N2434/M2434</f>
        <v>3.3308081632653058E-2</v>
      </c>
    </row>
    <row r="2435" spans="1:15" ht="12.75" customHeight="1">
      <c r="A2435" s="188" t="s">
        <v>620</v>
      </c>
      <c r="B2435" s="188" t="s">
        <v>3787</v>
      </c>
      <c r="C2435" s="188" t="s">
        <v>659</v>
      </c>
      <c r="D2435" s="188" t="s">
        <v>3947</v>
      </c>
      <c r="E2435" s="189">
        <v>39254</v>
      </c>
      <c r="F2435" s="190">
        <v>0</v>
      </c>
      <c r="G2435" s="190">
        <v>44.16</v>
      </c>
      <c r="H2435" s="191">
        <v>574.98</v>
      </c>
      <c r="I2435" s="191">
        <v>310.5</v>
      </c>
      <c r="J2435" s="188" t="s">
        <v>624</v>
      </c>
      <c r="K2435" s="188" t="s">
        <v>427</v>
      </c>
      <c r="L2435" s="188" t="s">
        <v>3292</v>
      </c>
      <c r="M2435" s="192">
        <f t="shared" si="114"/>
        <v>25</v>
      </c>
      <c r="N2435" s="193">
        <f t="shared" si="115"/>
        <v>0.83330434782608698</v>
      </c>
      <c r="O2435" s="194">
        <f t="shared" si="116"/>
        <v>3.3332173913043481E-2</v>
      </c>
    </row>
    <row r="2436" spans="1:15" ht="12.75" customHeight="1">
      <c r="A2436" s="188" t="s">
        <v>620</v>
      </c>
      <c r="B2436" s="188" t="s">
        <v>3787</v>
      </c>
      <c r="C2436" s="188" t="s">
        <v>659</v>
      </c>
      <c r="D2436" s="188" t="s">
        <v>3948</v>
      </c>
      <c r="E2436" s="189">
        <v>39583</v>
      </c>
      <c r="F2436" s="190">
        <v>0</v>
      </c>
      <c r="G2436" s="190">
        <v>51.2</v>
      </c>
      <c r="H2436" s="191">
        <v>800</v>
      </c>
      <c r="I2436" s="191">
        <v>360</v>
      </c>
      <c r="J2436" s="188" t="s">
        <v>624</v>
      </c>
      <c r="K2436" s="188" t="s">
        <v>257</v>
      </c>
      <c r="L2436" s="188" t="s">
        <v>752</v>
      </c>
      <c r="M2436" s="192">
        <f t="shared" si="114"/>
        <v>30</v>
      </c>
      <c r="N2436" s="193">
        <f t="shared" si="115"/>
        <v>1</v>
      </c>
      <c r="O2436" s="194">
        <f t="shared" si="116"/>
        <v>3.3333333333333333E-2</v>
      </c>
    </row>
    <row r="2437" spans="1:15" ht="12.75" customHeight="1">
      <c r="A2437" s="188" t="s">
        <v>620</v>
      </c>
      <c r="B2437" s="188" t="s">
        <v>3787</v>
      </c>
      <c r="C2437" s="188" t="s">
        <v>659</v>
      </c>
      <c r="D2437" s="188" t="s">
        <v>3949</v>
      </c>
      <c r="E2437" s="189">
        <v>39632</v>
      </c>
      <c r="F2437" s="190">
        <v>0</v>
      </c>
      <c r="G2437" s="190">
        <v>9.6</v>
      </c>
      <c r="H2437" s="191">
        <v>150</v>
      </c>
      <c r="I2437" s="191">
        <v>67.5</v>
      </c>
      <c r="J2437" s="188" t="s">
        <v>624</v>
      </c>
      <c r="K2437" s="188" t="s">
        <v>257</v>
      </c>
      <c r="L2437" s="188" t="s">
        <v>3950</v>
      </c>
      <c r="M2437" s="192">
        <f t="shared" si="114"/>
        <v>30</v>
      </c>
      <c r="N2437" s="193">
        <f t="shared" si="115"/>
        <v>1</v>
      </c>
      <c r="O2437" s="194">
        <f t="shared" si="116"/>
        <v>3.3333333333333333E-2</v>
      </c>
    </row>
    <row r="2438" spans="1:15" ht="12.75" customHeight="1">
      <c r="A2438" s="188" t="s">
        <v>620</v>
      </c>
      <c r="B2438" s="188" t="s">
        <v>3787</v>
      </c>
      <c r="C2438" s="188" t="s">
        <v>659</v>
      </c>
      <c r="D2438" s="188" t="s">
        <v>3951</v>
      </c>
      <c r="E2438" s="189">
        <v>39373</v>
      </c>
      <c r="F2438" s="190">
        <v>0</v>
      </c>
      <c r="G2438" s="190">
        <v>118.08</v>
      </c>
      <c r="H2438" s="191">
        <v>1550</v>
      </c>
      <c r="I2438" s="191">
        <v>830.25</v>
      </c>
      <c r="J2438" s="188" t="s">
        <v>624</v>
      </c>
      <c r="K2438" s="188" t="s">
        <v>427</v>
      </c>
      <c r="L2438" s="188" t="s">
        <v>3952</v>
      </c>
      <c r="M2438" s="192">
        <f t="shared" si="114"/>
        <v>25</v>
      </c>
      <c r="N2438" s="193">
        <f t="shared" si="115"/>
        <v>0.84010840108401086</v>
      </c>
      <c r="O2438" s="194">
        <f t="shared" si="116"/>
        <v>3.3604336043360432E-2</v>
      </c>
    </row>
    <row r="2439" spans="1:15" ht="12.75" customHeight="1">
      <c r="A2439" s="188" t="s">
        <v>620</v>
      </c>
      <c r="B2439" s="188" t="s">
        <v>3787</v>
      </c>
      <c r="C2439" s="188" t="s">
        <v>659</v>
      </c>
      <c r="D2439" s="188" t="s">
        <v>3953</v>
      </c>
      <c r="E2439" s="189">
        <v>39415</v>
      </c>
      <c r="F2439" s="190">
        <v>0</v>
      </c>
      <c r="G2439" s="190">
        <v>70.400000000000006</v>
      </c>
      <c r="H2439" s="191">
        <v>925</v>
      </c>
      <c r="I2439" s="191">
        <v>495</v>
      </c>
      <c r="J2439" s="188" t="s">
        <v>624</v>
      </c>
      <c r="K2439" s="188" t="s">
        <v>427</v>
      </c>
      <c r="L2439" s="188" t="s">
        <v>557</v>
      </c>
      <c r="M2439" s="192">
        <f t="shared" si="114"/>
        <v>25</v>
      </c>
      <c r="N2439" s="193">
        <f t="shared" si="115"/>
        <v>0.84090909090909094</v>
      </c>
      <c r="O2439" s="194">
        <f t="shared" si="116"/>
        <v>3.3636363636363638E-2</v>
      </c>
    </row>
    <row r="2440" spans="1:15" ht="12.75" customHeight="1">
      <c r="A2440" s="188" t="s">
        <v>620</v>
      </c>
      <c r="B2440" s="188" t="s">
        <v>3787</v>
      </c>
      <c r="C2440" s="188" t="s">
        <v>659</v>
      </c>
      <c r="D2440" s="188" t="s">
        <v>3954</v>
      </c>
      <c r="E2440" s="189">
        <v>39447</v>
      </c>
      <c r="F2440" s="190">
        <v>0</v>
      </c>
      <c r="G2440" s="190">
        <v>11.26</v>
      </c>
      <c r="H2440" s="191">
        <v>148</v>
      </c>
      <c r="I2440" s="191">
        <v>79.2</v>
      </c>
      <c r="J2440" s="188" t="s">
        <v>624</v>
      </c>
      <c r="K2440" s="188" t="s">
        <v>427</v>
      </c>
      <c r="L2440" s="188" t="s">
        <v>3955</v>
      </c>
      <c r="M2440" s="192">
        <f t="shared" si="114"/>
        <v>25</v>
      </c>
      <c r="N2440" s="193">
        <f t="shared" si="115"/>
        <v>0.84090909090909094</v>
      </c>
      <c r="O2440" s="194">
        <f t="shared" si="116"/>
        <v>3.3636363636363638E-2</v>
      </c>
    </row>
    <row r="2441" spans="1:15" ht="12.75" customHeight="1">
      <c r="A2441" s="188" t="s">
        <v>620</v>
      </c>
      <c r="B2441" s="188" t="s">
        <v>3787</v>
      </c>
      <c r="C2441" s="188" t="s">
        <v>659</v>
      </c>
      <c r="D2441" s="188" t="s">
        <v>3956</v>
      </c>
      <c r="E2441" s="189">
        <v>39562</v>
      </c>
      <c r="F2441" s="190">
        <v>0</v>
      </c>
      <c r="G2441" s="190">
        <v>81.73</v>
      </c>
      <c r="H2441" s="191">
        <v>1290</v>
      </c>
      <c r="I2441" s="191">
        <v>574.65</v>
      </c>
      <c r="J2441" s="188" t="s">
        <v>624</v>
      </c>
      <c r="K2441" s="188" t="s">
        <v>257</v>
      </c>
      <c r="L2441" s="188" t="s">
        <v>3957</v>
      </c>
      <c r="M2441" s="192">
        <f t="shared" si="114"/>
        <v>30</v>
      </c>
      <c r="N2441" s="193">
        <f t="shared" si="115"/>
        <v>1.0101801096319498</v>
      </c>
      <c r="O2441" s="194">
        <f t="shared" si="116"/>
        <v>3.3672670321064996E-2</v>
      </c>
    </row>
    <row r="2442" spans="1:15" ht="12.75" customHeight="1">
      <c r="A2442" s="188" t="s">
        <v>620</v>
      </c>
      <c r="B2442" s="188" t="s">
        <v>3787</v>
      </c>
      <c r="C2442" s="188" t="s">
        <v>659</v>
      </c>
      <c r="D2442" s="188" t="s">
        <v>3958</v>
      </c>
      <c r="E2442" s="189">
        <v>39478</v>
      </c>
      <c r="F2442" s="190">
        <v>0</v>
      </c>
      <c r="G2442" s="190">
        <v>81.92</v>
      </c>
      <c r="H2442" s="191">
        <v>1080</v>
      </c>
      <c r="I2442" s="191">
        <v>576</v>
      </c>
      <c r="J2442" s="188" t="s">
        <v>624</v>
      </c>
      <c r="K2442" s="188" t="s">
        <v>427</v>
      </c>
      <c r="L2442" s="188" t="s">
        <v>994</v>
      </c>
      <c r="M2442" s="192">
        <f t="shared" si="114"/>
        <v>25</v>
      </c>
      <c r="N2442" s="193">
        <f t="shared" si="115"/>
        <v>0.84375</v>
      </c>
      <c r="O2442" s="194">
        <f t="shared" si="116"/>
        <v>3.3750000000000002E-2</v>
      </c>
    </row>
    <row r="2443" spans="1:15" ht="12.75" customHeight="1">
      <c r="A2443" s="188" t="s">
        <v>620</v>
      </c>
      <c r="B2443" s="188" t="s">
        <v>3787</v>
      </c>
      <c r="C2443" s="188" t="s">
        <v>659</v>
      </c>
      <c r="D2443" s="188" t="s">
        <v>3959</v>
      </c>
      <c r="E2443" s="189">
        <v>39471</v>
      </c>
      <c r="F2443" s="190">
        <v>0</v>
      </c>
      <c r="G2443" s="190">
        <v>57.6</v>
      </c>
      <c r="H2443" s="191">
        <v>760</v>
      </c>
      <c r="I2443" s="191">
        <v>405</v>
      </c>
      <c r="J2443" s="188" t="s">
        <v>624</v>
      </c>
      <c r="K2443" s="188" t="s">
        <v>427</v>
      </c>
      <c r="L2443" s="188" t="s">
        <v>740</v>
      </c>
      <c r="M2443" s="192">
        <f t="shared" si="114"/>
        <v>25</v>
      </c>
      <c r="N2443" s="193">
        <f t="shared" si="115"/>
        <v>0.84444444444444444</v>
      </c>
      <c r="O2443" s="194">
        <f t="shared" si="116"/>
        <v>3.3777777777777775E-2</v>
      </c>
    </row>
    <row r="2444" spans="1:15" ht="12.75" customHeight="1">
      <c r="A2444" s="188" t="s">
        <v>620</v>
      </c>
      <c r="B2444" s="188" t="s">
        <v>3787</v>
      </c>
      <c r="C2444" s="188" t="s">
        <v>659</v>
      </c>
      <c r="D2444" s="188" t="s">
        <v>3960</v>
      </c>
      <c r="E2444" s="189">
        <v>39289</v>
      </c>
      <c r="F2444" s="190">
        <v>0</v>
      </c>
      <c r="G2444" s="190">
        <v>96</v>
      </c>
      <c r="H2444" s="191">
        <v>1275</v>
      </c>
      <c r="I2444" s="191">
        <v>675</v>
      </c>
      <c r="J2444" s="188" t="s">
        <v>624</v>
      </c>
      <c r="K2444" s="188" t="s">
        <v>427</v>
      </c>
      <c r="L2444" s="188" t="s">
        <v>746</v>
      </c>
      <c r="M2444" s="192">
        <f t="shared" si="114"/>
        <v>25</v>
      </c>
      <c r="N2444" s="193">
        <f t="shared" si="115"/>
        <v>0.85</v>
      </c>
      <c r="O2444" s="194">
        <f t="shared" si="116"/>
        <v>3.4000000000000002E-2</v>
      </c>
    </row>
    <row r="2445" spans="1:15" ht="12.75" customHeight="1">
      <c r="A2445" s="188" t="s">
        <v>620</v>
      </c>
      <c r="B2445" s="188" t="s">
        <v>3787</v>
      </c>
      <c r="C2445" s="188" t="s">
        <v>659</v>
      </c>
      <c r="D2445" s="188" t="s">
        <v>3961</v>
      </c>
      <c r="E2445" s="189">
        <v>39436</v>
      </c>
      <c r="F2445" s="190">
        <v>0</v>
      </c>
      <c r="G2445" s="190">
        <v>97.6</v>
      </c>
      <c r="H2445" s="191">
        <v>1300</v>
      </c>
      <c r="I2445" s="191">
        <v>686.25</v>
      </c>
      <c r="J2445" s="188" t="s">
        <v>624</v>
      </c>
      <c r="K2445" s="188" t="s">
        <v>427</v>
      </c>
      <c r="L2445" s="188" t="s">
        <v>1533</v>
      </c>
      <c r="M2445" s="192">
        <f t="shared" si="114"/>
        <v>25</v>
      </c>
      <c r="N2445" s="193">
        <f t="shared" si="115"/>
        <v>0.85245901639344257</v>
      </c>
      <c r="O2445" s="194">
        <f t="shared" si="116"/>
        <v>3.4098360655737701E-2</v>
      </c>
    </row>
    <row r="2446" spans="1:15" ht="12.75" customHeight="1">
      <c r="A2446" s="188" t="s">
        <v>620</v>
      </c>
      <c r="B2446" s="188" t="s">
        <v>3787</v>
      </c>
      <c r="C2446" s="188" t="s">
        <v>659</v>
      </c>
      <c r="D2446" s="188" t="s">
        <v>3962</v>
      </c>
      <c r="E2446" s="189">
        <v>39317</v>
      </c>
      <c r="F2446" s="190">
        <v>0</v>
      </c>
      <c r="G2446" s="190">
        <v>89.98</v>
      </c>
      <c r="H2446" s="191">
        <v>1200.02</v>
      </c>
      <c r="I2446" s="191">
        <v>632.70000000000005</v>
      </c>
      <c r="J2446" s="188" t="s">
        <v>624</v>
      </c>
      <c r="K2446" s="188" t="s">
        <v>427</v>
      </c>
      <c r="L2446" s="188" t="s">
        <v>3963</v>
      </c>
      <c r="M2446" s="192">
        <f t="shared" si="114"/>
        <v>25</v>
      </c>
      <c r="N2446" s="193">
        <f t="shared" si="115"/>
        <v>0.85349928876244663</v>
      </c>
      <c r="O2446" s="194">
        <f t="shared" si="116"/>
        <v>3.4139971550497868E-2</v>
      </c>
    </row>
    <row r="2447" spans="1:15" ht="12.75" customHeight="1">
      <c r="A2447" s="188" t="s">
        <v>620</v>
      </c>
      <c r="B2447" s="188" t="s">
        <v>3787</v>
      </c>
      <c r="C2447" s="188" t="s">
        <v>659</v>
      </c>
      <c r="D2447" s="188" t="s">
        <v>3964</v>
      </c>
      <c r="E2447" s="189">
        <v>39415</v>
      </c>
      <c r="F2447" s="190">
        <v>0</v>
      </c>
      <c r="G2447" s="190">
        <v>92.16</v>
      </c>
      <c r="H2447" s="191">
        <v>1230</v>
      </c>
      <c r="I2447" s="191">
        <v>648</v>
      </c>
      <c r="J2447" s="188" t="s">
        <v>624</v>
      </c>
      <c r="K2447" s="188" t="s">
        <v>427</v>
      </c>
      <c r="L2447" s="188" t="s">
        <v>682</v>
      </c>
      <c r="M2447" s="192">
        <f t="shared" si="114"/>
        <v>25</v>
      </c>
      <c r="N2447" s="193">
        <f t="shared" si="115"/>
        <v>0.85416666666666663</v>
      </c>
      <c r="O2447" s="194">
        <f t="shared" si="116"/>
        <v>3.4166666666666665E-2</v>
      </c>
    </row>
    <row r="2448" spans="1:15" ht="12.75" customHeight="1">
      <c r="A2448" s="188" t="s">
        <v>620</v>
      </c>
      <c r="B2448" s="188" t="s">
        <v>3787</v>
      </c>
      <c r="C2448" s="188" t="s">
        <v>659</v>
      </c>
      <c r="D2448" s="188" t="s">
        <v>3965</v>
      </c>
      <c r="E2448" s="189">
        <v>39471</v>
      </c>
      <c r="F2448" s="190">
        <v>0</v>
      </c>
      <c r="G2448" s="190">
        <v>35.200000000000003</v>
      </c>
      <c r="H2448" s="191">
        <v>715</v>
      </c>
      <c r="I2448" s="191">
        <v>247.5</v>
      </c>
      <c r="J2448" s="188" t="s">
        <v>624</v>
      </c>
      <c r="K2448" s="188" t="s">
        <v>338</v>
      </c>
      <c r="L2448" s="188" t="s">
        <v>1873</v>
      </c>
      <c r="M2448" s="192">
        <f t="shared" si="114"/>
        <v>38</v>
      </c>
      <c r="N2448" s="193">
        <f t="shared" si="115"/>
        <v>1.3</v>
      </c>
      <c r="O2448" s="194">
        <f t="shared" si="116"/>
        <v>3.4210526315789476E-2</v>
      </c>
    </row>
    <row r="2449" spans="1:15" ht="12.75" customHeight="1">
      <c r="A2449" s="188" t="s">
        <v>620</v>
      </c>
      <c r="B2449" s="188" t="s">
        <v>3787</v>
      </c>
      <c r="C2449" s="188" t="s">
        <v>659</v>
      </c>
      <c r="D2449" s="188" t="s">
        <v>3966</v>
      </c>
      <c r="E2449" s="189">
        <v>39625</v>
      </c>
      <c r="F2449" s="190">
        <v>0</v>
      </c>
      <c r="G2449" s="190">
        <v>98.37</v>
      </c>
      <c r="H2449" s="191">
        <v>1315</v>
      </c>
      <c r="I2449" s="191">
        <v>691.65</v>
      </c>
      <c r="J2449" s="188" t="s">
        <v>624</v>
      </c>
      <c r="K2449" s="188" t="s">
        <v>427</v>
      </c>
      <c r="L2449" s="188" t="s">
        <v>3967</v>
      </c>
      <c r="M2449" s="192">
        <f t="shared" si="114"/>
        <v>25</v>
      </c>
      <c r="N2449" s="193">
        <f t="shared" si="115"/>
        <v>0.85556278464541313</v>
      </c>
      <c r="O2449" s="194">
        <f t="shared" si="116"/>
        <v>3.4222511385816529E-2</v>
      </c>
    </row>
    <row r="2450" spans="1:15" ht="12.75" customHeight="1">
      <c r="A2450" s="188" t="s">
        <v>620</v>
      </c>
      <c r="B2450" s="188" t="s">
        <v>3787</v>
      </c>
      <c r="C2450" s="188" t="s">
        <v>659</v>
      </c>
      <c r="D2450" s="188" t="s">
        <v>3968</v>
      </c>
      <c r="E2450" s="189">
        <v>39499</v>
      </c>
      <c r="F2450" s="190">
        <v>0</v>
      </c>
      <c r="G2450" s="190">
        <v>89.6</v>
      </c>
      <c r="H2450" s="191">
        <v>1200</v>
      </c>
      <c r="I2450" s="191">
        <v>630</v>
      </c>
      <c r="J2450" s="188" t="s">
        <v>624</v>
      </c>
      <c r="K2450" s="188" t="s">
        <v>427</v>
      </c>
      <c r="L2450" s="188" t="s">
        <v>754</v>
      </c>
      <c r="M2450" s="192">
        <f t="shared" si="114"/>
        <v>25</v>
      </c>
      <c r="N2450" s="193">
        <f t="shared" si="115"/>
        <v>0.8571428571428571</v>
      </c>
      <c r="O2450" s="194">
        <f t="shared" si="116"/>
        <v>3.428571428571428E-2</v>
      </c>
    </row>
    <row r="2451" spans="1:15" ht="12.75" customHeight="1">
      <c r="A2451" s="188" t="s">
        <v>620</v>
      </c>
      <c r="B2451" s="188" t="s">
        <v>3787</v>
      </c>
      <c r="C2451" s="188" t="s">
        <v>659</v>
      </c>
      <c r="D2451" s="188" t="s">
        <v>3969</v>
      </c>
      <c r="E2451" s="189">
        <v>39275</v>
      </c>
      <c r="F2451" s="190">
        <v>0</v>
      </c>
      <c r="G2451" s="190">
        <v>147.19999999999999</v>
      </c>
      <c r="H2451" s="191">
        <v>1975.01</v>
      </c>
      <c r="I2451" s="191">
        <v>1035</v>
      </c>
      <c r="J2451" s="188" t="s">
        <v>624</v>
      </c>
      <c r="K2451" s="188" t="s">
        <v>427</v>
      </c>
      <c r="L2451" s="188" t="s">
        <v>1472</v>
      </c>
      <c r="M2451" s="192">
        <f t="shared" si="114"/>
        <v>25</v>
      </c>
      <c r="N2451" s="193">
        <f t="shared" si="115"/>
        <v>0.85870000000000002</v>
      </c>
      <c r="O2451" s="194">
        <f t="shared" si="116"/>
        <v>3.4348000000000004E-2</v>
      </c>
    </row>
    <row r="2452" spans="1:15" ht="12.75" customHeight="1">
      <c r="A2452" s="188" t="s">
        <v>620</v>
      </c>
      <c r="B2452" s="188" t="s">
        <v>3787</v>
      </c>
      <c r="C2452" s="188" t="s">
        <v>659</v>
      </c>
      <c r="D2452" s="188" t="s">
        <v>3970</v>
      </c>
      <c r="E2452" s="189">
        <v>39212</v>
      </c>
      <c r="F2452" s="190">
        <v>0</v>
      </c>
      <c r="G2452" s="190">
        <v>95.68</v>
      </c>
      <c r="H2452" s="191">
        <v>1285.7</v>
      </c>
      <c r="I2452" s="191">
        <v>672.75</v>
      </c>
      <c r="J2452" s="188" t="s">
        <v>624</v>
      </c>
      <c r="K2452" s="188" t="s">
        <v>427</v>
      </c>
      <c r="L2452" s="188" t="s">
        <v>1662</v>
      </c>
      <c r="M2452" s="192">
        <f t="shared" si="114"/>
        <v>25</v>
      </c>
      <c r="N2452" s="193">
        <f t="shared" si="115"/>
        <v>0.86</v>
      </c>
      <c r="O2452" s="194">
        <f t="shared" si="116"/>
        <v>3.44E-2</v>
      </c>
    </row>
    <row r="2453" spans="1:15" ht="12.75" customHeight="1">
      <c r="A2453" s="188" t="s">
        <v>620</v>
      </c>
      <c r="B2453" s="188" t="s">
        <v>3787</v>
      </c>
      <c r="C2453" s="188" t="s">
        <v>659</v>
      </c>
      <c r="D2453" s="188" t="s">
        <v>3971</v>
      </c>
      <c r="E2453" s="189">
        <v>39324</v>
      </c>
      <c r="F2453" s="190">
        <v>0</v>
      </c>
      <c r="G2453" s="190">
        <v>56.32</v>
      </c>
      <c r="H2453" s="191">
        <v>756.98</v>
      </c>
      <c r="I2453" s="191">
        <v>396</v>
      </c>
      <c r="J2453" s="188" t="s">
        <v>624</v>
      </c>
      <c r="K2453" s="188" t="s">
        <v>427</v>
      </c>
      <c r="L2453" s="188" t="s">
        <v>1213</v>
      </c>
      <c r="M2453" s="192">
        <f t="shared" si="114"/>
        <v>25</v>
      </c>
      <c r="N2453" s="193">
        <f t="shared" si="115"/>
        <v>0.8602045454545455</v>
      </c>
      <c r="O2453" s="194">
        <f t="shared" si="116"/>
        <v>3.4408181818181817E-2</v>
      </c>
    </row>
    <row r="2454" spans="1:15" ht="12.75" customHeight="1">
      <c r="A2454" s="188" t="s">
        <v>620</v>
      </c>
      <c r="B2454" s="188" t="s">
        <v>3787</v>
      </c>
      <c r="C2454" s="188" t="s">
        <v>659</v>
      </c>
      <c r="D2454" s="188" t="s">
        <v>3972</v>
      </c>
      <c r="E2454" s="189">
        <v>39303</v>
      </c>
      <c r="F2454" s="190">
        <v>0</v>
      </c>
      <c r="G2454" s="190">
        <v>92.16</v>
      </c>
      <c r="H2454" s="191">
        <v>1238.98</v>
      </c>
      <c r="I2454" s="191">
        <v>648</v>
      </c>
      <c r="J2454" s="188" t="s">
        <v>624</v>
      </c>
      <c r="K2454" s="188" t="s">
        <v>427</v>
      </c>
      <c r="L2454" s="188" t="s">
        <v>682</v>
      </c>
      <c r="M2454" s="192">
        <f t="shared" si="114"/>
        <v>25</v>
      </c>
      <c r="N2454" s="193">
        <f t="shared" si="115"/>
        <v>0.86040277777777774</v>
      </c>
      <c r="O2454" s="194">
        <f t="shared" si="116"/>
        <v>3.4416111111111113E-2</v>
      </c>
    </row>
    <row r="2455" spans="1:15" ht="12.75" customHeight="1">
      <c r="A2455" s="188" t="s">
        <v>620</v>
      </c>
      <c r="B2455" s="188" t="s">
        <v>3787</v>
      </c>
      <c r="C2455" s="188" t="s">
        <v>659</v>
      </c>
      <c r="D2455" s="188" t="s">
        <v>3973</v>
      </c>
      <c r="E2455" s="189">
        <v>39562</v>
      </c>
      <c r="F2455" s="190">
        <v>0</v>
      </c>
      <c r="G2455" s="190">
        <v>84.29</v>
      </c>
      <c r="H2455" s="191">
        <v>634.79</v>
      </c>
      <c r="I2455" s="191">
        <v>592.65</v>
      </c>
      <c r="J2455" s="188" t="s">
        <v>639</v>
      </c>
      <c r="K2455" s="188" t="s">
        <v>427</v>
      </c>
      <c r="L2455" s="188" t="s">
        <v>3974</v>
      </c>
      <c r="M2455" s="192">
        <f t="shared" si="114"/>
        <v>14</v>
      </c>
      <c r="N2455" s="193">
        <f t="shared" si="115"/>
        <v>0.48199696279422927</v>
      </c>
      <c r="O2455" s="194">
        <f t="shared" si="116"/>
        <v>3.4428354485302091E-2</v>
      </c>
    </row>
    <row r="2456" spans="1:15" ht="12.75" customHeight="1">
      <c r="A2456" s="188" t="s">
        <v>620</v>
      </c>
      <c r="B2456" s="188" t="s">
        <v>3787</v>
      </c>
      <c r="C2456" s="188" t="s">
        <v>659</v>
      </c>
      <c r="D2456" s="188" t="s">
        <v>3975</v>
      </c>
      <c r="E2456" s="189">
        <v>39520</v>
      </c>
      <c r="F2456" s="190">
        <v>0</v>
      </c>
      <c r="G2456" s="190">
        <v>72.58</v>
      </c>
      <c r="H2456" s="191">
        <v>980</v>
      </c>
      <c r="I2456" s="191">
        <v>510.3</v>
      </c>
      <c r="J2456" s="188" t="s">
        <v>624</v>
      </c>
      <c r="K2456" s="188" t="s">
        <v>427</v>
      </c>
      <c r="L2456" s="188" t="s">
        <v>1680</v>
      </c>
      <c r="M2456" s="192">
        <f t="shared" si="114"/>
        <v>25</v>
      </c>
      <c r="N2456" s="193">
        <f t="shared" si="115"/>
        <v>0.86419753086419748</v>
      </c>
      <c r="O2456" s="194">
        <f t="shared" si="116"/>
        <v>3.4567901234567898E-2</v>
      </c>
    </row>
    <row r="2457" spans="1:15" ht="12.75" customHeight="1">
      <c r="A2457" s="188" t="s">
        <v>620</v>
      </c>
      <c r="B2457" s="188" t="s">
        <v>3787</v>
      </c>
      <c r="C2457" s="188" t="s">
        <v>659</v>
      </c>
      <c r="D2457" s="188" t="s">
        <v>3976</v>
      </c>
      <c r="E2457" s="189">
        <v>39492</v>
      </c>
      <c r="F2457" s="190">
        <v>0</v>
      </c>
      <c r="G2457" s="190">
        <v>66.56</v>
      </c>
      <c r="H2457" s="191">
        <v>900</v>
      </c>
      <c r="I2457" s="191">
        <v>468</v>
      </c>
      <c r="J2457" s="188" t="s">
        <v>624</v>
      </c>
      <c r="K2457" s="188" t="s">
        <v>427</v>
      </c>
      <c r="L2457" s="188" t="s">
        <v>808</v>
      </c>
      <c r="M2457" s="192">
        <f t="shared" si="114"/>
        <v>25</v>
      </c>
      <c r="N2457" s="193">
        <f t="shared" si="115"/>
        <v>0.86538461538461542</v>
      </c>
      <c r="O2457" s="194">
        <f t="shared" si="116"/>
        <v>3.4615384615384617E-2</v>
      </c>
    </row>
    <row r="2458" spans="1:15" ht="12.75" customHeight="1">
      <c r="A2458" s="188" t="s">
        <v>620</v>
      </c>
      <c r="B2458" s="188" t="s">
        <v>3787</v>
      </c>
      <c r="C2458" s="188" t="s">
        <v>659</v>
      </c>
      <c r="D2458" s="188" t="s">
        <v>3977</v>
      </c>
      <c r="E2458" s="189">
        <v>39352</v>
      </c>
      <c r="F2458" s="190">
        <v>0</v>
      </c>
      <c r="G2458" s="190">
        <v>96</v>
      </c>
      <c r="H2458" s="191">
        <v>1300</v>
      </c>
      <c r="I2458" s="191">
        <v>675</v>
      </c>
      <c r="J2458" s="188" t="s">
        <v>624</v>
      </c>
      <c r="K2458" s="188" t="s">
        <v>427</v>
      </c>
      <c r="L2458" s="188" t="s">
        <v>746</v>
      </c>
      <c r="M2458" s="192">
        <f t="shared" si="114"/>
        <v>25</v>
      </c>
      <c r="N2458" s="193">
        <f t="shared" si="115"/>
        <v>0.8666666666666667</v>
      </c>
      <c r="O2458" s="194">
        <f t="shared" si="116"/>
        <v>3.4666666666666665E-2</v>
      </c>
    </row>
    <row r="2459" spans="1:15" ht="12.75" customHeight="1">
      <c r="A2459" s="188" t="s">
        <v>620</v>
      </c>
      <c r="B2459" s="188" t="s">
        <v>3787</v>
      </c>
      <c r="C2459" s="188" t="s">
        <v>659</v>
      </c>
      <c r="D2459" s="188" t="s">
        <v>3978</v>
      </c>
      <c r="E2459" s="189">
        <v>39555</v>
      </c>
      <c r="F2459" s="190">
        <v>0</v>
      </c>
      <c r="G2459" s="190">
        <v>92.8</v>
      </c>
      <c r="H2459" s="191">
        <v>1260</v>
      </c>
      <c r="I2459" s="191">
        <v>652.5</v>
      </c>
      <c r="J2459" s="188" t="s">
        <v>624</v>
      </c>
      <c r="K2459" s="188" t="s">
        <v>427</v>
      </c>
      <c r="L2459" s="188" t="s">
        <v>920</v>
      </c>
      <c r="M2459" s="192">
        <f t="shared" si="114"/>
        <v>25</v>
      </c>
      <c r="N2459" s="193">
        <f t="shared" si="115"/>
        <v>0.86896551724137927</v>
      </c>
      <c r="O2459" s="194">
        <f t="shared" si="116"/>
        <v>3.475862068965517E-2</v>
      </c>
    </row>
    <row r="2460" spans="1:15" ht="12.75" customHeight="1">
      <c r="A2460" s="188" t="s">
        <v>620</v>
      </c>
      <c r="B2460" s="188" t="s">
        <v>3787</v>
      </c>
      <c r="C2460" s="188" t="s">
        <v>659</v>
      </c>
      <c r="D2460" s="188" t="s">
        <v>3979</v>
      </c>
      <c r="E2460" s="189">
        <v>39527</v>
      </c>
      <c r="F2460" s="190">
        <v>0</v>
      </c>
      <c r="G2460" s="190">
        <v>36.29</v>
      </c>
      <c r="H2460" s="191">
        <v>295.76</v>
      </c>
      <c r="I2460" s="191">
        <v>255.15</v>
      </c>
      <c r="J2460" s="188" t="s">
        <v>624</v>
      </c>
      <c r="K2460" s="188" t="s">
        <v>571</v>
      </c>
      <c r="L2460" s="188" t="s">
        <v>1397</v>
      </c>
      <c r="M2460" s="192">
        <f t="shared" si="114"/>
        <v>15</v>
      </c>
      <c r="N2460" s="193">
        <f t="shared" si="115"/>
        <v>0.52162257495590825</v>
      </c>
      <c r="O2460" s="194">
        <f t="shared" si="116"/>
        <v>3.4774838330393881E-2</v>
      </c>
    </row>
    <row r="2461" spans="1:15" ht="12.75" customHeight="1">
      <c r="A2461" s="188" t="s">
        <v>620</v>
      </c>
      <c r="B2461" s="188" t="s">
        <v>3787</v>
      </c>
      <c r="C2461" s="188" t="s">
        <v>659</v>
      </c>
      <c r="D2461" s="188" t="s">
        <v>3980</v>
      </c>
      <c r="E2461" s="189">
        <v>39548</v>
      </c>
      <c r="F2461" s="190">
        <v>0</v>
      </c>
      <c r="G2461" s="190">
        <v>72.959999999999994</v>
      </c>
      <c r="H2461" s="191">
        <v>995</v>
      </c>
      <c r="I2461" s="191">
        <v>513</v>
      </c>
      <c r="J2461" s="188" t="s">
        <v>624</v>
      </c>
      <c r="K2461" s="188" t="s">
        <v>427</v>
      </c>
      <c r="L2461" s="188" t="s">
        <v>2347</v>
      </c>
      <c r="M2461" s="192">
        <f t="shared" si="114"/>
        <v>25</v>
      </c>
      <c r="N2461" s="193">
        <f t="shared" si="115"/>
        <v>0.8728070175438597</v>
      </c>
      <c r="O2461" s="194">
        <f t="shared" si="116"/>
        <v>3.4912280701754388E-2</v>
      </c>
    </row>
    <row r="2462" spans="1:15" ht="12.75" customHeight="1">
      <c r="A2462" s="188" t="s">
        <v>620</v>
      </c>
      <c r="B2462" s="188" t="s">
        <v>3787</v>
      </c>
      <c r="C2462" s="188" t="s">
        <v>659</v>
      </c>
      <c r="D2462" s="188" t="s">
        <v>3981</v>
      </c>
      <c r="E2462" s="189">
        <v>39331</v>
      </c>
      <c r="F2462" s="190">
        <v>0</v>
      </c>
      <c r="G2462" s="190">
        <v>102.4</v>
      </c>
      <c r="H2462" s="191">
        <v>1400</v>
      </c>
      <c r="I2462" s="191">
        <v>720</v>
      </c>
      <c r="J2462" s="188" t="s">
        <v>624</v>
      </c>
      <c r="K2462" s="188" t="s">
        <v>427</v>
      </c>
      <c r="L2462" s="188" t="s">
        <v>625</v>
      </c>
      <c r="M2462" s="192">
        <f t="shared" si="114"/>
        <v>25</v>
      </c>
      <c r="N2462" s="193">
        <f t="shared" si="115"/>
        <v>0.875</v>
      </c>
      <c r="O2462" s="194">
        <f t="shared" si="116"/>
        <v>3.5000000000000003E-2</v>
      </c>
    </row>
    <row r="2463" spans="1:15" ht="12.75" customHeight="1">
      <c r="A2463" s="188" t="s">
        <v>620</v>
      </c>
      <c r="B2463" s="188" t="s">
        <v>3787</v>
      </c>
      <c r="C2463" s="188" t="s">
        <v>659</v>
      </c>
      <c r="D2463" s="188" t="s">
        <v>3982</v>
      </c>
      <c r="E2463" s="189">
        <v>39611</v>
      </c>
      <c r="F2463" s="190">
        <v>0</v>
      </c>
      <c r="G2463" s="190">
        <v>79.489999999999995</v>
      </c>
      <c r="H2463" s="191">
        <v>1090</v>
      </c>
      <c r="I2463" s="191">
        <v>558.9</v>
      </c>
      <c r="J2463" s="188" t="s">
        <v>624</v>
      </c>
      <c r="K2463" s="188" t="s">
        <v>427</v>
      </c>
      <c r="L2463" s="188" t="s">
        <v>2144</v>
      </c>
      <c r="M2463" s="192">
        <f t="shared" si="114"/>
        <v>25</v>
      </c>
      <c r="N2463" s="193">
        <f t="shared" si="115"/>
        <v>0.87761674718196458</v>
      </c>
      <c r="O2463" s="194">
        <f t="shared" si="116"/>
        <v>3.5104669887278582E-2</v>
      </c>
    </row>
    <row r="2464" spans="1:15" ht="12.75" customHeight="1">
      <c r="A2464" s="188" t="s">
        <v>620</v>
      </c>
      <c r="B2464" s="188" t="s">
        <v>3787</v>
      </c>
      <c r="C2464" s="188" t="s">
        <v>659</v>
      </c>
      <c r="D2464" s="188" t="s">
        <v>3983</v>
      </c>
      <c r="E2464" s="189">
        <v>39534</v>
      </c>
      <c r="F2464" s="190">
        <v>0</v>
      </c>
      <c r="G2464" s="190">
        <v>114.94</v>
      </c>
      <c r="H2464" s="191">
        <v>1580</v>
      </c>
      <c r="I2464" s="191">
        <v>808.2</v>
      </c>
      <c r="J2464" s="188" t="s">
        <v>624</v>
      </c>
      <c r="K2464" s="188" t="s">
        <v>427</v>
      </c>
      <c r="L2464" s="188" t="s">
        <v>3984</v>
      </c>
      <c r="M2464" s="192">
        <f t="shared" si="114"/>
        <v>25</v>
      </c>
      <c r="N2464" s="193">
        <f t="shared" si="115"/>
        <v>0.87973273942093544</v>
      </c>
      <c r="O2464" s="194">
        <f t="shared" si="116"/>
        <v>3.518930957683742E-2</v>
      </c>
    </row>
    <row r="2465" spans="1:15" ht="12.75" customHeight="1">
      <c r="A2465" s="188" t="s">
        <v>620</v>
      </c>
      <c r="B2465" s="188" t="s">
        <v>3787</v>
      </c>
      <c r="C2465" s="188" t="s">
        <v>659</v>
      </c>
      <c r="D2465" s="188" t="s">
        <v>3985</v>
      </c>
      <c r="E2465" s="189">
        <v>39447</v>
      </c>
      <c r="F2465" s="190">
        <v>0</v>
      </c>
      <c r="G2465" s="190">
        <v>30.46</v>
      </c>
      <c r="H2465" s="191">
        <v>420</v>
      </c>
      <c r="I2465" s="191">
        <v>214.2</v>
      </c>
      <c r="J2465" s="188" t="s">
        <v>624</v>
      </c>
      <c r="K2465" s="188" t="s">
        <v>427</v>
      </c>
      <c r="L2465" s="188" t="s">
        <v>163</v>
      </c>
      <c r="M2465" s="192">
        <f t="shared" si="114"/>
        <v>25</v>
      </c>
      <c r="N2465" s="193">
        <f t="shared" si="115"/>
        <v>0.88235294117647056</v>
      </c>
      <c r="O2465" s="194">
        <f t="shared" si="116"/>
        <v>3.5294117647058823E-2</v>
      </c>
    </row>
    <row r="2466" spans="1:15" ht="12.75" customHeight="1">
      <c r="A2466" s="188" t="s">
        <v>620</v>
      </c>
      <c r="B2466" s="188" t="s">
        <v>3787</v>
      </c>
      <c r="C2466" s="188" t="s">
        <v>659</v>
      </c>
      <c r="D2466" s="188" t="s">
        <v>3986</v>
      </c>
      <c r="E2466" s="189">
        <v>39436</v>
      </c>
      <c r="F2466" s="190">
        <v>0</v>
      </c>
      <c r="G2466" s="190">
        <v>115.2</v>
      </c>
      <c r="H2466" s="191">
        <v>1590</v>
      </c>
      <c r="I2466" s="191">
        <v>810</v>
      </c>
      <c r="J2466" s="188" t="s">
        <v>624</v>
      </c>
      <c r="K2466" s="188" t="s">
        <v>427</v>
      </c>
      <c r="L2466" s="188" t="s">
        <v>718</v>
      </c>
      <c r="M2466" s="192">
        <f t="shared" si="114"/>
        <v>25</v>
      </c>
      <c r="N2466" s="193">
        <f t="shared" si="115"/>
        <v>0.8833333333333333</v>
      </c>
      <c r="O2466" s="194">
        <f t="shared" si="116"/>
        <v>3.5333333333333335E-2</v>
      </c>
    </row>
    <row r="2467" spans="1:15" ht="12.75" customHeight="1">
      <c r="A2467" s="188" t="s">
        <v>620</v>
      </c>
      <c r="B2467" s="188" t="s">
        <v>3787</v>
      </c>
      <c r="C2467" s="188" t="s">
        <v>659</v>
      </c>
      <c r="D2467" s="188" t="s">
        <v>3987</v>
      </c>
      <c r="E2467" s="189">
        <v>39324</v>
      </c>
      <c r="F2467" s="190">
        <v>0</v>
      </c>
      <c r="G2467" s="190">
        <v>83.2</v>
      </c>
      <c r="H2467" s="191">
        <v>1149.98</v>
      </c>
      <c r="I2467" s="191">
        <v>585</v>
      </c>
      <c r="J2467" s="188" t="s">
        <v>624</v>
      </c>
      <c r="K2467" s="188" t="s">
        <v>427</v>
      </c>
      <c r="L2467" s="188" t="s">
        <v>699</v>
      </c>
      <c r="M2467" s="192">
        <f t="shared" si="114"/>
        <v>25</v>
      </c>
      <c r="N2467" s="193">
        <f t="shared" si="115"/>
        <v>0.88460000000000005</v>
      </c>
      <c r="O2467" s="194">
        <f t="shared" si="116"/>
        <v>3.5383999999999999E-2</v>
      </c>
    </row>
    <row r="2468" spans="1:15" ht="12.75" customHeight="1">
      <c r="A2468" s="188" t="s">
        <v>620</v>
      </c>
      <c r="B2468" s="188" t="s">
        <v>3787</v>
      </c>
      <c r="C2468" s="188" t="s">
        <v>659</v>
      </c>
      <c r="D2468" s="188" t="s">
        <v>3988</v>
      </c>
      <c r="E2468" s="189">
        <v>39289</v>
      </c>
      <c r="F2468" s="190">
        <v>0</v>
      </c>
      <c r="G2468" s="190">
        <v>77.63</v>
      </c>
      <c r="H2468" s="191">
        <v>1073.99</v>
      </c>
      <c r="I2468" s="191">
        <v>545.85</v>
      </c>
      <c r="J2468" s="188" t="s">
        <v>624</v>
      </c>
      <c r="K2468" s="188" t="s">
        <v>427</v>
      </c>
      <c r="L2468" s="188" t="s">
        <v>3989</v>
      </c>
      <c r="M2468" s="192">
        <f t="shared" si="114"/>
        <v>25</v>
      </c>
      <c r="N2468" s="193">
        <f t="shared" si="115"/>
        <v>0.88539983511953835</v>
      </c>
      <c r="O2468" s="194">
        <f t="shared" si="116"/>
        <v>3.5415993404781534E-2</v>
      </c>
    </row>
    <row r="2469" spans="1:15" ht="12.75" customHeight="1">
      <c r="A2469" s="188" t="s">
        <v>620</v>
      </c>
      <c r="B2469" s="188" t="s">
        <v>3787</v>
      </c>
      <c r="C2469" s="188" t="s">
        <v>659</v>
      </c>
      <c r="D2469" s="188" t="s">
        <v>3990</v>
      </c>
      <c r="E2469" s="189">
        <v>39639</v>
      </c>
      <c r="F2469" s="190">
        <v>0</v>
      </c>
      <c r="G2469" s="190">
        <v>2.0499999999999998</v>
      </c>
      <c r="H2469" s="191">
        <v>34</v>
      </c>
      <c r="I2469" s="191">
        <v>14.4</v>
      </c>
      <c r="J2469" s="188" t="s">
        <v>624</v>
      </c>
      <c r="K2469" s="188" t="s">
        <v>257</v>
      </c>
      <c r="L2469" s="188" t="s">
        <v>508</v>
      </c>
      <c r="M2469" s="192">
        <f t="shared" si="114"/>
        <v>30</v>
      </c>
      <c r="N2469" s="193">
        <f t="shared" si="115"/>
        <v>1.0625</v>
      </c>
      <c r="O2469" s="194">
        <f t="shared" si="116"/>
        <v>3.5416666666666666E-2</v>
      </c>
    </row>
    <row r="2470" spans="1:15" ht="12.75" customHeight="1">
      <c r="A2470" s="188" t="s">
        <v>620</v>
      </c>
      <c r="B2470" s="188" t="s">
        <v>3787</v>
      </c>
      <c r="C2470" s="188" t="s">
        <v>659</v>
      </c>
      <c r="D2470" s="188" t="s">
        <v>3991</v>
      </c>
      <c r="E2470" s="189">
        <v>39471</v>
      </c>
      <c r="F2470" s="190">
        <v>0</v>
      </c>
      <c r="G2470" s="190">
        <v>96</v>
      </c>
      <c r="H2470" s="191">
        <v>1330</v>
      </c>
      <c r="I2470" s="191">
        <v>675</v>
      </c>
      <c r="J2470" s="188" t="s">
        <v>624</v>
      </c>
      <c r="K2470" s="188" t="s">
        <v>427</v>
      </c>
      <c r="L2470" s="188" t="s">
        <v>746</v>
      </c>
      <c r="M2470" s="192">
        <f t="shared" si="114"/>
        <v>25</v>
      </c>
      <c r="N2470" s="193">
        <f t="shared" si="115"/>
        <v>0.88666666666666671</v>
      </c>
      <c r="O2470" s="194">
        <f t="shared" si="116"/>
        <v>3.5466666666666667E-2</v>
      </c>
    </row>
    <row r="2471" spans="1:15" ht="12.75" customHeight="1">
      <c r="A2471" s="188" t="s">
        <v>620</v>
      </c>
      <c r="B2471" s="188" t="s">
        <v>3787</v>
      </c>
      <c r="C2471" s="188" t="s">
        <v>659</v>
      </c>
      <c r="D2471" s="188" t="s">
        <v>3992</v>
      </c>
      <c r="E2471" s="189">
        <v>39590</v>
      </c>
      <c r="F2471" s="190">
        <v>0</v>
      </c>
      <c r="G2471" s="190">
        <v>87.04</v>
      </c>
      <c r="H2471" s="191">
        <v>1450</v>
      </c>
      <c r="I2471" s="191">
        <v>612</v>
      </c>
      <c r="J2471" s="188" t="s">
        <v>624</v>
      </c>
      <c r="K2471" s="188" t="s">
        <v>257</v>
      </c>
      <c r="L2471" s="188" t="s">
        <v>774</v>
      </c>
      <c r="M2471" s="192">
        <f t="shared" si="114"/>
        <v>30</v>
      </c>
      <c r="N2471" s="193">
        <f t="shared" si="115"/>
        <v>1.0661764705882353</v>
      </c>
      <c r="O2471" s="194">
        <f t="shared" si="116"/>
        <v>3.5539215686274508E-2</v>
      </c>
    </row>
    <row r="2472" spans="1:15" ht="12.75" customHeight="1">
      <c r="A2472" s="188" t="s">
        <v>620</v>
      </c>
      <c r="B2472" s="188" t="s">
        <v>3787</v>
      </c>
      <c r="C2472" s="188" t="s">
        <v>659</v>
      </c>
      <c r="D2472" s="188" t="s">
        <v>3993</v>
      </c>
      <c r="E2472" s="189">
        <v>39632</v>
      </c>
      <c r="F2472" s="190">
        <v>0</v>
      </c>
      <c r="G2472" s="190">
        <v>76.8</v>
      </c>
      <c r="H2472" s="191">
        <v>1067</v>
      </c>
      <c r="I2472" s="191">
        <v>540</v>
      </c>
      <c r="J2472" s="188" t="s">
        <v>624</v>
      </c>
      <c r="K2472" s="188" t="s">
        <v>427</v>
      </c>
      <c r="L2472" s="188" t="s">
        <v>632</v>
      </c>
      <c r="M2472" s="192">
        <f t="shared" si="114"/>
        <v>25</v>
      </c>
      <c r="N2472" s="193">
        <f t="shared" si="115"/>
        <v>0.88916666666666666</v>
      </c>
      <c r="O2472" s="194">
        <f t="shared" si="116"/>
        <v>3.5566666666666663E-2</v>
      </c>
    </row>
    <row r="2473" spans="1:15" ht="12.75" customHeight="1">
      <c r="A2473" s="188" t="s">
        <v>620</v>
      </c>
      <c r="B2473" s="188" t="s">
        <v>3787</v>
      </c>
      <c r="C2473" s="188" t="s">
        <v>659</v>
      </c>
      <c r="D2473" s="188" t="s">
        <v>3994</v>
      </c>
      <c r="E2473" s="189">
        <v>39317</v>
      </c>
      <c r="F2473" s="190">
        <v>0</v>
      </c>
      <c r="G2473" s="190">
        <v>70.400000000000006</v>
      </c>
      <c r="H2473" s="191">
        <v>979.99</v>
      </c>
      <c r="I2473" s="191">
        <v>495</v>
      </c>
      <c r="J2473" s="188" t="s">
        <v>624</v>
      </c>
      <c r="K2473" s="188" t="s">
        <v>427</v>
      </c>
      <c r="L2473" s="188" t="s">
        <v>557</v>
      </c>
      <c r="M2473" s="192">
        <f t="shared" si="114"/>
        <v>25</v>
      </c>
      <c r="N2473" s="193">
        <f t="shared" si="115"/>
        <v>0.89090000000000003</v>
      </c>
      <c r="O2473" s="194">
        <f t="shared" si="116"/>
        <v>3.5636000000000001E-2</v>
      </c>
    </row>
    <row r="2474" spans="1:15" ht="12.75" customHeight="1">
      <c r="A2474" s="188" t="s">
        <v>620</v>
      </c>
      <c r="B2474" s="188" t="s">
        <v>3787</v>
      </c>
      <c r="C2474" s="188" t="s">
        <v>659</v>
      </c>
      <c r="D2474" s="188" t="s">
        <v>3995</v>
      </c>
      <c r="E2474" s="189">
        <v>39289</v>
      </c>
      <c r="F2474" s="190">
        <v>0</v>
      </c>
      <c r="G2474" s="190">
        <v>31.36</v>
      </c>
      <c r="H2474" s="191">
        <v>664.98</v>
      </c>
      <c r="I2474" s="191">
        <v>220.5</v>
      </c>
      <c r="J2474" s="188" t="s">
        <v>624</v>
      </c>
      <c r="K2474" s="188" t="s">
        <v>338</v>
      </c>
      <c r="L2474" s="188" t="s">
        <v>3996</v>
      </c>
      <c r="M2474" s="192">
        <f t="shared" si="114"/>
        <v>38</v>
      </c>
      <c r="N2474" s="193">
        <f t="shared" si="115"/>
        <v>1.3571020408163266</v>
      </c>
      <c r="O2474" s="194">
        <f t="shared" si="116"/>
        <v>3.5713211600429645E-2</v>
      </c>
    </row>
    <row r="2475" spans="1:15" ht="12.75" customHeight="1">
      <c r="A2475" s="188" t="s">
        <v>620</v>
      </c>
      <c r="B2475" s="188" t="s">
        <v>3787</v>
      </c>
      <c r="C2475" s="188" t="s">
        <v>659</v>
      </c>
      <c r="D2475" s="188" t="s">
        <v>3997</v>
      </c>
      <c r="E2475" s="189">
        <v>39422</v>
      </c>
      <c r="F2475" s="190">
        <v>0</v>
      </c>
      <c r="G2475" s="190">
        <v>75.2</v>
      </c>
      <c r="H2475" s="191">
        <v>1050</v>
      </c>
      <c r="I2475" s="191">
        <v>528.75</v>
      </c>
      <c r="J2475" s="188" t="s">
        <v>624</v>
      </c>
      <c r="K2475" s="188" t="s">
        <v>427</v>
      </c>
      <c r="L2475" s="188" t="s">
        <v>1537</v>
      </c>
      <c r="M2475" s="192">
        <f t="shared" si="114"/>
        <v>25</v>
      </c>
      <c r="N2475" s="193">
        <f t="shared" si="115"/>
        <v>0.8936170212765957</v>
      </c>
      <c r="O2475" s="194">
        <f t="shared" si="116"/>
        <v>3.5744680851063831E-2</v>
      </c>
    </row>
    <row r="2476" spans="1:15" ht="12.75" customHeight="1">
      <c r="A2476" s="188" t="s">
        <v>620</v>
      </c>
      <c r="B2476" s="188" t="s">
        <v>3787</v>
      </c>
      <c r="C2476" s="188" t="s">
        <v>659</v>
      </c>
      <c r="D2476" s="188" t="s">
        <v>3998</v>
      </c>
      <c r="E2476" s="189">
        <v>39548</v>
      </c>
      <c r="F2476" s="190">
        <v>0</v>
      </c>
      <c r="G2476" s="190">
        <v>93.44</v>
      </c>
      <c r="H2476" s="191">
        <v>1305</v>
      </c>
      <c r="I2476" s="191">
        <v>657</v>
      </c>
      <c r="J2476" s="188" t="s">
        <v>624</v>
      </c>
      <c r="K2476" s="188" t="s">
        <v>427</v>
      </c>
      <c r="L2476" s="188" t="s">
        <v>1386</v>
      </c>
      <c r="M2476" s="192">
        <f t="shared" si="114"/>
        <v>25</v>
      </c>
      <c r="N2476" s="193">
        <f t="shared" si="115"/>
        <v>0.89383561643835618</v>
      </c>
      <c r="O2476" s="194">
        <f t="shared" si="116"/>
        <v>3.5753424657534248E-2</v>
      </c>
    </row>
    <row r="2477" spans="1:15" ht="12.75" customHeight="1">
      <c r="A2477" s="188" t="s">
        <v>620</v>
      </c>
      <c r="B2477" s="188" t="s">
        <v>3787</v>
      </c>
      <c r="C2477" s="188" t="s">
        <v>659</v>
      </c>
      <c r="D2477" s="188" t="s">
        <v>3999</v>
      </c>
      <c r="E2477" s="189">
        <v>39485</v>
      </c>
      <c r="F2477" s="190">
        <v>0</v>
      </c>
      <c r="G2477" s="190">
        <v>121.6</v>
      </c>
      <c r="H2477" s="191">
        <v>1700</v>
      </c>
      <c r="I2477" s="191">
        <v>855</v>
      </c>
      <c r="J2477" s="188" t="s">
        <v>624</v>
      </c>
      <c r="K2477" s="188" t="s">
        <v>427</v>
      </c>
      <c r="L2477" s="188" t="s">
        <v>1673</v>
      </c>
      <c r="M2477" s="192">
        <f t="shared" si="114"/>
        <v>25</v>
      </c>
      <c r="N2477" s="193">
        <f t="shared" si="115"/>
        <v>0.89473684210526316</v>
      </c>
      <c r="O2477" s="194">
        <f t="shared" si="116"/>
        <v>3.5789473684210524E-2</v>
      </c>
    </row>
    <row r="2478" spans="1:15" ht="12.75" customHeight="1">
      <c r="A2478" s="188" t="s">
        <v>620</v>
      </c>
      <c r="B2478" s="188" t="s">
        <v>3787</v>
      </c>
      <c r="C2478" s="188" t="s">
        <v>659</v>
      </c>
      <c r="D2478" s="188" t="s">
        <v>4000</v>
      </c>
      <c r="E2478" s="189">
        <v>39576</v>
      </c>
      <c r="F2478" s="190">
        <v>0</v>
      </c>
      <c r="G2478" s="190">
        <v>113.15</v>
      </c>
      <c r="H2478" s="191">
        <v>1900</v>
      </c>
      <c r="I2478" s="191">
        <v>795.6</v>
      </c>
      <c r="J2478" s="188" t="s">
        <v>624</v>
      </c>
      <c r="K2478" s="188" t="s">
        <v>257</v>
      </c>
      <c r="L2478" s="188" t="s">
        <v>1498</v>
      </c>
      <c r="M2478" s="192">
        <f t="shared" si="114"/>
        <v>30</v>
      </c>
      <c r="N2478" s="193">
        <f t="shared" si="115"/>
        <v>1.0746606334841629</v>
      </c>
      <c r="O2478" s="194">
        <f t="shared" si="116"/>
        <v>3.5822021116138761E-2</v>
      </c>
    </row>
    <row r="2479" spans="1:15" ht="12.75" customHeight="1">
      <c r="A2479" s="188" t="s">
        <v>620</v>
      </c>
      <c r="B2479" s="188" t="s">
        <v>3787</v>
      </c>
      <c r="C2479" s="188" t="s">
        <v>659</v>
      </c>
      <c r="D2479" s="188" t="s">
        <v>4001</v>
      </c>
      <c r="E2479" s="189">
        <v>39303</v>
      </c>
      <c r="F2479" s="190">
        <v>0</v>
      </c>
      <c r="G2479" s="190">
        <v>91.33</v>
      </c>
      <c r="H2479" s="191">
        <v>1284.01</v>
      </c>
      <c r="I2479" s="191">
        <v>642.15</v>
      </c>
      <c r="J2479" s="188" t="s">
        <v>624</v>
      </c>
      <c r="K2479" s="188" t="s">
        <v>427</v>
      </c>
      <c r="L2479" s="188" t="s">
        <v>1987</v>
      </c>
      <c r="M2479" s="192">
        <f t="shared" si="114"/>
        <v>25</v>
      </c>
      <c r="N2479" s="193">
        <f t="shared" si="115"/>
        <v>0.8997967764540995</v>
      </c>
      <c r="O2479" s="194">
        <f t="shared" si="116"/>
        <v>3.5991871058163982E-2</v>
      </c>
    </row>
    <row r="2480" spans="1:15" ht="12.75" customHeight="1">
      <c r="A2480" s="188" t="s">
        <v>620</v>
      </c>
      <c r="B2480" s="188" t="s">
        <v>3787</v>
      </c>
      <c r="C2480" s="188" t="s">
        <v>659</v>
      </c>
      <c r="D2480" s="188" t="s">
        <v>4002</v>
      </c>
      <c r="E2480" s="189">
        <v>39492</v>
      </c>
      <c r="F2480" s="190">
        <v>0</v>
      </c>
      <c r="G2480" s="190">
        <v>83.07</v>
      </c>
      <c r="H2480" s="191">
        <v>1168</v>
      </c>
      <c r="I2480" s="191">
        <v>584.1</v>
      </c>
      <c r="J2480" s="188" t="s">
        <v>624</v>
      </c>
      <c r="K2480" s="188" t="s">
        <v>427</v>
      </c>
      <c r="L2480" s="188" t="s">
        <v>2566</v>
      </c>
      <c r="M2480" s="192">
        <f t="shared" si="114"/>
        <v>25</v>
      </c>
      <c r="N2480" s="193">
        <f t="shared" si="115"/>
        <v>0.89984591679506931</v>
      </c>
      <c r="O2480" s="194">
        <f t="shared" si="116"/>
        <v>3.5993836671802774E-2</v>
      </c>
    </row>
    <row r="2481" spans="1:15" ht="12.75" customHeight="1">
      <c r="A2481" s="188" t="s">
        <v>620</v>
      </c>
      <c r="B2481" s="188" t="s">
        <v>3787</v>
      </c>
      <c r="C2481" s="188" t="s">
        <v>659</v>
      </c>
      <c r="D2481" s="188" t="s">
        <v>4003</v>
      </c>
      <c r="E2481" s="189">
        <v>39395</v>
      </c>
      <c r="F2481" s="190">
        <v>0</v>
      </c>
      <c r="G2481" s="190">
        <v>105.6</v>
      </c>
      <c r="H2481" s="191">
        <v>1485</v>
      </c>
      <c r="I2481" s="191">
        <v>742.5</v>
      </c>
      <c r="J2481" s="188" t="s">
        <v>624</v>
      </c>
      <c r="K2481" s="188" t="s">
        <v>427</v>
      </c>
      <c r="L2481" s="188" t="s">
        <v>885</v>
      </c>
      <c r="M2481" s="192">
        <f t="shared" si="114"/>
        <v>25</v>
      </c>
      <c r="N2481" s="193">
        <f t="shared" si="115"/>
        <v>0.9</v>
      </c>
      <c r="O2481" s="194">
        <f t="shared" si="116"/>
        <v>3.6000000000000004E-2</v>
      </c>
    </row>
    <row r="2482" spans="1:15" ht="12.75" customHeight="1">
      <c r="A2482" s="188" t="s">
        <v>620</v>
      </c>
      <c r="B2482" s="188" t="s">
        <v>3787</v>
      </c>
      <c r="C2482" s="188" t="s">
        <v>659</v>
      </c>
      <c r="D2482" s="188" t="s">
        <v>4004</v>
      </c>
      <c r="E2482" s="189">
        <v>39611</v>
      </c>
      <c r="F2482" s="190">
        <v>0</v>
      </c>
      <c r="G2482" s="190">
        <v>96</v>
      </c>
      <c r="H2482" s="191">
        <v>1350</v>
      </c>
      <c r="I2482" s="191">
        <v>675</v>
      </c>
      <c r="J2482" s="188" t="s">
        <v>624</v>
      </c>
      <c r="K2482" s="188" t="s">
        <v>427</v>
      </c>
      <c r="L2482" s="188" t="s">
        <v>746</v>
      </c>
      <c r="M2482" s="192">
        <f t="shared" si="114"/>
        <v>25</v>
      </c>
      <c r="N2482" s="193">
        <f t="shared" si="115"/>
        <v>0.9</v>
      </c>
      <c r="O2482" s="194">
        <f t="shared" si="116"/>
        <v>3.6000000000000004E-2</v>
      </c>
    </row>
    <row r="2483" spans="1:15" ht="12.75" customHeight="1">
      <c r="A2483" s="188" t="s">
        <v>620</v>
      </c>
      <c r="B2483" s="188" t="s">
        <v>3787</v>
      </c>
      <c r="C2483" s="188" t="s">
        <v>659</v>
      </c>
      <c r="D2483" s="188" t="s">
        <v>4005</v>
      </c>
      <c r="E2483" s="189">
        <v>39436</v>
      </c>
      <c r="F2483" s="190">
        <v>0</v>
      </c>
      <c r="G2483" s="190">
        <v>76.8</v>
      </c>
      <c r="H2483" s="191">
        <v>1080</v>
      </c>
      <c r="I2483" s="191">
        <v>540</v>
      </c>
      <c r="J2483" s="188" t="s">
        <v>624</v>
      </c>
      <c r="K2483" s="188" t="s">
        <v>427</v>
      </c>
      <c r="L2483" s="188" t="s">
        <v>632</v>
      </c>
      <c r="M2483" s="192">
        <f t="shared" si="114"/>
        <v>25</v>
      </c>
      <c r="N2483" s="193">
        <f t="shared" si="115"/>
        <v>0.9</v>
      </c>
      <c r="O2483" s="194">
        <f t="shared" si="116"/>
        <v>3.6000000000000004E-2</v>
      </c>
    </row>
    <row r="2484" spans="1:15" ht="12.75" customHeight="1">
      <c r="A2484" s="188" t="s">
        <v>620</v>
      </c>
      <c r="B2484" s="188" t="s">
        <v>3787</v>
      </c>
      <c r="C2484" s="188" t="s">
        <v>659</v>
      </c>
      <c r="D2484" s="188" t="s">
        <v>4006</v>
      </c>
      <c r="E2484" s="189">
        <v>39471</v>
      </c>
      <c r="F2484" s="190">
        <v>0</v>
      </c>
      <c r="G2484" s="190">
        <v>96</v>
      </c>
      <c r="H2484" s="191">
        <v>1350</v>
      </c>
      <c r="I2484" s="191">
        <v>675</v>
      </c>
      <c r="J2484" s="188" t="s">
        <v>624</v>
      </c>
      <c r="K2484" s="188" t="s">
        <v>427</v>
      </c>
      <c r="L2484" s="188" t="s">
        <v>746</v>
      </c>
      <c r="M2484" s="192">
        <f t="shared" si="114"/>
        <v>25</v>
      </c>
      <c r="N2484" s="193">
        <f t="shared" si="115"/>
        <v>0.9</v>
      </c>
      <c r="O2484" s="194">
        <f t="shared" si="116"/>
        <v>3.6000000000000004E-2</v>
      </c>
    </row>
    <row r="2485" spans="1:15" ht="12.75" customHeight="1">
      <c r="A2485" s="188" t="s">
        <v>620</v>
      </c>
      <c r="B2485" s="188" t="s">
        <v>3787</v>
      </c>
      <c r="C2485" s="188" t="s">
        <v>659</v>
      </c>
      <c r="D2485" s="188" t="s">
        <v>4007</v>
      </c>
      <c r="E2485" s="189">
        <v>39520</v>
      </c>
      <c r="F2485" s="190">
        <v>0</v>
      </c>
      <c r="G2485" s="190">
        <v>83.2</v>
      </c>
      <c r="H2485" s="191">
        <v>1170</v>
      </c>
      <c r="I2485" s="191">
        <v>585</v>
      </c>
      <c r="J2485" s="188" t="s">
        <v>624</v>
      </c>
      <c r="K2485" s="188" t="s">
        <v>427</v>
      </c>
      <c r="L2485" s="188" t="s">
        <v>699</v>
      </c>
      <c r="M2485" s="192">
        <f t="shared" si="114"/>
        <v>25</v>
      </c>
      <c r="N2485" s="193">
        <f t="shared" si="115"/>
        <v>0.9</v>
      </c>
      <c r="O2485" s="194">
        <f t="shared" si="116"/>
        <v>3.6000000000000004E-2</v>
      </c>
    </row>
    <row r="2486" spans="1:15" ht="12.75" customHeight="1">
      <c r="A2486" s="188" t="s">
        <v>620</v>
      </c>
      <c r="B2486" s="188" t="s">
        <v>3787</v>
      </c>
      <c r="C2486" s="188" t="s">
        <v>659</v>
      </c>
      <c r="D2486" s="188" t="s">
        <v>4007</v>
      </c>
      <c r="E2486" s="189">
        <v>39548</v>
      </c>
      <c r="F2486" s="190">
        <v>0</v>
      </c>
      <c r="G2486" s="190">
        <v>-83.2</v>
      </c>
      <c r="H2486" s="191">
        <v>1170</v>
      </c>
      <c r="I2486" s="191">
        <v>585</v>
      </c>
      <c r="J2486" s="188" t="s">
        <v>624</v>
      </c>
      <c r="K2486" s="188" t="s">
        <v>427</v>
      </c>
      <c r="L2486" s="188" t="s">
        <v>699</v>
      </c>
      <c r="M2486" s="192">
        <f t="shared" si="114"/>
        <v>25</v>
      </c>
      <c r="N2486" s="193">
        <f t="shared" si="115"/>
        <v>0.9</v>
      </c>
      <c r="O2486" s="194">
        <f t="shared" si="116"/>
        <v>3.6000000000000004E-2</v>
      </c>
    </row>
    <row r="2487" spans="1:15" ht="12.75" customHeight="1">
      <c r="A2487" s="188" t="s">
        <v>620</v>
      </c>
      <c r="B2487" s="188" t="s">
        <v>3787</v>
      </c>
      <c r="C2487" s="188" t="s">
        <v>659</v>
      </c>
      <c r="D2487" s="188" t="s">
        <v>4008</v>
      </c>
      <c r="E2487" s="189">
        <v>39548</v>
      </c>
      <c r="F2487" s="190">
        <v>0</v>
      </c>
      <c r="G2487" s="190">
        <v>83.2</v>
      </c>
      <c r="H2487" s="191">
        <v>1170</v>
      </c>
      <c r="I2487" s="191">
        <v>585</v>
      </c>
      <c r="J2487" s="188" t="s">
        <v>624</v>
      </c>
      <c r="K2487" s="188" t="s">
        <v>427</v>
      </c>
      <c r="L2487" s="188" t="s">
        <v>699</v>
      </c>
      <c r="M2487" s="192">
        <f t="shared" si="114"/>
        <v>25</v>
      </c>
      <c r="N2487" s="193">
        <f t="shared" si="115"/>
        <v>0.9</v>
      </c>
      <c r="O2487" s="194">
        <f t="shared" si="116"/>
        <v>3.6000000000000004E-2</v>
      </c>
    </row>
    <row r="2488" spans="1:15" ht="12.75" customHeight="1">
      <c r="A2488" s="188" t="s">
        <v>620</v>
      </c>
      <c r="B2488" s="188" t="s">
        <v>3787</v>
      </c>
      <c r="C2488" s="188" t="s">
        <v>659</v>
      </c>
      <c r="D2488" s="188" t="s">
        <v>4009</v>
      </c>
      <c r="E2488" s="189">
        <v>39296</v>
      </c>
      <c r="F2488" s="190">
        <v>0</v>
      </c>
      <c r="G2488" s="190">
        <v>81.41</v>
      </c>
      <c r="H2488" s="191">
        <v>1145.05</v>
      </c>
      <c r="I2488" s="191">
        <v>572.4</v>
      </c>
      <c r="J2488" s="188" t="s">
        <v>624</v>
      </c>
      <c r="K2488" s="188" t="s">
        <v>427</v>
      </c>
      <c r="L2488" s="188" t="s">
        <v>1525</v>
      </c>
      <c r="M2488" s="192">
        <f t="shared" si="114"/>
        <v>25</v>
      </c>
      <c r="N2488" s="193">
        <f t="shared" si="115"/>
        <v>0.90019654088050316</v>
      </c>
      <c r="O2488" s="194">
        <f t="shared" si="116"/>
        <v>3.6007861635220129E-2</v>
      </c>
    </row>
    <row r="2489" spans="1:15" ht="12.75" customHeight="1">
      <c r="A2489" s="188" t="s">
        <v>620</v>
      </c>
      <c r="B2489" s="188" t="s">
        <v>3787</v>
      </c>
      <c r="C2489" s="188" t="s">
        <v>659</v>
      </c>
      <c r="D2489" s="188" t="s">
        <v>4010</v>
      </c>
      <c r="E2489" s="189">
        <v>39331</v>
      </c>
      <c r="F2489" s="190">
        <v>0</v>
      </c>
      <c r="G2489" s="190">
        <v>84.03</v>
      </c>
      <c r="H2489" s="191">
        <v>1181.96</v>
      </c>
      <c r="I2489" s="191">
        <v>590.85</v>
      </c>
      <c r="J2489" s="188" t="s">
        <v>624</v>
      </c>
      <c r="K2489" s="188" t="s">
        <v>427</v>
      </c>
      <c r="L2489" s="188" t="s">
        <v>2033</v>
      </c>
      <c r="M2489" s="192">
        <f t="shared" si="114"/>
        <v>25</v>
      </c>
      <c r="N2489" s="193">
        <f t="shared" si="115"/>
        <v>0.90019801980198022</v>
      </c>
      <c r="O2489" s="194">
        <f t="shared" si="116"/>
        <v>3.6007920792079207E-2</v>
      </c>
    </row>
    <row r="2490" spans="1:15" ht="12.75" customHeight="1">
      <c r="A2490" s="188" t="s">
        <v>620</v>
      </c>
      <c r="B2490" s="188" t="s">
        <v>3787</v>
      </c>
      <c r="C2490" s="188" t="s">
        <v>659</v>
      </c>
      <c r="D2490" s="188" t="s">
        <v>4011</v>
      </c>
      <c r="E2490" s="189">
        <v>39499</v>
      </c>
      <c r="F2490" s="190">
        <v>0</v>
      </c>
      <c r="G2490" s="190">
        <v>75.069999999999993</v>
      </c>
      <c r="H2490" s="191">
        <v>1056</v>
      </c>
      <c r="I2490" s="191">
        <v>527.85</v>
      </c>
      <c r="J2490" s="188" t="s">
        <v>624</v>
      </c>
      <c r="K2490" s="188" t="s">
        <v>427</v>
      </c>
      <c r="L2490" s="188" t="s">
        <v>409</v>
      </c>
      <c r="M2490" s="192">
        <f t="shared" si="114"/>
        <v>25</v>
      </c>
      <c r="N2490" s="193">
        <f t="shared" si="115"/>
        <v>0.90025575447570327</v>
      </c>
      <c r="O2490" s="194">
        <f t="shared" si="116"/>
        <v>3.601023017902813E-2</v>
      </c>
    </row>
    <row r="2491" spans="1:15" ht="12.75" customHeight="1">
      <c r="A2491" s="188" t="s">
        <v>620</v>
      </c>
      <c r="B2491" s="188" t="s">
        <v>3787</v>
      </c>
      <c r="C2491" s="188" t="s">
        <v>659</v>
      </c>
      <c r="D2491" s="188" t="s">
        <v>4012</v>
      </c>
      <c r="E2491" s="189">
        <v>39499</v>
      </c>
      <c r="F2491" s="190">
        <v>0</v>
      </c>
      <c r="G2491" s="190">
        <v>80.319999999999993</v>
      </c>
      <c r="H2491" s="191">
        <v>1130</v>
      </c>
      <c r="I2491" s="191">
        <v>564.75</v>
      </c>
      <c r="J2491" s="188" t="s">
        <v>624</v>
      </c>
      <c r="K2491" s="188" t="s">
        <v>427</v>
      </c>
      <c r="L2491" s="188" t="s">
        <v>856</v>
      </c>
      <c r="M2491" s="192">
        <f t="shared" si="114"/>
        <v>25</v>
      </c>
      <c r="N2491" s="193">
        <f t="shared" si="115"/>
        <v>0.90039840637450197</v>
      </c>
      <c r="O2491" s="194">
        <f t="shared" si="116"/>
        <v>3.6015936254980077E-2</v>
      </c>
    </row>
    <row r="2492" spans="1:15" ht="12.75" customHeight="1">
      <c r="A2492" s="188" t="s">
        <v>620</v>
      </c>
      <c r="B2492" s="188" t="s">
        <v>3787</v>
      </c>
      <c r="C2492" s="188" t="s">
        <v>659</v>
      </c>
      <c r="D2492" s="188" t="s">
        <v>4013</v>
      </c>
      <c r="E2492" s="189">
        <v>39324</v>
      </c>
      <c r="F2492" s="190">
        <v>0</v>
      </c>
      <c r="G2492" s="190">
        <v>70.66</v>
      </c>
      <c r="H2492" s="191">
        <v>994.04</v>
      </c>
      <c r="I2492" s="191">
        <v>496.8</v>
      </c>
      <c r="J2492" s="188" t="s">
        <v>624</v>
      </c>
      <c r="K2492" s="188" t="s">
        <v>427</v>
      </c>
      <c r="L2492" s="188" t="s">
        <v>1030</v>
      </c>
      <c r="M2492" s="192">
        <f t="shared" si="114"/>
        <v>25</v>
      </c>
      <c r="N2492" s="193">
        <f t="shared" si="115"/>
        <v>0.9003985507246377</v>
      </c>
      <c r="O2492" s="194">
        <f t="shared" si="116"/>
        <v>3.6015942028985511E-2</v>
      </c>
    </row>
    <row r="2493" spans="1:15" ht="12.75" customHeight="1">
      <c r="A2493" s="188" t="s">
        <v>620</v>
      </c>
      <c r="B2493" s="188" t="s">
        <v>3787</v>
      </c>
      <c r="C2493" s="188" t="s">
        <v>659</v>
      </c>
      <c r="D2493" s="188" t="s">
        <v>4014</v>
      </c>
      <c r="E2493" s="189">
        <v>39447</v>
      </c>
      <c r="F2493" s="190">
        <v>0</v>
      </c>
      <c r="G2493" s="190">
        <v>39.42</v>
      </c>
      <c r="H2493" s="191">
        <v>666.3</v>
      </c>
      <c r="I2493" s="191">
        <v>277.2</v>
      </c>
      <c r="J2493" s="188" t="s">
        <v>624</v>
      </c>
      <c r="K2493" s="188" t="s">
        <v>257</v>
      </c>
      <c r="L2493" s="188" t="s">
        <v>4015</v>
      </c>
      <c r="M2493" s="192">
        <f t="shared" si="114"/>
        <v>30</v>
      </c>
      <c r="N2493" s="193">
        <f t="shared" si="115"/>
        <v>1.0816558441558441</v>
      </c>
      <c r="O2493" s="194">
        <f t="shared" si="116"/>
        <v>3.6055194805194805E-2</v>
      </c>
    </row>
    <row r="2494" spans="1:15" ht="12.75" customHeight="1">
      <c r="A2494" s="188" t="s">
        <v>620</v>
      </c>
      <c r="B2494" s="188" t="s">
        <v>3787</v>
      </c>
      <c r="C2494" s="188" t="s">
        <v>659</v>
      </c>
      <c r="D2494" s="188" t="s">
        <v>4016</v>
      </c>
      <c r="E2494" s="189">
        <v>39520</v>
      </c>
      <c r="F2494" s="190">
        <v>0</v>
      </c>
      <c r="G2494" s="190">
        <v>105.02</v>
      </c>
      <c r="H2494" s="191">
        <v>1480</v>
      </c>
      <c r="I2494" s="191">
        <v>738.45</v>
      </c>
      <c r="J2494" s="188" t="s">
        <v>624</v>
      </c>
      <c r="K2494" s="188" t="s">
        <v>427</v>
      </c>
      <c r="L2494" s="188" t="s">
        <v>4017</v>
      </c>
      <c r="M2494" s="192">
        <f t="shared" si="114"/>
        <v>25</v>
      </c>
      <c r="N2494" s="193">
        <f t="shared" si="115"/>
        <v>0.9018890920170628</v>
      </c>
      <c r="O2494" s="194">
        <f t="shared" si="116"/>
        <v>3.6075563680682515E-2</v>
      </c>
    </row>
    <row r="2495" spans="1:15" ht="12.75" customHeight="1">
      <c r="A2495" s="188" t="s">
        <v>620</v>
      </c>
      <c r="B2495" s="188" t="s">
        <v>3787</v>
      </c>
      <c r="C2495" s="188" t="s">
        <v>659</v>
      </c>
      <c r="D2495" s="188" t="s">
        <v>4018</v>
      </c>
      <c r="E2495" s="189">
        <v>39562</v>
      </c>
      <c r="F2495" s="190">
        <v>0</v>
      </c>
      <c r="G2495" s="190">
        <v>69.12</v>
      </c>
      <c r="H2495" s="191">
        <v>975</v>
      </c>
      <c r="I2495" s="191">
        <v>486</v>
      </c>
      <c r="J2495" s="188" t="s">
        <v>624</v>
      </c>
      <c r="K2495" s="188" t="s">
        <v>427</v>
      </c>
      <c r="L2495" s="188" t="s">
        <v>817</v>
      </c>
      <c r="M2495" s="192">
        <f t="shared" si="114"/>
        <v>25</v>
      </c>
      <c r="N2495" s="193">
        <f t="shared" si="115"/>
        <v>0.90277777777777779</v>
      </c>
      <c r="O2495" s="194">
        <f t="shared" si="116"/>
        <v>3.6111111111111115E-2</v>
      </c>
    </row>
    <row r="2496" spans="1:15" ht="12.75" customHeight="1">
      <c r="A2496" s="188" t="s">
        <v>620</v>
      </c>
      <c r="B2496" s="188" t="s">
        <v>3787</v>
      </c>
      <c r="C2496" s="188" t="s">
        <v>659</v>
      </c>
      <c r="D2496" s="188" t="s">
        <v>4019</v>
      </c>
      <c r="E2496" s="189">
        <v>39254</v>
      </c>
      <c r="F2496" s="190">
        <v>0</v>
      </c>
      <c r="G2496" s="190">
        <v>76.8</v>
      </c>
      <c r="H2496" s="191">
        <v>1085.04</v>
      </c>
      <c r="I2496" s="191">
        <v>540</v>
      </c>
      <c r="J2496" s="188" t="s">
        <v>624</v>
      </c>
      <c r="K2496" s="188" t="s">
        <v>427</v>
      </c>
      <c r="L2496" s="188" t="s">
        <v>632</v>
      </c>
      <c r="M2496" s="192">
        <f t="shared" si="114"/>
        <v>25</v>
      </c>
      <c r="N2496" s="193">
        <f t="shared" si="115"/>
        <v>0.9042</v>
      </c>
      <c r="O2496" s="194">
        <f t="shared" si="116"/>
        <v>3.6167999999999999E-2</v>
      </c>
    </row>
    <row r="2497" spans="1:15" ht="12.75" customHeight="1">
      <c r="A2497" s="188" t="s">
        <v>620</v>
      </c>
      <c r="B2497" s="188" t="s">
        <v>3787</v>
      </c>
      <c r="C2497" s="188" t="s">
        <v>659</v>
      </c>
      <c r="D2497" s="188" t="s">
        <v>4020</v>
      </c>
      <c r="E2497" s="189">
        <v>39401</v>
      </c>
      <c r="F2497" s="190">
        <v>0</v>
      </c>
      <c r="G2497" s="190">
        <v>20.48</v>
      </c>
      <c r="H2497" s="191">
        <v>290</v>
      </c>
      <c r="I2497" s="191">
        <v>144</v>
      </c>
      <c r="J2497" s="188" t="s">
        <v>624</v>
      </c>
      <c r="K2497" s="188" t="s">
        <v>427</v>
      </c>
      <c r="L2497" s="188" t="s">
        <v>3452</v>
      </c>
      <c r="M2497" s="192">
        <f t="shared" si="114"/>
        <v>25</v>
      </c>
      <c r="N2497" s="193">
        <f t="shared" si="115"/>
        <v>0.90625</v>
      </c>
      <c r="O2497" s="194">
        <f t="shared" si="116"/>
        <v>3.6249999999999998E-2</v>
      </c>
    </row>
    <row r="2498" spans="1:15" ht="12.75" customHeight="1">
      <c r="A2498" s="188" t="s">
        <v>620</v>
      </c>
      <c r="B2498" s="188" t="s">
        <v>3787</v>
      </c>
      <c r="C2498" s="188" t="s">
        <v>659</v>
      </c>
      <c r="D2498" s="188" t="s">
        <v>4021</v>
      </c>
      <c r="E2498" s="189">
        <v>39520</v>
      </c>
      <c r="F2498" s="190">
        <v>0</v>
      </c>
      <c r="G2498" s="190">
        <v>102.4</v>
      </c>
      <c r="H2498" s="191">
        <v>1450</v>
      </c>
      <c r="I2498" s="191">
        <v>720</v>
      </c>
      <c r="J2498" s="188" t="s">
        <v>624</v>
      </c>
      <c r="K2498" s="188" t="s">
        <v>427</v>
      </c>
      <c r="L2498" s="188" t="s">
        <v>625</v>
      </c>
      <c r="M2498" s="192">
        <f t="shared" ref="M2498:M2561" si="117">K2498-J2498</f>
        <v>25</v>
      </c>
      <c r="N2498" s="193">
        <f t="shared" ref="N2498:N2561" si="118">H2498/L2498</f>
        <v>0.90625</v>
      </c>
      <c r="O2498" s="194">
        <f t="shared" ref="O2498:O2561" si="119">N2498/M2498</f>
        <v>3.6249999999999998E-2</v>
      </c>
    </row>
    <row r="2499" spans="1:15" ht="12.75" customHeight="1">
      <c r="A2499" s="188" t="s">
        <v>620</v>
      </c>
      <c r="B2499" s="188" t="s">
        <v>3787</v>
      </c>
      <c r="C2499" s="188" t="s">
        <v>659</v>
      </c>
      <c r="D2499" s="188" t="s">
        <v>4022</v>
      </c>
      <c r="E2499" s="189">
        <v>39401</v>
      </c>
      <c r="F2499" s="190">
        <v>0</v>
      </c>
      <c r="G2499" s="190">
        <v>84.48</v>
      </c>
      <c r="H2499" s="191">
        <v>1200</v>
      </c>
      <c r="I2499" s="191">
        <v>594</v>
      </c>
      <c r="J2499" s="188" t="s">
        <v>624</v>
      </c>
      <c r="K2499" s="188" t="s">
        <v>427</v>
      </c>
      <c r="L2499" s="188" t="s">
        <v>1050</v>
      </c>
      <c r="M2499" s="192">
        <f t="shared" si="117"/>
        <v>25</v>
      </c>
      <c r="N2499" s="193">
        <f t="shared" si="118"/>
        <v>0.90909090909090906</v>
      </c>
      <c r="O2499" s="194">
        <f t="shared" si="119"/>
        <v>3.6363636363636362E-2</v>
      </c>
    </row>
    <row r="2500" spans="1:15" ht="12.75" customHeight="1">
      <c r="A2500" s="188" t="s">
        <v>620</v>
      </c>
      <c r="B2500" s="188" t="s">
        <v>3787</v>
      </c>
      <c r="C2500" s="188" t="s">
        <v>659</v>
      </c>
      <c r="D2500" s="188" t="s">
        <v>4023</v>
      </c>
      <c r="E2500" s="189">
        <v>39555</v>
      </c>
      <c r="F2500" s="190">
        <v>0</v>
      </c>
      <c r="G2500" s="190">
        <v>89.6</v>
      </c>
      <c r="H2500" s="191">
        <v>1530</v>
      </c>
      <c r="I2500" s="191">
        <v>630</v>
      </c>
      <c r="J2500" s="188" t="s">
        <v>624</v>
      </c>
      <c r="K2500" s="188" t="s">
        <v>257</v>
      </c>
      <c r="L2500" s="188" t="s">
        <v>754</v>
      </c>
      <c r="M2500" s="192">
        <f t="shared" si="117"/>
        <v>30</v>
      </c>
      <c r="N2500" s="193">
        <f t="shared" si="118"/>
        <v>1.0928571428571427</v>
      </c>
      <c r="O2500" s="194">
        <f t="shared" si="119"/>
        <v>3.6428571428571428E-2</v>
      </c>
    </row>
    <row r="2501" spans="1:15" ht="12.75" customHeight="1">
      <c r="A2501" s="188" t="s">
        <v>620</v>
      </c>
      <c r="B2501" s="188" t="s">
        <v>3787</v>
      </c>
      <c r="C2501" s="188" t="s">
        <v>659</v>
      </c>
      <c r="D2501" s="188" t="s">
        <v>4024</v>
      </c>
      <c r="E2501" s="189">
        <v>39562</v>
      </c>
      <c r="F2501" s="190">
        <v>0</v>
      </c>
      <c r="G2501" s="190">
        <v>89.6</v>
      </c>
      <c r="H2501" s="191">
        <v>1530</v>
      </c>
      <c r="I2501" s="191">
        <v>630</v>
      </c>
      <c r="J2501" s="188" t="s">
        <v>624</v>
      </c>
      <c r="K2501" s="188" t="s">
        <v>257</v>
      </c>
      <c r="L2501" s="188" t="s">
        <v>754</v>
      </c>
      <c r="M2501" s="192">
        <f t="shared" si="117"/>
        <v>30</v>
      </c>
      <c r="N2501" s="193">
        <f t="shared" si="118"/>
        <v>1.0928571428571427</v>
      </c>
      <c r="O2501" s="194">
        <f t="shared" si="119"/>
        <v>3.6428571428571428E-2</v>
      </c>
    </row>
    <row r="2502" spans="1:15" ht="12.75" customHeight="1">
      <c r="A2502" s="188" t="s">
        <v>620</v>
      </c>
      <c r="B2502" s="188" t="s">
        <v>3787</v>
      </c>
      <c r="C2502" s="188" t="s">
        <v>659</v>
      </c>
      <c r="D2502" s="188" t="s">
        <v>4025</v>
      </c>
      <c r="E2502" s="189">
        <v>39436</v>
      </c>
      <c r="F2502" s="190">
        <v>0</v>
      </c>
      <c r="G2502" s="190">
        <v>83.97</v>
      </c>
      <c r="H2502" s="191">
        <v>1195</v>
      </c>
      <c r="I2502" s="191">
        <v>590.4</v>
      </c>
      <c r="J2502" s="188" t="s">
        <v>624</v>
      </c>
      <c r="K2502" s="188" t="s">
        <v>427</v>
      </c>
      <c r="L2502" s="188" t="s">
        <v>2216</v>
      </c>
      <c r="M2502" s="192">
        <f t="shared" si="117"/>
        <v>25</v>
      </c>
      <c r="N2502" s="193">
        <f t="shared" si="118"/>
        <v>0.91082317073170727</v>
      </c>
      <c r="O2502" s="194">
        <f t="shared" si="119"/>
        <v>3.643292682926829E-2</v>
      </c>
    </row>
    <row r="2503" spans="1:15" ht="12.75" customHeight="1">
      <c r="A2503" s="188" t="s">
        <v>620</v>
      </c>
      <c r="B2503" s="188" t="s">
        <v>3787</v>
      </c>
      <c r="C2503" s="188" t="s">
        <v>659</v>
      </c>
      <c r="D2503" s="188" t="s">
        <v>4026</v>
      </c>
      <c r="E2503" s="189">
        <v>39339</v>
      </c>
      <c r="F2503" s="190">
        <v>0</v>
      </c>
      <c r="G2503" s="190">
        <v>102.4</v>
      </c>
      <c r="H2503" s="191">
        <v>1460</v>
      </c>
      <c r="I2503" s="191">
        <v>720</v>
      </c>
      <c r="J2503" s="188" t="s">
        <v>624</v>
      </c>
      <c r="K2503" s="188" t="s">
        <v>427</v>
      </c>
      <c r="L2503" s="188" t="s">
        <v>625</v>
      </c>
      <c r="M2503" s="192">
        <f t="shared" si="117"/>
        <v>25</v>
      </c>
      <c r="N2503" s="193">
        <f t="shared" si="118"/>
        <v>0.91249999999999998</v>
      </c>
      <c r="O2503" s="194">
        <f t="shared" si="119"/>
        <v>3.6499999999999998E-2</v>
      </c>
    </row>
    <row r="2504" spans="1:15" ht="12.75" customHeight="1">
      <c r="A2504" s="188" t="s">
        <v>620</v>
      </c>
      <c r="B2504" s="188" t="s">
        <v>3787</v>
      </c>
      <c r="C2504" s="188" t="s">
        <v>659</v>
      </c>
      <c r="D2504" s="188" t="s">
        <v>4027</v>
      </c>
      <c r="E2504" s="189">
        <v>39485</v>
      </c>
      <c r="F2504" s="190">
        <v>0</v>
      </c>
      <c r="G2504" s="190">
        <v>25.6</v>
      </c>
      <c r="H2504" s="191">
        <v>365</v>
      </c>
      <c r="I2504" s="191">
        <v>180</v>
      </c>
      <c r="J2504" s="188" t="s">
        <v>624</v>
      </c>
      <c r="K2504" s="188" t="s">
        <v>427</v>
      </c>
      <c r="L2504" s="188" t="s">
        <v>910</v>
      </c>
      <c r="M2504" s="192">
        <f t="shared" si="117"/>
        <v>25</v>
      </c>
      <c r="N2504" s="193">
        <f t="shared" si="118"/>
        <v>0.91249999999999998</v>
      </c>
      <c r="O2504" s="194">
        <f t="shared" si="119"/>
        <v>3.6499999999999998E-2</v>
      </c>
    </row>
    <row r="2505" spans="1:15" ht="12.75" customHeight="1">
      <c r="A2505" s="188" t="s">
        <v>620</v>
      </c>
      <c r="B2505" s="188" t="s">
        <v>3787</v>
      </c>
      <c r="C2505" s="188" t="s">
        <v>659</v>
      </c>
      <c r="D2505" s="188" t="s">
        <v>4028</v>
      </c>
      <c r="E2505" s="189">
        <v>39562</v>
      </c>
      <c r="F2505" s="190">
        <v>0</v>
      </c>
      <c r="G2505" s="190">
        <v>60.8</v>
      </c>
      <c r="H2505" s="191">
        <v>870</v>
      </c>
      <c r="I2505" s="191">
        <v>427.5</v>
      </c>
      <c r="J2505" s="188" t="s">
        <v>624</v>
      </c>
      <c r="K2505" s="188" t="s">
        <v>427</v>
      </c>
      <c r="L2505" s="188" t="s">
        <v>1164</v>
      </c>
      <c r="M2505" s="192">
        <f t="shared" si="117"/>
        <v>25</v>
      </c>
      <c r="N2505" s="193">
        <f t="shared" si="118"/>
        <v>0.91578947368421049</v>
      </c>
      <c r="O2505" s="194">
        <f t="shared" si="119"/>
        <v>3.6631578947368418E-2</v>
      </c>
    </row>
    <row r="2506" spans="1:15" ht="12.75" customHeight="1">
      <c r="A2506" s="188" t="s">
        <v>620</v>
      </c>
      <c r="B2506" s="188" t="s">
        <v>3787</v>
      </c>
      <c r="C2506" s="188" t="s">
        <v>659</v>
      </c>
      <c r="D2506" s="188" t="s">
        <v>4029</v>
      </c>
      <c r="E2506" s="189">
        <v>39310</v>
      </c>
      <c r="F2506" s="190">
        <v>0</v>
      </c>
      <c r="G2506" s="190">
        <v>76.8</v>
      </c>
      <c r="H2506" s="191">
        <v>1320</v>
      </c>
      <c r="I2506" s="191">
        <v>540</v>
      </c>
      <c r="J2506" s="188" t="s">
        <v>624</v>
      </c>
      <c r="K2506" s="188" t="s">
        <v>257</v>
      </c>
      <c r="L2506" s="188" t="s">
        <v>632</v>
      </c>
      <c r="M2506" s="192">
        <f t="shared" si="117"/>
        <v>30</v>
      </c>
      <c r="N2506" s="193">
        <f t="shared" si="118"/>
        <v>1.1000000000000001</v>
      </c>
      <c r="O2506" s="194">
        <f t="shared" si="119"/>
        <v>3.6666666666666667E-2</v>
      </c>
    </row>
    <row r="2507" spans="1:15" ht="12.75" customHeight="1">
      <c r="A2507" s="188" t="s">
        <v>620</v>
      </c>
      <c r="B2507" s="188" t="s">
        <v>3787</v>
      </c>
      <c r="C2507" s="188" t="s">
        <v>659</v>
      </c>
      <c r="D2507" s="188" t="s">
        <v>4030</v>
      </c>
      <c r="E2507" s="189">
        <v>39429</v>
      </c>
      <c r="F2507" s="190">
        <v>0</v>
      </c>
      <c r="G2507" s="190">
        <v>19.2</v>
      </c>
      <c r="H2507" s="191">
        <v>275</v>
      </c>
      <c r="I2507" s="191">
        <v>135</v>
      </c>
      <c r="J2507" s="188" t="s">
        <v>624</v>
      </c>
      <c r="K2507" s="188" t="s">
        <v>427</v>
      </c>
      <c r="L2507" s="188" t="s">
        <v>1315</v>
      </c>
      <c r="M2507" s="192">
        <f t="shared" si="117"/>
        <v>25</v>
      </c>
      <c r="N2507" s="193">
        <f t="shared" si="118"/>
        <v>0.91666666666666663</v>
      </c>
      <c r="O2507" s="194">
        <f t="shared" si="119"/>
        <v>3.6666666666666667E-2</v>
      </c>
    </row>
    <row r="2508" spans="1:15" ht="12.75" customHeight="1">
      <c r="A2508" s="188" t="s">
        <v>620</v>
      </c>
      <c r="B2508" s="188" t="s">
        <v>3787</v>
      </c>
      <c r="C2508" s="188" t="s">
        <v>659</v>
      </c>
      <c r="D2508" s="188" t="s">
        <v>4031</v>
      </c>
      <c r="E2508" s="189">
        <v>39254</v>
      </c>
      <c r="F2508" s="190">
        <v>0</v>
      </c>
      <c r="G2508" s="190">
        <v>72.19</v>
      </c>
      <c r="H2508" s="191">
        <v>1034.04</v>
      </c>
      <c r="I2508" s="191">
        <v>507.6</v>
      </c>
      <c r="J2508" s="188" t="s">
        <v>624</v>
      </c>
      <c r="K2508" s="188" t="s">
        <v>427</v>
      </c>
      <c r="L2508" s="188" t="s">
        <v>1390</v>
      </c>
      <c r="M2508" s="192">
        <f t="shared" si="117"/>
        <v>25</v>
      </c>
      <c r="N2508" s="193">
        <f t="shared" si="118"/>
        <v>0.91670212765957448</v>
      </c>
      <c r="O2508" s="194">
        <f t="shared" si="119"/>
        <v>3.6668085106382982E-2</v>
      </c>
    </row>
    <row r="2509" spans="1:15" ht="12.75" customHeight="1">
      <c r="A2509" s="188" t="s">
        <v>620</v>
      </c>
      <c r="B2509" s="188" t="s">
        <v>3787</v>
      </c>
      <c r="C2509" s="188" t="s">
        <v>659</v>
      </c>
      <c r="D2509" s="188" t="s">
        <v>4032</v>
      </c>
      <c r="E2509" s="189">
        <v>39520</v>
      </c>
      <c r="F2509" s="190">
        <v>0</v>
      </c>
      <c r="G2509" s="190">
        <v>47.68</v>
      </c>
      <c r="H2509" s="191">
        <v>685</v>
      </c>
      <c r="I2509" s="191">
        <v>335.25</v>
      </c>
      <c r="J2509" s="188" t="s">
        <v>624</v>
      </c>
      <c r="K2509" s="188" t="s">
        <v>427</v>
      </c>
      <c r="L2509" s="188" t="s">
        <v>4033</v>
      </c>
      <c r="M2509" s="192">
        <f t="shared" si="117"/>
        <v>25</v>
      </c>
      <c r="N2509" s="193">
        <f t="shared" si="118"/>
        <v>0.91946308724832215</v>
      </c>
      <c r="O2509" s="194">
        <f t="shared" si="119"/>
        <v>3.6778523489932886E-2</v>
      </c>
    </row>
    <row r="2510" spans="1:15" ht="12.75" customHeight="1">
      <c r="A2510" s="188" t="s">
        <v>620</v>
      </c>
      <c r="B2510" s="188" t="s">
        <v>3787</v>
      </c>
      <c r="C2510" s="188" t="s">
        <v>659</v>
      </c>
      <c r="D2510" s="188" t="s">
        <v>4034</v>
      </c>
      <c r="E2510" s="189">
        <v>39380</v>
      </c>
      <c r="F2510" s="190">
        <v>0</v>
      </c>
      <c r="G2510" s="190">
        <v>62.34</v>
      </c>
      <c r="H2510" s="191">
        <v>896</v>
      </c>
      <c r="I2510" s="191">
        <v>438.3</v>
      </c>
      <c r="J2510" s="188" t="s">
        <v>624</v>
      </c>
      <c r="K2510" s="188" t="s">
        <v>427</v>
      </c>
      <c r="L2510" s="188" t="s">
        <v>3625</v>
      </c>
      <c r="M2510" s="192">
        <f t="shared" si="117"/>
        <v>25</v>
      </c>
      <c r="N2510" s="193">
        <f t="shared" si="118"/>
        <v>0.91991786447638602</v>
      </c>
      <c r="O2510" s="194">
        <f t="shared" si="119"/>
        <v>3.6796714579055444E-2</v>
      </c>
    </row>
    <row r="2511" spans="1:15" ht="12.75" customHeight="1">
      <c r="A2511" s="188" t="s">
        <v>620</v>
      </c>
      <c r="B2511" s="188" t="s">
        <v>3787</v>
      </c>
      <c r="C2511" s="188" t="s">
        <v>659</v>
      </c>
      <c r="D2511" s="188" t="s">
        <v>4035</v>
      </c>
      <c r="E2511" s="189">
        <v>39212</v>
      </c>
      <c r="F2511" s="190">
        <v>0</v>
      </c>
      <c r="G2511" s="190">
        <v>73.73</v>
      </c>
      <c r="H2511" s="191">
        <v>1059.8399999999999</v>
      </c>
      <c r="I2511" s="191">
        <v>518.4</v>
      </c>
      <c r="J2511" s="188" t="s">
        <v>624</v>
      </c>
      <c r="K2511" s="188" t="s">
        <v>427</v>
      </c>
      <c r="L2511" s="188" t="s">
        <v>952</v>
      </c>
      <c r="M2511" s="192">
        <f t="shared" si="117"/>
        <v>25</v>
      </c>
      <c r="N2511" s="193">
        <f t="shared" si="118"/>
        <v>0.91999999999999993</v>
      </c>
      <c r="O2511" s="194">
        <f t="shared" si="119"/>
        <v>3.6799999999999999E-2</v>
      </c>
    </row>
    <row r="2512" spans="1:15" ht="12.75" customHeight="1">
      <c r="A2512" s="188" t="s">
        <v>620</v>
      </c>
      <c r="B2512" s="188" t="s">
        <v>3787</v>
      </c>
      <c r="C2512" s="188" t="s">
        <v>659</v>
      </c>
      <c r="D2512" s="188" t="s">
        <v>4036</v>
      </c>
      <c r="E2512" s="189">
        <v>39597</v>
      </c>
      <c r="F2512" s="190">
        <v>0</v>
      </c>
      <c r="G2512" s="190">
        <v>103.68</v>
      </c>
      <c r="H2512" s="191">
        <v>2266.1799999999998</v>
      </c>
      <c r="I2512" s="191">
        <v>729</v>
      </c>
      <c r="J2512" s="188" t="s">
        <v>624</v>
      </c>
      <c r="K2512" s="188" t="s">
        <v>338</v>
      </c>
      <c r="L2512" s="188" t="s">
        <v>1195</v>
      </c>
      <c r="M2512" s="192">
        <f t="shared" si="117"/>
        <v>38</v>
      </c>
      <c r="N2512" s="193">
        <f t="shared" si="118"/>
        <v>1.3988765432098764</v>
      </c>
      <c r="O2512" s="194">
        <f t="shared" si="119"/>
        <v>3.6812540610786225E-2</v>
      </c>
    </row>
    <row r="2513" spans="1:15" ht="12.75" customHeight="1">
      <c r="A2513" s="188" t="s">
        <v>620</v>
      </c>
      <c r="B2513" s="188" t="s">
        <v>3787</v>
      </c>
      <c r="C2513" s="188" t="s">
        <v>659</v>
      </c>
      <c r="D2513" s="188" t="s">
        <v>4037</v>
      </c>
      <c r="E2513" s="189">
        <v>39422</v>
      </c>
      <c r="F2513" s="190">
        <v>0</v>
      </c>
      <c r="G2513" s="190">
        <v>89.6</v>
      </c>
      <c r="H2513" s="191">
        <v>1300</v>
      </c>
      <c r="I2513" s="191">
        <v>630</v>
      </c>
      <c r="J2513" s="188" t="s">
        <v>624</v>
      </c>
      <c r="K2513" s="188" t="s">
        <v>427</v>
      </c>
      <c r="L2513" s="188" t="s">
        <v>754</v>
      </c>
      <c r="M2513" s="192">
        <f t="shared" si="117"/>
        <v>25</v>
      </c>
      <c r="N2513" s="193">
        <f t="shared" si="118"/>
        <v>0.9285714285714286</v>
      </c>
      <c r="O2513" s="194">
        <f t="shared" si="119"/>
        <v>3.7142857142857144E-2</v>
      </c>
    </row>
    <row r="2514" spans="1:15" ht="12.75" customHeight="1">
      <c r="A2514" s="188" t="s">
        <v>620</v>
      </c>
      <c r="B2514" s="188" t="s">
        <v>3787</v>
      </c>
      <c r="C2514" s="188" t="s">
        <v>659</v>
      </c>
      <c r="D2514" s="188" t="s">
        <v>4038</v>
      </c>
      <c r="E2514" s="189">
        <v>39447</v>
      </c>
      <c r="F2514" s="190">
        <v>0</v>
      </c>
      <c r="G2514" s="190">
        <v>63.74</v>
      </c>
      <c r="H2514" s="191">
        <v>925</v>
      </c>
      <c r="I2514" s="191">
        <v>448.2</v>
      </c>
      <c r="J2514" s="188" t="s">
        <v>624</v>
      </c>
      <c r="K2514" s="188" t="s">
        <v>427</v>
      </c>
      <c r="L2514" s="188" t="s">
        <v>2685</v>
      </c>
      <c r="M2514" s="192">
        <f t="shared" si="117"/>
        <v>25</v>
      </c>
      <c r="N2514" s="193">
        <f t="shared" si="118"/>
        <v>0.92871485943775101</v>
      </c>
      <c r="O2514" s="194">
        <f t="shared" si="119"/>
        <v>3.7148594377510037E-2</v>
      </c>
    </row>
    <row r="2515" spans="1:15" ht="12.75" customHeight="1">
      <c r="A2515" s="188" t="s">
        <v>620</v>
      </c>
      <c r="B2515" s="188" t="s">
        <v>3787</v>
      </c>
      <c r="C2515" s="188" t="s">
        <v>659</v>
      </c>
      <c r="D2515" s="188" t="s">
        <v>4039</v>
      </c>
      <c r="E2515" s="189">
        <v>39429</v>
      </c>
      <c r="F2515" s="190">
        <v>0</v>
      </c>
      <c r="G2515" s="190">
        <v>73.73</v>
      </c>
      <c r="H2515" s="191">
        <v>1070</v>
      </c>
      <c r="I2515" s="191">
        <v>518.4</v>
      </c>
      <c r="J2515" s="188" t="s">
        <v>624</v>
      </c>
      <c r="K2515" s="188" t="s">
        <v>427</v>
      </c>
      <c r="L2515" s="188" t="s">
        <v>952</v>
      </c>
      <c r="M2515" s="192">
        <f t="shared" si="117"/>
        <v>25</v>
      </c>
      <c r="N2515" s="193">
        <f t="shared" si="118"/>
        <v>0.92881944444444442</v>
      </c>
      <c r="O2515" s="194">
        <f t="shared" si="119"/>
        <v>3.7152777777777778E-2</v>
      </c>
    </row>
    <row r="2516" spans="1:15" ht="12.75" customHeight="1">
      <c r="A2516" s="188" t="s">
        <v>620</v>
      </c>
      <c r="B2516" s="188" t="s">
        <v>3787</v>
      </c>
      <c r="C2516" s="188" t="s">
        <v>659</v>
      </c>
      <c r="D2516" s="188" t="s">
        <v>4040</v>
      </c>
      <c r="E2516" s="189">
        <v>39499</v>
      </c>
      <c r="F2516" s="190">
        <v>0</v>
      </c>
      <c r="G2516" s="190">
        <v>89.22</v>
      </c>
      <c r="H2516" s="191">
        <v>1399</v>
      </c>
      <c r="I2516" s="191">
        <v>627.29999999999995</v>
      </c>
      <c r="J2516" s="188" t="s">
        <v>624</v>
      </c>
      <c r="K2516" s="188" t="s">
        <v>375</v>
      </c>
      <c r="L2516" s="188" t="s">
        <v>1706</v>
      </c>
      <c r="M2516" s="192">
        <f t="shared" si="117"/>
        <v>27</v>
      </c>
      <c r="N2516" s="193">
        <f t="shared" si="118"/>
        <v>1.0035868005738882</v>
      </c>
      <c r="O2516" s="194">
        <f t="shared" si="119"/>
        <v>3.7169881502736597E-2</v>
      </c>
    </row>
    <row r="2517" spans="1:15" ht="12.75" customHeight="1">
      <c r="A2517" s="188" t="s">
        <v>620</v>
      </c>
      <c r="B2517" s="188" t="s">
        <v>3787</v>
      </c>
      <c r="C2517" s="188" t="s">
        <v>659</v>
      </c>
      <c r="D2517" s="188" t="s">
        <v>4041</v>
      </c>
      <c r="E2517" s="189">
        <v>39407</v>
      </c>
      <c r="F2517" s="190">
        <v>0</v>
      </c>
      <c r="G2517" s="190">
        <v>60.22</v>
      </c>
      <c r="H2517" s="191">
        <v>875</v>
      </c>
      <c r="I2517" s="191">
        <v>423.45</v>
      </c>
      <c r="J2517" s="188" t="s">
        <v>624</v>
      </c>
      <c r="K2517" s="188" t="s">
        <v>427</v>
      </c>
      <c r="L2517" s="188" t="s">
        <v>1650</v>
      </c>
      <c r="M2517" s="192">
        <f t="shared" si="117"/>
        <v>25</v>
      </c>
      <c r="N2517" s="193">
        <f t="shared" si="118"/>
        <v>0.92986184909670566</v>
      </c>
      <c r="O2517" s="194">
        <f t="shared" si="119"/>
        <v>3.7194473963868227E-2</v>
      </c>
    </row>
    <row r="2518" spans="1:15" ht="12.75" customHeight="1">
      <c r="A2518" s="188" t="s">
        <v>620</v>
      </c>
      <c r="B2518" s="188" t="s">
        <v>3787</v>
      </c>
      <c r="C2518" s="188" t="s">
        <v>659</v>
      </c>
      <c r="D2518" s="188" t="s">
        <v>4042</v>
      </c>
      <c r="E2518" s="189">
        <v>39447</v>
      </c>
      <c r="F2518" s="190">
        <v>0</v>
      </c>
      <c r="G2518" s="190">
        <v>101.12</v>
      </c>
      <c r="H2518" s="191">
        <v>1470</v>
      </c>
      <c r="I2518" s="191">
        <v>711</v>
      </c>
      <c r="J2518" s="188" t="s">
        <v>624</v>
      </c>
      <c r="K2518" s="188" t="s">
        <v>427</v>
      </c>
      <c r="L2518" s="188" t="s">
        <v>711</v>
      </c>
      <c r="M2518" s="192">
        <f t="shared" si="117"/>
        <v>25</v>
      </c>
      <c r="N2518" s="193">
        <f t="shared" si="118"/>
        <v>0.930379746835443</v>
      </c>
      <c r="O2518" s="194">
        <f t="shared" si="119"/>
        <v>3.7215189873417723E-2</v>
      </c>
    </row>
    <row r="2519" spans="1:15" ht="12.75" customHeight="1">
      <c r="A2519" s="188" t="s">
        <v>620</v>
      </c>
      <c r="B2519" s="188" t="s">
        <v>3787</v>
      </c>
      <c r="C2519" s="188" t="s">
        <v>659</v>
      </c>
      <c r="D2519" s="188" t="s">
        <v>4043</v>
      </c>
      <c r="E2519" s="189">
        <v>39520</v>
      </c>
      <c r="F2519" s="190">
        <v>0</v>
      </c>
      <c r="G2519" s="190">
        <v>21.25</v>
      </c>
      <c r="H2519" s="191">
        <v>309</v>
      </c>
      <c r="I2519" s="191">
        <v>149.4</v>
      </c>
      <c r="J2519" s="188" t="s">
        <v>624</v>
      </c>
      <c r="K2519" s="188" t="s">
        <v>427</v>
      </c>
      <c r="L2519" s="188" t="s">
        <v>284</v>
      </c>
      <c r="M2519" s="192">
        <f t="shared" si="117"/>
        <v>25</v>
      </c>
      <c r="N2519" s="193">
        <f t="shared" si="118"/>
        <v>0.93072289156626509</v>
      </c>
      <c r="O2519" s="194">
        <f t="shared" si="119"/>
        <v>3.7228915662650602E-2</v>
      </c>
    </row>
    <row r="2520" spans="1:15" ht="12.75" customHeight="1">
      <c r="A2520" s="188" t="s">
        <v>620</v>
      </c>
      <c r="B2520" s="188" t="s">
        <v>3787</v>
      </c>
      <c r="C2520" s="188" t="s">
        <v>659</v>
      </c>
      <c r="D2520" s="188" t="s">
        <v>4044</v>
      </c>
      <c r="E2520" s="189">
        <v>39226</v>
      </c>
      <c r="F2520" s="190">
        <v>0</v>
      </c>
      <c r="G2520" s="190">
        <v>70.400000000000006</v>
      </c>
      <c r="H2520" s="191">
        <v>1024.98</v>
      </c>
      <c r="I2520" s="191">
        <v>495</v>
      </c>
      <c r="J2520" s="188" t="s">
        <v>624</v>
      </c>
      <c r="K2520" s="188" t="s">
        <v>427</v>
      </c>
      <c r="L2520" s="188" t="s">
        <v>557</v>
      </c>
      <c r="M2520" s="192">
        <f t="shared" si="117"/>
        <v>25</v>
      </c>
      <c r="N2520" s="193">
        <f t="shared" si="118"/>
        <v>0.93179999999999996</v>
      </c>
      <c r="O2520" s="194">
        <f t="shared" si="119"/>
        <v>3.7272E-2</v>
      </c>
    </row>
    <row r="2521" spans="1:15" ht="12.75" customHeight="1">
      <c r="A2521" s="188" t="s">
        <v>620</v>
      </c>
      <c r="B2521" s="188" t="s">
        <v>3787</v>
      </c>
      <c r="C2521" s="188" t="s">
        <v>659</v>
      </c>
      <c r="D2521" s="188" t="s">
        <v>4045</v>
      </c>
      <c r="E2521" s="189">
        <v>39447</v>
      </c>
      <c r="F2521" s="190">
        <v>0</v>
      </c>
      <c r="G2521" s="190">
        <v>72.83</v>
      </c>
      <c r="H2521" s="191">
        <v>1061</v>
      </c>
      <c r="I2521" s="191">
        <v>512.1</v>
      </c>
      <c r="J2521" s="188" t="s">
        <v>624</v>
      </c>
      <c r="K2521" s="188" t="s">
        <v>427</v>
      </c>
      <c r="L2521" s="188" t="s">
        <v>806</v>
      </c>
      <c r="M2521" s="192">
        <f t="shared" si="117"/>
        <v>25</v>
      </c>
      <c r="N2521" s="193">
        <f t="shared" si="118"/>
        <v>0.93233743409490333</v>
      </c>
      <c r="O2521" s="194">
        <f t="shared" si="119"/>
        <v>3.7293497363796134E-2</v>
      </c>
    </row>
    <row r="2522" spans="1:15" ht="12.75" customHeight="1">
      <c r="A2522" s="188" t="s">
        <v>620</v>
      </c>
      <c r="B2522" s="188" t="s">
        <v>3787</v>
      </c>
      <c r="C2522" s="188" t="s">
        <v>659</v>
      </c>
      <c r="D2522" s="188" t="s">
        <v>4046</v>
      </c>
      <c r="E2522" s="189">
        <v>39513</v>
      </c>
      <c r="F2522" s="190">
        <v>0</v>
      </c>
      <c r="G2522" s="190">
        <v>114.56</v>
      </c>
      <c r="H2522" s="191">
        <v>1670</v>
      </c>
      <c r="I2522" s="191">
        <v>805.5</v>
      </c>
      <c r="J2522" s="188" t="s">
        <v>624</v>
      </c>
      <c r="K2522" s="188" t="s">
        <v>427</v>
      </c>
      <c r="L2522" s="188" t="s">
        <v>4047</v>
      </c>
      <c r="M2522" s="192">
        <f t="shared" si="117"/>
        <v>25</v>
      </c>
      <c r="N2522" s="193">
        <f t="shared" si="118"/>
        <v>0.93296089385474856</v>
      </c>
      <c r="O2522" s="194">
        <f t="shared" si="119"/>
        <v>3.7318435754189944E-2</v>
      </c>
    </row>
    <row r="2523" spans="1:15" ht="12.75" customHeight="1">
      <c r="A2523" s="188" t="s">
        <v>620</v>
      </c>
      <c r="B2523" s="188" t="s">
        <v>3787</v>
      </c>
      <c r="C2523" s="188" t="s">
        <v>659</v>
      </c>
      <c r="D2523" s="188" t="s">
        <v>4048</v>
      </c>
      <c r="E2523" s="189">
        <v>39366</v>
      </c>
      <c r="F2523" s="190">
        <v>0</v>
      </c>
      <c r="G2523" s="190">
        <v>50.24</v>
      </c>
      <c r="H2523" s="191">
        <v>879</v>
      </c>
      <c r="I2523" s="191">
        <v>353.25</v>
      </c>
      <c r="J2523" s="188" t="s">
        <v>624</v>
      </c>
      <c r="K2523" s="188" t="s">
        <v>257</v>
      </c>
      <c r="L2523" s="188" t="s">
        <v>3360</v>
      </c>
      <c r="M2523" s="192">
        <f t="shared" si="117"/>
        <v>30</v>
      </c>
      <c r="N2523" s="193">
        <f t="shared" si="118"/>
        <v>1.1197452229299363</v>
      </c>
      <c r="O2523" s="194">
        <f t="shared" si="119"/>
        <v>3.7324840764331207E-2</v>
      </c>
    </row>
    <row r="2524" spans="1:15" ht="12.75" customHeight="1">
      <c r="A2524" s="188" t="s">
        <v>620</v>
      </c>
      <c r="B2524" s="188" t="s">
        <v>3787</v>
      </c>
      <c r="C2524" s="188" t="s">
        <v>659</v>
      </c>
      <c r="D2524" s="188" t="s">
        <v>4049</v>
      </c>
      <c r="E2524" s="189">
        <v>39282</v>
      </c>
      <c r="F2524" s="190">
        <v>0</v>
      </c>
      <c r="G2524" s="190">
        <v>91.07</v>
      </c>
      <c r="H2524" s="191">
        <v>1327.94</v>
      </c>
      <c r="I2524" s="191">
        <v>640.35</v>
      </c>
      <c r="J2524" s="188" t="s">
        <v>624</v>
      </c>
      <c r="K2524" s="188" t="s">
        <v>427</v>
      </c>
      <c r="L2524" s="188" t="s">
        <v>4050</v>
      </c>
      <c r="M2524" s="192">
        <f t="shared" si="117"/>
        <v>25</v>
      </c>
      <c r="N2524" s="193">
        <f t="shared" si="118"/>
        <v>0.93319747013352072</v>
      </c>
      <c r="O2524" s="194">
        <f t="shared" si="119"/>
        <v>3.7327898805340827E-2</v>
      </c>
    </row>
    <row r="2525" spans="1:15" ht="12.75" customHeight="1">
      <c r="A2525" s="188" t="s">
        <v>620</v>
      </c>
      <c r="B2525" s="188" t="s">
        <v>3787</v>
      </c>
      <c r="C2525" s="188" t="s">
        <v>659</v>
      </c>
      <c r="D2525" s="188" t="s">
        <v>4051</v>
      </c>
      <c r="E2525" s="189">
        <v>39625</v>
      </c>
      <c r="F2525" s="190">
        <v>0</v>
      </c>
      <c r="G2525" s="190">
        <v>109.57</v>
      </c>
      <c r="H2525" s="191">
        <v>1920</v>
      </c>
      <c r="I2525" s="191">
        <v>770.4</v>
      </c>
      <c r="J2525" s="188" t="s">
        <v>624</v>
      </c>
      <c r="K2525" s="188" t="s">
        <v>257</v>
      </c>
      <c r="L2525" s="188" t="s">
        <v>2655</v>
      </c>
      <c r="M2525" s="192">
        <f t="shared" si="117"/>
        <v>30</v>
      </c>
      <c r="N2525" s="193">
        <f t="shared" si="118"/>
        <v>1.1214953271028036</v>
      </c>
      <c r="O2525" s="194">
        <f t="shared" si="119"/>
        <v>3.7383177570093455E-2</v>
      </c>
    </row>
    <row r="2526" spans="1:15" ht="12.75" customHeight="1">
      <c r="A2526" s="188" t="s">
        <v>620</v>
      </c>
      <c r="B2526" s="188" t="s">
        <v>3787</v>
      </c>
      <c r="C2526" s="188" t="s">
        <v>659</v>
      </c>
      <c r="D2526" s="188" t="s">
        <v>4052</v>
      </c>
      <c r="E2526" s="189">
        <v>39240</v>
      </c>
      <c r="F2526" s="190">
        <v>0</v>
      </c>
      <c r="G2526" s="190">
        <v>102.72</v>
      </c>
      <c r="H2526" s="191">
        <v>1500.03</v>
      </c>
      <c r="I2526" s="191">
        <v>722.25</v>
      </c>
      <c r="J2526" s="188" t="s">
        <v>624</v>
      </c>
      <c r="K2526" s="188" t="s">
        <v>427</v>
      </c>
      <c r="L2526" s="188" t="s">
        <v>4053</v>
      </c>
      <c r="M2526" s="192">
        <f t="shared" si="117"/>
        <v>25</v>
      </c>
      <c r="N2526" s="193">
        <f t="shared" si="118"/>
        <v>0.93459813084112153</v>
      </c>
      <c r="O2526" s="194">
        <f t="shared" si="119"/>
        <v>3.7383925233644859E-2</v>
      </c>
    </row>
    <row r="2527" spans="1:15" ht="12.75" customHeight="1">
      <c r="A2527" s="188" t="s">
        <v>620</v>
      </c>
      <c r="B2527" s="188" t="s">
        <v>3787</v>
      </c>
      <c r="C2527" s="188" t="s">
        <v>659</v>
      </c>
      <c r="D2527" s="188" t="s">
        <v>4054</v>
      </c>
      <c r="E2527" s="189">
        <v>39317</v>
      </c>
      <c r="F2527" s="190">
        <v>0</v>
      </c>
      <c r="G2527" s="190">
        <v>90.88</v>
      </c>
      <c r="H2527" s="191">
        <v>1329.97</v>
      </c>
      <c r="I2527" s="191">
        <v>639</v>
      </c>
      <c r="J2527" s="188" t="s">
        <v>624</v>
      </c>
      <c r="K2527" s="188" t="s">
        <v>427</v>
      </c>
      <c r="L2527" s="188" t="s">
        <v>2301</v>
      </c>
      <c r="M2527" s="192">
        <f t="shared" si="117"/>
        <v>25</v>
      </c>
      <c r="N2527" s="193">
        <f t="shared" si="118"/>
        <v>0.93659859154929581</v>
      </c>
      <c r="O2527" s="194">
        <f t="shared" si="119"/>
        <v>3.7463943661971831E-2</v>
      </c>
    </row>
    <row r="2528" spans="1:15" ht="12.75" customHeight="1">
      <c r="A2528" s="188" t="s">
        <v>620</v>
      </c>
      <c r="B2528" s="188" t="s">
        <v>3787</v>
      </c>
      <c r="C2528" s="188" t="s">
        <v>659</v>
      </c>
      <c r="D2528" s="188" t="s">
        <v>4055</v>
      </c>
      <c r="E2528" s="189">
        <v>39447</v>
      </c>
      <c r="F2528" s="190">
        <v>0</v>
      </c>
      <c r="G2528" s="190">
        <v>90.24</v>
      </c>
      <c r="H2528" s="191">
        <v>1322</v>
      </c>
      <c r="I2528" s="191">
        <v>634.5</v>
      </c>
      <c r="J2528" s="188" t="s">
        <v>624</v>
      </c>
      <c r="K2528" s="188" t="s">
        <v>427</v>
      </c>
      <c r="L2528" s="188" t="s">
        <v>2061</v>
      </c>
      <c r="M2528" s="192">
        <f t="shared" si="117"/>
        <v>25</v>
      </c>
      <c r="N2528" s="193">
        <f t="shared" si="118"/>
        <v>0.93758865248226952</v>
      </c>
      <c r="O2528" s="194">
        <f t="shared" si="119"/>
        <v>3.7503546099290783E-2</v>
      </c>
    </row>
    <row r="2529" spans="1:15" ht="12.75" customHeight="1">
      <c r="A2529" s="188" t="s">
        <v>620</v>
      </c>
      <c r="B2529" s="188" t="s">
        <v>3787</v>
      </c>
      <c r="C2529" s="188" t="s">
        <v>659</v>
      </c>
      <c r="D2529" s="188" t="s">
        <v>4056</v>
      </c>
      <c r="E2529" s="189">
        <v>39429</v>
      </c>
      <c r="F2529" s="190">
        <v>0</v>
      </c>
      <c r="G2529" s="190">
        <v>90.82</v>
      </c>
      <c r="H2529" s="191">
        <v>1333</v>
      </c>
      <c r="I2529" s="191">
        <v>638.54999999999995</v>
      </c>
      <c r="J2529" s="188" t="s">
        <v>624</v>
      </c>
      <c r="K2529" s="188" t="s">
        <v>427</v>
      </c>
      <c r="L2529" s="188" t="s">
        <v>4057</v>
      </c>
      <c r="M2529" s="192">
        <f t="shared" si="117"/>
        <v>25</v>
      </c>
      <c r="N2529" s="193">
        <f t="shared" si="118"/>
        <v>0.93939393939393945</v>
      </c>
      <c r="O2529" s="194">
        <f t="shared" si="119"/>
        <v>3.7575757575757575E-2</v>
      </c>
    </row>
    <row r="2530" spans="1:15" ht="12.75" customHeight="1">
      <c r="A2530" s="188" t="s">
        <v>620</v>
      </c>
      <c r="B2530" s="188" t="s">
        <v>3787</v>
      </c>
      <c r="C2530" s="188" t="s">
        <v>659</v>
      </c>
      <c r="D2530" s="188" t="s">
        <v>4058</v>
      </c>
      <c r="E2530" s="189">
        <v>39507</v>
      </c>
      <c r="F2530" s="190">
        <v>0</v>
      </c>
      <c r="G2530" s="190">
        <v>128</v>
      </c>
      <c r="H2530" s="191">
        <v>1880</v>
      </c>
      <c r="I2530" s="191">
        <v>900</v>
      </c>
      <c r="J2530" s="188" t="s">
        <v>624</v>
      </c>
      <c r="K2530" s="188" t="s">
        <v>427</v>
      </c>
      <c r="L2530" s="188" t="s">
        <v>756</v>
      </c>
      <c r="M2530" s="192">
        <f t="shared" si="117"/>
        <v>25</v>
      </c>
      <c r="N2530" s="193">
        <f t="shared" si="118"/>
        <v>0.94</v>
      </c>
      <c r="O2530" s="194">
        <f t="shared" si="119"/>
        <v>3.7599999999999995E-2</v>
      </c>
    </row>
    <row r="2531" spans="1:15" ht="12.75" customHeight="1">
      <c r="A2531" s="188" t="s">
        <v>620</v>
      </c>
      <c r="B2531" s="188" t="s">
        <v>3787</v>
      </c>
      <c r="C2531" s="188" t="s">
        <v>659</v>
      </c>
      <c r="D2531" s="188" t="s">
        <v>4059</v>
      </c>
      <c r="E2531" s="189">
        <v>39625</v>
      </c>
      <c r="F2531" s="190">
        <v>0</v>
      </c>
      <c r="G2531" s="190">
        <v>101.5</v>
      </c>
      <c r="H2531" s="191">
        <v>1497</v>
      </c>
      <c r="I2531" s="191">
        <v>713.7</v>
      </c>
      <c r="J2531" s="188" t="s">
        <v>624</v>
      </c>
      <c r="K2531" s="188" t="s">
        <v>427</v>
      </c>
      <c r="L2531" s="188" t="s">
        <v>4060</v>
      </c>
      <c r="M2531" s="192">
        <f t="shared" si="117"/>
        <v>25</v>
      </c>
      <c r="N2531" s="193">
        <f t="shared" si="118"/>
        <v>0.9438839848675914</v>
      </c>
      <c r="O2531" s="194">
        <f t="shared" si="119"/>
        <v>3.7755359394703654E-2</v>
      </c>
    </row>
    <row r="2532" spans="1:15" ht="12.75" customHeight="1">
      <c r="A2532" s="188" t="s">
        <v>620</v>
      </c>
      <c r="B2532" s="188" t="s">
        <v>3787</v>
      </c>
      <c r="C2532" s="188" t="s">
        <v>659</v>
      </c>
      <c r="D2532" s="188" t="s">
        <v>4061</v>
      </c>
      <c r="E2532" s="189">
        <v>39527</v>
      </c>
      <c r="F2532" s="190">
        <v>0</v>
      </c>
      <c r="G2532" s="190">
        <v>61.44</v>
      </c>
      <c r="H2532" s="191">
        <v>908</v>
      </c>
      <c r="I2532" s="191">
        <v>432</v>
      </c>
      <c r="J2532" s="188" t="s">
        <v>624</v>
      </c>
      <c r="K2532" s="188" t="s">
        <v>427</v>
      </c>
      <c r="L2532" s="188" t="s">
        <v>1146</v>
      </c>
      <c r="M2532" s="192">
        <f t="shared" si="117"/>
        <v>25</v>
      </c>
      <c r="N2532" s="193">
        <f t="shared" si="118"/>
        <v>0.9458333333333333</v>
      </c>
      <c r="O2532" s="194">
        <f t="shared" si="119"/>
        <v>3.783333333333333E-2</v>
      </c>
    </row>
    <row r="2533" spans="1:15" ht="12.75" customHeight="1">
      <c r="A2533" s="188" t="s">
        <v>620</v>
      </c>
      <c r="B2533" s="188" t="s">
        <v>3787</v>
      </c>
      <c r="C2533" s="188" t="s">
        <v>659</v>
      </c>
      <c r="D2533" s="188" t="s">
        <v>4062</v>
      </c>
      <c r="E2533" s="189">
        <v>39562</v>
      </c>
      <c r="F2533" s="190">
        <v>0</v>
      </c>
      <c r="G2533" s="190">
        <v>67.2</v>
      </c>
      <c r="H2533" s="191">
        <v>995</v>
      </c>
      <c r="I2533" s="191">
        <v>472.5</v>
      </c>
      <c r="J2533" s="188" t="s">
        <v>624</v>
      </c>
      <c r="K2533" s="188" t="s">
        <v>427</v>
      </c>
      <c r="L2533" s="188" t="s">
        <v>1139</v>
      </c>
      <c r="M2533" s="192">
        <f t="shared" si="117"/>
        <v>25</v>
      </c>
      <c r="N2533" s="193">
        <f t="shared" si="118"/>
        <v>0.94761904761904758</v>
      </c>
      <c r="O2533" s="194">
        <f t="shared" si="119"/>
        <v>3.7904761904761906E-2</v>
      </c>
    </row>
    <row r="2534" spans="1:15" ht="12.75" customHeight="1">
      <c r="A2534" s="188" t="s">
        <v>620</v>
      </c>
      <c r="B2534" s="188" t="s">
        <v>3787</v>
      </c>
      <c r="C2534" s="188" t="s">
        <v>659</v>
      </c>
      <c r="D2534" s="188" t="s">
        <v>4063</v>
      </c>
      <c r="E2534" s="189">
        <v>39625</v>
      </c>
      <c r="F2534" s="190">
        <v>0</v>
      </c>
      <c r="G2534" s="190">
        <v>67.2</v>
      </c>
      <c r="H2534" s="191">
        <v>1195</v>
      </c>
      <c r="I2534" s="191">
        <v>472.5</v>
      </c>
      <c r="J2534" s="188" t="s">
        <v>624</v>
      </c>
      <c r="K2534" s="188" t="s">
        <v>257</v>
      </c>
      <c r="L2534" s="188" t="s">
        <v>1139</v>
      </c>
      <c r="M2534" s="192">
        <f t="shared" si="117"/>
        <v>30</v>
      </c>
      <c r="N2534" s="193">
        <f t="shared" si="118"/>
        <v>1.138095238095238</v>
      </c>
      <c r="O2534" s="194">
        <f t="shared" si="119"/>
        <v>3.7936507936507935E-2</v>
      </c>
    </row>
    <row r="2535" spans="1:15" ht="12.75" customHeight="1">
      <c r="A2535" s="188" t="s">
        <v>620</v>
      </c>
      <c r="B2535" s="188" t="s">
        <v>3787</v>
      </c>
      <c r="C2535" s="188" t="s">
        <v>659</v>
      </c>
      <c r="D2535" s="188" t="s">
        <v>4064</v>
      </c>
      <c r="E2535" s="189">
        <v>39478</v>
      </c>
      <c r="F2535" s="190">
        <v>0</v>
      </c>
      <c r="G2535" s="190">
        <v>118.98</v>
      </c>
      <c r="H2535" s="191">
        <v>1482</v>
      </c>
      <c r="I2535" s="191">
        <v>836.55</v>
      </c>
      <c r="J2535" s="188" t="s">
        <v>624</v>
      </c>
      <c r="K2535" s="188" t="s">
        <v>1344</v>
      </c>
      <c r="L2535" s="188" t="s">
        <v>4065</v>
      </c>
      <c r="M2535" s="192">
        <f t="shared" si="117"/>
        <v>21</v>
      </c>
      <c r="N2535" s="193">
        <f t="shared" si="118"/>
        <v>0.79720279720279719</v>
      </c>
      <c r="O2535" s="194">
        <f t="shared" si="119"/>
        <v>3.796203796203796E-2</v>
      </c>
    </row>
    <row r="2536" spans="1:15" ht="12.75" customHeight="1">
      <c r="A2536" s="188" t="s">
        <v>620</v>
      </c>
      <c r="B2536" s="188" t="s">
        <v>3787</v>
      </c>
      <c r="C2536" s="188" t="s">
        <v>659</v>
      </c>
      <c r="D2536" s="188" t="s">
        <v>4066</v>
      </c>
      <c r="E2536" s="189">
        <v>39436</v>
      </c>
      <c r="F2536" s="190">
        <v>0</v>
      </c>
      <c r="G2536" s="190">
        <v>62.08</v>
      </c>
      <c r="H2536" s="191">
        <v>700</v>
      </c>
      <c r="I2536" s="191">
        <v>436.5</v>
      </c>
      <c r="J2536" s="188" t="s">
        <v>639</v>
      </c>
      <c r="K2536" s="188" t="s">
        <v>257</v>
      </c>
      <c r="L2536" s="188" t="s">
        <v>2680</v>
      </c>
      <c r="M2536" s="192">
        <f t="shared" si="117"/>
        <v>19</v>
      </c>
      <c r="N2536" s="193">
        <f t="shared" si="118"/>
        <v>0.72164948453608246</v>
      </c>
      <c r="O2536" s="194">
        <f t="shared" si="119"/>
        <v>3.7981551817688551E-2</v>
      </c>
    </row>
    <row r="2537" spans="1:15" ht="12.75" customHeight="1">
      <c r="A2537" s="188" t="s">
        <v>620</v>
      </c>
      <c r="B2537" s="188" t="s">
        <v>3787</v>
      </c>
      <c r="C2537" s="188" t="s">
        <v>659</v>
      </c>
      <c r="D2537" s="188" t="s">
        <v>4067</v>
      </c>
      <c r="E2537" s="189">
        <v>39345</v>
      </c>
      <c r="F2537" s="190">
        <v>0</v>
      </c>
      <c r="G2537" s="190">
        <v>104.45</v>
      </c>
      <c r="H2537" s="191">
        <v>1550.07</v>
      </c>
      <c r="I2537" s="191">
        <v>734.4</v>
      </c>
      <c r="J2537" s="188" t="s">
        <v>624</v>
      </c>
      <c r="K2537" s="188" t="s">
        <v>427</v>
      </c>
      <c r="L2537" s="188" t="s">
        <v>1732</v>
      </c>
      <c r="M2537" s="192">
        <f t="shared" si="117"/>
        <v>25</v>
      </c>
      <c r="N2537" s="193">
        <f t="shared" si="118"/>
        <v>0.94979779411764698</v>
      </c>
      <c r="O2537" s="194">
        <f t="shared" si="119"/>
        <v>3.7991911764705878E-2</v>
      </c>
    </row>
    <row r="2538" spans="1:15" ht="12.75" customHeight="1">
      <c r="A2538" s="188" t="s">
        <v>620</v>
      </c>
      <c r="B2538" s="188" t="s">
        <v>3787</v>
      </c>
      <c r="C2538" s="188" t="s">
        <v>659</v>
      </c>
      <c r="D2538" s="188" t="s">
        <v>4068</v>
      </c>
      <c r="E2538" s="189">
        <v>39261</v>
      </c>
      <c r="F2538" s="190">
        <v>0</v>
      </c>
      <c r="G2538" s="190">
        <v>115.2</v>
      </c>
      <c r="H2538" s="191">
        <v>1710</v>
      </c>
      <c r="I2538" s="191">
        <v>810</v>
      </c>
      <c r="J2538" s="188" t="s">
        <v>624</v>
      </c>
      <c r="K2538" s="188" t="s">
        <v>427</v>
      </c>
      <c r="L2538" s="188" t="s">
        <v>718</v>
      </c>
      <c r="M2538" s="192">
        <f t="shared" si="117"/>
        <v>25</v>
      </c>
      <c r="N2538" s="193">
        <f t="shared" si="118"/>
        <v>0.95</v>
      </c>
      <c r="O2538" s="194">
        <f t="shared" si="119"/>
        <v>3.7999999999999999E-2</v>
      </c>
    </row>
    <row r="2539" spans="1:15" ht="12.75" customHeight="1">
      <c r="A2539" s="188" t="s">
        <v>620</v>
      </c>
      <c r="B2539" s="188" t="s">
        <v>3787</v>
      </c>
      <c r="C2539" s="188" t="s">
        <v>659</v>
      </c>
      <c r="D2539" s="188" t="s">
        <v>4069</v>
      </c>
      <c r="E2539" s="189">
        <v>39269</v>
      </c>
      <c r="F2539" s="190">
        <v>0</v>
      </c>
      <c r="G2539" s="190">
        <v>107.39</v>
      </c>
      <c r="H2539" s="191">
        <v>1594.94</v>
      </c>
      <c r="I2539" s="191">
        <v>755.1</v>
      </c>
      <c r="J2539" s="188" t="s">
        <v>624</v>
      </c>
      <c r="K2539" s="188" t="s">
        <v>427</v>
      </c>
      <c r="L2539" s="188" t="s">
        <v>1609</v>
      </c>
      <c r="M2539" s="192">
        <f t="shared" si="117"/>
        <v>25</v>
      </c>
      <c r="N2539" s="193">
        <f t="shared" si="118"/>
        <v>0.95050059594755665</v>
      </c>
      <c r="O2539" s="194">
        <f t="shared" si="119"/>
        <v>3.8020023837902268E-2</v>
      </c>
    </row>
    <row r="2540" spans="1:15" ht="12.75" customHeight="1">
      <c r="A2540" s="188" t="s">
        <v>620</v>
      </c>
      <c r="B2540" s="188" t="s">
        <v>3787</v>
      </c>
      <c r="C2540" s="188" t="s">
        <v>659</v>
      </c>
      <c r="D2540" s="188" t="s">
        <v>4070</v>
      </c>
      <c r="E2540" s="189">
        <v>39240</v>
      </c>
      <c r="F2540" s="190">
        <v>0</v>
      </c>
      <c r="G2540" s="190">
        <v>84.1</v>
      </c>
      <c r="H2540" s="191">
        <v>1249.6099999999999</v>
      </c>
      <c r="I2540" s="191">
        <v>591.29999999999995</v>
      </c>
      <c r="J2540" s="188" t="s">
        <v>624</v>
      </c>
      <c r="K2540" s="188" t="s">
        <v>427</v>
      </c>
      <c r="L2540" s="188" t="s">
        <v>4071</v>
      </c>
      <c r="M2540" s="192">
        <f t="shared" si="117"/>
        <v>25</v>
      </c>
      <c r="N2540" s="193">
        <f t="shared" si="118"/>
        <v>0.95099695585996946</v>
      </c>
      <c r="O2540" s="194">
        <f t="shared" si="119"/>
        <v>3.8039878234398777E-2</v>
      </c>
    </row>
    <row r="2541" spans="1:15" ht="12.75" customHeight="1">
      <c r="A2541" s="188" t="s">
        <v>620</v>
      </c>
      <c r="B2541" s="188" t="s">
        <v>3787</v>
      </c>
      <c r="C2541" s="188" t="s">
        <v>659</v>
      </c>
      <c r="D2541" s="188" t="s">
        <v>4072</v>
      </c>
      <c r="E2541" s="189">
        <v>39527</v>
      </c>
      <c r="F2541" s="190">
        <v>0</v>
      </c>
      <c r="G2541" s="190">
        <v>80</v>
      </c>
      <c r="H2541" s="191">
        <v>1190</v>
      </c>
      <c r="I2541" s="191">
        <v>562.5</v>
      </c>
      <c r="J2541" s="188" t="s">
        <v>624</v>
      </c>
      <c r="K2541" s="188" t="s">
        <v>427</v>
      </c>
      <c r="L2541" s="188" t="s">
        <v>716</v>
      </c>
      <c r="M2541" s="192">
        <f t="shared" si="117"/>
        <v>25</v>
      </c>
      <c r="N2541" s="193">
        <f t="shared" si="118"/>
        <v>0.95199999999999996</v>
      </c>
      <c r="O2541" s="194">
        <f t="shared" si="119"/>
        <v>3.8079999999999996E-2</v>
      </c>
    </row>
    <row r="2542" spans="1:15" ht="12.75" customHeight="1">
      <c r="A2542" s="188" t="s">
        <v>620</v>
      </c>
      <c r="B2542" s="188" t="s">
        <v>3787</v>
      </c>
      <c r="C2542" s="188" t="s">
        <v>659</v>
      </c>
      <c r="D2542" s="188" t="s">
        <v>4073</v>
      </c>
      <c r="E2542" s="189">
        <v>39289</v>
      </c>
      <c r="F2542" s="190">
        <v>0</v>
      </c>
      <c r="G2542" s="190">
        <v>96.38</v>
      </c>
      <c r="H2542" s="191">
        <v>1434.01</v>
      </c>
      <c r="I2542" s="191">
        <v>677.7</v>
      </c>
      <c r="J2542" s="188" t="s">
        <v>624</v>
      </c>
      <c r="K2542" s="188" t="s">
        <v>427</v>
      </c>
      <c r="L2542" s="188" t="s">
        <v>4074</v>
      </c>
      <c r="M2542" s="192">
        <f t="shared" si="117"/>
        <v>25</v>
      </c>
      <c r="N2542" s="193">
        <f t="shared" si="118"/>
        <v>0.95219787516600263</v>
      </c>
      <c r="O2542" s="194">
        <f t="shared" si="119"/>
        <v>3.8087915006640105E-2</v>
      </c>
    </row>
    <row r="2543" spans="1:15" ht="12.75" customHeight="1">
      <c r="A2543" s="188" t="s">
        <v>620</v>
      </c>
      <c r="B2543" s="188" t="s">
        <v>3787</v>
      </c>
      <c r="C2543" s="188" t="s">
        <v>659</v>
      </c>
      <c r="D2543" s="188" t="s">
        <v>4075</v>
      </c>
      <c r="E2543" s="189">
        <v>39541</v>
      </c>
      <c r="F2543" s="190">
        <v>0</v>
      </c>
      <c r="G2543" s="190">
        <v>26.88</v>
      </c>
      <c r="H2543" s="191">
        <v>400</v>
      </c>
      <c r="I2543" s="191">
        <v>189</v>
      </c>
      <c r="J2543" s="188" t="s">
        <v>624</v>
      </c>
      <c r="K2543" s="188" t="s">
        <v>427</v>
      </c>
      <c r="L2543" s="188" t="s">
        <v>3251</v>
      </c>
      <c r="M2543" s="192">
        <f t="shared" si="117"/>
        <v>25</v>
      </c>
      <c r="N2543" s="193">
        <f t="shared" si="118"/>
        <v>0.95238095238095233</v>
      </c>
      <c r="O2543" s="194">
        <f t="shared" si="119"/>
        <v>3.8095238095238092E-2</v>
      </c>
    </row>
    <row r="2544" spans="1:15" ht="12.75" customHeight="1">
      <c r="A2544" s="188" t="s">
        <v>620</v>
      </c>
      <c r="B2544" s="188" t="s">
        <v>3787</v>
      </c>
      <c r="C2544" s="188" t="s">
        <v>659</v>
      </c>
      <c r="D2544" s="188" t="s">
        <v>4076</v>
      </c>
      <c r="E2544" s="189">
        <v>39359</v>
      </c>
      <c r="F2544" s="190">
        <v>0</v>
      </c>
      <c r="G2544" s="190">
        <v>83.07</v>
      </c>
      <c r="H2544" s="191">
        <v>1238</v>
      </c>
      <c r="I2544" s="191">
        <v>584.1</v>
      </c>
      <c r="J2544" s="188" t="s">
        <v>624</v>
      </c>
      <c r="K2544" s="188" t="s">
        <v>427</v>
      </c>
      <c r="L2544" s="188" t="s">
        <v>2566</v>
      </c>
      <c r="M2544" s="192">
        <f t="shared" si="117"/>
        <v>25</v>
      </c>
      <c r="N2544" s="193">
        <f t="shared" si="118"/>
        <v>0.95377503852080125</v>
      </c>
      <c r="O2544" s="194">
        <f t="shared" si="119"/>
        <v>3.815100154083205E-2</v>
      </c>
    </row>
    <row r="2545" spans="1:15" ht="12.75" customHeight="1">
      <c r="A2545" s="188" t="s">
        <v>620</v>
      </c>
      <c r="B2545" s="188" t="s">
        <v>3787</v>
      </c>
      <c r="C2545" s="188" t="s">
        <v>659</v>
      </c>
      <c r="D2545" s="188" t="s">
        <v>4077</v>
      </c>
      <c r="E2545" s="189">
        <v>39485</v>
      </c>
      <c r="F2545" s="190">
        <v>0</v>
      </c>
      <c r="G2545" s="190">
        <v>73.540000000000006</v>
      </c>
      <c r="H2545" s="191">
        <v>1098</v>
      </c>
      <c r="I2545" s="191">
        <v>517.04999999999995</v>
      </c>
      <c r="J2545" s="188" t="s">
        <v>624</v>
      </c>
      <c r="K2545" s="188" t="s">
        <v>427</v>
      </c>
      <c r="L2545" s="188" t="s">
        <v>1708</v>
      </c>
      <c r="M2545" s="192">
        <f t="shared" si="117"/>
        <v>25</v>
      </c>
      <c r="N2545" s="193">
        <f t="shared" si="118"/>
        <v>0.95561357702349869</v>
      </c>
      <c r="O2545" s="194">
        <f t="shared" si="119"/>
        <v>3.8224543080939949E-2</v>
      </c>
    </row>
    <row r="2546" spans="1:15" ht="12.75" customHeight="1">
      <c r="A2546" s="188" t="s">
        <v>620</v>
      </c>
      <c r="B2546" s="188" t="s">
        <v>3787</v>
      </c>
      <c r="C2546" s="188" t="s">
        <v>659</v>
      </c>
      <c r="D2546" s="188" t="s">
        <v>4078</v>
      </c>
      <c r="E2546" s="189">
        <v>39625</v>
      </c>
      <c r="F2546" s="190">
        <v>0</v>
      </c>
      <c r="G2546" s="190">
        <v>111.1</v>
      </c>
      <c r="H2546" s="191">
        <v>2000</v>
      </c>
      <c r="I2546" s="191">
        <v>781.2</v>
      </c>
      <c r="J2546" s="188" t="s">
        <v>624</v>
      </c>
      <c r="K2546" s="188" t="s">
        <v>257</v>
      </c>
      <c r="L2546" s="188" t="s">
        <v>4079</v>
      </c>
      <c r="M2546" s="192">
        <f t="shared" si="117"/>
        <v>30</v>
      </c>
      <c r="N2546" s="193">
        <f t="shared" si="118"/>
        <v>1.1520737327188939</v>
      </c>
      <c r="O2546" s="194">
        <f t="shared" si="119"/>
        <v>3.8402457757296463E-2</v>
      </c>
    </row>
    <row r="2547" spans="1:15" ht="12.75" customHeight="1">
      <c r="A2547" s="188" t="s">
        <v>620</v>
      </c>
      <c r="B2547" s="188" t="s">
        <v>3787</v>
      </c>
      <c r="C2547" s="188" t="s">
        <v>659</v>
      </c>
      <c r="D2547" s="188" t="s">
        <v>4080</v>
      </c>
      <c r="E2547" s="189">
        <v>39275</v>
      </c>
      <c r="F2547" s="190">
        <v>0</v>
      </c>
      <c r="G2547" s="190">
        <v>118.21</v>
      </c>
      <c r="H2547" s="191">
        <v>1774.97</v>
      </c>
      <c r="I2547" s="191">
        <v>831.15</v>
      </c>
      <c r="J2547" s="188" t="s">
        <v>624</v>
      </c>
      <c r="K2547" s="188" t="s">
        <v>427</v>
      </c>
      <c r="L2547" s="188" t="s">
        <v>1734</v>
      </c>
      <c r="M2547" s="192">
        <f t="shared" si="117"/>
        <v>25</v>
      </c>
      <c r="N2547" s="193">
        <f t="shared" si="118"/>
        <v>0.96100162425554958</v>
      </c>
      <c r="O2547" s="194">
        <f t="shared" si="119"/>
        <v>3.8440064970221982E-2</v>
      </c>
    </row>
    <row r="2548" spans="1:15" ht="12.75" customHeight="1">
      <c r="A2548" s="188" t="s">
        <v>620</v>
      </c>
      <c r="B2548" s="188" t="s">
        <v>3787</v>
      </c>
      <c r="C2548" s="188" t="s">
        <v>659</v>
      </c>
      <c r="D2548" s="188" t="s">
        <v>4081</v>
      </c>
      <c r="E2548" s="189">
        <v>39548</v>
      </c>
      <c r="F2548" s="190">
        <v>0</v>
      </c>
      <c r="G2548" s="190">
        <v>120.9</v>
      </c>
      <c r="H2548" s="191">
        <v>1825</v>
      </c>
      <c r="I2548" s="191">
        <v>850.05</v>
      </c>
      <c r="J2548" s="188" t="s">
        <v>624</v>
      </c>
      <c r="K2548" s="188" t="s">
        <v>427</v>
      </c>
      <c r="L2548" s="188" t="s">
        <v>2975</v>
      </c>
      <c r="M2548" s="192">
        <f t="shared" si="117"/>
        <v>25</v>
      </c>
      <c r="N2548" s="193">
        <f t="shared" si="118"/>
        <v>0.96611964002117523</v>
      </c>
      <c r="O2548" s="194">
        <f t="shared" si="119"/>
        <v>3.8644785600847012E-2</v>
      </c>
    </row>
    <row r="2549" spans="1:15" ht="12.75" customHeight="1">
      <c r="A2549" s="188" t="s">
        <v>620</v>
      </c>
      <c r="B2549" s="188" t="s">
        <v>3787</v>
      </c>
      <c r="C2549" s="188" t="s">
        <v>659</v>
      </c>
      <c r="D2549" s="188" t="s">
        <v>4082</v>
      </c>
      <c r="E2549" s="189">
        <v>39447</v>
      </c>
      <c r="F2549" s="190">
        <v>0</v>
      </c>
      <c r="G2549" s="190">
        <v>32.26</v>
      </c>
      <c r="H2549" s="191">
        <v>585</v>
      </c>
      <c r="I2549" s="191">
        <v>226.8</v>
      </c>
      <c r="J2549" s="188" t="s">
        <v>624</v>
      </c>
      <c r="K2549" s="188" t="s">
        <v>257</v>
      </c>
      <c r="L2549" s="188" t="s">
        <v>4083</v>
      </c>
      <c r="M2549" s="192">
        <f t="shared" si="117"/>
        <v>30</v>
      </c>
      <c r="N2549" s="193">
        <f t="shared" si="118"/>
        <v>1.1607142857142858</v>
      </c>
      <c r="O2549" s="194">
        <f t="shared" si="119"/>
        <v>3.8690476190476192E-2</v>
      </c>
    </row>
    <row r="2550" spans="1:15" ht="12.75" customHeight="1">
      <c r="A2550" s="188" t="s">
        <v>620</v>
      </c>
      <c r="B2550" s="188" t="s">
        <v>3787</v>
      </c>
      <c r="C2550" s="188" t="s">
        <v>659</v>
      </c>
      <c r="D2550" s="188" t="s">
        <v>4084</v>
      </c>
      <c r="E2550" s="189">
        <v>39576</v>
      </c>
      <c r="F2550" s="190">
        <v>0</v>
      </c>
      <c r="G2550" s="190">
        <v>99.84</v>
      </c>
      <c r="H2550" s="191">
        <v>1509.07</v>
      </c>
      <c r="I2550" s="191">
        <v>702</v>
      </c>
      <c r="J2550" s="188" t="s">
        <v>624</v>
      </c>
      <c r="K2550" s="188" t="s">
        <v>427</v>
      </c>
      <c r="L2550" s="188" t="s">
        <v>797</v>
      </c>
      <c r="M2550" s="192">
        <f t="shared" si="117"/>
        <v>25</v>
      </c>
      <c r="N2550" s="193">
        <f t="shared" si="118"/>
        <v>0.96735256410256409</v>
      </c>
      <c r="O2550" s="194">
        <f t="shared" si="119"/>
        <v>3.8694102564102564E-2</v>
      </c>
    </row>
    <row r="2551" spans="1:15" ht="12.75" customHeight="1">
      <c r="A2551" s="188" t="s">
        <v>620</v>
      </c>
      <c r="B2551" s="188" t="s">
        <v>3787</v>
      </c>
      <c r="C2551" s="188" t="s">
        <v>659</v>
      </c>
      <c r="D2551" s="188" t="s">
        <v>4085</v>
      </c>
      <c r="E2551" s="189">
        <v>39520</v>
      </c>
      <c r="F2551" s="190">
        <v>0</v>
      </c>
      <c r="G2551" s="190">
        <v>99.2</v>
      </c>
      <c r="H2551" s="191">
        <v>1500</v>
      </c>
      <c r="I2551" s="191">
        <v>697.5</v>
      </c>
      <c r="J2551" s="188" t="s">
        <v>624</v>
      </c>
      <c r="K2551" s="188" t="s">
        <v>427</v>
      </c>
      <c r="L2551" s="188" t="s">
        <v>1474</v>
      </c>
      <c r="M2551" s="192">
        <f t="shared" si="117"/>
        <v>25</v>
      </c>
      <c r="N2551" s="193">
        <f t="shared" si="118"/>
        <v>0.967741935483871</v>
      </c>
      <c r="O2551" s="194">
        <f t="shared" si="119"/>
        <v>3.870967741935484E-2</v>
      </c>
    </row>
    <row r="2552" spans="1:15" ht="12.75" customHeight="1">
      <c r="A2552" s="188" t="s">
        <v>620</v>
      </c>
      <c r="B2552" s="188" t="s">
        <v>3787</v>
      </c>
      <c r="C2552" s="188" t="s">
        <v>659</v>
      </c>
      <c r="D2552" s="188" t="s">
        <v>4086</v>
      </c>
      <c r="E2552" s="189">
        <v>39568</v>
      </c>
      <c r="F2552" s="190">
        <v>0</v>
      </c>
      <c r="G2552" s="190">
        <v>19.97</v>
      </c>
      <c r="H2552" s="191">
        <v>363</v>
      </c>
      <c r="I2552" s="191">
        <v>140.4</v>
      </c>
      <c r="J2552" s="188" t="s">
        <v>624</v>
      </c>
      <c r="K2552" s="188" t="s">
        <v>257</v>
      </c>
      <c r="L2552" s="188" t="s">
        <v>4087</v>
      </c>
      <c r="M2552" s="192">
        <f t="shared" si="117"/>
        <v>30</v>
      </c>
      <c r="N2552" s="193">
        <f t="shared" si="118"/>
        <v>1.1634615384615385</v>
      </c>
      <c r="O2552" s="194">
        <f t="shared" si="119"/>
        <v>3.8782051282051283E-2</v>
      </c>
    </row>
    <row r="2553" spans="1:15" ht="12.75" customHeight="1">
      <c r="A2553" s="188" t="s">
        <v>620</v>
      </c>
      <c r="B2553" s="188" t="s">
        <v>3787</v>
      </c>
      <c r="C2553" s="188" t="s">
        <v>659</v>
      </c>
      <c r="D2553" s="188" t="s">
        <v>4088</v>
      </c>
      <c r="E2553" s="189">
        <v>39219</v>
      </c>
      <c r="F2553" s="190">
        <v>0</v>
      </c>
      <c r="G2553" s="190">
        <v>49.92</v>
      </c>
      <c r="H2553" s="191">
        <v>756.6</v>
      </c>
      <c r="I2553" s="191">
        <v>351</v>
      </c>
      <c r="J2553" s="188" t="s">
        <v>624</v>
      </c>
      <c r="K2553" s="188" t="s">
        <v>427</v>
      </c>
      <c r="L2553" s="188" t="s">
        <v>656</v>
      </c>
      <c r="M2553" s="192">
        <f t="shared" si="117"/>
        <v>25</v>
      </c>
      <c r="N2553" s="193">
        <f t="shared" si="118"/>
        <v>0.97000000000000008</v>
      </c>
      <c r="O2553" s="194">
        <f t="shared" si="119"/>
        <v>3.8800000000000001E-2</v>
      </c>
    </row>
    <row r="2554" spans="1:15" ht="12.75" customHeight="1">
      <c r="A2554" s="188" t="s">
        <v>620</v>
      </c>
      <c r="B2554" s="188" t="s">
        <v>3787</v>
      </c>
      <c r="C2554" s="188" t="s">
        <v>659</v>
      </c>
      <c r="D2554" s="188" t="s">
        <v>4089</v>
      </c>
      <c r="E2554" s="189">
        <v>39317</v>
      </c>
      <c r="F2554" s="190">
        <v>0</v>
      </c>
      <c r="G2554" s="190">
        <v>49.6</v>
      </c>
      <c r="H2554" s="191">
        <v>751.98</v>
      </c>
      <c r="I2554" s="191">
        <v>348.75</v>
      </c>
      <c r="J2554" s="188" t="s">
        <v>624</v>
      </c>
      <c r="K2554" s="188" t="s">
        <v>427</v>
      </c>
      <c r="L2554" s="188" t="s">
        <v>4090</v>
      </c>
      <c r="M2554" s="192">
        <f t="shared" si="117"/>
        <v>25</v>
      </c>
      <c r="N2554" s="193">
        <f t="shared" si="118"/>
        <v>0.97029677419354843</v>
      </c>
      <c r="O2554" s="194">
        <f t="shared" si="119"/>
        <v>3.881187096774194E-2</v>
      </c>
    </row>
    <row r="2555" spans="1:15" ht="12.75" customHeight="1">
      <c r="A2555" s="188" t="s">
        <v>620</v>
      </c>
      <c r="B2555" s="188" t="s">
        <v>3787</v>
      </c>
      <c r="C2555" s="188" t="s">
        <v>659</v>
      </c>
      <c r="D2555" s="188" t="s">
        <v>4091</v>
      </c>
      <c r="E2555" s="189">
        <v>39447</v>
      </c>
      <c r="F2555" s="190">
        <v>0</v>
      </c>
      <c r="G2555" s="190">
        <v>92.8</v>
      </c>
      <c r="H2555" s="191">
        <v>1407</v>
      </c>
      <c r="I2555" s="191">
        <v>652.5</v>
      </c>
      <c r="J2555" s="188" t="s">
        <v>624</v>
      </c>
      <c r="K2555" s="188" t="s">
        <v>427</v>
      </c>
      <c r="L2555" s="188" t="s">
        <v>920</v>
      </c>
      <c r="M2555" s="192">
        <f t="shared" si="117"/>
        <v>25</v>
      </c>
      <c r="N2555" s="193">
        <f t="shared" si="118"/>
        <v>0.97034482758620688</v>
      </c>
      <c r="O2555" s="194">
        <f t="shared" si="119"/>
        <v>3.8813793103448277E-2</v>
      </c>
    </row>
    <row r="2556" spans="1:15" ht="12.75" customHeight="1">
      <c r="A2556" s="188" t="s">
        <v>620</v>
      </c>
      <c r="B2556" s="188" t="s">
        <v>3787</v>
      </c>
      <c r="C2556" s="188" t="s">
        <v>659</v>
      </c>
      <c r="D2556" s="188" t="s">
        <v>4092</v>
      </c>
      <c r="E2556" s="189">
        <v>39478</v>
      </c>
      <c r="F2556" s="190">
        <v>0</v>
      </c>
      <c r="G2556" s="190">
        <v>6.59</v>
      </c>
      <c r="H2556" s="191">
        <v>100</v>
      </c>
      <c r="I2556" s="191">
        <v>46.35</v>
      </c>
      <c r="J2556" s="188" t="s">
        <v>624</v>
      </c>
      <c r="K2556" s="188" t="s">
        <v>427</v>
      </c>
      <c r="L2556" s="188" t="s">
        <v>4093</v>
      </c>
      <c r="M2556" s="192">
        <f t="shared" si="117"/>
        <v>25</v>
      </c>
      <c r="N2556" s="193">
        <f t="shared" si="118"/>
        <v>0.970873786407767</v>
      </c>
      <c r="O2556" s="194">
        <f t="shared" si="119"/>
        <v>3.8834951456310683E-2</v>
      </c>
    </row>
    <row r="2557" spans="1:15" ht="12.75" customHeight="1">
      <c r="A2557" s="188" t="s">
        <v>620</v>
      </c>
      <c r="B2557" s="188" t="s">
        <v>3787</v>
      </c>
      <c r="C2557" s="188" t="s">
        <v>659</v>
      </c>
      <c r="D2557" s="188" t="s">
        <v>4094</v>
      </c>
      <c r="E2557" s="189">
        <v>39366</v>
      </c>
      <c r="F2557" s="190">
        <v>0</v>
      </c>
      <c r="G2557" s="190">
        <v>18.43</v>
      </c>
      <c r="H2557" s="191">
        <v>280</v>
      </c>
      <c r="I2557" s="191">
        <v>129.6</v>
      </c>
      <c r="J2557" s="188" t="s">
        <v>624</v>
      </c>
      <c r="K2557" s="188" t="s">
        <v>427</v>
      </c>
      <c r="L2557" s="188" t="s">
        <v>2558</v>
      </c>
      <c r="M2557" s="192">
        <f t="shared" si="117"/>
        <v>25</v>
      </c>
      <c r="N2557" s="193">
        <f t="shared" si="118"/>
        <v>0.97222222222222221</v>
      </c>
      <c r="O2557" s="194">
        <f t="shared" si="119"/>
        <v>3.888888888888889E-2</v>
      </c>
    </row>
    <row r="2558" spans="1:15" ht="12.75" customHeight="1">
      <c r="A2558" s="188" t="s">
        <v>620</v>
      </c>
      <c r="B2558" s="188" t="s">
        <v>3787</v>
      </c>
      <c r="C2558" s="188" t="s">
        <v>659</v>
      </c>
      <c r="D2558" s="188" t="s">
        <v>4095</v>
      </c>
      <c r="E2558" s="189">
        <v>39407</v>
      </c>
      <c r="F2558" s="190">
        <v>0</v>
      </c>
      <c r="G2558" s="190">
        <v>80.64</v>
      </c>
      <c r="H2558" s="191">
        <v>1225</v>
      </c>
      <c r="I2558" s="191">
        <v>567</v>
      </c>
      <c r="J2558" s="188" t="s">
        <v>624</v>
      </c>
      <c r="K2558" s="188" t="s">
        <v>427</v>
      </c>
      <c r="L2558" s="188" t="s">
        <v>680</v>
      </c>
      <c r="M2558" s="192">
        <f t="shared" si="117"/>
        <v>25</v>
      </c>
      <c r="N2558" s="193">
        <f t="shared" si="118"/>
        <v>0.97222222222222221</v>
      </c>
      <c r="O2558" s="194">
        <f t="shared" si="119"/>
        <v>3.888888888888889E-2</v>
      </c>
    </row>
    <row r="2559" spans="1:15" ht="12.75" customHeight="1">
      <c r="A2559" s="188" t="s">
        <v>620</v>
      </c>
      <c r="B2559" s="188" t="s">
        <v>3787</v>
      </c>
      <c r="C2559" s="188" t="s">
        <v>659</v>
      </c>
      <c r="D2559" s="188" t="s">
        <v>4096</v>
      </c>
      <c r="E2559" s="189">
        <v>39429</v>
      </c>
      <c r="F2559" s="190">
        <v>0</v>
      </c>
      <c r="G2559" s="190">
        <v>51.84</v>
      </c>
      <c r="H2559" s="191">
        <v>790</v>
      </c>
      <c r="I2559" s="191">
        <v>364.5</v>
      </c>
      <c r="J2559" s="188" t="s">
        <v>624</v>
      </c>
      <c r="K2559" s="188" t="s">
        <v>427</v>
      </c>
      <c r="L2559" s="188" t="s">
        <v>1883</v>
      </c>
      <c r="M2559" s="192">
        <f t="shared" si="117"/>
        <v>25</v>
      </c>
      <c r="N2559" s="193">
        <f t="shared" si="118"/>
        <v>0.97530864197530864</v>
      </c>
      <c r="O2559" s="194">
        <f t="shared" si="119"/>
        <v>3.9012345679012343E-2</v>
      </c>
    </row>
    <row r="2560" spans="1:15" ht="12.75" customHeight="1">
      <c r="A2560" s="188" t="s">
        <v>620</v>
      </c>
      <c r="B2560" s="188" t="s">
        <v>3787</v>
      </c>
      <c r="C2560" s="188" t="s">
        <v>659</v>
      </c>
      <c r="D2560" s="188" t="s">
        <v>4097</v>
      </c>
      <c r="E2560" s="189">
        <v>39471</v>
      </c>
      <c r="F2560" s="190">
        <v>0</v>
      </c>
      <c r="G2560" s="190">
        <v>71.680000000000007</v>
      </c>
      <c r="H2560" s="191">
        <v>1095</v>
      </c>
      <c r="I2560" s="191">
        <v>504</v>
      </c>
      <c r="J2560" s="188" t="s">
        <v>624</v>
      </c>
      <c r="K2560" s="188" t="s">
        <v>427</v>
      </c>
      <c r="L2560" s="188" t="s">
        <v>825</v>
      </c>
      <c r="M2560" s="192">
        <f t="shared" si="117"/>
        <v>25</v>
      </c>
      <c r="N2560" s="193">
        <f t="shared" si="118"/>
        <v>0.9776785714285714</v>
      </c>
      <c r="O2560" s="194">
        <f t="shared" si="119"/>
        <v>3.9107142857142854E-2</v>
      </c>
    </row>
    <row r="2561" spans="1:15" ht="12.75" customHeight="1">
      <c r="A2561" s="188" t="s">
        <v>620</v>
      </c>
      <c r="B2561" s="188" t="s">
        <v>3787</v>
      </c>
      <c r="C2561" s="188" t="s">
        <v>659</v>
      </c>
      <c r="D2561" s="188" t="s">
        <v>4098</v>
      </c>
      <c r="E2561" s="189">
        <v>39359</v>
      </c>
      <c r="F2561" s="190">
        <v>0</v>
      </c>
      <c r="G2561" s="190">
        <v>64.510000000000005</v>
      </c>
      <c r="H2561" s="191">
        <v>987</v>
      </c>
      <c r="I2561" s="191">
        <v>453.6</v>
      </c>
      <c r="J2561" s="188" t="s">
        <v>624</v>
      </c>
      <c r="K2561" s="188" t="s">
        <v>427</v>
      </c>
      <c r="L2561" s="188" t="s">
        <v>736</v>
      </c>
      <c r="M2561" s="192">
        <f t="shared" si="117"/>
        <v>25</v>
      </c>
      <c r="N2561" s="193">
        <f t="shared" si="118"/>
        <v>0.97916666666666663</v>
      </c>
      <c r="O2561" s="194">
        <f t="shared" si="119"/>
        <v>3.9166666666666662E-2</v>
      </c>
    </row>
    <row r="2562" spans="1:15" ht="12.75" customHeight="1">
      <c r="A2562" s="188" t="s">
        <v>620</v>
      </c>
      <c r="B2562" s="188" t="s">
        <v>3787</v>
      </c>
      <c r="C2562" s="188" t="s">
        <v>659</v>
      </c>
      <c r="D2562" s="188" t="s">
        <v>4099</v>
      </c>
      <c r="E2562" s="189">
        <v>39527</v>
      </c>
      <c r="F2562" s="190">
        <v>0</v>
      </c>
      <c r="G2562" s="190">
        <v>143.49</v>
      </c>
      <c r="H2562" s="191">
        <v>2196</v>
      </c>
      <c r="I2562" s="191">
        <v>1008.9</v>
      </c>
      <c r="J2562" s="188" t="s">
        <v>624</v>
      </c>
      <c r="K2562" s="188" t="s">
        <v>427</v>
      </c>
      <c r="L2562" s="188" t="s">
        <v>4100</v>
      </c>
      <c r="M2562" s="192">
        <f t="shared" ref="M2562:M2625" si="120">K2562-J2562</f>
        <v>25</v>
      </c>
      <c r="N2562" s="193">
        <f t="shared" ref="N2562:N2625" si="121">H2562/L2562</f>
        <v>0.97948260481712757</v>
      </c>
      <c r="O2562" s="194">
        <f t="shared" ref="O2562:O2625" si="122">N2562/M2562</f>
        <v>3.9179304192685102E-2</v>
      </c>
    </row>
    <row r="2563" spans="1:15" ht="12.75" customHeight="1">
      <c r="A2563" s="188" t="s">
        <v>620</v>
      </c>
      <c r="B2563" s="188" t="s">
        <v>3787</v>
      </c>
      <c r="C2563" s="188" t="s">
        <v>659</v>
      </c>
      <c r="D2563" s="188" t="s">
        <v>4101</v>
      </c>
      <c r="E2563" s="189">
        <v>39275</v>
      </c>
      <c r="F2563" s="190">
        <v>0</v>
      </c>
      <c r="G2563" s="190">
        <v>90.62</v>
      </c>
      <c r="H2563" s="191">
        <v>1386.97</v>
      </c>
      <c r="I2563" s="191">
        <v>637.20000000000005</v>
      </c>
      <c r="J2563" s="188" t="s">
        <v>624</v>
      </c>
      <c r="K2563" s="188" t="s">
        <v>427</v>
      </c>
      <c r="L2563" s="188" t="s">
        <v>1048</v>
      </c>
      <c r="M2563" s="192">
        <f t="shared" si="120"/>
        <v>25</v>
      </c>
      <c r="N2563" s="193">
        <f t="shared" si="121"/>
        <v>0.97949858757062147</v>
      </c>
      <c r="O2563" s="194">
        <f t="shared" si="122"/>
        <v>3.917994350282486E-2</v>
      </c>
    </row>
    <row r="2564" spans="1:15" ht="12.75" customHeight="1">
      <c r="A2564" s="188" t="s">
        <v>620</v>
      </c>
      <c r="B2564" s="188" t="s">
        <v>3787</v>
      </c>
      <c r="C2564" s="188" t="s">
        <v>659</v>
      </c>
      <c r="D2564" s="188" t="s">
        <v>4102</v>
      </c>
      <c r="E2564" s="189">
        <v>39269</v>
      </c>
      <c r="F2564" s="190">
        <v>0</v>
      </c>
      <c r="G2564" s="190">
        <v>84.48</v>
      </c>
      <c r="H2564" s="191">
        <v>1292.94</v>
      </c>
      <c r="I2564" s="191">
        <v>594</v>
      </c>
      <c r="J2564" s="188" t="s">
        <v>624</v>
      </c>
      <c r="K2564" s="188" t="s">
        <v>427</v>
      </c>
      <c r="L2564" s="188" t="s">
        <v>1050</v>
      </c>
      <c r="M2564" s="192">
        <f t="shared" si="120"/>
        <v>25</v>
      </c>
      <c r="N2564" s="193">
        <f t="shared" si="121"/>
        <v>0.97950000000000004</v>
      </c>
      <c r="O2564" s="194">
        <f t="shared" si="122"/>
        <v>3.918E-2</v>
      </c>
    </row>
    <row r="2565" spans="1:15" ht="12.75" customHeight="1">
      <c r="A2565" s="188" t="s">
        <v>620</v>
      </c>
      <c r="B2565" s="188" t="s">
        <v>3787</v>
      </c>
      <c r="C2565" s="188" t="s">
        <v>659</v>
      </c>
      <c r="D2565" s="188" t="s">
        <v>4103</v>
      </c>
      <c r="E2565" s="189">
        <v>39275</v>
      </c>
      <c r="F2565" s="190">
        <v>0</v>
      </c>
      <c r="G2565" s="190">
        <v>84.74</v>
      </c>
      <c r="H2565" s="191">
        <v>1296.99</v>
      </c>
      <c r="I2565" s="191">
        <v>595.79999999999995</v>
      </c>
      <c r="J2565" s="188" t="s">
        <v>624</v>
      </c>
      <c r="K2565" s="188" t="s">
        <v>427</v>
      </c>
      <c r="L2565" s="188" t="s">
        <v>663</v>
      </c>
      <c r="M2565" s="192">
        <f t="shared" si="120"/>
        <v>25</v>
      </c>
      <c r="N2565" s="193">
        <f t="shared" si="121"/>
        <v>0.97959969788519641</v>
      </c>
      <c r="O2565" s="194">
        <f t="shared" si="122"/>
        <v>3.9183987915407857E-2</v>
      </c>
    </row>
    <row r="2566" spans="1:15" ht="12.75" customHeight="1">
      <c r="A2566" s="188" t="s">
        <v>620</v>
      </c>
      <c r="B2566" s="188" t="s">
        <v>3787</v>
      </c>
      <c r="C2566" s="188" t="s">
        <v>659</v>
      </c>
      <c r="D2566" s="188" t="s">
        <v>4104</v>
      </c>
      <c r="E2566" s="189">
        <v>39520</v>
      </c>
      <c r="F2566" s="190">
        <v>0</v>
      </c>
      <c r="G2566" s="190">
        <v>117.18</v>
      </c>
      <c r="H2566" s="191">
        <v>1794</v>
      </c>
      <c r="I2566" s="191">
        <v>823.95</v>
      </c>
      <c r="J2566" s="188" t="s">
        <v>624</v>
      </c>
      <c r="K2566" s="188" t="s">
        <v>427</v>
      </c>
      <c r="L2566" s="188" t="s">
        <v>4105</v>
      </c>
      <c r="M2566" s="192">
        <f t="shared" si="120"/>
        <v>25</v>
      </c>
      <c r="N2566" s="193">
        <f t="shared" si="121"/>
        <v>0.97979246313489898</v>
      </c>
      <c r="O2566" s="194">
        <f t="shared" si="122"/>
        <v>3.919169852539596E-2</v>
      </c>
    </row>
    <row r="2567" spans="1:15" ht="12.75" customHeight="1">
      <c r="A2567" s="188" t="s">
        <v>620</v>
      </c>
      <c r="B2567" s="188" t="s">
        <v>3787</v>
      </c>
      <c r="C2567" s="188" t="s">
        <v>659</v>
      </c>
      <c r="D2567" s="188" t="s">
        <v>4106</v>
      </c>
      <c r="E2567" s="189">
        <v>39447</v>
      </c>
      <c r="F2567" s="190">
        <v>0</v>
      </c>
      <c r="G2567" s="190">
        <v>58.24</v>
      </c>
      <c r="H2567" s="191">
        <v>892</v>
      </c>
      <c r="I2567" s="191">
        <v>409.5</v>
      </c>
      <c r="J2567" s="188" t="s">
        <v>624</v>
      </c>
      <c r="K2567" s="188" t="s">
        <v>427</v>
      </c>
      <c r="L2567" s="188" t="s">
        <v>1518</v>
      </c>
      <c r="M2567" s="192">
        <f t="shared" si="120"/>
        <v>25</v>
      </c>
      <c r="N2567" s="193">
        <f t="shared" si="121"/>
        <v>0.98021978021978018</v>
      </c>
      <c r="O2567" s="194">
        <f t="shared" si="122"/>
        <v>3.9208791208791206E-2</v>
      </c>
    </row>
    <row r="2568" spans="1:15" ht="12.75" customHeight="1">
      <c r="A2568" s="188" t="s">
        <v>620</v>
      </c>
      <c r="B2568" s="188" t="s">
        <v>3787</v>
      </c>
      <c r="C2568" s="188" t="s">
        <v>659</v>
      </c>
      <c r="D2568" s="188" t="s">
        <v>4107</v>
      </c>
      <c r="E2568" s="189">
        <v>39447</v>
      </c>
      <c r="F2568" s="190">
        <v>0</v>
      </c>
      <c r="G2568" s="190">
        <v>46.08</v>
      </c>
      <c r="H2568" s="191">
        <v>708</v>
      </c>
      <c r="I2568" s="191">
        <v>324</v>
      </c>
      <c r="J2568" s="188" t="s">
        <v>624</v>
      </c>
      <c r="K2568" s="188" t="s">
        <v>427</v>
      </c>
      <c r="L2568" s="188" t="s">
        <v>313</v>
      </c>
      <c r="M2568" s="192">
        <f t="shared" si="120"/>
        <v>25</v>
      </c>
      <c r="N2568" s="193">
        <f t="shared" si="121"/>
        <v>0.98333333333333328</v>
      </c>
      <c r="O2568" s="194">
        <f t="shared" si="122"/>
        <v>3.9333333333333331E-2</v>
      </c>
    </row>
    <row r="2569" spans="1:15" ht="12.75" customHeight="1">
      <c r="A2569" s="188" t="s">
        <v>620</v>
      </c>
      <c r="B2569" s="188" t="s">
        <v>3787</v>
      </c>
      <c r="C2569" s="188" t="s">
        <v>659</v>
      </c>
      <c r="D2569" s="188" t="s">
        <v>4108</v>
      </c>
      <c r="E2569" s="189">
        <v>39282</v>
      </c>
      <c r="F2569" s="190">
        <v>0</v>
      </c>
      <c r="G2569" s="190">
        <v>33.28</v>
      </c>
      <c r="H2569" s="191">
        <v>511.99</v>
      </c>
      <c r="I2569" s="191">
        <v>234</v>
      </c>
      <c r="J2569" s="188" t="s">
        <v>624</v>
      </c>
      <c r="K2569" s="188" t="s">
        <v>427</v>
      </c>
      <c r="L2569" s="188" t="s">
        <v>4109</v>
      </c>
      <c r="M2569" s="192">
        <f t="shared" si="120"/>
        <v>25</v>
      </c>
      <c r="N2569" s="193">
        <f t="shared" si="121"/>
        <v>0.98459615384615384</v>
      </c>
      <c r="O2569" s="194">
        <f t="shared" si="122"/>
        <v>3.9383846153846151E-2</v>
      </c>
    </row>
    <row r="2570" spans="1:15" ht="12.75" customHeight="1">
      <c r="A2570" s="188" t="s">
        <v>620</v>
      </c>
      <c r="B2570" s="188" t="s">
        <v>3787</v>
      </c>
      <c r="C2570" s="188" t="s">
        <v>659</v>
      </c>
      <c r="D2570" s="188" t="s">
        <v>4110</v>
      </c>
      <c r="E2570" s="189">
        <v>39254</v>
      </c>
      <c r="F2570" s="190">
        <v>0</v>
      </c>
      <c r="G2570" s="190">
        <v>130.30000000000001</v>
      </c>
      <c r="H2570" s="191">
        <v>2004.85</v>
      </c>
      <c r="I2570" s="191">
        <v>916.2</v>
      </c>
      <c r="J2570" s="188" t="s">
        <v>624</v>
      </c>
      <c r="K2570" s="188" t="s">
        <v>427</v>
      </c>
      <c r="L2570" s="188" t="s">
        <v>4111</v>
      </c>
      <c r="M2570" s="192">
        <f t="shared" si="120"/>
        <v>25</v>
      </c>
      <c r="N2570" s="193">
        <f t="shared" si="121"/>
        <v>0.98470039292730838</v>
      </c>
      <c r="O2570" s="194">
        <f t="shared" si="122"/>
        <v>3.9388015717092335E-2</v>
      </c>
    </row>
    <row r="2571" spans="1:15" ht="12.75" customHeight="1">
      <c r="A2571" s="188" t="s">
        <v>620</v>
      </c>
      <c r="B2571" s="188" t="s">
        <v>3787</v>
      </c>
      <c r="C2571" s="188" t="s">
        <v>659</v>
      </c>
      <c r="D2571" s="188" t="s">
        <v>4112</v>
      </c>
      <c r="E2571" s="189">
        <v>39247</v>
      </c>
      <c r="F2571" s="190">
        <v>0</v>
      </c>
      <c r="G2571" s="190">
        <v>39.74</v>
      </c>
      <c r="H2571" s="191">
        <v>465</v>
      </c>
      <c r="I2571" s="191">
        <v>279.45</v>
      </c>
      <c r="J2571" s="188" t="s">
        <v>624</v>
      </c>
      <c r="K2571" s="188" t="s">
        <v>667</v>
      </c>
      <c r="L2571" s="188" t="s">
        <v>4113</v>
      </c>
      <c r="M2571" s="192">
        <f t="shared" si="120"/>
        <v>19</v>
      </c>
      <c r="N2571" s="193">
        <f t="shared" si="121"/>
        <v>0.74879227053140096</v>
      </c>
      <c r="O2571" s="194">
        <f t="shared" si="122"/>
        <v>3.9410119501652685E-2</v>
      </c>
    </row>
    <row r="2572" spans="1:15" ht="12.75" customHeight="1">
      <c r="A2572" s="188" t="s">
        <v>620</v>
      </c>
      <c r="B2572" s="188" t="s">
        <v>3787</v>
      </c>
      <c r="C2572" s="188" t="s">
        <v>659</v>
      </c>
      <c r="D2572" s="188" t="s">
        <v>4114</v>
      </c>
      <c r="E2572" s="189">
        <v>39395</v>
      </c>
      <c r="F2572" s="190">
        <v>0</v>
      </c>
      <c r="G2572" s="190">
        <v>95.55</v>
      </c>
      <c r="H2572" s="191">
        <v>1471.2</v>
      </c>
      <c r="I2572" s="191">
        <v>671.85</v>
      </c>
      <c r="J2572" s="188" t="s">
        <v>624</v>
      </c>
      <c r="K2572" s="188" t="s">
        <v>427</v>
      </c>
      <c r="L2572" s="188" t="s">
        <v>4115</v>
      </c>
      <c r="M2572" s="192">
        <f t="shared" si="120"/>
        <v>25</v>
      </c>
      <c r="N2572" s="193">
        <f t="shared" si="121"/>
        <v>0.98539852645679837</v>
      </c>
      <c r="O2572" s="194">
        <f t="shared" si="122"/>
        <v>3.9415941058271932E-2</v>
      </c>
    </row>
    <row r="2573" spans="1:15" ht="12.75" customHeight="1">
      <c r="A2573" s="188" t="s">
        <v>620</v>
      </c>
      <c r="B2573" s="188" t="s">
        <v>3787</v>
      </c>
      <c r="C2573" s="188" t="s">
        <v>659</v>
      </c>
      <c r="D2573" s="188" t="s">
        <v>4116</v>
      </c>
      <c r="E2573" s="189">
        <v>39380</v>
      </c>
      <c r="F2573" s="190">
        <v>0</v>
      </c>
      <c r="G2573" s="190">
        <v>61.44</v>
      </c>
      <c r="H2573" s="191">
        <v>946</v>
      </c>
      <c r="I2573" s="191">
        <v>432</v>
      </c>
      <c r="J2573" s="188" t="s">
        <v>624</v>
      </c>
      <c r="K2573" s="188" t="s">
        <v>427</v>
      </c>
      <c r="L2573" s="188" t="s">
        <v>1146</v>
      </c>
      <c r="M2573" s="192">
        <f t="shared" si="120"/>
        <v>25</v>
      </c>
      <c r="N2573" s="193">
        <f t="shared" si="121"/>
        <v>0.98541666666666672</v>
      </c>
      <c r="O2573" s="194">
        <f t="shared" si="122"/>
        <v>3.9416666666666669E-2</v>
      </c>
    </row>
    <row r="2574" spans="1:15" ht="12.75" customHeight="1">
      <c r="A2574" s="188" t="s">
        <v>620</v>
      </c>
      <c r="B2574" s="188" t="s">
        <v>3787</v>
      </c>
      <c r="C2574" s="188" t="s">
        <v>659</v>
      </c>
      <c r="D2574" s="188" t="s">
        <v>4117</v>
      </c>
      <c r="E2574" s="189">
        <v>39632</v>
      </c>
      <c r="F2574" s="190">
        <v>0</v>
      </c>
      <c r="G2574" s="190">
        <v>77.819999999999993</v>
      </c>
      <c r="H2574" s="191">
        <v>1200</v>
      </c>
      <c r="I2574" s="191">
        <v>547.20000000000005</v>
      </c>
      <c r="J2574" s="188" t="s">
        <v>624</v>
      </c>
      <c r="K2574" s="188" t="s">
        <v>427</v>
      </c>
      <c r="L2574" s="188" t="s">
        <v>1767</v>
      </c>
      <c r="M2574" s="192">
        <f t="shared" si="120"/>
        <v>25</v>
      </c>
      <c r="N2574" s="193">
        <f t="shared" si="121"/>
        <v>0.98684210526315785</v>
      </c>
      <c r="O2574" s="194">
        <f t="shared" si="122"/>
        <v>3.9473684210526314E-2</v>
      </c>
    </row>
    <row r="2575" spans="1:15" ht="12.75" customHeight="1">
      <c r="A2575" s="188" t="s">
        <v>620</v>
      </c>
      <c r="B2575" s="188" t="s">
        <v>3787</v>
      </c>
      <c r="C2575" s="188" t="s">
        <v>659</v>
      </c>
      <c r="D2575" s="188" t="s">
        <v>4118</v>
      </c>
      <c r="E2575" s="189">
        <v>39254</v>
      </c>
      <c r="F2575" s="190">
        <v>0</v>
      </c>
      <c r="G2575" s="190">
        <v>128.26</v>
      </c>
      <c r="H2575" s="191">
        <v>1979.95</v>
      </c>
      <c r="I2575" s="191">
        <v>901.8</v>
      </c>
      <c r="J2575" s="188" t="s">
        <v>624</v>
      </c>
      <c r="K2575" s="188" t="s">
        <v>427</v>
      </c>
      <c r="L2575" s="188" t="s">
        <v>3544</v>
      </c>
      <c r="M2575" s="192">
        <f t="shared" si="120"/>
        <v>25</v>
      </c>
      <c r="N2575" s="193">
        <f t="shared" si="121"/>
        <v>0.98799900199600799</v>
      </c>
      <c r="O2575" s="194">
        <f t="shared" si="122"/>
        <v>3.9519960079840322E-2</v>
      </c>
    </row>
    <row r="2576" spans="1:15" ht="12.75" customHeight="1">
      <c r="A2576" s="188" t="s">
        <v>620</v>
      </c>
      <c r="B2576" s="188" t="s">
        <v>3787</v>
      </c>
      <c r="C2576" s="188" t="s">
        <v>659</v>
      </c>
      <c r="D2576" s="188" t="s">
        <v>4119</v>
      </c>
      <c r="E2576" s="189">
        <v>39590</v>
      </c>
      <c r="F2576" s="190">
        <v>0</v>
      </c>
      <c r="G2576" s="190">
        <v>80.959999999999994</v>
      </c>
      <c r="H2576" s="191">
        <v>1250</v>
      </c>
      <c r="I2576" s="191">
        <v>569.25</v>
      </c>
      <c r="J2576" s="188" t="s">
        <v>624</v>
      </c>
      <c r="K2576" s="188" t="s">
        <v>427</v>
      </c>
      <c r="L2576" s="188" t="s">
        <v>1753</v>
      </c>
      <c r="M2576" s="192">
        <f t="shared" si="120"/>
        <v>25</v>
      </c>
      <c r="N2576" s="193">
        <f t="shared" si="121"/>
        <v>0.98814229249011853</v>
      </c>
      <c r="O2576" s="194">
        <f t="shared" si="122"/>
        <v>3.9525691699604744E-2</v>
      </c>
    </row>
    <row r="2577" spans="1:15" ht="12.75" customHeight="1">
      <c r="A2577" s="188" t="s">
        <v>620</v>
      </c>
      <c r="B2577" s="188" t="s">
        <v>3787</v>
      </c>
      <c r="C2577" s="188" t="s">
        <v>659</v>
      </c>
      <c r="D2577" s="188" t="s">
        <v>4120</v>
      </c>
      <c r="E2577" s="189">
        <v>39562</v>
      </c>
      <c r="F2577" s="190">
        <v>0</v>
      </c>
      <c r="G2577" s="190">
        <v>42.11</v>
      </c>
      <c r="H2577" s="191">
        <v>651</v>
      </c>
      <c r="I2577" s="191">
        <v>296.10000000000002</v>
      </c>
      <c r="J2577" s="188" t="s">
        <v>624</v>
      </c>
      <c r="K2577" s="188" t="s">
        <v>427</v>
      </c>
      <c r="L2577" s="188" t="s">
        <v>4121</v>
      </c>
      <c r="M2577" s="192">
        <f t="shared" si="120"/>
        <v>25</v>
      </c>
      <c r="N2577" s="193">
        <f t="shared" si="121"/>
        <v>0.98936170212765961</v>
      </c>
      <c r="O2577" s="194">
        <f t="shared" si="122"/>
        <v>3.9574468085106382E-2</v>
      </c>
    </row>
    <row r="2578" spans="1:15" ht="12.75" customHeight="1">
      <c r="A2578" s="188" t="s">
        <v>620</v>
      </c>
      <c r="B2578" s="188" t="s">
        <v>3787</v>
      </c>
      <c r="C2578" s="188" t="s">
        <v>659</v>
      </c>
      <c r="D2578" s="188" t="s">
        <v>4122</v>
      </c>
      <c r="E2578" s="189">
        <v>39507</v>
      </c>
      <c r="F2578" s="190">
        <v>0</v>
      </c>
      <c r="G2578" s="190">
        <v>42.75</v>
      </c>
      <c r="H2578" s="191">
        <v>661</v>
      </c>
      <c r="I2578" s="191">
        <v>300.60000000000002</v>
      </c>
      <c r="J2578" s="188" t="s">
        <v>624</v>
      </c>
      <c r="K2578" s="188" t="s">
        <v>427</v>
      </c>
      <c r="L2578" s="188" t="s">
        <v>524</v>
      </c>
      <c r="M2578" s="192">
        <f t="shared" si="120"/>
        <v>25</v>
      </c>
      <c r="N2578" s="193">
        <f t="shared" si="121"/>
        <v>0.98952095808383234</v>
      </c>
      <c r="O2578" s="194">
        <f t="shared" si="122"/>
        <v>3.9580838323353296E-2</v>
      </c>
    </row>
    <row r="2579" spans="1:15" ht="12.75" customHeight="1">
      <c r="A2579" s="188" t="s">
        <v>620</v>
      </c>
      <c r="B2579" s="188" t="s">
        <v>3787</v>
      </c>
      <c r="C2579" s="188" t="s">
        <v>659</v>
      </c>
      <c r="D2579" s="188" t="s">
        <v>4123</v>
      </c>
      <c r="E2579" s="189">
        <v>39219</v>
      </c>
      <c r="F2579" s="190">
        <v>0</v>
      </c>
      <c r="G2579" s="190">
        <v>67.2</v>
      </c>
      <c r="H2579" s="191">
        <v>1039.5</v>
      </c>
      <c r="I2579" s="191">
        <v>472.5</v>
      </c>
      <c r="J2579" s="188" t="s">
        <v>624</v>
      </c>
      <c r="K2579" s="188" t="s">
        <v>427</v>
      </c>
      <c r="L2579" s="188" t="s">
        <v>1139</v>
      </c>
      <c r="M2579" s="192">
        <f t="shared" si="120"/>
        <v>25</v>
      </c>
      <c r="N2579" s="193">
        <f t="shared" si="121"/>
        <v>0.99</v>
      </c>
      <c r="O2579" s="194">
        <f t="shared" si="122"/>
        <v>3.9599999999999996E-2</v>
      </c>
    </row>
    <row r="2580" spans="1:15" ht="12.75" customHeight="1">
      <c r="A2580" s="188" t="s">
        <v>620</v>
      </c>
      <c r="B2580" s="188" t="s">
        <v>3787</v>
      </c>
      <c r="C2580" s="188" t="s">
        <v>659</v>
      </c>
      <c r="D2580" s="188" t="s">
        <v>4124</v>
      </c>
      <c r="E2580" s="189">
        <v>39212</v>
      </c>
      <c r="F2580" s="190">
        <v>0</v>
      </c>
      <c r="G2580" s="190">
        <v>67.58</v>
      </c>
      <c r="H2580" s="191">
        <v>1045.44</v>
      </c>
      <c r="I2580" s="191">
        <v>475.2</v>
      </c>
      <c r="J2580" s="188" t="s">
        <v>624</v>
      </c>
      <c r="K2580" s="188" t="s">
        <v>427</v>
      </c>
      <c r="L2580" s="188" t="s">
        <v>1354</v>
      </c>
      <c r="M2580" s="192">
        <f t="shared" si="120"/>
        <v>25</v>
      </c>
      <c r="N2580" s="193">
        <f t="shared" si="121"/>
        <v>0.9900000000000001</v>
      </c>
      <c r="O2580" s="194">
        <f t="shared" si="122"/>
        <v>3.9600000000000003E-2</v>
      </c>
    </row>
    <row r="2581" spans="1:15" ht="12.75" customHeight="1">
      <c r="A2581" s="188" t="s">
        <v>620</v>
      </c>
      <c r="B2581" s="188" t="s">
        <v>3787</v>
      </c>
      <c r="C2581" s="188" t="s">
        <v>659</v>
      </c>
      <c r="D2581" s="188" t="s">
        <v>4125</v>
      </c>
      <c r="E2581" s="189">
        <v>39513</v>
      </c>
      <c r="F2581" s="190">
        <v>0</v>
      </c>
      <c r="G2581" s="190">
        <v>104.7</v>
      </c>
      <c r="H2581" s="191">
        <v>1620</v>
      </c>
      <c r="I2581" s="191">
        <v>736.2</v>
      </c>
      <c r="J2581" s="188" t="s">
        <v>624</v>
      </c>
      <c r="K2581" s="188" t="s">
        <v>427</v>
      </c>
      <c r="L2581" s="188" t="s">
        <v>4126</v>
      </c>
      <c r="M2581" s="192">
        <f t="shared" si="120"/>
        <v>25</v>
      </c>
      <c r="N2581" s="193">
        <f t="shared" si="121"/>
        <v>0.99022004889975546</v>
      </c>
      <c r="O2581" s="194">
        <f t="shared" si="122"/>
        <v>3.9608801955990217E-2</v>
      </c>
    </row>
    <row r="2582" spans="1:15" ht="12.75" customHeight="1">
      <c r="A2582" s="188" t="s">
        <v>620</v>
      </c>
      <c r="B2582" s="188" t="s">
        <v>3787</v>
      </c>
      <c r="C2582" s="188" t="s">
        <v>659</v>
      </c>
      <c r="D2582" s="188" t="s">
        <v>4127</v>
      </c>
      <c r="E2582" s="189">
        <v>39317</v>
      </c>
      <c r="F2582" s="190">
        <v>0</v>
      </c>
      <c r="G2582" s="190">
        <v>102.02</v>
      </c>
      <c r="H2582" s="191">
        <v>1579.02</v>
      </c>
      <c r="I2582" s="191">
        <v>717.3</v>
      </c>
      <c r="J2582" s="188" t="s">
        <v>624</v>
      </c>
      <c r="K2582" s="188" t="s">
        <v>427</v>
      </c>
      <c r="L2582" s="188" t="s">
        <v>1864</v>
      </c>
      <c r="M2582" s="192">
        <f t="shared" si="120"/>
        <v>25</v>
      </c>
      <c r="N2582" s="193">
        <f t="shared" si="121"/>
        <v>0.99060225846925976</v>
      </c>
      <c r="O2582" s="194">
        <f t="shared" si="122"/>
        <v>3.9624090338770387E-2</v>
      </c>
    </row>
    <row r="2583" spans="1:15" ht="12.75" customHeight="1">
      <c r="A2583" s="188" t="s">
        <v>620</v>
      </c>
      <c r="B2583" s="188" t="s">
        <v>3787</v>
      </c>
      <c r="C2583" s="188" t="s">
        <v>659</v>
      </c>
      <c r="D2583" s="188" t="s">
        <v>4128</v>
      </c>
      <c r="E2583" s="189">
        <v>39520</v>
      </c>
      <c r="F2583" s="190">
        <v>0</v>
      </c>
      <c r="G2583" s="190">
        <v>117.31</v>
      </c>
      <c r="H2583" s="191">
        <v>1825</v>
      </c>
      <c r="I2583" s="191">
        <v>824.85</v>
      </c>
      <c r="J2583" s="188" t="s">
        <v>624</v>
      </c>
      <c r="K2583" s="188" t="s">
        <v>427</v>
      </c>
      <c r="L2583" s="188" t="s">
        <v>2281</v>
      </c>
      <c r="M2583" s="192">
        <f t="shared" si="120"/>
        <v>25</v>
      </c>
      <c r="N2583" s="193">
        <f t="shared" si="121"/>
        <v>0.99563557010365522</v>
      </c>
      <c r="O2583" s="194">
        <f t="shared" si="122"/>
        <v>3.9825422804146207E-2</v>
      </c>
    </row>
    <row r="2584" spans="1:15" ht="12.75" customHeight="1">
      <c r="A2584" s="188" t="s">
        <v>620</v>
      </c>
      <c r="B2584" s="188" t="s">
        <v>3787</v>
      </c>
      <c r="C2584" s="188" t="s">
        <v>659</v>
      </c>
      <c r="D2584" s="188" t="s">
        <v>4129</v>
      </c>
      <c r="E2584" s="189">
        <v>39471</v>
      </c>
      <c r="F2584" s="190">
        <v>0</v>
      </c>
      <c r="G2584" s="190">
        <v>86.66</v>
      </c>
      <c r="H2584" s="191">
        <v>1350</v>
      </c>
      <c r="I2584" s="191">
        <v>609.29999999999995</v>
      </c>
      <c r="J2584" s="188" t="s">
        <v>624</v>
      </c>
      <c r="K2584" s="188" t="s">
        <v>427</v>
      </c>
      <c r="L2584" s="188" t="s">
        <v>4130</v>
      </c>
      <c r="M2584" s="192">
        <f t="shared" si="120"/>
        <v>25</v>
      </c>
      <c r="N2584" s="193">
        <f t="shared" si="121"/>
        <v>0.99704579025110784</v>
      </c>
      <c r="O2584" s="194">
        <f t="shared" si="122"/>
        <v>3.9881831610044313E-2</v>
      </c>
    </row>
    <row r="2585" spans="1:15" ht="12.75" customHeight="1">
      <c r="A2585" s="188" t="s">
        <v>620</v>
      </c>
      <c r="B2585" s="188" t="s">
        <v>3787</v>
      </c>
      <c r="C2585" s="188" t="s">
        <v>659</v>
      </c>
      <c r="D2585" s="188" t="s">
        <v>4131</v>
      </c>
      <c r="E2585" s="189">
        <v>39261</v>
      </c>
      <c r="F2585" s="190">
        <v>0</v>
      </c>
      <c r="G2585" s="190">
        <v>87.55</v>
      </c>
      <c r="H2585" s="191">
        <v>1364.03</v>
      </c>
      <c r="I2585" s="191">
        <v>615.6</v>
      </c>
      <c r="J2585" s="188" t="s">
        <v>624</v>
      </c>
      <c r="K2585" s="188" t="s">
        <v>427</v>
      </c>
      <c r="L2585" s="188" t="s">
        <v>668</v>
      </c>
      <c r="M2585" s="192">
        <f t="shared" si="120"/>
        <v>25</v>
      </c>
      <c r="N2585" s="193">
        <f t="shared" si="121"/>
        <v>0.99709795321637429</v>
      </c>
      <c r="O2585" s="194">
        <f t="shared" si="122"/>
        <v>3.9883918128654973E-2</v>
      </c>
    </row>
    <row r="2586" spans="1:15" ht="12.75" customHeight="1">
      <c r="A2586" s="188" t="s">
        <v>620</v>
      </c>
      <c r="B2586" s="188" t="s">
        <v>3787</v>
      </c>
      <c r="C2586" s="188" t="s">
        <v>659</v>
      </c>
      <c r="D2586" s="188" t="s">
        <v>4132</v>
      </c>
      <c r="E2586" s="189">
        <v>39520</v>
      </c>
      <c r="F2586" s="190">
        <v>0</v>
      </c>
      <c r="G2586" s="190">
        <v>104.19</v>
      </c>
      <c r="H2586" s="191">
        <v>1625</v>
      </c>
      <c r="I2586" s="191">
        <v>732.6</v>
      </c>
      <c r="J2586" s="188" t="s">
        <v>624</v>
      </c>
      <c r="K2586" s="188" t="s">
        <v>427</v>
      </c>
      <c r="L2586" s="188" t="s">
        <v>827</v>
      </c>
      <c r="M2586" s="192">
        <f t="shared" si="120"/>
        <v>25</v>
      </c>
      <c r="N2586" s="193">
        <f t="shared" si="121"/>
        <v>0.99815724815724816</v>
      </c>
      <c r="O2586" s="194">
        <f t="shared" si="122"/>
        <v>3.9926289926289923E-2</v>
      </c>
    </row>
    <row r="2587" spans="1:15" ht="12.75" customHeight="1">
      <c r="A2587" s="188" t="s">
        <v>620</v>
      </c>
      <c r="B2587" s="188" t="s">
        <v>3787</v>
      </c>
      <c r="C2587" s="188" t="s">
        <v>659</v>
      </c>
      <c r="D2587" s="188" t="s">
        <v>4133</v>
      </c>
      <c r="E2587" s="189">
        <v>39499</v>
      </c>
      <c r="F2587" s="190">
        <v>0</v>
      </c>
      <c r="G2587" s="190">
        <v>85.12</v>
      </c>
      <c r="H2587" s="191">
        <v>1595</v>
      </c>
      <c r="I2587" s="191">
        <v>598.5</v>
      </c>
      <c r="J2587" s="188" t="s">
        <v>624</v>
      </c>
      <c r="K2587" s="188" t="s">
        <v>257</v>
      </c>
      <c r="L2587" s="188" t="s">
        <v>3803</v>
      </c>
      <c r="M2587" s="192">
        <f t="shared" si="120"/>
        <v>30</v>
      </c>
      <c r="N2587" s="193">
        <f t="shared" si="121"/>
        <v>1.1992481203007519</v>
      </c>
      <c r="O2587" s="194">
        <f t="shared" si="122"/>
        <v>3.9974937343358399E-2</v>
      </c>
    </row>
    <row r="2588" spans="1:15" ht="12.75" customHeight="1">
      <c r="A2588" s="188" t="s">
        <v>620</v>
      </c>
      <c r="B2588" s="188" t="s">
        <v>3787</v>
      </c>
      <c r="C2588" s="188" t="s">
        <v>659</v>
      </c>
      <c r="D2588" s="188" t="s">
        <v>4134</v>
      </c>
      <c r="E2588" s="189">
        <v>39275</v>
      </c>
      <c r="F2588" s="190">
        <v>0</v>
      </c>
      <c r="G2588" s="190">
        <v>57.22</v>
      </c>
      <c r="H2588" s="191">
        <v>899.99</v>
      </c>
      <c r="I2588" s="191">
        <v>402.3</v>
      </c>
      <c r="J2588" s="188" t="s">
        <v>624</v>
      </c>
      <c r="K2588" s="188" t="s">
        <v>427</v>
      </c>
      <c r="L2588" s="188" t="s">
        <v>740</v>
      </c>
      <c r="M2588" s="192">
        <f t="shared" si="120"/>
        <v>25</v>
      </c>
      <c r="N2588" s="193">
        <f t="shared" si="121"/>
        <v>0.99998888888888893</v>
      </c>
      <c r="O2588" s="194">
        <f t="shared" si="122"/>
        <v>3.9999555555555559E-2</v>
      </c>
    </row>
    <row r="2589" spans="1:15" ht="12.75" customHeight="1">
      <c r="A2589" s="188" t="s">
        <v>620</v>
      </c>
      <c r="B2589" s="188" t="s">
        <v>3787</v>
      </c>
      <c r="C2589" s="188" t="s">
        <v>659</v>
      </c>
      <c r="D2589" s="188" t="s">
        <v>4135</v>
      </c>
      <c r="E2589" s="189">
        <v>39247</v>
      </c>
      <c r="F2589" s="190">
        <v>0</v>
      </c>
      <c r="G2589" s="190">
        <v>64</v>
      </c>
      <c r="H2589" s="191">
        <v>1000</v>
      </c>
      <c r="I2589" s="191">
        <v>450</v>
      </c>
      <c r="J2589" s="188" t="s">
        <v>624</v>
      </c>
      <c r="K2589" s="188" t="s">
        <v>427</v>
      </c>
      <c r="L2589" s="188" t="s">
        <v>636</v>
      </c>
      <c r="M2589" s="192">
        <f t="shared" si="120"/>
        <v>25</v>
      </c>
      <c r="N2589" s="193">
        <f t="shared" si="121"/>
        <v>1</v>
      </c>
      <c r="O2589" s="194">
        <f t="shared" si="122"/>
        <v>0.04</v>
      </c>
    </row>
    <row r="2590" spans="1:15" ht="12.75" customHeight="1">
      <c r="A2590" s="188" t="s">
        <v>620</v>
      </c>
      <c r="B2590" s="188" t="s">
        <v>3787</v>
      </c>
      <c r="C2590" s="188" t="s">
        <v>659</v>
      </c>
      <c r="D2590" s="188" t="s">
        <v>4136</v>
      </c>
      <c r="E2590" s="189">
        <v>39226</v>
      </c>
      <c r="F2590" s="190">
        <v>0</v>
      </c>
      <c r="G2590" s="190">
        <v>51.2</v>
      </c>
      <c r="H2590" s="191">
        <v>800</v>
      </c>
      <c r="I2590" s="191">
        <v>360</v>
      </c>
      <c r="J2590" s="188" t="s">
        <v>624</v>
      </c>
      <c r="K2590" s="188" t="s">
        <v>427</v>
      </c>
      <c r="L2590" s="188" t="s">
        <v>752</v>
      </c>
      <c r="M2590" s="192">
        <f t="shared" si="120"/>
        <v>25</v>
      </c>
      <c r="N2590" s="193">
        <f t="shared" si="121"/>
        <v>1</v>
      </c>
      <c r="O2590" s="194">
        <f t="shared" si="122"/>
        <v>0.04</v>
      </c>
    </row>
    <row r="2591" spans="1:15" ht="12.75" customHeight="1">
      <c r="A2591" s="188" t="s">
        <v>620</v>
      </c>
      <c r="B2591" s="188" t="s">
        <v>3787</v>
      </c>
      <c r="C2591" s="188" t="s">
        <v>659</v>
      </c>
      <c r="D2591" s="188" t="s">
        <v>4137</v>
      </c>
      <c r="E2591" s="189">
        <v>39359</v>
      </c>
      <c r="F2591" s="190">
        <v>0</v>
      </c>
      <c r="G2591" s="190">
        <v>65.92</v>
      </c>
      <c r="H2591" s="191">
        <v>1030</v>
      </c>
      <c r="I2591" s="191">
        <v>463.5</v>
      </c>
      <c r="J2591" s="188" t="s">
        <v>624</v>
      </c>
      <c r="K2591" s="188" t="s">
        <v>427</v>
      </c>
      <c r="L2591" s="188" t="s">
        <v>298</v>
      </c>
      <c r="M2591" s="192">
        <f t="shared" si="120"/>
        <v>25</v>
      </c>
      <c r="N2591" s="193">
        <f t="shared" si="121"/>
        <v>1</v>
      </c>
      <c r="O2591" s="194">
        <f t="shared" si="122"/>
        <v>0.04</v>
      </c>
    </row>
    <row r="2592" spans="1:15" ht="12.75" customHeight="1">
      <c r="A2592" s="188" t="s">
        <v>620</v>
      </c>
      <c r="B2592" s="188" t="s">
        <v>3787</v>
      </c>
      <c r="C2592" s="188" t="s">
        <v>659</v>
      </c>
      <c r="D2592" s="188" t="s">
        <v>4138</v>
      </c>
      <c r="E2592" s="189">
        <v>39366</v>
      </c>
      <c r="F2592" s="190">
        <v>0</v>
      </c>
      <c r="G2592" s="190">
        <v>79.87</v>
      </c>
      <c r="H2592" s="191">
        <v>1248</v>
      </c>
      <c r="I2592" s="191">
        <v>561.6</v>
      </c>
      <c r="J2592" s="188" t="s">
        <v>624</v>
      </c>
      <c r="K2592" s="188" t="s">
        <v>427</v>
      </c>
      <c r="L2592" s="188" t="s">
        <v>2101</v>
      </c>
      <c r="M2592" s="192">
        <f t="shared" si="120"/>
        <v>25</v>
      </c>
      <c r="N2592" s="193">
        <f t="shared" si="121"/>
        <v>1</v>
      </c>
      <c r="O2592" s="194">
        <f t="shared" si="122"/>
        <v>0.04</v>
      </c>
    </row>
    <row r="2593" spans="1:15" ht="12.75" customHeight="1">
      <c r="A2593" s="188" t="s">
        <v>620</v>
      </c>
      <c r="B2593" s="188" t="s">
        <v>3787</v>
      </c>
      <c r="C2593" s="188" t="s">
        <v>659</v>
      </c>
      <c r="D2593" s="188" t="s">
        <v>4139</v>
      </c>
      <c r="E2593" s="189">
        <v>39395</v>
      </c>
      <c r="F2593" s="190">
        <v>0</v>
      </c>
      <c r="G2593" s="190">
        <v>89.6</v>
      </c>
      <c r="H2593" s="191">
        <v>1400</v>
      </c>
      <c r="I2593" s="191">
        <v>630</v>
      </c>
      <c r="J2593" s="188" t="s">
        <v>624</v>
      </c>
      <c r="K2593" s="188" t="s">
        <v>427</v>
      </c>
      <c r="L2593" s="188" t="s">
        <v>754</v>
      </c>
      <c r="M2593" s="192">
        <f t="shared" si="120"/>
        <v>25</v>
      </c>
      <c r="N2593" s="193">
        <f t="shared" si="121"/>
        <v>1</v>
      </c>
      <c r="O2593" s="194">
        <f t="shared" si="122"/>
        <v>0.04</v>
      </c>
    </row>
    <row r="2594" spans="1:15" ht="12.75" customHeight="1">
      <c r="A2594" s="188" t="s">
        <v>620</v>
      </c>
      <c r="B2594" s="188" t="s">
        <v>3787</v>
      </c>
      <c r="C2594" s="188" t="s">
        <v>659</v>
      </c>
      <c r="D2594" s="188" t="s">
        <v>4140</v>
      </c>
      <c r="E2594" s="189">
        <v>39395</v>
      </c>
      <c r="F2594" s="190">
        <v>0</v>
      </c>
      <c r="G2594" s="190">
        <v>70.400000000000006</v>
      </c>
      <c r="H2594" s="191">
        <v>1045</v>
      </c>
      <c r="I2594" s="191">
        <v>495</v>
      </c>
      <c r="J2594" s="188" t="s">
        <v>624</v>
      </c>
      <c r="K2594" s="188" t="s">
        <v>427</v>
      </c>
      <c r="L2594" s="188" t="s">
        <v>2419</v>
      </c>
      <c r="M2594" s="192">
        <f t="shared" si="120"/>
        <v>25</v>
      </c>
      <c r="N2594" s="193">
        <f t="shared" si="121"/>
        <v>1</v>
      </c>
      <c r="O2594" s="194">
        <f t="shared" si="122"/>
        <v>0.04</v>
      </c>
    </row>
    <row r="2595" spans="1:15" ht="12.75" customHeight="1">
      <c r="A2595" s="188" t="s">
        <v>620</v>
      </c>
      <c r="B2595" s="188" t="s">
        <v>3787</v>
      </c>
      <c r="C2595" s="188" t="s">
        <v>659</v>
      </c>
      <c r="D2595" s="188" t="s">
        <v>4141</v>
      </c>
      <c r="E2595" s="189">
        <v>39429</v>
      </c>
      <c r="F2595" s="190">
        <v>0</v>
      </c>
      <c r="G2595" s="190">
        <v>96</v>
      </c>
      <c r="H2595" s="191">
        <v>1500</v>
      </c>
      <c r="I2595" s="191">
        <v>675</v>
      </c>
      <c r="J2595" s="188" t="s">
        <v>624</v>
      </c>
      <c r="K2595" s="188" t="s">
        <v>427</v>
      </c>
      <c r="L2595" s="188" t="s">
        <v>746</v>
      </c>
      <c r="M2595" s="192">
        <f t="shared" si="120"/>
        <v>25</v>
      </c>
      <c r="N2595" s="193">
        <f t="shared" si="121"/>
        <v>1</v>
      </c>
      <c r="O2595" s="194">
        <f t="shared" si="122"/>
        <v>0.04</v>
      </c>
    </row>
    <row r="2596" spans="1:15" ht="12.75" customHeight="1">
      <c r="A2596" s="188" t="s">
        <v>620</v>
      </c>
      <c r="B2596" s="188" t="s">
        <v>3787</v>
      </c>
      <c r="C2596" s="188" t="s">
        <v>659</v>
      </c>
      <c r="D2596" s="188" t="s">
        <v>4142</v>
      </c>
      <c r="E2596" s="189">
        <v>39429</v>
      </c>
      <c r="F2596" s="190">
        <v>0</v>
      </c>
      <c r="G2596" s="190">
        <v>73.599999999999994</v>
      </c>
      <c r="H2596" s="191">
        <v>1150</v>
      </c>
      <c r="I2596" s="191">
        <v>517.5</v>
      </c>
      <c r="J2596" s="188" t="s">
        <v>624</v>
      </c>
      <c r="K2596" s="188" t="s">
        <v>427</v>
      </c>
      <c r="L2596" s="188" t="s">
        <v>697</v>
      </c>
      <c r="M2596" s="192">
        <f t="shared" si="120"/>
        <v>25</v>
      </c>
      <c r="N2596" s="193">
        <f t="shared" si="121"/>
        <v>1</v>
      </c>
      <c r="O2596" s="194">
        <f t="shared" si="122"/>
        <v>0.04</v>
      </c>
    </row>
    <row r="2597" spans="1:15" ht="12.75" customHeight="1">
      <c r="A2597" s="188" t="s">
        <v>620</v>
      </c>
      <c r="B2597" s="188" t="s">
        <v>3787</v>
      </c>
      <c r="C2597" s="188" t="s">
        <v>659</v>
      </c>
      <c r="D2597" s="188" t="s">
        <v>4143</v>
      </c>
      <c r="E2597" s="189">
        <v>39401</v>
      </c>
      <c r="F2597" s="190">
        <v>0</v>
      </c>
      <c r="G2597" s="190">
        <v>57.6</v>
      </c>
      <c r="H2597" s="191">
        <v>1030</v>
      </c>
      <c r="I2597" s="191">
        <v>405</v>
      </c>
      <c r="J2597" s="188" t="s">
        <v>624</v>
      </c>
      <c r="K2597" s="188" t="s">
        <v>427</v>
      </c>
      <c r="L2597" s="188" t="s">
        <v>298</v>
      </c>
      <c r="M2597" s="192">
        <f t="shared" si="120"/>
        <v>25</v>
      </c>
      <c r="N2597" s="193">
        <f t="shared" si="121"/>
        <v>1</v>
      </c>
      <c r="O2597" s="194">
        <f t="shared" si="122"/>
        <v>0.04</v>
      </c>
    </row>
    <row r="2598" spans="1:15" ht="12.75" customHeight="1">
      <c r="A2598" s="188" t="s">
        <v>620</v>
      </c>
      <c r="B2598" s="188" t="s">
        <v>3787</v>
      </c>
      <c r="C2598" s="188" t="s">
        <v>659</v>
      </c>
      <c r="D2598" s="188" t="s">
        <v>4144</v>
      </c>
      <c r="E2598" s="189">
        <v>39415</v>
      </c>
      <c r="F2598" s="190">
        <v>0</v>
      </c>
      <c r="G2598" s="190">
        <v>70.400000000000006</v>
      </c>
      <c r="H2598" s="191">
        <v>1100</v>
      </c>
      <c r="I2598" s="191">
        <v>495</v>
      </c>
      <c r="J2598" s="188" t="s">
        <v>624</v>
      </c>
      <c r="K2598" s="188" t="s">
        <v>427</v>
      </c>
      <c r="L2598" s="188" t="s">
        <v>557</v>
      </c>
      <c r="M2598" s="192">
        <f t="shared" si="120"/>
        <v>25</v>
      </c>
      <c r="N2598" s="193">
        <f t="shared" si="121"/>
        <v>1</v>
      </c>
      <c r="O2598" s="194">
        <f t="shared" si="122"/>
        <v>0.04</v>
      </c>
    </row>
    <row r="2599" spans="1:15" ht="12.75" customHeight="1">
      <c r="A2599" s="188" t="s">
        <v>620</v>
      </c>
      <c r="B2599" s="188" t="s">
        <v>3787</v>
      </c>
      <c r="C2599" s="188" t="s">
        <v>659</v>
      </c>
      <c r="D2599" s="188" t="s">
        <v>4145</v>
      </c>
      <c r="E2599" s="189">
        <v>39429</v>
      </c>
      <c r="F2599" s="190">
        <v>0</v>
      </c>
      <c r="G2599" s="190">
        <v>72.959999999999994</v>
      </c>
      <c r="H2599" s="191">
        <v>1140</v>
      </c>
      <c r="I2599" s="191">
        <v>513</v>
      </c>
      <c r="J2599" s="188" t="s">
        <v>624</v>
      </c>
      <c r="K2599" s="188" t="s">
        <v>427</v>
      </c>
      <c r="L2599" s="188" t="s">
        <v>2347</v>
      </c>
      <c r="M2599" s="192">
        <f t="shared" si="120"/>
        <v>25</v>
      </c>
      <c r="N2599" s="193">
        <f t="shared" si="121"/>
        <v>1</v>
      </c>
      <c r="O2599" s="194">
        <f t="shared" si="122"/>
        <v>0.04</v>
      </c>
    </row>
    <row r="2600" spans="1:15" ht="12.75" customHeight="1">
      <c r="A2600" s="188" t="s">
        <v>620</v>
      </c>
      <c r="B2600" s="188" t="s">
        <v>3787</v>
      </c>
      <c r="C2600" s="188" t="s">
        <v>659</v>
      </c>
      <c r="D2600" s="188" t="s">
        <v>4146</v>
      </c>
      <c r="E2600" s="189">
        <v>39429</v>
      </c>
      <c r="F2600" s="190">
        <v>0</v>
      </c>
      <c r="G2600" s="190">
        <v>8.19</v>
      </c>
      <c r="H2600" s="191">
        <v>128</v>
      </c>
      <c r="I2600" s="191">
        <v>57.6</v>
      </c>
      <c r="J2600" s="188" t="s">
        <v>624</v>
      </c>
      <c r="K2600" s="188" t="s">
        <v>427</v>
      </c>
      <c r="L2600" s="188" t="s">
        <v>3430</v>
      </c>
      <c r="M2600" s="192">
        <f t="shared" si="120"/>
        <v>25</v>
      </c>
      <c r="N2600" s="193">
        <f t="shared" si="121"/>
        <v>1</v>
      </c>
      <c r="O2600" s="194">
        <f t="shared" si="122"/>
        <v>0.04</v>
      </c>
    </row>
    <row r="2601" spans="1:15" ht="12.75" customHeight="1">
      <c r="A2601" s="188" t="s">
        <v>620</v>
      </c>
      <c r="B2601" s="188" t="s">
        <v>3787</v>
      </c>
      <c r="C2601" s="188" t="s">
        <v>659</v>
      </c>
      <c r="D2601" s="188" t="s">
        <v>4147</v>
      </c>
      <c r="E2601" s="189">
        <v>39436</v>
      </c>
      <c r="F2601" s="190">
        <v>0</v>
      </c>
      <c r="G2601" s="190">
        <v>134.4</v>
      </c>
      <c r="H2601" s="191">
        <v>2100</v>
      </c>
      <c r="I2601" s="191">
        <v>945</v>
      </c>
      <c r="J2601" s="188" t="s">
        <v>624</v>
      </c>
      <c r="K2601" s="188" t="s">
        <v>427</v>
      </c>
      <c r="L2601" s="188" t="s">
        <v>701</v>
      </c>
      <c r="M2601" s="192">
        <f t="shared" si="120"/>
        <v>25</v>
      </c>
      <c r="N2601" s="193">
        <f t="shared" si="121"/>
        <v>1</v>
      </c>
      <c r="O2601" s="194">
        <f t="shared" si="122"/>
        <v>0.04</v>
      </c>
    </row>
    <row r="2602" spans="1:15" ht="12.75" customHeight="1">
      <c r="A2602" s="188" t="s">
        <v>620</v>
      </c>
      <c r="B2602" s="188" t="s">
        <v>3787</v>
      </c>
      <c r="C2602" s="188" t="s">
        <v>659</v>
      </c>
      <c r="D2602" s="188" t="s">
        <v>4148</v>
      </c>
      <c r="E2602" s="189">
        <v>39447</v>
      </c>
      <c r="F2602" s="190">
        <v>0</v>
      </c>
      <c r="G2602" s="190">
        <v>69.12</v>
      </c>
      <c r="H2602" s="191">
        <v>1080</v>
      </c>
      <c r="I2602" s="191">
        <v>486</v>
      </c>
      <c r="J2602" s="188" t="s">
        <v>624</v>
      </c>
      <c r="K2602" s="188" t="s">
        <v>427</v>
      </c>
      <c r="L2602" s="188" t="s">
        <v>817</v>
      </c>
      <c r="M2602" s="192">
        <f t="shared" si="120"/>
        <v>25</v>
      </c>
      <c r="N2602" s="193">
        <f t="shared" si="121"/>
        <v>1</v>
      </c>
      <c r="O2602" s="194">
        <f t="shared" si="122"/>
        <v>0.04</v>
      </c>
    </row>
    <row r="2603" spans="1:15" ht="12.75" customHeight="1">
      <c r="A2603" s="188" t="s">
        <v>620</v>
      </c>
      <c r="B2603" s="188" t="s">
        <v>3787</v>
      </c>
      <c r="C2603" s="188" t="s">
        <v>659</v>
      </c>
      <c r="D2603" s="188" t="s">
        <v>4149</v>
      </c>
      <c r="E2603" s="189">
        <v>39447</v>
      </c>
      <c r="F2603" s="190">
        <v>0</v>
      </c>
      <c r="G2603" s="190">
        <v>150.4</v>
      </c>
      <c r="H2603" s="191">
        <v>2350</v>
      </c>
      <c r="I2603" s="191">
        <v>1057.5</v>
      </c>
      <c r="J2603" s="188" t="s">
        <v>624</v>
      </c>
      <c r="K2603" s="188" t="s">
        <v>427</v>
      </c>
      <c r="L2603" s="188" t="s">
        <v>1929</v>
      </c>
      <c r="M2603" s="192">
        <f t="shared" si="120"/>
        <v>25</v>
      </c>
      <c r="N2603" s="193">
        <f t="shared" si="121"/>
        <v>1</v>
      </c>
      <c r="O2603" s="194">
        <f t="shared" si="122"/>
        <v>0.04</v>
      </c>
    </row>
    <row r="2604" spans="1:15" ht="12.75" customHeight="1">
      <c r="A2604" s="188" t="s">
        <v>620</v>
      </c>
      <c r="B2604" s="188" t="s">
        <v>3787</v>
      </c>
      <c r="C2604" s="188" t="s">
        <v>659</v>
      </c>
      <c r="D2604" s="188" t="s">
        <v>4150</v>
      </c>
      <c r="E2604" s="189">
        <v>39499</v>
      </c>
      <c r="F2604" s="190">
        <v>0</v>
      </c>
      <c r="G2604" s="190">
        <v>6.4</v>
      </c>
      <c r="H2604" s="191">
        <v>100</v>
      </c>
      <c r="I2604" s="191">
        <v>45</v>
      </c>
      <c r="J2604" s="188" t="s">
        <v>624</v>
      </c>
      <c r="K2604" s="188" t="s">
        <v>427</v>
      </c>
      <c r="L2604" s="188" t="s">
        <v>3372</v>
      </c>
      <c r="M2604" s="192">
        <f t="shared" si="120"/>
        <v>25</v>
      </c>
      <c r="N2604" s="193">
        <f t="shared" si="121"/>
        <v>1</v>
      </c>
      <c r="O2604" s="194">
        <f t="shared" si="122"/>
        <v>0.04</v>
      </c>
    </row>
    <row r="2605" spans="1:15" ht="12.75" customHeight="1">
      <c r="A2605" s="188" t="s">
        <v>620</v>
      </c>
      <c r="B2605" s="188" t="s">
        <v>3787</v>
      </c>
      <c r="C2605" s="188" t="s">
        <v>659</v>
      </c>
      <c r="D2605" s="188" t="s">
        <v>4151</v>
      </c>
      <c r="E2605" s="189">
        <v>39492</v>
      </c>
      <c r="F2605" s="190">
        <v>0</v>
      </c>
      <c r="G2605" s="190">
        <v>102.4</v>
      </c>
      <c r="H2605" s="191">
        <v>1600</v>
      </c>
      <c r="I2605" s="191">
        <v>720</v>
      </c>
      <c r="J2605" s="188" t="s">
        <v>624</v>
      </c>
      <c r="K2605" s="188" t="s">
        <v>427</v>
      </c>
      <c r="L2605" s="188" t="s">
        <v>625</v>
      </c>
      <c r="M2605" s="192">
        <f t="shared" si="120"/>
        <v>25</v>
      </c>
      <c r="N2605" s="193">
        <f t="shared" si="121"/>
        <v>1</v>
      </c>
      <c r="O2605" s="194">
        <f t="shared" si="122"/>
        <v>0.04</v>
      </c>
    </row>
    <row r="2606" spans="1:15" ht="12.75" customHeight="1">
      <c r="A2606" s="188" t="s">
        <v>620</v>
      </c>
      <c r="B2606" s="188" t="s">
        <v>3787</v>
      </c>
      <c r="C2606" s="188" t="s">
        <v>659</v>
      </c>
      <c r="D2606" s="188" t="s">
        <v>4152</v>
      </c>
      <c r="E2606" s="189">
        <v>39485</v>
      </c>
      <c r="F2606" s="190">
        <v>0</v>
      </c>
      <c r="G2606" s="190">
        <v>60.8</v>
      </c>
      <c r="H2606" s="191">
        <v>950</v>
      </c>
      <c r="I2606" s="191">
        <v>427.5</v>
      </c>
      <c r="J2606" s="188" t="s">
        <v>624</v>
      </c>
      <c r="K2606" s="188" t="s">
        <v>427</v>
      </c>
      <c r="L2606" s="188" t="s">
        <v>1164</v>
      </c>
      <c r="M2606" s="192">
        <f t="shared" si="120"/>
        <v>25</v>
      </c>
      <c r="N2606" s="193">
        <f t="shared" si="121"/>
        <v>1</v>
      </c>
      <c r="O2606" s="194">
        <f t="shared" si="122"/>
        <v>0.04</v>
      </c>
    </row>
    <row r="2607" spans="1:15" ht="12.75" customHeight="1">
      <c r="A2607" s="188" t="s">
        <v>620</v>
      </c>
      <c r="B2607" s="188" t="s">
        <v>3787</v>
      </c>
      <c r="C2607" s="188" t="s">
        <v>659</v>
      </c>
      <c r="D2607" s="188" t="s">
        <v>4153</v>
      </c>
      <c r="E2607" s="189">
        <v>39492</v>
      </c>
      <c r="F2607" s="190">
        <v>0</v>
      </c>
      <c r="G2607" s="190">
        <v>88.26</v>
      </c>
      <c r="H2607" s="191">
        <v>1379</v>
      </c>
      <c r="I2607" s="191">
        <v>620.54999999999995</v>
      </c>
      <c r="J2607" s="188" t="s">
        <v>624</v>
      </c>
      <c r="K2607" s="188" t="s">
        <v>427</v>
      </c>
      <c r="L2607" s="188" t="s">
        <v>3120</v>
      </c>
      <c r="M2607" s="192">
        <f t="shared" si="120"/>
        <v>25</v>
      </c>
      <c r="N2607" s="193">
        <f t="shared" si="121"/>
        <v>1</v>
      </c>
      <c r="O2607" s="194">
        <f t="shared" si="122"/>
        <v>0.04</v>
      </c>
    </row>
    <row r="2608" spans="1:15" ht="12.75" customHeight="1">
      <c r="A2608" s="188" t="s">
        <v>620</v>
      </c>
      <c r="B2608" s="188" t="s">
        <v>3787</v>
      </c>
      <c r="C2608" s="188" t="s">
        <v>659</v>
      </c>
      <c r="D2608" s="188" t="s">
        <v>4154</v>
      </c>
      <c r="E2608" s="189">
        <v>39513</v>
      </c>
      <c r="F2608" s="190">
        <v>0</v>
      </c>
      <c r="G2608" s="190">
        <v>90.88</v>
      </c>
      <c r="H2608" s="191">
        <v>1970</v>
      </c>
      <c r="I2608" s="191">
        <v>639</v>
      </c>
      <c r="J2608" s="188" t="s">
        <v>624</v>
      </c>
      <c r="K2608" s="188" t="s">
        <v>427</v>
      </c>
      <c r="L2608" s="188" t="s">
        <v>4155</v>
      </c>
      <c r="M2608" s="192">
        <f t="shared" si="120"/>
        <v>25</v>
      </c>
      <c r="N2608" s="193">
        <f t="shared" si="121"/>
        <v>1</v>
      </c>
      <c r="O2608" s="194">
        <f t="shared" si="122"/>
        <v>0.04</v>
      </c>
    </row>
    <row r="2609" spans="1:15" ht="12.75" customHeight="1">
      <c r="A2609" s="188" t="s">
        <v>620</v>
      </c>
      <c r="B2609" s="188" t="s">
        <v>3787</v>
      </c>
      <c r="C2609" s="188" t="s">
        <v>659</v>
      </c>
      <c r="D2609" s="188" t="s">
        <v>4156</v>
      </c>
      <c r="E2609" s="189">
        <v>39499</v>
      </c>
      <c r="F2609" s="190">
        <v>0</v>
      </c>
      <c r="G2609" s="190">
        <v>57.6</v>
      </c>
      <c r="H2609" s="191">
        <v>810</v>
      </c>
      <c r="I2609" s="191">
        <v>405</v>
      </c>
      <c r="J2609" s="188" t="s">
        <v>624</v>
      </c>
      <c r="K2609" s="188" t="s">
        <v>427</v>
      </c>
      <c r="L2609" s="188" t="s">
        <v>1883</v>
      </c>
      <c r="M2609" s="192">
        <f t="shared" si="120"/>
        <v>25</v>
      </c>
      <c r="N2609" s="193">
        <f t="shared" si="121"/>
        <v>1</v>
      </c>
      <c r="O2609" s="194">
        <f t="shared" si="122"/>
        <v>0.04</v>
      </c>
    </row>
    <row r="2610" spans="1:15" ht="12.75" customHeight="1">
      <c r="A2610" s="188" t="s">
        <v>620</v>
      </c>
      <c r="B2610" s="188" t="s">
        <v>3787</v>
      </c>
      <c r="C2610" s="188" t="s">
        <v>659</v>
      </c>
      <c r="D2610" s="188" t="s">
        <v>4157</v>
      </c>
      <c r="E2610" s="189">
        <v>39534</v>
      </c>
      <c r="F2610" s="190">
        <v>0</v>
      </c>
      <c r="G2610" s="190">
        <v>15.36</v>
      </c>
      <c r="H2610" s="191">
        <v>240</v>
      </c>
      <c r="I2610" s="191">
        <v>108</v>
      </c>
      <c r="J2610" s="188" t="s">
        <v>624</v>
      </c>
      <c r="K2610" s="188" t="s">
        <v>427</v>
      </c>
      <c r="L2610" s="188" t="s">
        <v>3940</v>
      </c>
      <c r="M2610" s="192">
        <f t="shared" si="120"/>
        <v>25</v>
      </c>
      <c r="N2610" s="193">
        <f t="shared" si="121"/>
        <v>1</v>
      </c>
      <c r="O2610" s="194">
        <f t="shared" si="122"/>
        <v>0.04</v>
      </c>
    </row>
    <row r="2611" spans="1:15" ht="12.75" customHeight="1">
      <c r="A2611" s="188" t="s">
        <v>620</v>
      </c>
      <c r="B2611" s="188" t="s">
        <v>3787</v>
      </c>
      <c r="C2611" s="188" t="s">
        <v>659</v>
      </c>
      <c r="D2611" s="188" t="s">
        <v>4158</v>
      </c>
      <c r="E2611" s="189">
        <v>39507</v>
      </c>
      <c r="F2611" s="190">
        <v>0</v>
      </c>
      <c r="G2611" s="190">
        <v>46.46</v>
      </c>
      <c r="H2611" s="191">
        <v>1033</v>
      </c>
      <c r="I2611" s="191">
        <v>326.7</v>
      </c>
      <c r="J2611" s="188" t="s">
        <v>624</v>
      </c>
      <c r="K2611" s="188" t="s">
        <v>427</v>
      </c>
      <c r="L2611" s="188" t="s">
        <v>1552</v>
      </c>
      <c r="M2611" s="192">
        <f t="shared" si="120"/>
        <v>25</v>
      </c>
      <c r="N2611" s="193">
        <f t="shared" si="121"/>
        <v>1</v>
      </c>
      <c r="O2611" s="194">
        <f t="shared" si="122"/>
        <v>0.04</v>
      </c>
    </row>
    <row r="2612" spans="1:15" ht="12.75" customHeight="1">
      <c r="A2612" s="188" t="s">
        <v>620</v>
      </c>
      <c r="B2612" s="188" t="s">
        <v>3787</v>
      </c>
      <c r="C2612" s="188" t="s">
        <v>659</v>
      </c>
      <c r="D2612" s="188" t="s">
        <v>4159</v>
      </c>
      <c r="E2612" s="189">
        <v>39513</v>
      </c>
      <c r="F2612" s="190">
        <v>0</v>
      </c>
      <c r="G2612" s="190">
        <v>31.1</v>
      </c>
      <c r="H2612" s="191">
        <v>486</v>
      </c>
      <c r="I2612" s="191">
        <v>218.7</v>
      </c>
      <c r="J2612" s="188" t="s">
        <v>624</v>
      </c>
      <c r="K2612" s="188" t="s">
        <v>427</v>
      </c>
      <c r="L2612" s="188" t="s">
        <v>4160</v>
      </c>
      <c r="M2612" s="192">
        <f t="shared" si="120"/>
        <v>25</v>
      </c>
      <c r="N2612" s="193">
        <f t="shared" si="121"/>
        <v>1</v>
      </c>
      <c r="O2612" s="194">
        <f t="shared" si="122"/>
        <v>0.04</v>
      </c>
    </row>
    <row r="2613" spans="1:15" ht="12.75" customHeight="1">
      <c r="A2613" s="188" t="s">
        <v>620</v>
      </c>
      <c r="B2613" s="188" t="s">
        <v>3787</v>
      </c>
      <c r="C2613" s="188" t="s">
        <v>659</v>
      </c>
      <c r="D2613" s="188" t="s">
        <v>4161</v>
      </c>
      <c r="E2613" s="189">
        <v>39520</v>
      </c>
      <c r="F2613" s="190">
        <v>0</v>
      </c>
      <c r="G2613" s="190">
        <v>88.51</v>
      </c>
      <c r="H2613" s="191">
        <v>1370</v>
      </c>
      <c r="I2613" s="191">
        <v>622.35</v>
      </c>
      <c r="J2613" s="188" t="s">
        <v>624</v>
      </c>
      <c r="K2613" s="188" t="s">
        <v>427</v>
      </c>
      <c r="L2613" s="188" t="s">
        <v>4162</v>
      </c>
      <c r="M2613" s="192">
        <f t="shared" si="120"/>
        <v>25</v>
      </c>
      <c r="N2613" s="193">
        <f t="shared" si="121"/>
        <v>1</v>
      </c>
      <c r="O2613" s="194">
        <f t="shared" si="122"/>
        <v>0.04</v>
      </c>
    </row>
    <row r="2614" spans="1:15" ht="12.75" customHeight="1">
      <c r="A2614" s="188" t="s">
        <v>620</v>
      </c>
      <c r="B2614" s="188" t="s">
        <v>3787</v>
      </c>
      <c r="C2614" s="188" t="s">
        <v>659</v>
      </c>
      <c r="D2614" s="188" t="s">
        <v>4163</v>
      </c>
      <c r="E2614" s="189">
        <v>39534</v>
      </c>
      <c r="F2614" s="190">
        <v>0</v>
      </c>
      <c r="G2614" s="190">
        <v>102.4</v>
      </c>
      <c r="H2614" s="191">
        <v>1600</v>
      </c>
      <c r="I2614" s="191">
        <v>720</v>
      </c>
      <c r="J2614" s="188" t="s">
        <v>624</v>
      </c>
      <c r="K2614" s="188" t="s">
        <v>427</v>
      </c>
      <c r="L2614" s="188" t="s">
        <v>625</v>
      </c>
      <c r="M2614" s="192">
        <f t="shared" si="120"/>
        <v>25</v>
      </c>
      <c r="N2614" s="193">
        <f t="shared" si="121"/>
        <v>1</v>
      </c>
      <c r="O2614" s="194">
        <f t="shared" si="122"/>
        <v>0.04</v>
      </c>
    </row>
    <row r="2615" spans="1:15" ht="12.75" customHeight="1">
      <c r="A2615" s="188" t="s">
        <v>620</v>
      </c>
      <c r="B2615" s="188" t="s">
        <v>3787</v>
      </c>
      <c r="C2615" s="188" t="s">
        <v>659</v>
      </c>
      <c r="D2615" s="188" t="s">
        <v>4164</v>
      </c>
      <c r="E2615" s="189">
        <v>39562</v>
      </c>
      <c r="F2615" s="190">
        <v>0</v>
      </c>
      <c r="G2615" s="190">
        <v>32</v>
      </c>
      <c r="H2615" s="191">
        <v>500</v>
      </c>
      <c r="I2615" s="191">
        <v>225</v>
      </c>
      <c r="J2615" s="188" t="s">
        <v>624</v>
      </c>
      <c r="K2615" s="188" t="s">
        <v>427</v>
      </c>
      <c r="L2615" s="188" t="s">
        <v>858</v>
      </c>
      <c r="M2615" s="192">
        <f t="shared" si="120"/>
        <v>25</v>
      </c>
      <c r="N2615" s="193">
        <f t="shared" si="121"/>
        <v>1</v>
      </c>
      <c r="O2615" s="194">
        <f t="shared" si="122"/>
        <v>0.04</v>
      </c>
    </row>
    <row r="2616" spans="1:15" ht="12.75" customHeight="1">
      <c r="A2616" s="188" t="s">
        <v>620</v>
      </c>
      <c r="B2616" s="188" t="s">
        <v>3787</v>
      </c>
      <c r="C2616" s="188" t="s">
        <v>659</v>
      </c>
      <c r="D2616" s="188" t="s">
        <v>4165</v>
      </c>
      <c r="E2616" s="189">
        <v>39576</v>
      </c>
      <c r="F2616" s="190">
        <v>0</v>
      </c>
      <c r="G2616" s="190">
        <v>92.8</v>
      </c>
      <c r="H2616" s="191">
        <v>1450</v>
      </c>
      <c r="I2616" s="191">
        <v>652.5</v>
      </c>
      <c r="J2616" s="188" t="s">
        <v>624</v>
      </c>
      <c r="K2616" s="188" t="s">
        <v>427</v>
      </c>
      <c r="L2616" s="188" t="s">
        <v>920</v>
      </c>
      <c r="M2616" s="192">
        <f t="shared" si="120"/>
        <v>25</v>
      </c>
      <c r="N2616" s="193">
        <f t="shared" si="121"/>
        <v>1</v>
      </c>
      <c r="O2616" s="194">
        <f t="shared" si="122"/>
        <v>0.04</v>
      </c>
    </row>
    <row r="2617" spans="1:15" ht="12.75" customHeight="1">
      <c r="A2617" s="188" t="s">
        <v>620</v>
      </c>
      <c r="B2617" s="188" t="s">
        <v>3787</v>
      </c>
      <c r="C2617" s="188" t="s">
        <v>659</v>
      </c>
      <c r="D2617" s="188" t="s">
        <v>4166</v>
      </c>
      <c r="E2617" s="189">
        <v>39541</v>
      </c>
      <c r="F2617" s="190">
        <v>0</v>
      </c>
      <c r="G2617" s="190">
        <v>131.07</v>
      </c>
      <c r="H2617" s="191">
        <v>2048</v>
      </c>
      <c r="I2617" s="191">
        <v>921.6</v>
      </c>
      <c r="J2617" s="188" t="s">
        <v>624</v>
      </c>
      <c r="K2617" s="188" t="s">
        <v>427</v>
      </c>
      <c r="L2617" s="188" t="s">
        <v>4167</v>
      </c>
      <c r="M2617" s="192">
        <f t="shared" si="120"/>
        <v>25</v>
      </c>
      <c r="N2617" s="193">
        <f t="shared" si="121"/>
        <v>1</v>
      </c>
      <c r="O2617" s="194">
        <f t="shared" si="122"/>
        <v>0.04</v>
      </c>
    </row>
    <row r="2618" spans="1:15" ht="12.75" customHeight="1">
      <c r="A2618" s="188" t="s">
        <v>620</v>
      </c>
      <c r="B2618" s="188" t="s">
        <v>3787</v>
      </c>
      <c r="C2618" s="188" t="s">
        <v>659</v>
      </c>
      <c r="D2618" s="188" t="s">
        <v>4168</v>
      </c>
      <c r="E2618" s="189">
        <v>39562</v>
      </c>
      <c r="F2618" s="190">
        <v>0</v>
      </c>
      <c r="G2618" s="190">
        <v>32</v>
      </c>
      <c r="H2618" s="191">
        <v>500</v>
      </c>
      <c r="I2618" s="191">
        <v>225</v>
      </c>
      <c r="J2618" s="188" t="s">
        <v>624</v>
      </c>
      <c r="K2618" s="188" t="s">
        <v>427</v>
      </c>
      <c r="L2618" s="188" t="s">
        <v>858</v>
      </c>
      <c r="M2618" s="192">
        <f t="shared" si="120"/>
        <v>25</v>
      </c>
      <c r="N2618" s="193">
        <f t="shared" si="121"/>
        <v>1</v>
      </c>
      <c r="O2618" s="194">
        <f t="shared" si="122"/>
        <v>0.04</v>
      </c>
    </row>
    <row r="2619" spans="1:15" ht="12.75" customHeight="1">
      <c r="A2619" s="188" t="s">
        <v>620</v>
      </c>
      <c r="B2619" s="188" t="s">
        <v>3787</v>
      </c>
      <c r="C2619" s="188" t="s">
        <v>659</v>
      </c>
      <c r="D2619" s="188" t="s">
        <v>4169</v>
      </c>
      <c r="E2619" s="189">
        <v>39562</v>
      </c>
      <c r="F2619" s="190">
        <v>0</v>
      </c>
      <c r="G2619" s="190">
        <v>51.2</v>
      </c>
      <c r="H2619" s="191">
        <v>800</v>
      </c>
      <c r="I2619" s="191">
        <v>360</v>
      </c>
      <c r="J2619" s="188" t="s">
        <v>624</v>
      </c>
      <c r="K2619" s="188" t="s">
        <v>427</v>
      </c>
      <c r="L2619" s="188" t="s">
        <v>752</v>
      </c>
      <c r="M2619" s="192">
        <f t="shared" si="120"/>
        <v>25</v>
      </c>
      <c r="N2619" s="193">
        <f t="shared" si="121"/>
        <v>1</v>
      </c>
      <c r="O2619" s="194">
        <f t="shared" si="122"/>
        <v>0.04</v>
      </c>
    </row>
    <row r="2620" spans="1:15" ht="12.75" customHeight="1">
      <c r="A2620" s="188" t="s">
        <v>620</v>
      </c>
      <c r="B2620" s="188" t="s">
        <v>3787</v>
      </c>
      <c r="C2620" s="188" t="s">
        <v>659</v>
      </c>
      <c r="D2620" s="188" t="s">
        <v>4170</v>
      </c>
      <c r="E2620" s="189">
        <v>39583</v>
      </c>
      <c r="F2620" s="190">
        <v>0</v>
      </c>
      <c r="G2620" s="190">
        <v>134.4</v>
      </c>
      <c r="H2620" s="191">
        <v>2100</v>
      </c>
      <c r="I2620" s="191">
        <v>945</v>
      </c>
      <c r="J2620" s="188" t="s">
        <v>624</v>
      </c>
      <c r="K2620" s="188" t="s">
        <v>427</v>
      </c>
      <c r="L2620" s="188" t="s">
        <v>701</v>
      </c>
      <c r="M2620" s="192">
        <f t="shared" si="120"/>
        <v>25</v>
      </c>
      <c r="N2620" s="193">
        <f t="shared" si="121"/>
        <v>1</v>
      </c>
      <c r="O2620" s="194">
        <f t="shared" si="122"/>
        <v>0.04</v>
      </c>
    </row>
    <row r="2621" spans="1:15" ht="12.75" customHeight="1">
      <c r="A2621" s="188" t="s">
        <v>620</v>
      </c>
      <c r="B2621" s="188" t="s">
        <v>3787</v>
      </c>
      <c r="C2621" s="188" t="s">
        <v>659</v>
      </c>
      <c r="D2621" s="188" t="s">
        <v>4171</v>
      </c>
      <c r="E2621" s="189">
        <v>39639</v>
      </c>
      <c r="F2621" s="190">
        <v>0</v>
      </c>
      <c r="G2621" s="190">
        <v>4.0999999999999996</v>
      </c>
      <c r="H2621" s="191">
        <v>64</v>
      </c>
      <c r="I2621" s="191">
        <v>28.8</v>
      </c>
      <c r="J2621" s="188" t="s">
        <v>624</v>
      </c>
      <c r="K2621" s="188" t="s">
        <v>427</v>
      </c>
      <c r="L2621" s="188" t="s">
        <v>476</v>
      </c>
      <c r="M2621" s="192">
        <f t="shared" si="120"/>
        <v>25</v>
      </c>
      <c r="N2621" s="193">
        <f t="shared" si="121"/>
        <v>1</v>
      </c>
      <c r="O2621" s="194">
        <f t="shared" si="122"/>
        <v>0.04</v>
      </c>
    </row>
    <row r="2622" spans="1:15" ht="12.75" customHeight="1">
      <c r="A2622" s="188" t="s">
        <v>620</v>
      </c>
      <c r="B2622" s="188" t="s">
        <v>3787</v>
      </c>
      <c r="C2622" s="188" t="s">
        <v>659</v>
      </c>
      <c r="D2622" s="188" t="s">
        <v>4172</v>
      </c>
      <c r="E2622" s="189">
        <v>39618</v>
      </c>
      <c r="F2622" s="190">
        <v>0</v>
      </c>
      <c r="G2622" s="190">
        <v>106.24</v>
      </c>
      <c r="H2622" s="191">
        <v>1995</v>
      </c>
      <c r="I2622" s="191">
        <v>747</v>
      </c>
      <c r="J2622" s="188" t="s">
        <v>624</v>
      </c>
      <c r="K2622" s="188" t="s">
        <v>257</v>
      </c>
      <c r="L2622" s="188" t="s">
        <v>1298</v>
      </c>
      <c r="M2622" s="192">
        <f t="shared" si="120"/>
        <v>30</v>
      </c>
      <c r="N2622" s="193">
        <f t="shared" si="121"/>
        <v>1.2018072289156627</v>
      </c>
      <c r="O2622" s="194">
        <f t="shared" si="122"/>
        <v>4.0060240963855423E-2</v>
      </c>
    </row>
    <row r="2623" spans="1:15" ht="12.75" customHeight="1">
      <c r="A2623" s="188" t="s">
        <v>620</v>
      </c>
      <c r="B2623" s="188" t="s">
        <v>3787</v>
      </c>
      <c r="C2623" s="188" t="s">
        <v>659</v>
      </c>
      <c r="D2623" s="188" t="s">
        <v>4173</v>
      </c>
      <c r="E2623" s="189">
        <v>39590</v>
      </c>
      <c r="F2623" s="190">
        <v>0</v>
      </c>
      <c r="G2623" s="190">
        <v>112.19</v>
      </c>
      <c r="H2623" s="191">
        <v>1757</v>
      </c>
      <c r="I2623" s="191">
        <v>788.85</v>
      </c>
      <c r="J2623" s="188" t="s">
        <v>624</v>
      </c>
      <c r="K2623" s="188" t="s">
        <v>427</v>
      </c>
      <c r="L2623" s="188" t="s">
        <v>4174</v>
      </c>
      <c r="M2623" s="192">
        <f t="shared" si="120"/>
        <v>25</v>
      </c>
      <c r="N2623" s="193">
        <f t="shared" si="121"/>
        <v>1.002281802624073</v>
      </c>
      <c r="O2623" s="194">
        <f t="shared" si="122"/>
        <v>4.0091272104962918E-2</v>
      </c>
    </row>
    <row r="2624" spans="1:15" ht="12.75" customHeight="1">
      <c r="A2624" s="188" t="s">
        <v>620</v>
      </c>
      <c r="B2624" s="188" t="s">
        <v>3787</v>
      </c>
      <c r="C2624" s="188" t="s">
        <v>659</v>
      </c>
      <c r="D2624" s="188" t="s">
        <v>4175</v>
      </c>
      <c r="E2624" s="189">
        <v>39471</v>
      </c>
      <c r="F2624" s="190">
        <v>0</v>
      </c>
      <c r="G2624" s="190">
        <v>75.900000000000006</v>
      </c>
      <c r="H2624" s="191">
        <v>1427</v>
      </c>
      <c r="I2624" s="191">
        <v>533.70000000000005</v>
      </c>
      <c r="J2624" s="188" t="s">
        <v>624</v>
      </c>
      <c r="K2624" s="188" t="s">
        <v>257</v>
      </c>
      <c r="L2624" s="188" t="s">
        <v>1381</v>
      </c>
      <c r="M2624" s="192">
        <f t="shared" si="120"/>
        <v>30</v>
      </c>
      <c r="N2624" s="193">
        <f t="shared" si="121"/>
        <v>1.203204047217538</v>
      </c>
      <c r="O2624" s="194">
        <f t="shared" si="122"/>
        <v>4.0106801573917931E-2</v>
      </c>
    </row>
    <row r="2625" spans="1:15" ht="12.75" customHeight="1">
      <c r="A2625" s="188" t="s">
        <v>620</v>
      </c>
      <c r="B2625" s="188" t="s">
        <v>3787</v>
      </c>
      <c r="C2625" s="188" t="s">
        <v>659</v>
      </c>
      <c r="D2625" s="188" t="s">
        <v>4176</v>
      </c>
      <c r="E2625" s="189">
        <v>39429</v>
      </c>
      <c r="F2625" s="190">
        <v>0</v>
      </c>
      <c r="G2625" s="190">
        <v>73.22</v>
      </c>
      <c r="H2625" s="191">
        <v>1150</v>
      </c>
      <c r="I2625" s="191">
        <v>514.79999999999995</v>
      </c>
      <c r="J2625" s="188" t="s">
        <v>624</v>
      </c>
      <c r="K2625" s="188" t="s">
        <v>427</v>
      </c>
      <c r="L2625" s="188" t="s">
        <v>990</v>
      </c>
      <c r="M2625" s="192">
        <f t="shared" si="120"/>
        <v>25</v>
      </c>
      <c r="N2625" s="193">
        <f t="shared" si="121"/>
        <v>1.0052447552447552</v>
      </c>
      <c r="O2625" s="194">
        <f t="shared" si="122"/>
        <v>4.0209790209790208E-2</v>
      </c>
    </row>
    <row r="2626" spans="1:15" ht="12.75" customHeight="1">
      <c r="A2626" s="188" t="s">
        <v>620</v>
      </c>
      <c r="B2626" s="188" t="s">
        <v>3787</v>
      </c>
      <c r="C2626" s="188" t="s">
        <v>659</v>
      </c>
      <c r="D2626" s="188" t="s">
        <v>4177</v>
      </c>
      <c r="E2626" s="189">
        <v>39447</v>
      </c>
      <c r="F2626" s="190">
        <v>0</v>
      </c>
      <c r="G2626" s="190">
        <v>58.88</v>
      </c>
      <c r="H2626" s="191">
        <v>925</v>
      </c>
      <c r="I2626" s="191">
        <v>414</v>
      </c>
      <c r="J2626" s="188" t="s">
        <v>624</v>
      </c>
      <c r="K2626" s="188" t="s">
        <v>427</v>
      </c>
      <c r="L2626" s="188" t="s">
        <v>2411</v>
      </c>
      <c r="M2626" s="192">
        <f t="shared" ref="M2626:M2689" si="123">K2626-J2626</f>
        <v>25</v>
      </c>
      <c r="N2626" s="193">
        <f t="shared" ref="N2626:N2689" si="124">H2626/L2626</f>
        <v>1.0054347826086956</v>
      </c>
      <c r="O2626" s="194">
        <f t="shared" ref="O2626:O2689" si="125">N2626/M2626</f>
        <v>4.0217391304347823E-2</v>
      </c>
    </row>
    <row r="2627" spans="1:15" ht="12.75" customHeight="1">
      <c r="A2627" s="188" t="s">
        <v>620</v>
      </c>
      <c r="B2627" s="188" t="s">
        <v>3787</v>
      </c>
      <c r="C2627" s="188" t="s">
        <v>659</v>
      </c>
      <c r="D2627" s="188" t="s">
        <v>4178</v>
      </c>
      <c r="E2627" s="189">
        <v>39611</v>
      </c>
      <c r="F2627" s="190">
        <v>0</v>
      </c>
      <c r="G2627" s="190">
        <v>59.65</v>
      </c>
      <c r="H2627" s="191">
        <v>939</v>
      </c>
      <c r="I2627" s="191">
        <v>419.4</v>
      </c>
      <c r="J2627" s="188" t="s">
        <v>624</v>
      </c>
      <c r="K2627" s="188" t="s">
        <v>427</v>
      </c>
      <c r="L2627" s="188" t="s">
        <v>2674</v>
      </c>
      <c r="M2627" s="192">
        <f t="shared" si="123"/>
        <v>25</v>
      </c>
      <c r="N2627" s="193">
        <f t="shared" si="124"/>
        <v>1.007510729613734</v>
      </c>
      <c r="O2627" s="194">
        <f t="shared" si="125"/>
        <v>4.0300429184549361E-2</v>
      </c>
    </row>
    <row r="2628" spans="1:15" ht="12.75" customHeight="1">
      <c r="A2628" s="188" t="s">
        <v>620</v>
      </c>
      <c r="B2628" s="188" t="s">
        <v>3787</v>
      </c>
      <c r="C2628" s="188" t="s">
        <v>659</v>
      </c>
      <c r="D2628" s="188" t="s">
        <v>4179</v>
      </c>
      <c r="E2628" s="189">
        <v>39471</v>
      </c>
      <c r="F2628" s="190">
        <v>0</v>
      </c>
      <c r="G2628" s="190">
        <v>118.4</v>
      </c>
      <c r="H2628" s="191">
        <v>2242</v>
      </c>
      <c r="I2628" s="191">
        <v>832.5</v>
      </c>
      <c r="J2628" s="188" t="s">
        <v>624</v>
      </c>
      <c r="K2628" s="188" t="s">
        <v>257</v>
      </c>
      <c r="L2628" s="188" t="s">
        <v>1736</v>
      </c>
      <c r="M2628" s="192">
        <f t="shared" si="123"/>
        <v>30</v>
      </c>
      <c r="N2628" s="193">
        <f t="shared" si="124"/>
        <v>1.2118918918918919</v>
      </c>
      <c r="O2628" s="194">
        <f t="shared" si="125"/>
        <v>4.0396396396396396E-2</v>
      </c>
    </row>
    <row r="2629" spans="1:15" ht="12.75" customHeight="1">
      <c r="A2629" s="188" t="s">
        <v>620</v>
      </c>
      <c r="B2629" s="188" t="s">
        <v>3787</v>
      </c>
      <c r="C2629" s="188" t="s">
        <v>659</v>
      </c>
      <c r="D2629" s="188" t="s">
        <v>4180</v>
      </c>
      <c r="E2629" s="189">
        <v>39541</v>
      </c>
      <c r="F2629" s="190">
        <v>0</v>
      </c>
      <c r="G2629" s="190">
        <v>119.68</v>
      </c>
      <c r="H2629" s="191">
        <v>1890</v>
      </c>
      <c r="I2629" s="191">
        <v>841.5</v>
      </c>
      <c r="J2629" s="188" t="s">
        <v>624</v>
      </c>
      <c r="K2629" s="188" t="s">
        <v>427</v>
      </c>
      <c r="L2629" s="188" t="s">
        <v>4181</v>
      </c>
      <c r="M2629" s="192">
        <f t="shared" si="123"/>
        <v>25</v>
      </c>
      <c r="N2629" s="193">
        <f t="shared" si="124"/>
        <v>1.0106951871657754</v>
      </c>
      <c r="O2629" s="194">
        <f t="shared" si="125"/>
        <v>4.0427807486631016E-2</v>
      </c>
    </row>
    <row r="2630" spans="1:15" ht="12.75" customHeight="1">
      <c r="A2630" s="188" t="s">
        <v>620</v>
      </c>
      <c r="B2630" s="188" t="s">
        <v>3787</v>
      </c>
      <c r="C2630" s="188" t="s">
        <v>659</v>
      </c>
      <c r="D2630" s="188" t="s">
        <v>4182</v>
      </c>
      <c r="E2630" s="189">
        <v>39527</v>
      </c>
      <c r="F2630" s="190">
        <v>0</v>
      </c>
      <c r="G2630" s="190">
        <v>67.78</v>
      </c>
      <c r="H2630" s="191">
        <v>1073</v>
      </c>
      <c r="I2630" s="191">
        <v>476.55</v>
      </c>
      <c r="J2630" s="188" t="s">
        <v>624</v>
      </c>
      <c r="K2630" s="188" t="s">
        <v>427</v>
      </c>
      <c r="L2630" s="188" t="s">
        <v>4183</v>
      </c>
      <c r="M2630" s="192">
        <f t="shared" si="123"/>
        <v>25</v>
      </c>
      <c r="N2630" s="193">
        <f t="shared" si="124"/>
        <v>1.0132200188857412</v>
      </c>
      <c r="O2630" s="194">
        <f t="shared" si="125"/>
        <v>4.0528800755429646E-2</v>
      </c>
    </row>
    <row r="2631" spans="1:15" ht="12.75" customHeight="1">
      <c r="A2631" s="188" t="s">
        <v>620</v>
      </c>
      <c r="B2631" s="188" t="s">
        <v>3787</v>
      </c>
      <c r="C2631" s="188" t="s">
        <v>659</v>
      </c>
      <c r="D2631" s="188" t="s">
        <v>4184</v>
      </c>
      <c r="E2631" s="189">
        <v>39492</v>
      </c>
      <c r="F2631" s="190">
        <v>0</v>
      </c>
      <c r="G2631" s="190">
        <v>94.72</v>
      </c>
      <c r="H2631" s="191">
        <v>1502</v>
      </c>
      <c r="I2631" s="191">
        <v>666</v>
      </c>
      <c r="J2631" s="188" t="s">
        <v>624</v>
      </c>
      <c r="K2631" s="188" t="s">
        <v>427</v>
      </c>
      <c r="L2631" s="188" t="s">
        <v>1479</v>
      </c>
      <c r="M2631" s="192">
        <f t="shared" si="123"/>
        <v>25</v>
      </c>
      <c r="N2631" s="193">
        <f t="shared" si="124"/>
        <v>1.0148648648648648</v>
      </c>
      <c r="O2631" s="194">
        <f t="shared" si="125"/>
        <v>4.0594594594594594E-2</v>
      </c>
    </row>
    <row r="2632" spans="1:15" ht="12.75" customHeight="1">
      <c r="A2632" s="188" t="s">
        <v>620</v>
      </c>
      <c r="B2632" s="188" t="s">
        <v>3787</v>
      </c>
      <c r="C2632" s="188" t="s">
        <v>659</v>
      </c>
      <c r="D2632" s="188" t="s">
        <v>4185</v>
      </c>
      <c r="E2632" s="189">
        <v>39422</v>
      </c>
      <c r="F2632" s="190">
        <v>0</v>
      </c>
      <c r="G2632" s="190">
        <v>66.56</v>
      </c>
      <c r="H2632" s="191">
        <v>1056</v>
      </c>
      <c r="I2632" s="191">
        <v>468</v>
      </c>
      <c r="J2632" s="188" t="s">
        <v>624</v>
      </c>
      <c r="K2632" s="188" t="s">
        <v>427</v>
      </c>
      <c r="L2632" s="188" t="s">
        <v>808</v>
      </c>
      <c r="M2632" s="192">
        <f t="shared" si="123"/>
        <v>25</v>
      </c>
      <c r="N2632" s="193">
        <f t="shared" si="124"/>
        <v>1.0153846153846153</v>
      </c>
      <c r="O2632" s="194">
        <f t="shared" si="125"/>
        <v>4.0615384615384616E-2</v>
      </c>
    </row>
    <row r="2633" spans="1:15" ht="12.75" customHeight="1">
      <c r="A2633" s="188" t="s">
        <v>620</v>
      </c>
      <c r="B2633" s="188" t="s">
        <v>3787</v>
      </c>
      <c r="C2633" s="188" t="s">
        <v>659</v>
      </c>
      <c r="D2633" s="188" t="s">
        <v>4186</v>
      </c>
      <c r="E2633" s="189">
        <v>39478</v>
      </c>
      <c r="F2633" s="190">
        <v>0</v>
      </c>
      <c r="G2633" s="190">
        <v>49.6</v>
      </c>
      <c r="H2633" s="191">
        <v>790</v>
      </c>
      <c r="I2633" s="191">
        <v>348.75</v>
      </c>
      <c r="J2633" s="188" t="s">
        <v>624</v>
      </c>
      <c r="K2633" s="188" t="s">
        <v>427</v>
      </c>
      <c r="L2633" s="188" t="s">
        <v>4090</v>
      </c>
      <c r="M2633" s="192">
        <f t="shared" si="123"/>
        <v>25</v>
      </c>
      <c r="N2633" s="193">
        <f t="shared" si="124"/>
        <v>1.0193548387096774</v>
      </c>
      <c r="O2633" s="194">
        <f t="shared" si="125"/>
        <v>4.0774193548387093E-2</v>
      </c>
    </row>
    <row r="2634" spans="1:15" ht="12.75" customHeight="1">
      <c r="A2634" s="188" t="s">
        <v>620</v>
      </c>
      <c r="B2634" s="188" t="s">
        <v>3787</v>
      </c>
      <c r="C2634" s="188" t="s">
        <v>659</v>
      </c>
      <c r="D2634" s="188" t="s">
        <v>4187</v>
      </c>
      <c r="E2634" s="189">
        <v>39366</v>
      </c>
      <c r="F2634" s="190">
        <v>0</v>
      </c>
      <c r="G2634" s="190">
        <v>32</v>
      </c>
      <c r="H2634" s="191">
        <v>510</v>
      </c>
      <c r="I2634" s="191">
        <v>225</v>
      </c>
      <c r="J2634" s="188" t="s">
        <v>624</v>
      </c>
      <c r="K2634" s="188" t="s">
        <v>427</v>
      </c>
      <c r="L2634" s="188" t="s">
        <v>858</v>
      </c>
      <c r="M2634" s="192">
        <f t="shared" si="123"/>
        <v>25</v>
      </c>
      <c r="N2634" s="193">
        <f t="shared" si="124"/>
        <v>1.02</v>
      </c>
      <c r="O2634" s="194">
        <f t="shared" si="125"/>
        <v>4.0800000000000003E-2</v>
      </c>
    </row>
    <row r="2635" spans="1:15" ht="12.75" customHeight="1">
      <c r="A2635" s="188" t="s">
        <v>620</v>
      </c>
      <c r="B2635" s="188" t="s">
        <v>3787</v>
      </c>
      <c r="C2635" s="188" t="s">
        <v>659</v>
      </c>
      <c r="D2635" s="188" t="s">
        <v>4188</v>
      </c>
      <c r="E2635" s="189">
        <v>39576</v>
      </c>
      <c r="F2635" s="190">
        <v>0</v>
      </c>
      <c r="G2635" s="190">
        <v>83.2</v>
      </c>
      <c r="H2635" s="191">
        <v>1326</v>
      </c>
      <c r="I2635" s="191">
        <v>585</v>
      </c>
      <c r="J2635" s="188" t="s">
        <v>624</v>
      </c>
      <c r="K2635" s="188" t="s">
        <v>427</v>
      </c>
      <c r="L2635" s="188" t="s">
        <v>699</v>
      </c>
      <c r="M2635" s="192">
        <f t="shared" si="123"/>
        <v>25</v>
      </c>
      <c r="N2635" s="193">
        <f t="shared" si="124"/>
        <v>1.02</v>
      </c>
      <c r="O2635" s="194">
        <f t="shared" si="125"/>
        <v>4.0800000000000003E-2</v>
      </c>
    </row>
    <row r="2636" spans="1:15" ht="12.75" customHeight="1">
      <c r="A2636" s="188" t="s">
        <v>620</v>
      </c>
      <c r="B2636" s="188" t="s">
        <v>3787</v>
      </c>
      <c r="C2636" s="188" t="s">
        <v>659</v>
      </c>
      <c r="D2636" s="188" t="s">
        <v>4189</v>
      </c>
      <c r="E2636" s="189">
        <v>39507</v>
      </c>
      <c r="F2636" s="190">
        <v>0</v>
      </c>
      <c r="G2636" s="190">
        <v>81.34</v>
      </c>
      <c r="H2636" s="191">
        <v>1300</v>
      </c>
      <c r="I2636" s="191">
        <v>571.95000000000005</v>
      </c>
      <c r="J2636" s="188" t="s">
        <v>624</v>
      </c>
      <c r="K2636" s="188" t="s">
        <v>427</v>
      </c>
      <c r="L2636" s="188" t="s">
        <v>4190</v>
      </c>
      <c r="M2636" s="192">
        <f t="shared" si="123"/>
        <v>25</v>
      </c>
      <c r="N2636" s="193">
        <f t="shared" si="124"/>
        <v>1.0228166797797009</v>
      </c>
      <c r="O2636" s="194">
        <f t="shared" si="125"/>
        <v>4.0912667191188037E-2</v>
      </c>
    </row>
    <row r="2637" spans="1:15" ht="12.75" customHeight="1">
      <c r="A2637" s="188" t="s">
        <v>620</v>
      </c>
      <c r="B2637" s="188" t="s">
        <v>3787</v>
      </c>
      <c r="C2637" s="188" t="s">
        <v>659</v>
      </c>
      <c r="D2637" s="188" t="s">
        <v>4191</v>
      </c>
      <c r="E2637" s="189">
        <v>39401</v>
      </c>
      <c r="F2637" s="190">
        <v>0</v>
      </c>
      <c r="G2637" s="190">
        <v>109.44</v>
      </c>
      <c r="H2637" s="191">
        <v>1750.01</v>
      </c>
      <c r="I2637" s="191">
        <v>769.5</v>
      </c>
      <c r="J2637" s="188" t="s">
        <v>624</v>
      </c>
      <c r="K2637" s="188" t="s">
        <v>427</v>
      </c>
      <c r="L2637" s="188" t="s">
        <v>462</v>
      </c>
      <c r="M2637" s="192">
        <f t="shared" si="123"/>
        <v>25</v>
      </c>
      <c r="N2637" s="193">
        <f t="shared" si="124"/>
        <v>1.0233976608187134</v>
      </c>
      <c r="O2637" s="194">
        <f t="shared" si="125"/>
        <v>4.0935906432748539E-2</v>
      </c>
    </row>
    <row r="2638" spans="1:15" ht="12.75" customHeight="1">
      <c r="A2638" s="188" t="s">
        <v>620</v>
      </c>
      <c r="B2638" s="188" t="s">
        <v>3787</v>
      </c>
      <c r="C2638" s="188" t="s">
        <v>659</v>
      </c>
      <c r="D2638" s="188" t="s">
        <v>4192</v>
      </c>
      <c r="E2638" s="189">
        <v>39331</v>
      </c>
      <c r="F2638" s="190">
        <v>0</v>
      </c>
      <c r="G2638" s="190">
        <v>102.4</v>
      </c>
      <c r="H2638" s="191">
        <v>1640</v>
      </c>
      <c r="I2638" s="191">
        <v>720</v>
      </c>
      <c r="J2638" s="188" t="s">
        <v>624</v>
      </c>
      <c r="K2638" s="188" t="s">
        <v>427</v>
      </c>
      <c r="L2638" s="188" t="s">
        <v>625</v>
      </c>
      <c r="M2638" s="192">
        <f t="shared" si="123"/>
        <v>25</v>
      </c>
      <c r="N2638" s="193">
        <f t="shared" si="124"/>
        <v>1.0249999999999999</v>
      </c>
      <c r="O2638" s="194">
        <f t="shared" si="125"/>
        <v>4.0999999999999995E-2</v>
      </c>
    </row>
    <row r="2639" spans="1:15" ht="12.75" customHeight="1">
      <c r="A2639" s="188" t="s">
        <v>620</v>
      </c>
      <c r="B2639" s="188" t="s">
        <v>3787</v>
      </c>
      <c r="C2639" s="188" t="s">
        <v>659</v>
      </c>
      <c r="D2639" s="188" t="s">
        <v>4193</v>
      </c>
      <c r="E2639" s="189">
        <v>39317</v>
      </c>
      <c r="F2639" s="190">
        <v>0</v>
      </c>
      <c r="G2639" s="190">
        <v>38.4</v>
      </c>
      <c r="H2639" s="191">
        <v>616.98</v>
      </c>
      <c r="I2639" s="191">
        <v>270</v>
      </c>
      <c r="J2639" s="188" t="s">
        <v>624</v>
      </c>
      <c r="K2639" s="188" t="s">
        <v>427</v>
      </c>
      <c r="L2639" s="188" t="s">
        <v>677</v>
      </c>
      <c r="M2639" s="192">
        <f t="shared" si="123"/>
        <v>25</v>
      </c>
      <c r="N2639" s="193">
        <f t="shared" si="124"/>
        <v>1.0283</v>
      </c>
      <c r="O2639" s="194">
        <f t="shared" si="125"/>
        <v>4.1132000000000002E-2</v>
      </c>
    </row>
    <row r="2640" spans="1:15" ht="12.75" customHeight="1">
      <c r="A2640" s="188" t="s">
        <v>620</v>
      </c>
      <c r="B2640" s="188" t="s">
        <v>3787</v>
      </c>
      <c r="C2640" s="188" t="s">
        <v>659</v>
      </c>
      <c r="D2640" s="188" t="s">
        <v>4194</v>
      </c>
      <c r="E2640" s="189">
        <v>39254</v>
      </c>
      <c r="F2640" s="190">
        <v>0</v>
      </c>
      <c r="G2640" s="190">
        <v>82.88</v>
      </c>
      <c r="H2640" s="191">
        <v>1605.02</v>
      </c>
      <c r="I2640" s="191">
        <v>582.75</v>
      </c>
      <c r="J2640" s="188" t="s">
        <v>624</v>
      </c>
      <c r="K2640" s="188" t="s">
        <v>257</v>
      </c>
      <c r="L2640" s="188" t="s">
        <v>4195</v>
      </c>
      <c r="M2640" s="192">
        <f t="shared" si="123"/>
        <v>30</v>
      </c>
      <c r="N2640" s="193">
        <f t="shared" si="124"/>
        <v>1.2393976833976834</v>
      </c>
      <c r="O2640" s="194">
        <f t="shared" si="125"/>
        <v>4.1313256113256112E-2</v>
      </c>
    </row>
    <row r="2641" spans="1:15" ht="12.75" customHeight="1">
      <c r="A2641" s="188" t="s">
        <v>620</v>
      </c>
      <c r="B2641" s="188" t="s">
        <v>3787</v>
      </c>
      <c r="C2641" s="188" t="s">
        <v>659</v>
      </c>
      <c r="D2641" s="188" t="s">
        <v>4196</v>
      </c>
      <c r="E2641" s="189">
        <v>39485</v>
      </c>
      <c r="F2641" s="190">
        <v>0</v>
      </c>
      <c r="G2641" s="190">
        <v>94.98</v>
      </c>
      <c r="H2641" s="191">
        <v>1537</v>
      </c>
      <c r="I2641" s="191">
        <v>667.8</v>
      </c>
      <c r="J2641" s="188" t="s">
        <v>624</v>
      </c>
      <c r="K2641" s="188" t="s">
        <v>427</v>
      </c>
      <c r="L2641" s="188" t="s">
        <v>4197</v>
      </c>
      <c r="M2641" s="192">
        <f t="shared" si="123"/>
        <v>25</v>
      </c>
      <c r="N2641" s="193">
        <f t="shared" si="124"/>
        <v>1.0357142857142858</v>
      </c>
      <c r="O2641" s="194">
        <f t="shared" si="125"/>
        <v>4.1428571428571433E-2</v>
      </c>
    </row>
    <row r="2642" spans="1:15" ht="12.75" customHeight="1">
      <c r="A2642" s="188" t="s">
        <v>620</v>
      </c>
      <c r="B2642" s="188" t="s">
        <v>3787</v>
      </c>
      <c r="C2642" s="188" t="s">
        <v>659</v>
      </c>
      <c r="D2642" s="188" t="s">
        <v>4198</v>
      </c>
      <c r="E2642" s="189">
        <v>39395</v>
      </c>
      <c r="F2642" s="190">
        <v>0</v>
      </c>
      <c r="G2642" s="190">
        <v>73.73</v>
      </c>
      <c r="H2642" s="191">
        <v>2090</v>
      </c>
      <c r="I2642" s="191">
        <v>518.4</v>
      </c>
      <c r="J2642" s="188" t="s">
        <v>624</v>
      </c>
      <c r="K2642" s="188" t="s">
        <v>427</v>
      </c>
      <c r="L2642" s="188" t="s">
        <v>4199</v>
      </c>
      <c r="M2642" s="192">
        <f t="shared" si="123"/>
        <v>25</v>
      </c>
      <c r="N2642" s="193">
        <f t="shared" si="124"/>
        <v>1.0367063492063493</v>
      </c>
      <c r="O2642" s="194">
        <f t="shared" si="125"/>
        <v>4.1468253968253974E-2</v>
      </c>
    </row>
    <row r="2643" spans="1:15" ht="12.75" customHeight="1">
      <c r="A2643" s="188" t="s">
        <v>620</v>
      </c>
      <c r="B2643" s="188" t="s">
        <v>3787</v>
      </c>
      <c r="C2643" s="188" t="s">
        <v>659</v>
      </c>
      <c r="D2643" s="188" t="s">
        <v>4200</v>
      </c>
      <c r="E2643" s="189">
        <v>39520</v>
      </c>
      <c r="F2643" s="190">
        <v>0</v>
      </c>
      <c r="G2643" s="190">
        <v>81.92</v>
      </c>
      <c r="H2643" s="191">
        <v>1330</v>
      </c>
      <c r="I2643" s="191">
        <v>576</v>
      </c>
      <c r="J2643" s="188" t="s">
        <v>624</v>
      </c>
      <c r="K2643" s="188" t="s">
        <v>427</v>
      </c>
      <c r="L2643" s="188" t="s">
        <v>994</v>
      </c>
      <c r="M2643" s="192">
        <f t="shared" si="123"/>
        <v>25</v>
      </c>
      <c r="N2643" s="193">
        <f t="shared" si="124"/>
        <v>1.0390625</v>
      </c>
      <c r="O2643" s="194">
        <f t="shared" si="125"/>
        <v>4.1562500000000002E-2</v>
      </c>
    </row>
    <row r="2644" spans="1:15" ht="12.75" customHeight="1">
      <c r="A2644" s="188" t="s">
        <v>620</v>
      </c>
      <c r="B2644" s="188" t="s">
        <v>3787</v>
      </c>
      <c r="C2644" s="188" t="s">
        <v>659</v>
      </c>
      <c r="D2644" s="188" t="s">
        <v>4201</v>
      </c>
      <c r="E2644" s="189">
        <v>39507</v>
      </c>
      <c r="F2644" s="190">
        <v>0</v>
      </c>
      <c r="G2644" s="190">
        <v>14.98</v>
      </c>
      <c r="H2644" s="191">
        <v>185</v>
      </c>
      <c r="I2644" s="191">
        <v>105.3</v>
      </c>
      <c r="J2644" s="188" t="s">
        <v>624</v>
      </c>
      <c r="K2644" s="188" t="s">
        <v>667</v>
      </c>
      <c r="L2644" s="188" t="s">
        <v>4202</v>
      </c>
      <c r="M2644" s="192">
        <f t="shared" si="123"/>
        <v>19</v>
      </c>
      <c r="N2644" s="193">
        <f t="shared" si="124"/>
        <v>0.79059829059829057</v>
      </c>
      <c r="O2644" s="194">
        <f t="shared" si="125"/>
        <v>4.161043634727845E-2</v>
      </c>
    </row>
    <row r="2645" spans="1:15" ht="12.75" customHeight="1">
      <c r="A2645" s="188" t="s">
        <v>620</v>
      </c>
      <c r="B2645" s="188" t="s">
        <v>3787</v>
      </c>
      <c r="C2645" s="188" t="s">
        <v>659</v>
      </c>
      <c r="D2645" s="188" t="s">
        <v>4203</v>
      </c>
      <c r="E2645" s="189">
        <v>39555</v>
      </c>
      <c r="F2645" s="190">
        <v>0</v>
      </c>
      <c r="G2645" s="190">
        <v>35.840000000000003</v>
      </c>
      <c r="H2645" s="191">
        <v>700</v>
      </c>
      <c r="I2645" s="191">
        <v>252</v>
      </c>
      <c r="J2645" s="188" t="s">
        <v>624</v>
      </c>
      <c r="K2645" s="188" t="s">
        <v>257</v>
      </c>
      <c r="L2645" s="188" t="s">
        <v>2142</v>
      </c>
      <c r="M2645" s="192">
        <f t="shared" si="123"/>
        <v>30</v>
      </c>
      <c r="N2645" s="193">
        <f t="shared" si="124"/>
        <v>1.25</v>
      </c>
      <c r="O2645" s="194">
        <f t="shared" si="125"/>
        <v>4.1666666666666664E-2</v>
      </c>
    </row>
    <row r="2646" spans="1:15" ht="12.75" customHeight="1">
      <c r="A2646" s="188" t="s">
        <v>620</v>
      </c>
      <c r="B2646" s="188" t="s">
        <v>3787</v>
      </c>
      <c r="C2646" s="188" t="s">
        <v>659</v>
      </c>
      <c r="D2646" s="188" t="s">
        <v>4204</v>
      </c>
      <c r="E2646" s="189">
        <v>39611</v>
      </c>
      <c r="F2646" s="190">
        <v>0</v>
      </c>
      <c r="G2646" s="190">
        <v>43.01</v>
      </c>
      <c r="H2646" s="191">
        <v>700</v>
      </c>
      <c r="I2646" s="191">
        <v>302.39999999999998</v>
      </c>
      <c r="J2646" s="188" t="s">
        <v>624</v>
      </c>
      <c r="K2646" s="188" t="s">
        <v>427</v>
      </c>
      <c r="L2646" s="188" t="s">
        <v>2957</v>
      </c>
      <c r="M2646" s="192">
        <f t="shared" si="123"/>
        <v>25</v>
      </c>
      <c r="N2646" s="193">
        <f t="shared" si="124"/>
        <v>1.0416666666666667</v>
      </c>
      <c r="O2646" s="194">
        <f t="shared" si="125"/>
        <v>4.1666666666666671E-2</v>
      </c>
    </row>
    <row r="2647" spans="1:15" ht="12.75" customHeight="1">
      <c r="A2647" s="188" t="s">
        <v>620</v>
      </c>
      <c r="B2647" s="188" t="s">
        <v>3787</v>
      </c>
      <c r="C2647" s="188" t="s">
        <v>659</v>
      </c>
      <c r="D2647" s="188" t="s">
        <v>4205</v>
      </c>
      <c r="E2647" s="189">
        <v>39471</v>
      </c>
      <c r="F2647" s="190">
        <v>0</v>
      </c>
      <c r="G2647" s="190">
        <v>204.8</v>
      </c>
      <c r="H2647" s="191">
        <v>3340</v>
      </c>
      <c r="I2647" s="191">
        <v>1440</v>
      </c>
      <c r="J2647" s="188" t="s">
        <v>624</v>
      </c>
      <c r="K2647" s="188" t="s">
        <v>427</v>
      </c>
      <c r="L2647" s="188" t="s">
        <v>1111</v>
      </c>
      <c r="M2647" s="192">
        <f t="shared" si="123"/>
        <v>25</v>
      </c>
      <c r="N2647" s="193">
        <f t="shared" si="124"/>
        <v>1.04375</v>
      </c>
      <c r="O2647" s="194">
        <f t="shared" si="125"/>
        <v>4.1749999999999995E-2</v>
      </c>
    </row>
    <row r="2648" spans="1:15" ht="12.75" customHeight="1">
      <c r="A2648" s="188" t="s">
        <v>620</v>
      </c>
      <c r="B2648" s="188" t="s">
        <v>3787</v>
      </c>
      <c r="C2648" s="188" t="s">
        <v>659</v>
      </c>
      <c r="D2648" s="188" t="s">
        <v>4206</v>
      </c>
      <c r="E2648" s="189">
        <v>39415</v>
      </c>
      <c r="F2648" s="190">
        <v>0</v>
      </c>
      <c r="G2648" s="190">
        <v>110.91</v>
      </c>
      <c r="H2648" s="191">
        <v>1810</v>
      </c>
      <c r="I2648" s="191">
        <v>779.85</v>
      </c>
      <c r="J2648" s="188" t="s">
        <v>624</v>
      </c>
      <c r="K2648" s="188" t="s">
        <v>427</v>
      </c>
      <c r="L2648" s="188" t="s">
        <v>4207</v>
      </c>
      <c r="M2648" s="192">
        <f t="shared" si="123"/>
        <v>25</v>
      </c>
      <c r="N2648" s="193">
        <f t="shared" si="124"/>
        <v>1.0444316214656664</v>
      </c>
      <c r="O2648" s="194">
        <f t="shared" si="125"/>
        <v>4.1777264858626657E-2</v>
      </c>
    </row>
    <row r="2649" spans="1:15" ht="12.75" customHeight="1">
      <c r="A2649" s="188" t="s">
        <v>620</v>
      </c>
      <c r="B2649" s="188" t="s">
        <v>3787</v>
      </c>
      <c r="C2649" s="188" t="s">
        <v>659</v>
      </c>
      <c r="D2649" s="188" t="s">
        <v>4208</v>
      </c>
      <c r="E2649" s="189">
        <v>39436</v>
      </c>
      <c r="F2649" s="190">
        <v>0</v>
      </c>
      <c r="G2649" s="190">
        <v>112</v>
      </c>
      <c r="H2649" s="191">
        <v>1830</v>
      </c>
      <c r="I2649" s="191">
        <v>787.5</v>
      </c>
      <c r="J2649" s="188" t="s">
        <v>624</v>
      </c>
      <c r="K2649" s="188" t="s">
        <v>427</v>
      </c>
      <c r="L2649" s="188" t="s">
        <v>727</v>
      </c>
      <c r="M2649" s="192">
        <f t="shared" si="123"/>
        <v>25</v>
      </c>
      <c r="N2649" s="193">
        <f t="shared" si="124"/>
        <v>1.0457142857142858</v>
      </c>
      <c r="O2649" s="194">
        <f t="shared" si="125"/>
        <v>4.182857142857143E-2</v>
      </c>
    </row>
    <row r="2650" spans="1:15" ht="12.75" customHeight="1">
      <c r="A2650" s="188" t="s">
        <v>620</v>
      </c>
      <c r="B2650" s="188" t="s">
        <v>3787</v>
      </c>
      <c r="C2650" s="188" t="s">
        <v>659</v>
      </c>
      <c r="D2650" s="188" t="s">
        <v>4209</v>
      </c>
      <c r="E2650" s="189">
        <v>39436</v>
      </c>
      <c r="F2650" s="190">
        <v>0</v>
      </c>
      <c r="G2650" s="190">
        <v>87.04</v>
      </c>
      <c r="H2650" s="191">
        <v>1425</v>
      </c>
      <c r="I2650" s="191">
        <v>612</v>
      </c>
      <c r="J2650" s="188" t="s">
        <v>624</v>
      </c>
      <c r="K2650" s="188" t="s">
        <v>427</v>
      </c>
      <c r="L2650" s="188" t="s">
        <v>774</v>
      </c>
      <c r="M2650" s="192">
        <f t="shared" si="123"/>
        <v>25</v>
      </c>
      <c r="N2650" s="193">
        <f t="shared" si="124"/>
        <v>1.0477941176470589</v>
      </c>
      <c r="O2650" s="194">
        <f t="shared" si="125"/>
        <v>4.1911764705882357E-2</v>
      </c>
    </row>
    <row r="2651" spans="1:15" ht="12.75" customHeight="1">
      <c r="A2651" s="188" t="s">
        <v>620</v>
      </c>
      <c r="B2651" s="188" t="s">
        <v>3787</v>
      </c>
      <c r="C2651" s="188" t="s">
        <v>659</v>
      </c>
      <c r="D2651" s="188" t="s">
        <v>4210</v>
      </c>
      <c r="E2651" s="189">
        <v>39247</v>
      </c>
      <c r="F2651" s="190">
        <v>0</v>
      </c>
      <c r="G2651" s="190">
        <v>31.81</v>
      </c>
      <c r="H2651" s="191">
        <v>521.01</v>
      </c>
      <c r="I2651" s="191">
        <v>223.65</v>
      </c>
      <c r="J2651" s="188" t="s">
        <v>624</v>
      </c>
      <c r="K2651" s="188" t="s">
        <v>427</v>
      </c>
      <c r="L2651" s="188" t="s">
        <v>4211</v>
      </c>
      <c r="M2651" s="192">
        <f t="shared" si="123"/>
        <v>25</v>
      </c>
      <c r="N2651" s="193">
        <f t="shared" si="124"/>
        <v>1.0483098591549296</v>
      </c>
      <c r="O2651" s="194">
        <f t="shared" si="125"/>
        <v>4.1932394366197182E-2</v>
      </c>
    </row>
    <row r="2652" spans="1:15" ht="12.75" customHeight="1">
      <c r="A2652" s="188" t="s">
        <v>620</v>
      </c>
      <c r="B2652" s="188" t="s">
        <v>3787</v>
      </c>
      <c r="C2652" s="188" t="s">
        <v>659</v>
      </c>
      <c r="D2652" s="188" t="s">
        <v>4212</v>
      </c>
      <c r="E2652" s="189">
        <v>39583</v>
      </c>
      <c r="F2652" s="190">
        <v>0</v>
      </c>
      <c r="G2652" s="190">
        <v>105.6</v>
      </c>
      <c r="H2652" s="191">
        <v>1732</v>
      </c>
      <c r="I2652" s="191">
        <v>742.5</v>
      </c>
      <c r="J2652" s="188" t="s">
        <v>624</v>
      </c>
      <c r="K2652" s="188" t="s">
        <v>427</v>
      </c>
      <c r="L2652" s="188" t="s">
        <v>885</v>
      </c>
      <c r="M2652" s="192">
        <f t="shared" si="123"/>
        <v>25</v>
      </c>
      <c r="N2652" s="193">
        <f t="shared" si="124"/>
        <v>1.0496969696969698</v>
      </c>
      <c r="O2652" s="194">
        <f t="shared" si="125"/>
        <v>4.1987878787878789E-2</v>
      </c>
    </row>
    <row r="2653" spans="1:15" ht="12.75" customHeight="1">
      <c r="A2653" s="188" t="s">
        <v>620</v>
      </c>
      <c r="B2653" s="188" t="s">
        <v>3787</v>
      </c>
      <c r="C2653" s="188" t="s">
        <v>659</v>
      </c>
      <c r="D2653" s="188" t="s">
        <v>4213</v>
      </c>
      <c r="E2653" s="189">
        <v>39443</v>
      </c>
      <c r="F2653" s="190">
        <v>0</v>
      </c>
      <c r="G2653" s="190">
        <v>102.4</v>
      </c>
      <c r="H2653" s="191">
        <v>1680</v>
      </c>
      <c r="I2653" s="191">
        <v>720</v>
      </c>
      <c r="J2653" s="188" t="s">
        <v>624</v>
      </c>
      <c r="K2653" s="188" t="s">
        <v>427</v>
      </c>
      <c r="L2653" s="188" t="s">
        <v>625</v>
      </c>
      <c r="M2653" s="192">
        <f t="shared" si="123"/>
        <v>25</v>
      </c>
      <c r="N2653" s="193">
        <f t="shared" si="124"/>
        <v>1.05</v>
      </c>
      <c r="O2653" s="194">
        <f t="shared" si="125"/>
        <v>4.2000000000000003E-2</v>
      </c>
    </row>
    <row r="2654" spans="1:15" ht="12.75" customHeight="1">
      <c r="A2654" s="188" t="s">
        <v>620</v>
      </c>
      <c r="B2654" s="188" t="s">
        <v>3787</v>
      </c>
      <c r="C2654" s="188" t="s">
        <v>659</v>
      </c>
      <c r="D2654" s="188" t="s">
        <v>4214</v>
      </c>
      <c r="E2654" s="189">
        <v>39436</v>
      </c>
      <c r="F2654" s="190">
        <v>0</v>
      </c>
      <c r="G2654" s="190">
        <v>70.400000000000006</v>
      </c>
      <c r="H2654" s="191">
        <v>1160</v>
      </c>
      <c r="I2654" s="191">
        <v>495</v>
      </c>
      <c r="J2654" s="188" t="s">
        <v>624</v>
      </c>
      <c r="K2654" s="188" t="s">
        <v>427</v>
      </c>
      <c r="L2654" s="188" t="s">
        <v>557</v>
      </c>
      <c r="M2654" s="192">
        <f t="shared" si="123"/>
        <v>25</v>
      </c>
      <c r="N2654" s="193">
        <f t="shared" si="124"/>
        <v>1.0545454545454545</v>
      </c>
      <c r="O2654" s="194">
        <f t="shared" si="125"/>
        <v>4.2181818181818181E-2</v>
      </c>
    </row>
    <row r="2655" spans="1:15" ht="12.75" customHeight="1">
      <c r="A2655" s="188" t="s">
        <v>620</v>
      </c>
      <c r="B2655" s="188" t="s">
        <v>3787</v>
      </c>
      <c r="C2655" s="188" t="s">
        <v>659</v>
      </c>
      <c r="D2655" s="188" t="s">
        <v>4215</v>
      </c>
      <c r="E2655" s="189">
        <v>39401</v>
      </c>
      <c r="F2655" s="190">
        <v>0</v>
      </c>
      <c r="G2655" s="190">
        <v>63.23</v>
      </c>
      <c r="H2655" s="191">
        <v>1043</v>
      </c>
      <c r="I2655" s="191">
        <v>444.6</v>
      </c>
      <c r="J2655" s="188" t="s">
        <v>624</v>
      </c>
      <c r="K2655" s="188" t="s">
        <v>427</v>
      </c>
      <c r="L2655" s="188" t="s">
        <v>1083</v>
      </c>
      <c r="M2655" s="192">
        <f t="shared" si="123"/>
        <v>25</v>
      </c>
      <c r="N2655" s="193">
        <f t="shared" si="124"/>
        <v>1.0556680161943319</v>
      </c>
      <c r="O2655" s="194">
        <f t="shared" si="125"/>
        <v>4.2226720647773275E-2</v>
      </c>
    </row>
    <row r="2656" spans="1:15" ht="12.75" customHeight="1">
      <c r="A2656" s="188" t="s">
        <v>620</v>
      </c>
      <c r="B2656" s="188" t="s">
        <v>3787</v>
      </c>
      <c r="C2656" s="188" t="s">
        <v>659</v>
      </c>
      <c r="D2656" s="188" t="s">
        <v>4216</v>
      </c>
      <c r="E2656" s="189">
        <v>39492</v>
      </c>
      <c r="F2656" s="190">
        <v>0</v>
      </c>
      <c r="G2656" s="190">
        <v>91.39</v>
      </c>
      <c r="H2656" s="191">
        <v>1512</v>
      </c>
      <c r="I2656" s="191">
        <v>642.6</v>
      </c>
      <c r="J2656" s="188" t="s">
        <v>624</v>
      </c>
      <c r="K2656" s="188" t="s">
        <v>427</v>
      </c>
      <c r="L2656" s="188" t="s">
        <v>2875</v>
      </c>
      <c r="M2656" s="192">
        <f t="shared" si="123"/>
        <v>25</v>
      </c>
      <c r="N2656" s="193">
        <f t="shared" si="124"/>
        <v>1.0588235294117647</v>
      </c>
      <c r="O2656" s="194">
        <f t="shared" si="125"/>
        <v>4.2352941176470586E-2</v>
      </c>
    </row>
    <row r="2657" spans="1:15" ht="12.75" customHeight="1">
      <c r="A2657" s="188" t="s">
        <v>620</v>
      </c>
      <c r="B2657" s="188" t="s">
        <v>3787</v>
      </c>
      <c r="C2657" s="188" t="s">
        <v>659</v>
      </c>
      <c r="D2657" s="188" t="s">
        <v>4217</v>
      </c>
      <c r="E2657" s="189">
        <v>39485</v>
      </c>
      <c r="F2657" s="190">
        <v>0</v>
      </c>
      <c r="G2657" s="190">
        <v>79.87</v>
      </c>
      <c r="H2657" s="191">
        <v>1323</v>
      </c>
      <c r="I2657" s="191">
        <v>561.6</v>
      </c>
      <c r="J2657" s="188" t="s">
        <v>624</v>
      </c>
      <c r="K2657" s="188" t="s">
        <v>427</v>
      </c>
      <c r="L2657" s="188" t="s">
        <v>2101</v>
      </c>
      <c r="M2657" s="192">
        <f t="shared" si="123"/>
        <v>25</v>
      </c>
      <c r="N2657" s="193">
        <f t="shared" si="124"/>
        <v>1.0600961538461537</v>
      </c>
      <c r="O2657" s="194">
        <f t="shared" si="125"/>
        <v>4.2403846153846153E-2</v>
      </c>
    </row>
    <row r="2658" spans="1:15" ht="12.75" customHeight="1">
      <c r="A2658" s="188" t="s">
        <v>620</v>
      </c>
      <c r="B2658" s="188" t="s">
        <v>3787</v>
      </c>
      <c r="C2658" s="188" t="s">
        <v>659</v>
      </c>
      <c r="D2658" s="188" t="s">
        <v>4218</v>
      </c>
      <c r="E2658" s="189">
        <v>39562</v>
      </c>
      <c r="F2658" s="190">
        <v>0</v>
      </c>
      <c r="G2658" s="190">
        <v>102.14</v>
      </c>
      <c r="H2658" s="191">
        <v>2033</v>
      </c>
      <c r="I2658" s="191">
        <v>718.2</v>
      </c>
      <c r="J2658" s="188" t="s">
        <v>624</v>
      </c>
      <c r="K2658" s="188" t="s">
        <v>257</v>
      </c>
      <c r="L2658" s="188" t="s">
        <v>1516</v>
      </c>
      <c r="M2658" s="192">
        <f t="shared" si="123"/>
        <v>30</v>
      </c>
      <c r="N2658" s="193">
        <f t="shared" si="124"/>
        <v>1.2738095238095237</v>
      </c>
      <c r="O2658" s="194">
        <f t="shared" si="125"/>
        <v>4.2460317460317455E-2</v>
      </c>
    </row>
    <row r="2659" spans="1:15" ht="12.75" customHeight="1">
      <c r="A2659" s="188" t="s">
        <v>620</v>
      </c>
      <c r="B2659" s="188" t="s">
        <v>3787</v>
      </c>
      <c r="C2659" s="188" t="s">
        <v>659</v>
      </c>
      <c r="D2659" s="188" t="s">
        <v>4219</v>
      </c>
      <c r="E2659" s="189">
        <v>39513</v>
      </c>
      <c r="F2659" s="190">
        <v>0</v>
      </c>
      <c r="G2659" s="190">
        <v>76.8</v>
      </c>
      <c r="H2659" s="191">
        <v>1275</v>
      </c>
      <c r="I2659" s="191">
        <v>540</v>
      </c>
      <c r="J2659" s="188" t="s">
        <v>624</v>
      </c>
      <c r="K2659" s="188" t="s">
        <v>427</v>
      </c>
      <c r="L2659" s="188" t="s">
        <v>632</v>
      </c>
      <c r="M2659" s="192">
        <f t="shared" si="123"/>
        <v>25</v>
      </c>
      <c r="N2659" s="193">
        <f t="shared" si="124"/>
        <v>1.0625</v>
      </c>
      <c r="O2659" s="194">
        <f t="shared" si="125"/>
        <v>4.2500000000000003E-2</v>
      </c>
    </row>
    <row r="2660" spans="1:15" ht="12.75" customHeight="1">
      <c r="A2660" s="188" t="s">
        <v>620</v>
      </c>
      <c r="B2660" s="188" t="s">
        <v>3787</v>
      </c>
      <c r="C2660" s="188" t="s">
        <v>659</v>
      </c>
      <c r="D2660" s="188" t="s">
        <v>4220</v>
      </c>
      <c r="E2660" s="189">
        <v>39443</v>
      </c>
      <c r="F2660" s="190">
        <v>0</v>
      </c>
      <c r="G2660" s="190">
        <v>95.36</v>
      </c>
      <c r="H2660" s="191">
        <v>1585</v>
      </c>
      <c r="I2660" s="191">
        <v>670.5</v>
      </c>
      <c r="J2660" s="188" t="s">
        <v>624</v>
      </c>
      <c r="K2660" s="188" t="s">
        <v>427</v>
      </c>
      <c r="L2660" s="188" t="s">
        <v>2546</v>
      </c>
      <c r="M2660" s="192">
        <f t="shared" si="123"/>
        <v>25</v>
      </c>
      <c r="N2660" s="193">
        <f t="shared" si="124"/>
        <v>1.063758389261745</v>
      </c>
      <c r="O2660" s="194">
        <f t="shared" si="125"/>
        <v>4.2550335570469805E-2</v>
      </c>
    </row>
    <row r="2661" spans="1:15" ht="12.75" customHeight="1">
      <c r="A2661" s="188" t="s">
        <v>620</v>
      </c>
      <c r="B2661" s="188" t="s">
        <v>3787</v>
      </c>
      <c r="C2661" s="188" t="s">
        <v>659</v>
      </c>
      <c r="D2661" s="188" t="s">
        <v>4221</v>
      </c>
      <c r="E2661" s="189">
        <v>39471</v>
      </c>
      <c r="F2661" s="190">
        <v>0</v>
      </c>
      <c r="G2661" s="190">
        <v>78.08</v>
      </c>
      <c r="H2661" s="191">
        <v>1281</v>
      </c>
      <c r="I2661" s="191">
        <v>549</v>
      </c>
      <c r="J2661" s="188" t="s">
        <v>624</v>
      </c>
      <c r="K2661" s="188" t="s">
        <v>427</v>
      </c>
      <c r="L2661" s="188" t="s">
        <v>632</v>
      </c>
      <c r="M2661" s="192">
        <f t="shared" si="123"/>
        <v>25</v>
      </c>
      <c r="N2661" s="193">
        <f t="shared" si="124"/>
        <v>1.0674999999999999</v>
      </c>
      <c r="O2661" s="194">
        <f t="shared" si="125"/>
        <v>4.2699999999999995E-2</v>
      </c>
    </row>
    <row r="2662" spans="1:15" ht="12.75" customHeight="1">
      <c r="A2662" s="188" t="s">
        <v>620</v>
      </c>
      <c r="B2662" s="188" t="s">
        <v>3787</v>
      </c>
      <c r="C2662" s="188" t="s">
        <v>659</v>
      </c>
      <c r="D2662" s="188" t="s">
        <v>4222</v>
      </c>
      <c r="E2662" s="189">
        <v>39464</v>
      </c>
      <c r="F2662" s="190">
        <v>0</v>
      </c>
      <c r="G2662" s="190">
        <v>92.16</v>
      </c>
      <c r="H2662" s="191">
        <v>1540</v>
      </c>
      <c r="I2662" s="191">
        <v>648</v>
      </c>
      <c r="J2662" s="188" t="s">
        <v>624</v>
      </c>
      <c r="K2662" s="188" t="s">
        <v>427</v>
      </c>
      <c r="L2662" s="188" t="s">
        <v>682</v>
      </c>
      <c r="M2662" s="192">
        <f t="shared" si="123"/>
        <v>25</v>
      </c>
      <c r="N2662" s="193">
        <f t="shared" si="124"/>
        <v>1.0694444444444444</v>
      </c>
      <c r="O2662" s="194">
        <f t="shared" si="125"/>
        <v>4.2777777777777776E-2</v>
      </c>
    </row>
    <row r="2663" spans="1:15" ht="12.75" customHeight="1">
      <c r="A2663" s="188" t="s">
        <v>620</v>
      </c>
      <c r="B2663" s="188" t="s">
        <v>3787</v>
      </c>
      <c r="C2663" s="188" t="s">
        <v>659</v>
      </c>
      <c r="D2663" s="188" t="s">
        <v>4223</v>
      </c>
      <c r="E2663" s="189">
        <v>39478</v>
      </c>
      <c r="F2663" s="190">
        <v>0</v>
      </c>
      <c r="G2663" s="190">
        <v>119.04</v>
      </c>
      <c r="H2663" s="191">
        <v>1992</v>
      </c>
      <c r="I2663" s="191">
        <v>837</v>
      </c>
      <c r="J2663" s="188" t="s">
        <v>624</v>
      </c>
      <c r="K2663" s="188" t="s">
        <v>427</v>
      </c>
      <c r="L2663" s="188" t="s">
        <v>904</v>
      </c>
      <c r="M2663" s="192">
        <f t="shared" si="123"/>
        <v>25</v>
      </c>
      <c r="N2663" s="193">
        <f t="shared" si="124"/>
        <v>1.0709677419354839</v>
      </c>
      <c r="O2663" s="194">
        <f t="shared" si="125"/>
        <v>4.2838709677419359E-2</v>
      </c>
    </row>
    <row r="2664" spans="1:15" ht="12.75" customHeight="1">
      <c r="A2664" s="188" t="s">
        <v>620</v>
      </c>
      <c r="B2664" s="188" t="s">
        <v>3787</v>
      </c>
      <c r="C2664" s="188" t="s">
        <v>659</v>
      </c>
      <c r="D2664" s="188" t="s">
        <v>4224</v>
      </c>
      <c r="E2664" s="189">
        <v>39507</v>
      </c>
      <c r="F2664" s="190">
        <v>0</v>
      </c>
      <c r="G2664" s="190">
        <v>84.93</v>
      </c>
      <c r="H2664" s="191">
        <v>1194</v>
      </c>
      <c r="I2664" s="191">
        <v>597.15</v>
      </c>
      <c r="J2664" s="188" t="s">
        <v>624</v>
      </c>
      <c r="K2664" s="188" t="s">
        <v>1344</v>
      </c>
      <c r="L2664" s="188" t="s">
        <v>2051</v>
      </c>
      <c r="M2664" s="192">
        <f t="shared" si="123"/>
        <v>21</v>
      </c>
      <c r="N2664" s="193">
        <f t="shared" si="124"/>
        <v>0.8997739261492087</v>
      </c>
      <c r="O2664" s="194">
        <f t="shared" si="125"/>
        <v>4.2846377435676604E-2</v>
      </c>
    </row>
    <row r="2665" spans="1:15" ht="12.75" customHeight="1">
      <c r="A2665" s="188" t="s">
        <v>620</v>
      </c>
      <c r="B2665" s="188" t="s">
        <v>3787</v>
      </c>
      <c r="C2665" s="188" t="s">
        <v>659</v>
      </c>
      <c r="D2665" s="188" t="s">
        <v>4225</v>
      </c>
      <c r="E2665" s="189">
        <v>39568</v>
      </c>
      <c r="F2665" s="190">
        <v>0</v>
      </c>
      <c r="G2665" s="190">
        <v>74.75</v>
      </c>
      <c r="H2665" s="191">
        <v>1052</v>
      </c>
      <c r="I2665" s="191">
        <v>525.6</v>
      </c>
      <c r="J2665" s="188" t="s">
        <v>624</v>
      </c>
      <c r="K2665" s="188" t="s">
        <v>1344</v>
      </c>
      <c r="L2665" s="188" t="s">
        <v>1974</v>
      </c>
      <c r="M2665" s="192">
        <f t="shared" si="123"/>
        <v>21</v>
      </c>
      <c r="N2665" s="193">
        <f t="shared" si="124"/>
        <v>0.90068493150684936</v>
      </c>
      <c r="O2665" s="194">
        <f t="shared" si="125"/>
        <v>4.2889758643183305E-2</v>
      </c>
    </row>
    <row r="2666" spans="1:15" ht="12.75" customHeight="1">
      <c r="A2666" s="188" t="s">
        <v>620</v>
      </c>
      <c r="B2666" s="188" t="s">
        <v>3787</v>
      </c>
      <c r="C2666" s="188" t="s">
        <v>659</v>
      </c>
      <c r="D2666" s="188" t="s">
        <v>4226</v>
      </c>
      <c r="E2666" s="189">
        <v>39247</v>
      </c>
      <c r="F2666" s="190">
        <v>0</v>
      </c>
      <c r="G2666" s="190">
        <v>83.2</v>
      </c>
      <c r="H2666" s="191">
        <v>1395.03</v>
      </c>
      <c r="I2666" s="191">
        <v>585</v>
      </c>
      <c r="J2666" s="188" t="s">
        <v>624</v>
      </c>
      <c r="K2666" s="188" t="s">
        <v>427</v>
      </c>
      <c r="L2666" s="188" t="s">
        <v>699</v>
      </c>
      <c r="M2666" s="192">
        <f t="shared" si="123"/>
        <v>25</v>
      </c>
      <c r="N2666" s="193">
        <f t="shared" si="124"/>
        <v>1.0730999999999999</v>
      </c>
      <c r="O2666" s="194">
        <f t="shared" si="125"/>
        <v>4.2923999999999997E-2</v>
      </c>
    </row>
    <row r="2667" spans="1:15" ht="12.75" customHeight="1">
      <c r="A2667" s="188" t="s">
        <v>620</v>
      </c>
      <c r="B2667" s="188" t="s">
        <v>3787</v>
      </c>
      <c r="C2667" s="188" t="s">
        <v>659</v>
      </c>
      <c r="D2667" s="188" t="s">
        <v>4227</v>
      </c>
      <c r="E2667" s="189">
        <v>39527</v>
      </c>
      <c r="F2667" s="190">
        <v>0</v>
      </c>
      <c r="G2667" s="190">
        <v>65.599999999999994</v>
      </c>
      <c r="H2667" s="191">
        <v>1100</v>
      </c>
      <c r="I2667" s="191">
        <v>461.25</v>
      </c>
      <c r="J2667" s="188" t="s">
        <v>624</v>
      </c>
      <c r="K2667" s="188" t="s">
        <v>427</v>
      </c>
      <c r="L2667" s="188" t="s">
        <v>3900</v>
      </c>
      <c r="M2667" s="192">
        <f t="shared" si="123"/>
        <v>25</v>
      </c>
      <c r="N2667" s="193">
        <f t="shared" si="124"/>
        <v>1.0731707317073171</v>
      </c>
      <c r="O2667" s="194">
        <f t="shared" si="125"/>
        <v>4.2926829268292686E-2</v>
      </c>
    </row>
    <row r="2668" spans="1:15" ht="12.75" customHeight="1">
      <c r="A2668" s="188" t="s">
        <v>620</v>
      </c>
      <c r="B2668" s="188" t="s">
        <v>3787</v>
      </c>
      <c r="C2668" s="188" t="s">
        <v>659</v>
      </c>
      <c r="D2668" s="188" t="s">
        <v>4228</v>
      </c>
      <c r="E2668" s="189">
        <v>39625</v>
      </c>
      <c r="F2668" s="190">
        <v>0</v>
      </c>
      <c r="G2668" s="190">
        <v>89.09</v>
      </c>
      <c r="H2668" s="191">
        <v>1495</v>
      </c>
      <c r="I2668" s="191">
        <v>626.4</v>
      </c>
      <c r="J2668" s="188" t="s">
        <v>624</v>
      </c>
      <c r="K2668" s="188" t="s">
        <v>427</v>
      </c>
      <c r="L2668" s="188" t="s">
        <v>2728</v>
      </c>
      <c r="M2668" s="192">
        <f t="shared" si="123"/>
        <v>25</v>
      </c>
      <c r="N2668" s="193">
        <f t="shared" si="124"/>
        <v>1.0739942528735633</v>
      </c>
      <c r="O2668" s="194">
        <f t="shared" si="125"/>
        <v>4.2959770114942536E-2</v>
      </c>
    </row>
    <row r="2669" spans="1:15" ht="12.75" customHeight="1">
      <c r="A2669" s="188" t="s">
        <v>620</v>
      </c>
      <c r="B2669" s="188" t="s">
        <v>3787</v>
      </c>
      <c r="C2669" s="188" t="s">
        <v>659</v>
      </c>
      <c r="D2669" s="188" t="s">
        <v>4229</v>
      </c>
      <c r="E2669" s="189">
        <v>39317</v>
      </c>
      <c r="F2669" s="190">
        <v>0</v>
      </c>
      <c r="G2669" s="190">
        <v>62.08</v>
      </c>
      <c r="H2669" s="191">
        <v>1044.98</v>
      </c>
      <c r="I2669" s="191">
        <v>436.5</v>
      </c>
      <c r="J2669" s="188" t="s">
        <v>624</v>
      </c>
      <c r="K2669" s="188" t="s">
        <v>427</v>
      </c>
      <c r="L2669" s="188" t="s">
        <v>2680</v>
      </c>
      <c r="M2669" s="192">
        <f t="shared" si="123"/>
        <v>25</v>
      </c>
      <c r="N2669" s="193">
        <f t="shared" si="124"/>
        <v>1.077298969072165</v>
      </c>
      <c r="O2669" s="194">
        <f t="shared" si="125"/>
        <v>4.3091958762886601E-2</v>
      </c>
    </row>
    <row r="2670" spans="1:15" ht="12.75" customHeight="1">
      <c r="A2670" s="188" t="s">
        <v>620</v>
      </c>
      <c r="B2670" s="188" t="s">
        <v>3787</v>
      </c>
      <c r="C2670" s="188" t="s">
        <v>659</v>
      </c>
      <c r="D2670" s="188" t="s">
        <v>4230</v>
      </c>
      <c r="E2670" s="189">
        <v>39492</v>
      </c>
      <c r="F2670" s="190">
        <v>0</v>
      </c>
      <c r="G2670" s="190">
        <v>98.56</v>
      </c>
      <c r="H2670" s="191">
        <v>1660</v>
      </c>
      <c r="I2670" s="191">
        <v>693</v>
      </c>
      <c r="J2670" s="188" t="s">
        <v>624</v>
      </c>
      <c r="K2670" s="188" t="s">
        <v>427</v>
      </c>
      <c r="L2670" s="188" t="s">
        <v>892</v>
      </c>
      <c r="M2670" s="192">
        <f t="shared" si="123"/>
        <v>25</v>
      </c>
      <c r="N2670" s="193">
        <f t="shared" si="124"/>
        <v>1.0779220779220779</v>
      </c>
      <c r="O2670" s="194">
        <f t="shared" si="125"/>
        <v>4.3116883116883116E-2</v>
      </c>
    </row>
    <row r="2671" spans="1:15" ht="12.75" customHeight="1">
      <c r="A2671" s="188" t="s">
        <v>620</v>
      </c>
      <c r="B2671" s="188" t="s">
        <v>3787</v>
      </c>
      <c r="C2671" s="188" t="s">
        <v>659</v>
      </c>
      <c r="D2671" s="188" t="s">
        <v>4231</v>
      </c>
      <c r="E2671" s="189">
        <v>39534</v>
      </c>
      <c r="F2671" s="190">
        <v>0</v>
      </c>
      <c r="G2671" s="190">
        <v>78.59</v>
      </c>
      <c r="H2671" s="191">
        <v>1116</v>
      </c>
      <c r="I2671" s="191">
        <v>552.6</v>
      </c>
      <c r="J2671" s="188" t="s">
        <v>624</v>
      </c>
      <c r="K2671" s="188" t="s">
        <v>1344</v>
      </c>
      <c r="L2671" s="188" t="s">
        <v>2829</v>
      </c>
      <c r="M2671" s="192">
        <f t="shared" si="123"/>
        <v>21</v>
      </c>
      <c r="N2671" s="193">
        <f t="shared" si="124"/>
        <v>0.90879478827361559</v>
      </c>
      <c r="O2671" s="194">
        <f t="shared" si="125"/>
        <v>4.3275942298743597E-2</v>
      </c>
    </row>
    <row r="2672" spans="1:15" ht="12.75" customHeight="1">
      <c r="A2672" s="188" t="s">
        <v>620</v>
      </c>
      <c r="B2672" s="188" t="s">
        <v>3787</v>
      </c>
      <c r="C2672" s="188" t="s">
        <v>659</v>
      </c>
      <c r="D2672" s="188" t="s">
        <v>4232</v>
      </c>
      <c r="E2672" s="189">
        <v>39247</v>
      </c>
      <c r="F2672" s="190">
        <v>0</v>
      </c>
      <c r="G2672" s="190">
        <v>46.66</v>
      </c>
      <c r="H2672" s="191">
        <v>790.97</v>
      </c>
      <c r="I2672" s="191">
        <v>328.05</v>
      </c>
      <c r="J2672" s="188" t="s">
        <v>624</v>
      </c>
      <c r="K2672" s="188" t="s">
        <v>427</v>
      </c>
      <c r="L2672" s="188" t="s">
        <v>4233</v>
      </c>
      <c r="M2672" s="192">
        <f t="shared" si="123"/>
        <v>25</v>
      </c>
      <c r="N2672" s="193">
        <f t="shared" si="124"/>
        <v>1.0850068587105623</v>
      </c>
      <c r="O2672" s="194">
        <f t="shared" si="125"/>
        <v>4.3400274348422495E-2</v>
      </c>
    </row>
    <row r="2673" spans="1:15" ht="12.75" customHeight="1">
      <c r="A2673" s="188" t="s">
        <v>620</v>
      </c>
      <c r="B2673" s="188" t="s">
        <v>3787</v>
      </c>
      <c r="C2673" s="188" t="s">
        <v>659</v>
      </c>
      <c r="D2673" s="188" t="s">
        <v>4234</v>
      </c>
      <c r="E2673" s="189">
        <v>39555</v>
      </c>
      <c r="F2673" s="190">
        <v>0</v>
      </c>
      <c r="G2673" s="190">
        <v>77.12</v>
      </c>
      <c r="H2673" s="191">
        <v>1569.05</v>
      </c>
      <c r="I2673" s="191">
        <v>542.25</v>
      </c>
      <c r="J2673" s="188" t="s">
        <v>624</v>
      </c>
      <c r="K2673" s="188" t="s">
        <v>257</v>
      </c>
      <c r="L2673" s="188" t="s">
        <v>2794</v>
      </c>
      <c r="M2673" s="192">
        <f t="shared" si="123"/>
        <v>30</v>
      </c>
      <c r="N2673" s="193">
        <f t="shared" si="124"/>
        <v>1.302116182572614</v>
      </c>
      <c r="O2673" s="194">
        <f t="shared" si="125"/>
        <v>4.3403872752420462E-2</v>
      </c>
    </row>
    <row r="2674" spans="1:15" ht="12.75" customHeight="1">
      <c r="A2674" s="188" t="s">
        <v>620</v>
      </c>
      <c r="B2674" s="188" t="s">
        <v>3787</v>
      </c>
      <c r="C2674" s="188" t="s">
        <v>659</v>
      </c>
      <c r="D2674" s="188" t="s">
        <v>4235</v>
      </c>
      <c r="E2674" s="189">
        <v>39353</v>
      </c>
      <c r="F2674" s="190">
        <v>0</v>
      </c>
      <c r="G2674" s="190">
        <v>42.62</v>
      </c>
      <c r="H2674" s="191">
        <v>1100</v>
      </c>
      <c r="I2674" s="191">
        <v>299.7</v>
      </c>
      <c r="J2674" s="188" t="s">
        <v>624</v>
      </c>
      <c r="K2674" s="188" t="s">
        <v>338</v>
      </c>
      <c r="L2674" s="188" t="s">
        <v>2039</v>
      </c>
      <c r="M2674" s="192">
        <f t="shared" si="123"/>
        <v>38</v>
      </c>
      <c r="N2674" s="193">
        <f t="shared" si="124"/>
        <v>1.6516516516516517</v>
      </c>
      <c r="O2674" s="194">
        <f t="shared" si="125"/>
        <v>4.3464517148727677E-2</v>
      </c>
    </row>
    <row r="2675" spans="1:15" ht="12.75" customHeight="1">
      <c r="A2675" s="188" t="s">
        <v>620</v>
      </c>
      <c r="B2675" s="188" t="s">
        <v>3787</v>
      </c>
      <c r="C2675" s="188" t="s">
        <v>659</v>
      </c>
      <c r="D2675" s="188" t="s">
        <v>4236</v>
      </c>
      <c r="E2675" s="189">
        <v>39555</v>
      </c>
      <c r="F2675" s="190">
        <v>0</v>
      </c>
      <c r="G2675" s="190">
        <v>116.8</v>
      </c>
      <c r="H2675" s="191">
        <v>1985</v>
      </c>
      <c r="I2675" s="191">
        <v>821.25</v>
      </c>
      <c r="J2675" s="188" t="s">
        <v>624</v>
      </c>
      <c r="K2675" s="188" t="s">
        <v>427</v>
      </c>
      <c r="L2675" s="188" t="s">
        <v>4237</v>
      </c>
      <c r="M2675" s="192">
        <f t="shared" si="123"/>
        <v>25</v>
      </c>
      <c r="N2675" s="193">
        <f t="shared" si="124"/>
        <v>1.0876712328767124</v>
      </c>
      <c r="O2675" s="194">
        <f t="shared" si="125"/>
        <v>4.3506849315068499E-2</v>
      </c>
    </row>
    <row r="2676" spans="1:15" ht="12.75" customHeight="1">
      <c r="A2676" s="188" t="s">
        <v>620</v>
      </c>
      <c r="B2676" s="188" t="s">
        <v>3787</v>
      </c>
      <c r="C2676" s="188" t="s">
        <v>659</v>
      </c>
      <c r="D2676" s="188" t="s">
        <v>4238</v>
      </c>
      <c r="E2676" s="189">
        <v>39447</v>
      </c>
      <c r="F2676" s="190">
        <v>0</v>
      </c>
      <c r="G2676" s="190">
        <v>23.3</v>
      </c>
      <c r="H2676" s="191">
        <v>396</v>
      </c>
      <c r="I2676" s="191">
        <v>163.80000000000001</v>
      </c>
      <c r="J2676" s="188" t="s">
        <v>624</v>
      </c>
      <c r="K2676" s="188" t="s">
        <v>427</v>
      </c>
      <c r="L2676" s="188" t="s">
        <v>3211</v>
      </c>
      <c r="M2676" s="192">
        <f t="shared" si="123"/>
        <v>25</v>
      </c>
      <c r="N2676" s="193">
        <f t="shared" si="124"/>
        <v>1.0879120879120878</v>
      </c>
      <c r="O2676" s="194">
        <f t="shared" si="125"/>
        <v>4.351648351648351E-2</v>
      </c>
    </row>
    <row r="2677" spans="1:15" ht="12.75" customHeight="1">
      <c r="A2677" s="188" t="s">
        <v>620</v>
      </c>
      <c r="B2677" s="188" t="s">
        <v>3787</v>
      </c>
      <c r="C2677" s="188" t="s">
        <v>659</v>
      </c>
      <c r="D2677" s="188" t="s">
        <v>4239</v>
      </c>
      <c r="E2677" s="189">
        <v>39310</v>
      </c>
      <c r="F2677" s="190">
        <v>0</v>
      </c>
      <c r="G2677" s="190">
        <v>121.73</v>
      </c>
      <c r="H2677" s="191">
        <v>2069.9499999999998</v>
      </c>
      <c r="I2677" s="191">
        <v>855.9</v>
      </c>
      <c r="J2677" s="188" t="s">
        <v>624</v>
      </c>
      <c r="K2677" s="188" t="s">
        <v>427</v>
      </c>
      <c r="L2677" s="188" t="s">
        <v>1401</v>
      </c>
      <c r="M2677" s="192">
        <f t="shared" si="123"/>
        <v>25</v>
      </c>
      <c r="N2677" s="193">
        <f t="shared" si="124"/>
        <v>1.0883017875920082</v>
      </c>
      <c r="O2677" s="194">
        <f t="shared" si="125"/>
        <v>4.3532071503680332E-2</v>
      </c>
    </row>
    <row r="2678" spans="1:15" ht="12.75" customHeight="1">
      <c r="A2678" s="188" t="s">
        <v>620</v>
      </c>
      <c r="B2678" s="188" t="s">
        <v>3787</v>
      </c>
      <c r="C2678" s="188" t="s">
        <v>659</v>
      </c>
      <c r="D2678" s="188" t="s">
        <v>4240</v>
      </c>
      <c r="E2678" s="189">
        <v>39339</v>
      </c>
      <c r="F2678" s="190">
        <v>0</v>
      </c>
      <c r="G2678" s="190">
        <v>73.599999999999994</v>
      </c>
      <c r="H2678" s="191">
        <v>1253.04</v>
      </c>
      <c r="I2678" s="191">
        <v>517.5</v>
      </c>
      <c r="J2678" s="188" t="s">
        <v>624</v>
      </c>
      <c r="K2678" s="188" t="s">
        <v>427</v>
      </c>
      <c r="L2678" s="188" t="s">
        <v>697</v>
      </c>
      <c r="M2678" s="192">
        <f t="shared" si="123"/>
        <v>25</v>
      </c>
      <c r="N2678" s="193">
        <f t="shared" si="124"/>
        <v>1.0895999999999999</v>
      </c>
      <c r="O2678" s="194">
        <f t="shared" si="125"/>
        <v>4.3583999999999998E-2</v>
      </c>
    </row>
    <row r="2679" spans="1:15" ht="12.75" customHeight="1">
      <c r="A2679" s="188" t="s">
        <v>620</v>
      </c>
      <c r="B2679" s="188" t="s">
        <v>3787</v>
      </c>
      <c r="C2679" s="188" t="s">
        <v>659</v>
      </c>
      <c r="D2679" s="188" t="s">
        <v>4241</v>
      </c>
      <c r="E2679" s="189">
        <v>39632</v>
      </c>
      <c r="F2679" s="190">
        <v>0</v>
      </c>
      <c r="G2679" s="190">
        <v>6.34</v>
      </c>
      <c r="H2679" s="191">
        <v>108</v>
      </c>
      <c r="I2679" s="191">
        <v>44.55</v>
      </c>
      <c r="J2679" s="188" t="s">
        <v>624</v>
      </c>
      <c r="K2679" s="188" t="s">
        <v>427</v>
      </c>
      <c r="L2679" s="188" t="s">
        <v>4242</v>
      </c>
      <c r="M2679" s="192">
        <f t="shared" si="123"/>
        <v>25</v>
      </c>
      <c r="N2679" s="193">
        <f t="shared" si="124"/>
        <v>1.0909090909090908</v>
      </c>
      <c r="O2679" s="194">
        <f t="shared" si="125"/>
        <v>4.3636363636363633E-2</v>
      </c>
    </row>
    <row r="2680" spans="1:15" ht="12.75" customHeight="1">
      <c r="A2680" s="188" t="s">
        <v>620</v>
      </c>
      <c r="B2680" s="188" t="s">
        <v>3787</v>
      </c>
      <c r="C2680" s="188" t="s">
        <v>659</v>
      </c>
      <c r="D2680" s="188" t="s">
        <v>4243</v>
      </c>
      <c r="E2680" s="189">
        <v>39352</v>
      </c>
      <c r="F2680" s="190">
        <v>0</v>
      </c>
      <c r="G2680" s="190">
        <v>76.8</v>
      </c>
      <c r="H2680" s="191">
        <v>1310</v>
      </c>
      <c r="I2680" s="191">
        <v>540</v>
      </c>
      <c r="J2680" s="188" t="s">
        <v>624</v>
      </c>
      <c r="K2680" s="188" t="s">
        <v>427</v>
      </c>
      <c r="L2680" s="188" t="s">
        <v>632</v>
      </c>
      <c r="M2680" s="192">
        <f t="shared" si="123"/>
        <v>25</v>
      </c>
      <c r="N2680" s="193">
        <f t="shared" si="124"/>
        <v>1.0916666666666666</v>
      </c>
      <c r="O2680" s="194">
        <f t="shared" si="125"/>
        <v>4.3666666666666659E-2</v>
      </c>
    </row>
    <row r="2681" spans="1:15" ht="12.75" customHeight="1">
      <c r="A2681" s="188" t="s">
        <v>620</v>
      </c>
      <c r="B2681" s="188" t="s">
        <v>3787</v>
      </c>
      <c r="C2681" s="188" t="s">
        <v>659</v>
      </c>
      <c r="D2681" s="188" t="s">
        <v>4244</v>
      </c>
      <c r="E2681" s="189">
        <v>39401</v>
      </c>
      <c r="F2681" s="190">
        <v>0</v>
      </c>
      <c r="G2681" s="190">
        <v>65.92</v>
      </c>
      <c r="H2681" s="191">
        <v>1125</v>
      </c>
      <c r="I2681" s="191">
        <v>463.5</v>
      </c>
      <c r="J2681" s="188" t="s">
        <v>624</v>
      </c>
      <c r="K2681" s="188" t="s">
        <v>427</v>
      </c>
      <c r="L2681" s="188" t="s">
        <v>298</v>
      </c>
      <c r="M2681" s="192">
        <f t="shared" si="123"/>
        <v>25</v>
      </c>
      <c r="N2681" s="193">
        <f t="shared" si="124"/>
        <v>1.0922330097087378</v>
      </c>
      <c r="O2681" s="194">
        <f t="shared" si="125"/>
        <v>4.3689320388349516E-2</v>
      </c>
    </row>
    <row r="2682" spans="1:15" ht="12.75" customHeight="1">
      <c r="A2682" s="188" t="s">
        <v>620</v>
      </c>
      <c r="B2682" s="188" t="s">
        <v>3787</v>
      </c>
      <c r="C2682" s="188" t="s">
        <v>659</v>
      </c>
      <c r="D2682" s="188" t="s">
        <v>4245</v>
      </c>
      <c r="E2682" s="189">
        <v>39436</v>
      </c>
      <c r="F2682" s="190">
        <v>0</v>
      </c>
      <c r="G2682" s="190">
        <v>81.41</v>
      </c>
      <c r="H2682" s="191">
        <v>1390</v>
      </c>
      <c r="I2682" s="191">
        <v>572.4</v>
      </c>
      <c r="J2682" s="188" t="s">
        <v>624</v>
      </c>
      <c r="K2682" s="188" t="s">
        <v>427</v>
      </c>
      <c r="L2682" s="188" t="s">
        <v>1525</v>
      </c>
      <c r="M2682" s="192">
        <f t="shared" si="123"/>
        <v>25</v>
      </c>
      <c r="N2682" s="193">
        <f t="shared" si="124"/>
        <v>1.0927672955974843</v>
      </c>
      <c r="O2682" s="194">
        <f t="shared" si="125"/>
        <v>4.3710691823899375E-2</v>
      </c>
    </row>
    <row r="2683" spans="1:15" ht="12.75" customHeight="1">
      <c r="A2683" s="188" t="s">
        <v>620</v>
      </c>
      <c r="B2683" s="188" t="s">
        <v>3787</v>
      </c>
      <c r="C2683" s="188" t="s">
        <v>659</v>
      </c>
      <c r="D2683" s="188" t="s">
        <v>4246</v>
      </c>
      <c r="E2683" s="189">
        <v>39275</v>
      </c>
      <c r="F2683" s="190">
        <v>0</v>
      </c>
      <c r="G2683" s="190">
        <v>29.95</v>
      </c>
      <c r="H2683" s="191">
        <v>511.99</v>
      </c>
      <c r="I2683" s="191">
        <v>210.6</v>
      </c>
      <c r="J2683" s="188" t="s">
        <v>624</v>
      </c>
      <c r="K2683" s="188" t="s">
        <v>427</v>
      </c>
      <c r="L2683" s="188" t="s">
        <v>3384</v>
      </c>
      <c r="M2683" s="192">
        <f t="shared" si="123"/>
        <v>25</v>
      </c>
      <c r="N2683" s="193">
        <f t="shared" si="124"/>
        <v>1.0939957264957265</v>
      </c>
      <c r="O2683" s="194">
        <f t="shared" si="125"/>
        <v>4.3759829059829058E-2</v>
      </c>
    </row>
    <row r="2684" spans="1:15" ht="12.75" customHeight="1">
      <c r="A2684" s="188" t="s">
        <v>620</v>
      </c>
      <c r="B2684" s="188" t="s">
        <v>3787</v>
      </c>
      <c r="C2684" s="188" t="s">
        <v>659</v>
      </c>
      <c r="D2684" s="188" t="s">
        <v>4247</v>
      </c>
      <c r="E2684" s="189">
        <v>39541</v>
      </c>
      <c r="F2684" s="190">
        <v>0</v>
      </c>
      <c r="G2684" s="190">
        <v>101.95</v>
      </c>
      <c r="H2684" s="191">
        <v>1745</v>
      </c>
      <c r="I2684" s="191">
        <v>716.85</v>
      </c>
      <c r="J2684" s="188" t="s">
        <v>624</v>
      </c>
      <c r="K2684" s="188" t="s">
        <v>427</v>
      </c>
      <c r="L2684" s="188" t="s">
        <v>295</v>
      </c>
      <c r="M2684" s="192">
        <f t="shared" si="123"/>
        <v>25</v>
      </c>
      <c r="N2684" s="193">
        <f t="shared" si="124"/>
        <v>1.0954174513496548</v>
      </c>
      <c r="O2684" s="194">
        <f t="shared" si="125"/>
        <v>4.3816698053986192E-2</v>
      </c>
    </row>
    <row r="2685" spans="1:15" ht="12.75" customHeight="1">
      <c r="A2685" s="188" t="s">
        <v>620</v>
      </c>
      <c r="B2685" s="188" t="s">
        <v>3787</v>
      </c>
      <c r="C2685" s="188" t="s">
        <v>659</v>
      </c>
      <c r="D2685" s="188" t="s">
        <v>4248</v>
      </c>
      <c r="E2685" s="189">
        <v>39226</v>
      </c>
      <c r="F2685" s="190">
        <v>0</v>
      </c>
      <c r="G2685" s="190">
        <v>103.3</v>
      </c>
      <c r="H2685" s="191">
        <v>1770.07</v>
      </c>
      <c r="I2685" s="191">
        <v>726.3</v>
      </c>
      <c r="J2685" s="188" t="s">
        <v>624</v>
      </c>
      <c r="K2685" s="188" t="s">
        <v>427</v>
      </c>
      <c r="L2685" s="188" t="s">
        <v>1796</v>
      </c>
      <c r="M2685" s="192">
        <f t="shared" si="123"/>
        <v>25</v>
      </c>
      <c r="N2685" s="193">
        <f t="shared" si="124"/>
        <v>1.0966976456009914</v>
      </c>
      <c r="O2685" s="194">
        <f t="shared" si="125"/>
        <v>4.3867905824039655E-2</v>
      </c>
    </row>
    <row r="2686" spans="1:15" ht="12.75" customHeight="1">
      <c r="A2686" s="188" t="s">
        <v>620</v>
      </c>
      <c r="B2686" s="188" t="s">
        <v>3787</v>
      </c>
      <c r="C2686" s="188" t="s">
        <v>659</v>
      </c>
      <c r="D2686" s="188" t="s">
        <v>4249</v>
      </c>
      <c r="E2686" s="189">
        <v>39359</v>
      </c>
      <c r="F2686" s="190">
        <v>0</v>
      </c>
      <c r="G2686" s="190">
        <v>58.37</v>
      </c>
      <c r="H2686" s="191">
        <v>1521</v>
      </c>
      <c r="I2686" s="191">
        <v>410.4</v>
      </c>
      <c r="J2686" s="188" t="s">
        <v>624</v>
      </c>
      <c r="K2686" s="188" t="s">
        <v>338</v>
      </c>
      <c r="L2686" s="188" t="s">
        <v>1808</v>
      </c>
      <c r="M2686" s="192">
        <f t="shared" si="123"/>
        <v>38</v>
      </c>
      <c r="N2686" s="193">
        <f t="shared" si="124"/>
        <v>1.6677631578947369</v>
      </c>
      <c r="O2686" s="194">
        <f t="shared" si="125"/>
        <v>4.3888504155124658E-2</v>
      </c>
    </row>
    <row r="2687" spans="1:15" ht="12.75" customHeight="1">
      <c r="A2687" s="188" t="s">
        <v>620</v>
      </c>
      <c r="B2687" s="188" t="s">
        <v>3787</v>
      </c>
      <c r="C2687" s="188" t="s">
        <v>659</v>
      </c>
      <c r="D2687" s="188" t="s">
        <v>4250</v>
      </c>
      <c r="E2687" s="189">
        <v>39485</v>
      </c>
      <c r="F2687" s="190">
        <v>0</v>
      </c>
      <c r="G2687" s="190">
        <v>100.99</v>
      </c>
      <c r="H2687" s="191">
        <v>1735</v>
      </c>
      <c r="I2687" s="191">
        <v>710.1</v>
      </c>
      <c r="J2687" s="188" t="s">
        <v>624</v>
      </c>
      <c r="K2687" s="188" t="s">
        <v>427</v>
      </c>
      <c r="L2687" s="188" t="s">
        <v>393</v>
      </c>
      <c r="M2687" s="192">
        <f t="shared" si="123"/>
        <v>25</v>
      </c>
      <c r="N2687" s="193">
        <f t="shared" si="124"/>
        <v>1.0994930291508238</v>
      </c>
      <c r="O2687" s="194">
        <f t="shared" si="125"/>
        <v>4.3979721166032951E-2</v>
      </c>
    </row>
    <row r="2688" spans="1:15" ht="12.75" customHeight="1">
      <c r="A2688" s="188" t="s">
        <v>620</v>
      </c>
      <c r="B2688" s="188" t="s">
        <v>3787</v>
      </c>
      <c r="C2688" s="188" t="s">
        <v>659</v>
      </c>
      <c r="D2688" s="188" t="s">
        <v>4251</v>
      </c>
      <c r="E2688" s="189">
        <v>39387</v>
      </c>
      <c r="F2688" s="190">
        <v>0</v>
      </c>
      <c r="G2688" s="190">
        <v>19.2</v>
      </c>
      <c r="H2688" s="191">
        <v>330</v>
      </c>
      <c r="I2688" s="191">
        <v>135</v>
      </c>
      <c r="J2688" s="188" t="s">
        <v>624</v>
      </c>
      <c r="K2688" s="188" t="s">
        <v>427</v>
      </c>
      <c r="L2688" s="188" t="s">
        <v>1315</v>
      </c>
      <c r="M2688" s="192">
        <f t="shared" si="123"/>
        <v>25</v>
      </c>
      <c r="N2688" s="193">
        <f t="shared" si="124"/>
        <v>1.1000000000000001</v>
      </c>
      <c r="O2688" s="194">
        <f t="shared" si="125"/>
        <v>4.4000000000000004E-2</v>
      </c>
    </row>
    <row r="2689" spans="1:15" ht="12.75" customHeight="1">
      <c r="A2689" s="188" t="s">
        <v>620</v>
      </c>
      <c r="B2689" s="188" t="s">
        <v>3787</v>
      </c>
      <c r="C2689" s="188" t="s">
        <v>659</v>
      </c>
      <c r="D2689" s="188" t="s">
        <v>4252</v>
      </c>
      <c r="E2689" s="189">
        <v>39548</v>
      </c>
      <c r="F2689" s="190">
        <v>0</v>
      </c>
      <c r="G2689" s="190">
        <v>71.680000000000007</v>
      </c>
      <c r="H2689" s="191">
        <v>1232</v>
      </c>
      <c r="I2689" s="191">
        <v>504</v>
      </c>
      <c r="J2689" s="188" t="s">
        <v>624</v>
      </c>
      <c r="K2689" s="188" t="s">
        <v>427</v>
      </c>
      <c r="L2689" s="188" t="s">
        <v>825</v>
      </c>
      <c r="M2689" s="192">
        <f t="shared" si="123"/>
        <v>25</v>
      </c>
      <c r="N2689" s="193">
        <f t="shared" si="124"/>
        <v>1.1000000000000001</v>
      </c>
      <c r="O2689" s="194">
        <f t="shared" si="125"/>
        <v>4.4000000000000004E-2</v>
      </c>
    </row>
    <row r="2690" spans="1:15" ht="12.75" customHeight="1">
      <c r="A2690" s="188" t="s">
        <v>620</v>
      </c>
      <c r="B2690" s="188" t="s">
        <v>3787</v>
      </c>
      <c r="C2690" s="188" t="s">
        <v>659</v>
      </c>
      <c r="D2690" s="188" t="s">
        <v>4253</v>
      </c>
      <c r="E2690" s="189">
        <v>39611</v>
      </c>
      <c r="F2690" s="190">
        <v>0</v>
      </c>
      <c r="G2690" s="190">
        <v>165.57</v>
      </c>
      <c r="H2690" s="191">
        <v>2846</v>
      </c>
      <c r="I2690" s="191">
        <v>1164.1500000000001</v>
      </c>
      <c r="J2690" s="188" t="s">
        <v>624</v>
      </c>
      <c r="K2690" s="188" t="s">
        <v>427</v>
      </c>
      <c r="L2690" s="188" t="s">
        <v>4254</v>
      </c>
      <c r="M2690" s="192">
        <f t="shared" ref="M2690:M2753" si="126">K2690-J2690</f>
        <v>25</v>
      </c>
      <c r="N2690" s="193">
        <f t="shared" ref="N2690:N2753" si="127">H2690/L2690</f>
        <v>1.1001159644375724</v>
      </c>
      <c r="O2690" s="194">
        <f t="shared" ref="O2690:O2753" si="128">N2690/M2690</f>
        <v>4.4004638577502898E-2</v>
      </c>
    </row>
    <row r="2691" spans="1:15" ht="12.75" customHeight="1">
      <c r="A2691" s="188" t="s">
        <v>620</v>
      </c>
      <c r="B2691" s="188" t="s">
        <v>3787</v>
      </c>
      <c r="C2691" s="188" t="s">
        <v>659</v>
      </c>
      <c r="D2691" s="188" t="s">
        <v>4255</v>
      </c>
      <c r="E2691" s="189">
        <v>39380</v>
      </c>
      <c r="F2691" s="190">
        <v>0</v>
      </c>
      <c r="G2691" s="190">
        <v>69.63</v>
      </c>
      <c r="H2691" s="191">
        <v>1199</v>
      </c>
      <c r="I2691" s="191">
        <v>489.6</v>
      </c>
      <c r="J2691" s="188" t="s">
        <v>624</v>
      </c>
      <c r="K2691" s="188" t="s">
        <v>427</v>
      </c>
      <c r="L2691" s="188" t="s">
        <v>2389</v>
      </c>
      <c r="M2691" s="192">
        <f t="shared" si="126"/>
        <v>25</v>
      </c>
      <c r="N2691" s="193">
        <f t="shared" si="127"/>
        <v>1.1020220588235294</v>
      </c>
      <c r="O2691" s="194">
        <f t="shared" si="128"/>
        <v>4.4080882352941178E-2</v>
      </c>
    </row>
    <row r="2692" spans="1:15" ht="12.75" customHeight="1">
      <c r="A2692" s="188" t="s">
        <v>620</v>
      </c>
      <c r="B2692" s="188" t="s">
        <v>3787</v>
      </c>
      <c r="C2692" s="188" t="s">
        <v>659</v>
      </c>
      <c r="D2692" s="188" t="s">
        <v>4256</v>
      </c>
      <c r="E2692" s="189">
        <v>39310</v>
      </c>
      <c r="F2692" s="190">
        <v>0</v>
      </c>
      <c r="G2692" s="190">
        <v>68.22</v>
      </c>
      <c r="H2692" s="191">
        <v>1179.96</v>
      </c>
      <c r="I2692" s="191">
        <v>479.7</v>
      </c>
      <c r="J2692" s="188" t="s">
        <v>624</v>
      </c>
      <c r="K2692" s="188" t="s">
        <v>427</v>
      </c>
      <c r="L2692" s="188" t="s">
        <v>2269</v>
      </c>
      <c r="M2692" s="192">
        <f t="shared" si="126"/>
        <v>25</v>
      </c>
      <c r="N2692" s="193">
        <f t="shared" si="127"/>
        <v>1.1069043151969982</v>
      </c>
      <c r="O2692" s="194">
        <f t="shared" si="128"/>
        <v>4.4276172607879929E-2</v>
      </c>
    </row>
    <row r="2693" spans="1:15" ht="12.75" customHeight="1">
      <c r="A2693" s="188" t="s">
        <v>620</v>
      </c>
      <c r="B2693" s="188" t="s">
        <v>3787</v>
      </c>
      <c r="C2693" s="188" t="s">
        <v>659</v>
      </c>
      <c r="D2693" s="188" t="s">
        <v>4257</v>
      </c>
      <c r="E2693" s="189">
        <v>39345</v>
      </c>
      <c r="F2693" s="190">
        <v>0</v>
      </c>
      <c r="G2693" s="190">
        <v>59.52</v>
      </c>
      <c r="H2693" s="191">
        <v>1031</v>
      </c>
      <c r="I2693" s="191">
        <v>418.5</v>
      </c>
      <c r="J2693" s="188" t="s">
        <v>624</v>
      </c>
      <c r="K2693" s="188" t="s">
        <v>427</v>
      </c>
      <c r="L2693" s="188" t="s">
        <v>2422</v>
      </c>
      <c r="M2693" s="192">
        <f t="shared" si="126"/>
        <v>25</v>
      </c>
      <c r="N2693" s="193">
        <f t="shared" si="127"/>
        <v>1.1086021505376344</v>
      </c>
      <c r="O2693" s="194">
        <f t="shared" si="128"/>
        <v>4.4344086021505379E-2</v>
      </c>
    </row>
    <row r="2694" spans="1:15" ht="12.75" customHeight="1">
      <c r="A2694" s="188" t="s">
        <v>620</v>
      </c>
      <c r="B2694" s="188" t="s">
        <v>3787</v>
      </c>
      <c r="C2694" s="188" t="s">
        <v>659</v>
      </c>
      <c r="D2694" s="188" t="s">
        <v>4258</v>
      </c>
      <c r="E2694" s="189">
        <v>39534</v>
      </c>
      <c r="F2694" s="190">
        <v>0</v>
      </c>
      <c r="G2694" s="190">
        <v>58.37</v>
      </c>
      <c r="H2694" s="191">
        <v>1012</v>
      </c>
      <c r="I2694" s="191">
        <v>410.4</v>
      </c>
      <c r="J2694" s="188" t="s">
        <v>624</v>
      </c>
      <c r="K2694" s="188" t="s">
        <v>427</v>
      </c>
      <c r="L2694" s="188" t="s">
        <v>1808</v>
      </c>
      <c r="M2694" s="192">
        <f t="shared" si="126"/>
        <v>25</v>
      </c>
      <c r="N2694" s="193">
        <f t="shared" si="127"/>
        <v>1.1096491228070176</v>
      </c>
      <c r="O2694" s="194">
        <f t="shared" si="128"/>
        <v>4.4385964912280702E-2</v>
      </c>
    </row>
    <row r="2695" spans="1:15" ht="12.75" customHeight="1">
      <c r="A2695" s="188" t="s">
        <v>620</v>
      </c>
      <c r="B2695" s="188" t="s">
        <v>3787</v>
      </c>
      <c r="C2695" s="188" t="s">
        <v>659</v>
      </c>
      <c r="D2695" s="188" t="s">
        <v>4259</v>
      </c>
      <c r="E2695" s="189">
        <v>39219</v>
      </c>
      <c r="F2695" s="190">
        <v>0</v>
      </c>
      <c r="G2695" s="190">
        <v>66.430000000000007</v>
      </c>
      <c r="H2695" s="191">
        <v>1152.18</v>
      </c>
      <c r="I2695" s="191">
        <v>467.1</v>
      </c>
      <c r="J2695" s="188" t="s">
        <v>624</v>
      </c>
      <c r="K2695" s="188" t="s">
        <v>427</v>
      </c>
      <c r="L2695" s="188" t="s">
        <v>1266</v>
      </c>
      <c r="M2695" s="192">
        <f t="shared" si="126"/>
        <v>25</v>
      </c>
      <c r="N2695" s="193">
        <f t="shared" si="127"/>
        <v>1.1100000000000001</v>
      </c>
      <c r="O2695" s="194">
        <f t="shared" si="128"/>
        <v>4.4400000000000002E-2</v>
      </c>
    </row>
    <row r="2696" spans="1:15" ht="12.75" customHeight="1">
      <c r="A2696" s="188" t="s">
        <v>620</v>
      </c>
      <c r="B2696" s="188" t="s">
        <v>3787</v>
      </c>
      <c r="C2696" s="188" t="s">
        <v>659</v>
      </c>
      <c r="D2696" s="188" t="s">
        <v>4260</v>
      </c>
      <c r="E2696" s="189">
        <v>39447</v>
      </c>
      <c r="F2696" s="190">
        <v>0</v>
      </c>
      <c r="G2696" s="190">
        <v>57.6</v>
      </c>
      <c r="H2696" s="191">
        <v>1000</v>
      </c>
      <c r="I2696" s="191">
        <v>405</v>
      </c>
      <c r="J2696" s="188" t="s">
        <v>624</v>
      </c>
      <c r="K2696" s="188" t="s">
        <v>427</v>
      </c>
      <c r="L2696" s="188" t="s">
        <v>740</v>
      </c>
      <c r="M2696" s="192">
        <f t="shared" si="126"/>
        <v>25</v>
      </c>
      <c r="N2696" s="193">
        <f t="shared" si="127"/>
        <v>1.1111111111111112</v>
      </c>
      <c r="O2696" s="194">
        <f t="shared" si="128"/>
        <v>4.4444444444444446E-2</v>
      </c>
    </row>
    <row r="2697" spans="1:15" ht="12.75" customHeight="1">
      <c r="A2697" s="188" t="s">
        <v>620</v>
      </c>
      <c r="B2697" s="188" t="s">
        <v>3787</v>
      </c>
      <c r="C2697" s="188" t="s">
        <v>659</v>
      </c>
      <c r="D2697" s="188" t="s">
        <v>4261</v>
      </c>
      <c r="E2697" s="189">
        <v>39447</v>
      </c>
      <c r="F2697" s="190">
        <v>0</v>
      </c>
      <c r="G2697" s="190">
        <v>140.80000000000001</v>
      </c>
      <c r="H2697" s="191">
        <v>2450</v>
      </c>
      <c r="I2697" s="191">
        <v>990</v>
      </c>
      <c r="J2697" s="188" t="s">
        <v>624</v>
      </c>
      <c r="K2697" s="188" t="s">
        <v>427</v>
      </c>
      <c r="L2697" s="188" t="s">
        <v>938</v>
      </c>
      <c r="M2697" s="192">
        <f t="shared" si="126"/>
        <v>25</v>
      </c>
      <c r="N2697" s="193">
        <f t="shared" si="127"/>
        <v>1.1136363636363635</v>
      </c>
      <c r="O2697" s="194">
        <f t="shared" si="128"/>
        <v>4.4545454545454541E-2</v>
      </c>
    </row>
    <row r="2698" spans="1:15" ht="12.75" customHeight="1">
      <c r="A2698" s="188" t="s">
        <v>620</v>
      </c>
      <c r="B2698" s="188" t="s">
        <v>3787</v>
      </c>
      <c r="C2698" s="188" t="s">
        <v>659</v>
      </c>
      <c r="D2698" s="188" t="s">
        <v>4262</v>
      </c>
      <c r="E2698" s="189">
        <v>39401</v>
      </c>
      <c r="F2698" s="190">
        <v>0</v>
      </c>
      <c r="G2698" s="190">
        <v>121.6</v>
      </c>
      <c r="H2698" s="191">
        <v>2120</v>
      </c>
      <c r="I2698" s="191">
        <v>855</v>
      </c>
      <c r="J2698" s="188" t="s">
        <v>624</v>
      </c>
      <c r="K2698" s="188" t="s">
        <v>427</v>
      </c>
      <c r="L2698" s="188" t="s">
        <v>1673</v>
      </c>
      <c r="M2698" s="192">
        <f t="shared" si="126"/>
        <v>25</v>
      </c>
      <c r="N2698" s="193">
        <f t="shared" si="127"/>
        <v>1.1157894736842104</v>
      </c>
      <c r="O2698" s="194">
        <f t="shared" si="128"/>
        <v>4.4631578947368418E-2</v>
      </c>
    </row>
    <row r="2699" spans="1:15" ht="12.75" customHeight="1">
      <c r="A2699" s="188" t="s">
        <v>620</v>
      </c>
      <c r="B2699" s="188" t="s">
        <v>3787</v>
      </c>
      <c r="C2699" s="188" t="s">
        <v>659</v>
      </c>
      <c r="D2699" s="188" t="s">
        <v>4263</v>
      </c>
      <c r="E2699" s="189">
        <v>39401</v>
      </c>
      <c r="F2699" s="190">
        <v>0</v>
      </c>
      <c r="G2699" s="190">
        <v>107.14</v>
      </c>
      <c r="H2699" s="191">
        <v>1870</v>
      </c>
      <c r="I2699" s="191">
        <v>753.3</v>
      </c>
      <c r="J2699" s="188" t="s">
        <v>624</v>
      </c>
      <c r="K2699" s="188" t="s">
        <v>427</v>
      </c>
      <c r="L2699" s="188" t="s">
        <v>4264</v>
      </c>
      <c r="M2699" s="192">
        <f t="shared" si="126"/>
        <v>25</v>
      </c>
      <c r="N2699" s="193">
        <f t="shared" si="127"/>
        <v>1.1170848267622462</v>
      </c>
      <c r="O2699" s="194">
        <f t="shared" si="128"/>
        <v>4.4683393070489845E-2</v>
      </c>
    </row>
    <row r="2700" spans="1:15" ht="12.75" customHeight="1">
      <c r="A2700" s="188" t="s">
        <v>620</v>
      </c>
      <c r="B2700" s="188" t="s">
        <v>3787</v>
      </c>
      <c r="C2700" s="188" t="s">
        <v>659</v>
      </c>
      <c r="D2700" s="188" t="s">
        <v>4265</v>
      </c>
      <c r="E2700" s="189">
        <v>39447</v>
      </c>
      <c r="F2700" s="190">
        <v>0</v>
      </c>
      <c r="G2700" s="190">
        <v>16.32</v>
      </c>
      <c r="H2700" s="191">
        <v>342</v>
      </c>
      <c r="I2700" s="191">
        <v>114.75</v>
      </c>
      <c r="J2700" s="188" t="s">
        <v>624</v>
      </c>
      <c r="K2700" s="188" t="s">
        <v>257</v>
      </c>
      <c r="L2700" s="188" t="s">
        <v>4266</v>
      </c>
      <c r="M2700" s="192">
        <f t="shared" si="126"/>
        <v>30</v>
      </c>
      <c r="N2700" s="193">
        <f t="shared" si="127"/>
        <v>1.3411764705882352</v>
      </c>
      <c r="O2700" s="194">
        <f t="shared" si="128"/>
        <v>4.4705882352941172E-2</v>
      </c>
    </row>
    <row r="2701" spans="1:15" ht="12.75" customHeight="1">
      <c r="A2701" s="188" t="s">
        <v>620</v>
      </c>
      <c r="B2701" s="188" t="s">
        <v>3787</v>
      </c>
      <c r="C2701" s="188" t="s">
        <v>659</v>
      </c>
      <c r="D2701" s="188" t="s">
        <v>4267</v>
      </c>
      <c r="E2701" s="189">
        <v>39471</v>
      </c>
      <c r="F2701" s="190">
        <v>0</v>
      </c>
      <c r="G2701" s="190">
        <v>212.93</v>
      </c>
      <c r="H2701" s="191">
        <v>3725</v>
      </c>
      <c r="I2701" s="191">
        <v>1497.15</v>
      </c>
      <c r="J2701" s="188" t="s">
        <v>624</v>
      </c>
      <c r="K2701" s="188" t="s">
        <v>427</v>
      </c>
      <c r="L2701" s="188" t="s">
        <v>4268</v>
      </c>
      <c r="M2701" s="192">
        <f t="shared" si="126"/>
        <v>25</v>
      </c>
      <c r="N2701" s="193">
        <f t="shared" si="127"/>
        <v>1.1196272918545236</v>
      </c>
      <c r="O2701" s="194">
        <f t="shared" si="128"/>
        <v>4.4785091674180946E-2</v>
      </c>
    </row>
    <row r="2702" spans="1:15" ht="12.75" customHeight="1">
      <c r="A2702" s="188" t="s">
        <v>620</v>
      </c>
      <c r="B2702" s="188" t="s">
        <v>3787</v>
      </c>
      <c r="C2702" s="188" t="s">
        <v>659</v>
      </c>
      <c r="D2702" s="188" t="s">
        <v>4269</v>
      </c>
      <c r="E2702" s="189">
        <v>39317</v>
      </c>
      <c r="F2702" s="190">
        <v>0</v>
      </c>
      <c r="G2702" s="190">
        <v>96</v>
      </c>
      <c r="H2702" s="191">
        <v>1680</v>
      </c>
      <c r="I2702" s="191">
        <v>675</v>
      </c>
      <c r="J2702" s="188" t="s">
        <v>624</v>
      </c>
      <c r="K2702" s="188" t="s">
        <v>427</v>
      </c>
      <c r="L2702" s="188" t="s">
        <v>746</v>
      </c>
      <c r="M2702" s="192">
        <f t="shared" si="126"/>
        <v>25</v>
      </c>
      <c r="N2702" s="193">
        <f t="shared" si="127"/>
        <v>1.1200000000000001</v>
      </c>
      <c r="O2702" s="194">
        <f t="shared" si="128"/>
        <v>4.4800000000000006E-2</v>
      </c>
    </row>
    <row r="2703" spans="1:15" ht="12.75" customHeight="1">
      <c r="A2703" s="188" t="s">
        <v>620</v>
      </c>
      <c r="B2703" s="188" t="s">
        <v>3787</v>
      </c>
      <c r="C2703" s="188" t="s">
        <v>659</v>
      </c>
      <c r="D2703" s="188" t="s">
        <v>4270</v>
      </c>
      <c r="E2703" s="189">
        <v>39352</v>
      </c>
      <c r="F2703" s="190">
        <v>0</v>
      </c>
      <c r="G2703" s="190">
        <v>7.04</v>
      </c>
      <c r="H2703" s="191">
        <v>148.01</v>
      </c>
      <c r="I2703" s="191">
        <v>49.5</v>
      </c>
      <c r="J2703" s="188" t="s">
        <v>624</v>
      </c>
      <c r="K2703" s="188" t="s">
        <v>257</v>
      </c>
      <c r="L2703" s="188" t="s">
        <v>4271</v>
      </c>
      <c r="M2703" s="192">
        <f t="shared" si="126"/>
        <v>30</v>
      </c>
      <c r="N2703" s="193">
        <f t="shared" si="127"/>
        <v>1.3455454545454544</v>
      </c>
      <c r="O2703" s="194">
        <f t="shared" si="128"/>
        <v>4.4851515151515149E-2</v>
      </c>
    </row>
    <row r="2704" spans="1:15" ht="12.75" customHeight="1">
      <c r="A2704" s="188" t="s">
        <v>620</v>
      </c>
      <c r="B2704" s="188" t="s">
        <v>3787</v>
      </c>
      <c r="C2704" s="188" t="s">
        <v>659</v>
      </c>
      <c r="D2704" s="188" t="s">
        <v>4272</v>
      </c>
      <c r="E2704" s="189">
        <v>39387</v>
      </c>
      <c r="F2704" s="190">
        <v>0</v>
      </c>
      <c r="G2704" s="190">
        <v>89.6</v>
      </c>
      <c r="H2704" s="191">
        <v>1570</v>
      </c>
      <c r="I2704" s="191">
        <v>630</v>
      </c>
      <c r="J2704" s="188" t="s">
        <v>624</v>
      </c>
      <c r="K2704" s="188" t="s">
        <v>427</v>
      </c>
      <c r="L2704" s="188" t="s">
        <v>754</v>
      </c>
      <c r="M2704" s="192">
        <f t="shared" si="126"/>
        <v>25</v>
      </c>
      <c r="N2704" s="193">
        <f t="shared" si="127"/>
        <v>1.1214285714285714</v>
      </c>
      <c r="O2704" s="194">
        <f t="shared" si="128"/>
        <v>4.4857142857142859E-2</v>
      </c>
    </row>
    <row r="2705" spans="1:15" ht="12.75" customHeight="1">
      <c r="A2705" s="188" t="s">
        <v>620</v>
      </c>
      <c r="B2705" s="188" t="s">
        <v>3787</v>
      </c>
      <c r="C2705" s="188" t="s">
        <v>659</v>
      </c>
      <c r="D2705" s="188" t="s">
        <v>4273</v>
      </c>
      <c r="E2705" s="189">
        <v>39395</v>
      </c>
      <c r="F2705" s="190">
        <v>0</v>
      </c>
      <c r="G2705" s="190">
        <v>102.4</v>
      </c>
      <c r="H2705" s="191">
        <v>1798</v>
      </c>
      <c r="I2705" s="191">
        <v>720</v>
      </c>
      <c r="J2705" s="188" t="s">
        <v>624</v>
      </c>
      <c r="K2705" s="188" t="s">
        <v>427</v>
      </c>
      <c r="L2705" s="188" t="s">
        <v>625</v>
      </c>
      <c r="M2705" s="192">
        <f t="shared" si="126"/>
        <v>25</v>
      </c>
      <c r="N2705" s="193">
        <f t="shared" si="127"/>
        <v>1.12375</v>
      </c>
      <c r="O2705" s="194">
        <f t="shared" si="128"/>
        <v>4.4950000000000004E-2</v>
      </c>
    </row>
    <row r="2706" spans="1:15" ht="12.75" customHeight="1">
      <c r="A2706" s="188" t="s">
        <v>620</v>
      </c>
      <c r="B2706" s="188" t="s">
        <v>3787</v>
      </c>
      <c r="C2706" s="188" t="s">
        <v>659</v>
      </c>
      <c r="D2706" s="188" t="s">
        <v>4274</v>
      </c>
      <c r="E2706" s="189">
        <v>39416</v>
      </c>
      <c r="F2706" s="190">
        <v>0</v>
      </c>
      <c r="G2706" s="190">
        <v>97.28</v>
      </c>
      <c r="H2706" s="191">
        <v>1709</v>
      </c>
      <c r="I2706" s="191">
        <v>684</v>
      </c>
      <c r="J2706" s="188" t="s">
        <v>624</v>
      </c>
      <c r="K2706" s="188" t="s">
        <v>427</v>
      </c>
      <c r="L2706" s="188" t="s">
        <v>1452</v>
      </c>
      <c r="M2706" s="192">
        <f t="shared" si="126"/>
        <v>25</v>
      </c>
      <c r="N2706" s="193">
        <f t="shared" si="127"/>
        <v>1.1243421052631579</v>
      </c>
      <c r="O2706" s="194">
        <f t="shared" si="128"/>
        <v>4.4973684210526318E-2</v>
      </c>
    </row>
    <row r="2707" spans="1:15" ht="12.75" customHeight="1">
      <c r="A2707" s="188" t="s">
        <v>620</v>
      </c>
      <c r="B2707" s="188" t="s">
        <v>3787</v>
      </c>
      <c r="C2707" s="188" t="s">
        <v>659</v>
      </c>
      <c r="D2707" s="188" t="s">
        <v>4275</v>
      </c>
      <c r="E2707" s="189">
        <v>39520</v>
      </c>
      <c r="F2707" s="190">
        <v>0</v>
      </c>
      <c r="G2707" s="190">
        <v>78.02</v>
      </c>
      <c r="H2707" s="191">
        <v>825</v>
      </c>
      <c r="I2707" s="191">
        <v>548.54999999999995</v>
      </c>
      <c r="J2707" s="188" t="s">
        <v>624</v>
      </c>
      <c r="K2707" s="188" t="s">
        <v>571</v>
      </c>
      <c r="L2707" s="188" t="s">
        <v>4276</v>
      </c>
      <c r="M2707" s="192">
        <f t="shared" si="126"/>
        <v>15</v>
      </c>
      <c r="N2707" s="193">
        <f t="shared" si="127"/>
        <v>0.67678424938474158</v>
      </c>
      <c r="O2707" s="194">
        <f t="shared" si="128"/>
        <v>4.5118949958982774E-2</v>
      </c>
    </row>
    <row r="2708" spans="1:15" ht="12.75" customHeight="1">
      <c r="A2708" s="188" t="s">
        <v>620</v>
      </c>
      <c r="B2708" s="188" t="s">
        <v>3787</v>
      </c>
      <c r="C2708" s="188" t="s">
        <v>659</v>
      </c>
      <c r="D2708" s="188" t="s">
        <v>4277</v>
      </c>
      <c r="E2708" s="189">
        <v>39269</v>
      </c>
      <c r="F2708" s="190">
        <v>0</v>
      </c>
      <c r="G2708" s="190">
        <v>86.4</v>
      </c>
      <c r="H2708" s="191">
        <v>1524.96</v>
      </c>
      <c r="I2708" s="191">
        <v>607.5</v>
      </c>
      <c r="J2708" s="188" t="s">
        <v>624</v>
      </c>
      <c r="K2708" s="188" t="s">
        <v>427</v>
      </c>
      <c r="L2708" s="188" t="s">
        <v>707</v>
      </c>
      <c r="M2708" s="192">
        <f t="shared" si="126"/>
        <v>25</v>
      </c>
      <c r="N2708" s="193">
        <f t="shared" si="127"/>
        <v>1.1295999999999999</v>
      </c>
      <c r="O2708" s="194">
        <f t="shared" si="128"/>
        <v>4.5183999999999995E-2</v>
      </c>
    </row>
    <row r="2709" spans="1:15" ht="12.75" customHeight="1">
      <c r="A2709" s="188" t="s">
        <v>620</v>
      </c>
      <c r="B2709" s="188" t="s">
        <v>3787</v>
      </c>
      <c r="C2709" s="188" t="s">
        <v>659</v>
      </c>
      <c r="D2709" s="188" t="s">
        <v>4278</v>
      </c>
      <c r="E2709" s="189">
        <v>39395</v>
      </c>
      <c r="F2709" s="190">
        <v>0</v>
      </c>
      <c r="G2709" s="190">
        <v>75.39</v>
      </c>
      <c r="H2709" s="191">
        <v>1331</v>
      </c>
      <c r="I2709" s="191">
        <v>530.1</v>
      </c>
      <c r="J2709" s="188" t="s">
        <v>624</v>
      </c>
      <c r="K2709" s="188" t="s">
        <v>427</v>
      </c>
      <c r="L2709" s="188" t="s">
        <v>420</v>
      </c>
      <c r="M2709" s="192">
        <f t="shared" si="126"/>
        <v>25</v>
      </c>
      <c r="N2709" s="193">
        <f t="shared" si="127"/>
        <v>1.1298811544991512</v>
      </c>
      <c r="O2709" s="194">
        <f t="shared" si="128"/>
        <v>4.5195246179966043E-2</v>
      </c>
    </row>
    <row r="2710" spans="1:15" ht="12.75" customHeight="1">
      <c r="A2710" s="188" t="s">
        <v>620</v>
      </c>
      <c r="B2710" s="188" t="s">
        <v>3787</v>
      </c>
      <c r="C2710" s="188" t="s">
        <v>659</v>
      </c>
      <c r="D2710" s="188" t="s">
        <v>4279</v>
      </c>
      <c r="E2710" s="189">
        <v>39562</v>
      </c>
      <c r="F2710" s="190">
        <v>0</v>
      </c>
      <c r="G2710" s="190">
        <v>64</v>
      </c>
      <c r="H2710" s="191">
        <v>1130</v>
      </c>
      <c r="I2710" s="191">
        <v>450</v>
      </c>
      <c r="J2710" s="188" t="s">
        <v>624</v>
      </c>
      <c r="K2710" s="188" t="s">
        <v>427</v>
      </c>
      <c r="L2710" s="188" t="s">
        <v>636</v>
      </c>
      <c r="M2710" s="192">
        <f t="shared" si="126"/>
        <v>25</v>
      </c>
      <c r="N2710" s="193">
        <f t="shared" si="127"/>
        <v>1.1299999999999999</v>
      </c>
      <c r="O2710" s="194">
        <f t="shared" si="128"/>
        <v>4.5199999999999997E-2</v>
      </c>
    </row>
    <row r="2711" spans="1:15" ht="12.75" customHeight="1">
      <c r="A2711" s="188" t="s">
        <v>620</v>
      </c>
      <c r="B2711" s="188" t="s">
        <v>3787</v>
      </c>
      <c r="C2711" s="188" t="s">
        <v>659</v>
      </c>
      <c r="D2711" s="188" t="s">
        <v>4280</v>
      </c>
      <c r="E2711" s="189">
        <v>39212</v>
      </c>
      <c r="F2711" s="190">
        <v>0</v>
      </c>
      <c r="G2711" s="190">
        <v>8.6999999999999993</v>
      </c>
      <c r="H2711" s="191">
        <v>129.19999999999999</v>
      </c>
      <c r="I2711" s="191">
        <v>61.2</v>
      </c>
      <c r="J2711" s="188" t="s">
        <v>624</v>
      </c>
      <c r="K2711" s="188" t="s">
        <v>1344</v>
      </c>
      <c r="L2711" s="188" t="s">
        <v>4281</v>
      </c>
      <c r="M2711" s="192">
        <f t="shared" si="126"/>
        <v>21</v>
      </c>
      <c r="N2711" s="193">
        <f t="shared" si="127"/>
        <v>0.95</v>
      </c>
      <c r="O2711" s="194">
        <f t="shared" si="128"/>
        <v>4.5238095238095237E-2</v>
      </c>
    </row>
    <row r="2712" spans="1:15" ht="12.75" customHeight="1">
      <c r="A2712" s="188" t="s">
        <v>620</v>
      </c>
      <c r="B2712" s="188" t="s">
        <v>3787</v>
      </c>
      <c r="C2712" s="188" t="s">
        <v>659</v>
      </c>
      <c r="D2712" s="188" t="s">
        <v>4282</v>
      </c>
      <c r="E2712" s="189">
        <v>39219</v>
      </c>
      <c r="F2712" s="190">
        <v>0</v>
      </c>
      <c r="G2712" s="190">
        <v>100.22</v>
      </c>
      <c r="H2712" s="191">
        <v>1346.76</v>
      </c>
      <c r="I2712" s="191">
        <v>704.7</v>
      </c>
      <c r="J2712" s="188" t="s">
        <v>624</v>
      </c>
      <c r="K2712" s="188" t="s">
        <v>667</v>
      </c>
      <c r="L2712" s="188" t="s">
        <v>792</v>
      </c>
      <c r="M2712" s="192">
        <f t="shared" si="126"/>
        <v>19</v>
      </c>
      <c r="N2712" s="193">
        <f t="shared" si="127"/>
        <v>0.86</v>
      </c>
      <c r="O2712" s="194">
        <f t="shared" si="128"/>
        <v>4.5263157894736838E-2</v>
      </c>
    </row>
    <row r="2713" spans="1:15" ht="12.75" customHeight="1">
      <c r="A2713" s="188" t="s">
        <v>620</v>
      </c>
      <c r="B2713" s="188" t="s">
        <v>3787</v>
      </c>
      <c r="C2713" s="188" t="s">
        <v>659</v>
      </c>
      <c r="D2713" s="188" t="s">
        <v>4283</v>
      </c>
      <c r="E2713" s="189">
        <v>39464</v>
      </c>
      <c r="F2713" s="190">
        <v>0</v>
      </c>
      <c r="G2713" s="190">
        <v>51.2</v>
      </c>
      <c r="H2713" s="191">
        <v>908</v>
      </c>
      <c r="I2713" s="191">
        <v>360</v>
      </c>
      <c r="J2713" s="188" t="s">
        <v>624</v>
      </c>
      <c r="K2713" s="188" t="s">
        <v>427</v>
      </c>
      <c r="L2713" s="188" t="s">
        <v>752</v>
      </c>
      <c r="M2713" s="192">
        <f t="shared" si="126"/>
        <v>25</v>
      </c>
      <c r="N2713" s="193">
        <f t="shared" si="127"/>
        <v>1.135</v>
      </c>
      <c r="O2713" s="194">
        <f t="shared" si="128"/>
        <v>4.5400000000000003E-2</v>
      </c>
    </row>
    <row r="2714" spans="1:15" ht="12.75" customHeight="1">
      <c r="A2714" s="188" t="s">
        <v>620</v>
      </c>
      <c r="B2714" s="188" t="s">
        <v>3787</v>
      </c>
      <c r="C2714" s="188" t="s">
        <v>659</v>
      </c>
      <c r="D2714" s="188" t="s">
        <v>4284</v>
      </c>
      <c r="E2714" s="189">
        <v>39499</v>
      </c>
      <c r="F2714" s="190">
        <v>0</v>
      </c>
      <c r="G2714" s="190">
        <v>55.81</v>
      </c>
      <c r="H2714" s="191">
        <v>990</v>
      </c>
      <c r="I2714" s="191">
        <v>392.4</v>
      </c>
      <c r="J2714" s="188" t="s">
        <v>624</v>
      </c>
      <c r="K2714" s="188" t="s">
        <v>427</v>
      </c>
      <c r="L2714" s="188" t="s">
        <v>2071</v>
      </c>
      <c r="M2714" s="192">
        <f t="shared" si="126"/>
        <v>25</v>
      </c>
      <c r="N2714" s="193">
        <f t="shared" si="127"/>
        <v>1.1353211009174311</v>
      </c>
      <c r="O2714" s="194">
        <f t="shared" si="128"/>
        <v>4.5412844036697243E-2</v>
      </c>
    </row>
    <row r="2715" spans="1:15" ht="12.75" customHeight="1">
      <c r="A2715" s="188" t="s">
        <v>620</v>
      </c>
      <c r="B2715" s="188" t="s">
        <v>3787</v>
      </c>
      <c r="C2715" s="188" t="s">
        <v>659</v>
      </c>
      <c r="D2715" s="188" t="s">
        <v>4285</v>
      </c>
      <c r="E2715" s="189">
        <v>39541</v>
      </c>
      <c r="F2715" s="190">
        <v>0</v>
      </c>
      <c r="G2715" s="190">
        <v>35.840000000000003</v>
      </c>
      <c r="H2715" s="191">
        <v>636</v>
      </c>
      <c r="I2715" s="191">
        <v>252</v>
      </c>
      <c r="J2715" s="188" t="s">
        <v>624</v>
      </c>
      <c r="K2715" s="188" t="s">
        <v>427</v>
      </c>
      <c r="L2715" s="188" t="s">
        <v>2142</v>
      </c>
      <c r="M2715" s="192">
        <f t="shared" si="126"/>
        <v>25</v>
      </c>
      <c r="N2715" s="193">
        <f t="shared" si="127"/>
        <v>1.1357142857142857</v>
      </c>
      <c r="O2715" s="194">
        <f t="shared" si="128"/>
        <v>4.5428571428571429E-2</v>
      </c>
    </row>
    <row r="2716" spans="1:15" ht="12.75" customHeight="1">
      <c r="A2716" s="188" t="s">
        <v>620</v>
      </c>
      <c r="B2716" s="188" t="s">
        <v>3787</v>
      </c>
      <c r="C2716" s="188" t="s">
        <v>659</v>
      </c>
      <c r="D2716" s="188" t="s">
        <v>4286</v>
      </c>
      <c r="E2716" s="189">
        <v>39407</v>
      </c>
      <c r="F2716" s="190">
        <v>0</v>
      </c>
      <c r="G2716" s="190">
        <v>84.48</v>
      </c>
      <c r="H2716" s="191">
        <v>1500</v>
      </c>
      <c r="I2716" s="191">
        <v>594</v>
      </c>
      <c r="J2716" s="188" t="s">
        <v>624</v>
      </c>
      <c r="K2716" s="188" t="s">
        <v>427</v>
      </c>
      <c r="L2716" s="188" t="s">
        <v>1050</v>
      </c>
      <c r="M2716" s="192">
        <f t="shared" si="126"/>
        <v>25</v>
      </c>
      <c r="N2716" s="193">
        <f t="shared" si="127"/>
        <v>1.1363636363636365</v>
      </c>
      <c r="O2716" s="194">
        <f t="shared" si="128"/>
        <v>4.5454545454545456E-2</v>
      </c>
    </row>
    <row r="2717" spans="1:15" ht="12.75" customHeight="1">
      <c r="A2717" s="188" t="s">
        <v>620</v>
      </c>
      <c r="B2717" s="188" t="s">
        <v>3787</v>
      </c>
      <c r="C2717" s="188" t="s">
        <v>659</v>
      </c>
      <c r="D2717" s="188" t="s">
        <v>4287</v>
      </c>
      <c r="E2717" s="189">
        <v>39331</v>
      </c>
      <c r="F2717" s="190">
        <v>0</v>
      </c>
      <c r="G2717" s="190">
        <v>196.54</v>
      </c>
      <c r="H2717" s="191">
        <v>3489.88</v>
      </c>
      <c r="I2717" s="191">
        <v>1381.95</v>
      </c>
      <c r="J2717" s="188" t="s">
        <v>624</v>
      </c>
      <c r="K2717" s="188" t="s">
        <v>427</v>
      </c>
      <c r="L2717" s="188" t="s">
        <v>4288</v>
      </c>
      <c r="M2717" s="192">
        <f t="shared" si="126"/>
        <v>25</v>
      </c>
      <c r="N2717" s="193">
        <f t="shared" si="127"/>
        <v>1.1363985672419408</v>
      </c>
      <c r="O2717" s="194">
        <f t="shared" si="128"/>
        <v>4.5455942689677634E-2</v>
      </c>
    </row>
    <row r="2718" spans="1:15" ht="12.75" customHeight="1">
      <c r="A2718" s="188" t="s">
        <v>620</v>
      </c>
      <c r="B2718" s="188" t="s">
        <v>3787</v>
      </c>
      <c r="C2718" s="188" t="s">
        <v>659</v>
      </c>
      <c r="D2718" s="188" t="s">
        <v>4289</v>
      </c>
      <c r="E2718" s="189">
        <v>39478</v>
      </c>
      <c r="F2718" s="190">
        <v>0</v>
      </c>
      <c r="G2718" s="190">
        <v>108.8</v>
      </c>
      <c r="H2718" s="191">
        <v>1625</v>
      </c>
      <c r="I2718" s="191">
        <v>765</v>
      </c>
      <c r="J2718" s="188" t="s">
        <v>624</v>
      </c>
      <c r="K2718" s="188" t="s">
        <v>1344</v>
      </c>
      <c r="L2718" s="188" t="s">
        <v>833</v>
      </c>
      <c r="M2718" s="192">
        <f t="shared" si="126"/>
        <v>21</v>
      </c>
      <c r="N2718" s="193">
        <f t="shared" si="127"/>
        <v>0.95588235294117652</v>
      </c>
      <c r="O2718" s="194">
        <f t="shared" si="128"/>
        <v>4.551820728291317E-2</v>
      </c>
    </row>
    <row r="2719" spans="1:15" ht="12.75" customHeight="1">
      <c r="A2719" s="188" t="s">
        <v>620</v>
      </c>
      <c r="B2719" s="188" t="s">
        <v>3787</v>
      </c>
      <c r="C2719" s="188" t="s">
        <v>659</v>
      </c>
      <c r="D2719" s="188" t="s">
        <v>4290</v>
      </c>
      <c r="E2719" s="189">
        <v>39436</v>
      </c>
      <c r="F2719" s="190">
        <v>0</v>
      </c>
      <c r="G2719" s="190">
        <v>11.52</v>
      </c>
      <c r="H2719" s="191">
        <v>205</v>
      </c>
      <c r="I2719" s="191">
        <v>81</v>
      </c>
      <c r="J2719" s="188" t="s">
        <v>624</v>
      </c>
      <c r="K2719" s="188" t="s">
        <v>427</v>
      </c>
      <c r="L2719" s="188" t="s">
        <v>302</v>
      </c>
      <c r="M2719" s="192">
        <f t="shared" si="126"/>
        <v>25</v>
      </c>
      <c r="N2719" s="193">
        <f t="shared" si="127"/>
        <v>1.1388888888888888</v>
      </c>
      <c r="O2719" s="194">
        <f t="shared" si="128"/>
        <v>4.5555555555555551E-2</v>
      </c>
    </row>
    <row r="2720" spans="1:15" ht="12.75" customHeight="1">
      <c r="A2720" s="188" t="s">
        <v>620</v>
      </c>
      <c r="B2720" s="188" t="s">
        <v>3787</v>
      </c>
      <c r="C2720" s="188" t="s">
        <v>659</v>
      </c>
      <c r="D2720" s="188" t="s">
        <v>4291</v>
      </c>
      <c r="E2720" s="189">
        <v>39380</v>
      </c>
      <c r="F2720" s="190">
        <v>0</v>
      </c>
      <c r="G2720" s="190">
        <v>72.58</v>
      </c>
      <c r="H2720" s="191">
        <v>1292</v>
      </c>
      <c r="I2720" s="191">
        <v>510.3</v>
      </c>
      <c r="J2720" s="188" t="s">
        <v>624</v>
      </c>
      <c r="K2720" s="188" t="s">
        <v>427</v>
      </c>
      <c r="L2720" s="188" t="s">
        <v>1680</v>
      </c>
      <c r="M2720" s="192">
        <f t="shared" si="126"/>
        <v>25</v>
      </c>
      <c r="N2720" s="193">
        <f t="shared" si="127"/>
        <v>1.1393298059964727</v>
      </c>
      <c r="O2720" s="194">
        <f t="shared" si="128"/>
        <v>4.5573192239858909E-2</v>
      </c>
    </row>
    <row r="2721" spans="1:15" ht="12.75" customHeight="1">
      <c r="A2721" s="188" t="s">
        <v>620</v>
      </c>
      <c r="B2721" s="188" t="s">
        <v>3787</v>
      </c>
      <c r="C2721" s="188" t="s">
        <v>659</v>
      </c>
      <c r="D2721" s="188" t="s">
        <v>4292</v>
      </c>
      <c r="E2721" s="189">
        <v>39401</v>
      </c>
      <c r="F2721" s="190">
        <v>0</v>
      </c>
      <c r="G2721" s="190">
        <v>154.56</v>
      </c>
      <c r="H2721" s="191">
        <v>2753</v>
      </c>
      <c r="I2721" s="191">
        <v>1086.75</v>
      </c>
      <c r="J2721" s="188" t="s">
        <v>624</v>
      </c>
      <c r="K2721" s="188" t="s">
        <v>427</v>
      </c>
      <c r="L2721" s="188" t="s">
        <v>268</v>
      </c>
      <c r="M2721" s="192">
        <f t="shared" si="126"/>
        <v>25</v>
      </c>
      <c r="N2721" s="193">
        <f t="shared" si="127"/>
        <v>1.1399585921325053</v>
      </c>
      <c r="O2721" s="194">
        <f t="shared" si="128"/>
        <v>4.5598343685300212E-2</v>
      </c>
    </row>
    <row r="2722" spans="1:15" ht="12.75" customHeight="1">
      <c r="A2722" s="188" t="s">
        <v>620</v>
      </c>
      <c r="B2722" s="188" t="s">
        <v>3787</v>
      </c>
      <c r="C2722" s="188" t="s">
        <v>659</v>
      </c>
      <c r="D2722" s="188" t="s">
        <v>4293</v>
      </c>
      <c r="E2722" s="189">
        <v>39507</v>
      </c>
      <c r="F2722" s="190">
        <v>0</v>
      </c>
      <c r="G2722" s="190">
        <v>86.4</v>
      </c>
      <c r="H2722" s="191">
        <v>1540</v>
      </c>
      <c r="I2722" s="191">
        <v>607.5</v>
      </c>
      <c r="J2722" s="188" t="s">
        <v>624</v>
      </c>
      <c r="K2722" s="188" t="s">
        <v>427</v>
      </c>
      <c r="L2722" s="188" t="s">
        <v>707</v>
      </c>
      <c r="M2722" s="192">
        <f t="shared" si="126"/>
        <v>25</v>
      </c>
      <c r="N2722" s="193">
        <f t="shared" si="127"/>
        <v>1.1407407407407408</v>
      </c>
      <c r="O2722" s="194">
        <f t="shared" si="128"/>
        <v>4.5629629629629631E-2</v>
      </c>
    </row>
    <row r="2723" spans="1:15" ht="12.75" customHeight="1">
      <c r="A2723" s="188" t="s">
        <v>620</v>
      </c>
      <c r="B2723" s="188" t="s">
        <v>3787</v>
      </c>
      <c r="C2723" s="188" t="s">
        <v>659</v>
      </c>
      <c r="D2723" s="188" t="s">
        <v>4294</v>
      </c>
      <c r="E2723" s="189">
        <v>39447</v>
      </c>
      <c r="F2723" s="190">
        <v>0</v>
      </c>
      <c r="G2723" s="190">
        <v>89.54</v>
      </c>
      <c r="H2723" s="191">
        <v>1602</v>
      </c>
      <c r="I2723" s="191">
        <v>629.54999999999995</v>
      </c>
      <c r="J2723" s="188" t="s">
        <v>624</v>
      </c>
      <c r="K2723" s="188" t="s">
        <v>427</v>
      </c>
      <c r="L2723" s="188" t="s">
        <v>2067</v>
      </c>
      <c r="M2723" s="192">
        <f t="shared" si="126"/>
        <v>25</v>
      </c>
      <c r="N2723" s="193">
        <f t="shared" si="127"/>
        <v>1.1451036454610437</v>
      </c>
      <c r="O2723" s="194">
        <f t="shared" si="128"/>
        <v>4.5804145818441749E-2</v>
      </c>
    </row>
    <row r="2724" spans="1:15" ht="12.75" customHeight="1">
      <c r="A2724" s="188" t="s">
        <v>620</v>
      </c>
      <c r="B2724" s="188" t="s">
        <v>3787</v>
      </c>
      <c r="C2724" s="188" t="s">
        <v>659</v>
      </c>
      <c r="D2724" s="188" t="s">
        <v>4295</v>
      </c>
      <c r="E2724" s="189">
        <v>39447</v>
      </c>
      <c r="F2724" s="190">
        <v>0</v>
      </c>
      <c r="G2724" s="190">
        <v>85.82</v>
      </c>
      <c r="H2724" s="191">
        <v>1290</v>
      </c>
      <c r="I2724" s="191">
        <v>603.45000000000005</v>
      </c>
      <c r="J2724" s="188" t="s">
        <v>624</v>
      </c>
      <c r="K2724" s="188" t="s">
        <v>1344</v>
      </c>
      <c r="L2724" s="188" t="s">
        <v>4296</v>
      </c>
      <c r="M2724" s="192">
        <f t="shared" si="126"/>
        <v>21</v>
      </c>
      <c r="N2724" s="193">
        <f t="shared" si="127"/>
        <v>0.96196868008948544</v>
      </c>
      <c r="O2724" s="194">
        <f t="shared" si="128"/>
        <v>4.5808032385213596E-2</v>
      </c>
    </row>
    <row r="2725" spans="1:15" ht="12.75" customHeight="1">
      <c r="A2725" s="188" t="s">
        <v>620</v>
      </c>
      <c r="B2725" s="188" t="s">
        <v>3787</v>
      </c>
      <c r="C2725" s="188" t="s">
        <v>659</v>
      </c>
      <c r="D2725" s="188" t="s">
        <v>4297</v>
      </c>
      <c r="E2725" s="189">
        <v>39618</v>
      </c>
      <c r="F2725" s="190">
        <v>0</v>
      </c>
      <c r="G2725" s="190">
        <v>65.02</v>
      </c>
      <c r="H2725" s="191">
        <v>1398</v>
      </c>
      <c r="I2725" s="191">
        <v>457.2</v>
      </c>
      <c r="J2725" s="188" t="s">
        <v>624</v>
      </c>
      <c r="K2725" s="188" t="s">
        <v>257</v>
      </c>
      <c r="L2725" s="188" t="s">
        <v>1240</v>
      </c>
      <c r="M2725" s="192">
        <f t="shared" si="126"/>
        <v>30</v>
      </c>
      <c r="N2725" s="193">
        <f t="shared" si="127"/>
        <v>1.3759842519685039</v>
      </c>
      <c r="O2725" s="194">
        <f t="shared" si="128"/>
        <v>4.5866141732283462E-2</v>
      </c>
    </row>
    <row r="2726" spans="1:15" ht="12.75" customHeight="1">
      <c r="A2726" s="188" t="s">
        <v>620</v>
      </c>
      <c r="B2726" s="188" t="s">
        <v>3787</v>
      </c>
      <c r="C2726" s="188" t="s">
        <v>659</v>
      </c>
      <c r="D2726" s="188" t="s">
        <v>4298</v>
      </c>
      <c r="E2726" s="189">
        <v>39240</v>
      </c>
      <c r="F2726" s="190">
        <v>0</v>
      </c>
      <c r="G2726" s="190">
        <v>74.88</v>
      </c>
      <c r="H2726" s="191">
        <v>1345.03</v>
      </c>
      <c r="I2726" s="191">
        <v>526.5</v>
      </c>
      <c r="J2726" s="188" t="s">
        <v>624</v>
      </c>
      <c r="K2726" s="188" t="s">
        <v>427</v>
      </c>
      <c r="L2726" s="188" t="s">
        <v>1261</v>
      </c>
      <c r="M2726" s="192">
        <f t="shared" si="126"/>
        <v>25</v>
      </c>
      <c r="N2726" s="193">
        <f t="shared" si="127"/>
        <v>1.1495982905982907</v>
      </c>
      <c r="O2726" s="194">
        <f t="shared" si="128"/>
        <v>4.5983931623931627E-2</v>
      </c>
    </row>
    <row r="2727" spans="1:15" ht="12.75" customHeight="1">
      <c r="A2727" s="188" t="s">
        <v>620</v>
      </c>
      <c r="B2727" s="188" t="s">
        <v>3787</v>
      </c>
      <c r="C2727" s="188" t="s">
        <v>659</v>
      </c>
      <c r="D2727" s="188" t="s">
        <v>4299</v>
      </c>
      <c r="E2727" s="189">
        <v>39429</v>
      </c>
      <c r="F2727" s="190">
        <v>0</v>
      </c>
      <c r="G2727" s="190">
        <v>51.2</v>
      </c>
      <c r="H2727" s="191">
        <v>920</v>
      </c>
      <c r="I2727" s="191">
        <v>360</v>
      </c>
      <c r="J2727" s="188" t="s">
        <v>624</v>
      </c>
      <c r="K2727" s="188" t="s">
        <v>427</v>
      </c>
      <c r="L2727" s="188" t="s">
        <v>752</v>
      </c>
      <c r="M2727" s="192">
        <f t="shared" si="126"/>
        <v>25</v>
      </c>
      <c r="N2727" s="193">
        <f t="shared" si="127"/>
        <v>1.1499999999999999</v>
      </c>
      <c r="O2727" s="194">
        <f t="shared" si="128"/>
        <v>4.5999999999999999E-2</v>
      </c>
    </row>
    <row r="2728" spans="1:15" ht="12.75" customHeight="1">
      <c r="A2728" s="188" t="s">
        <v>620</v>
      </c>
      <c r="B2728" s="188" t="s">
        <v>3787</v>
      </c>
      <c r="C2728" s="188" t="s">
        <v>659</v>
      </c>
      <c r="D2728" s="188" t="s">
        <v>4300</v>
      </c>
      <c r="E2728" s="189">
        <v>39345</v>
      </c>
      <c r="F2728" s="190">
        <v>0</v>
      </c>
      <c r="G2728" s="190">
        <v>12.8</v>
      </c>
      <c r="H2728" s="191">
        <v>175</v>
      </c>
      <c r="I2728" s="191">
        <v>90</v>
      </c>
      <c r="J2728" s="188" t="s">
        <v>624</v>
      </c>
      <c r="K2728" s="188" t="s">
        <v>667</v>
      </c>
      <c r="L2728" s="188" t="s">
        <v>1322</v>
      </c>
      <c r="M2728" s="192">
        <f t="shared" si="126"/>
        <v>19</v>
      </c>
      <c r="N2728" s="193">
        <f t="shared" si="127"/>
        <v>0.875</v>
      </c>
      <c r="O2728" s="194">
        <f t="shared" si="128"/>
        <v>4.6052631578947366E-2</v>
      </c>
    </row>
    <row r="2729" spans="1:15" ht="12.75" customHeight="1">
      <c r="A2729" s="188" t="s">
        <v>620</v>
      </c>
      <c r="B2729" s="188" t="s">
        <v>3787</v>
      </c>
      <c r="C2729" s="188" t="s">
        <v>659</v>
      </c>
      <c r="D2729" s="188" t="s">
        <v>4301</v>
      </c>
      <c r="E2729" s="189">
        <v>39436</v>
      </c>
      <c r="F2729" s="190">
        <v>0</v>
      </c>
      <c r="G2729" s="190">
        <v>92.8</v>
      </c>
      <c r="H2729" s="191">
        <v>1407</v>
      </c>
      <c r="I2729" s="191">
        <v>652.5</v>
      </c>
      <c r="J2729" s="188" t="s">
        <v>624</v>
      </c>
      <c r="K2729" s="188" t="s">
        <v>1344</v>
      </c>
      <c r="L2729" s="188" t="s">
        <v>920</v>
      </c>
      <c r="M2729" s="192">
        <f t="shared" si="126"/>
        <v>21</v>
      </c>
      <c r="N2729" s="193">
        <f t="shared" si="127"/>
        <v>0.97034482758620688</v>
      </c>
      <c r="O2729" s="194">
        <f t="shared" si="128"/>
        <v>4.6206896551724136E-2</v>
      </c>
    </row>
    <row r="2730" spans="1:15" ht="12.75" customHeight="1">
      <c r="A2730" s="188" t="s">
        <v>620</v>
      </c>
      <c r="B2730" s="188" t="s">
        <v>3787</v>
      </c>
      <c r="C2730" s="188" t="s">
        <v>659</v>
      </c>
      <c r="D2730" s="188" t="s">
        <v>4302</v>
      </c>
      <c r="E2730" s="189">
        <v>39282</v>
      </c>
      <c r="F2730" s="190">
        <v>0</v>
      </c>
      <c r="G2730" s="190">
        <v>44.99</v>
      </c>
      <c r="H2730" s="191">
        <v>683.03</v>
      </c>
      <c r="I2730" s="191">
        <v>316.35000000000002</v>
      </c>
      <c r="J2730" s="188" t="s">
        <v>624</v>
      </c>
      <c r="K2730" s="188" t="s">
        <v>1344</v>
      </c>
      <c r="L2730" s="188" t="s">
        <v>2742</v>
      </c>
      <c r="M2730" s="192">
        <f t="shared" si="126"/>
        <v>21</v>
      </c>
      <c r="N2730" s="193">
        <f t="shared" si="127"/>
        <v>0.97159317211948792</v>
      </c>
      <c r="O2730" s="194">
        <f t="shared" si="128"/>
        <v>4.6266341529499426E-2</v>
      </c>
    </row>
    <row r="2731" spans="1:15" ht="12.75" customHeight="1">
      <c r="A2731" s="188" t="s">
        <v>620</v>
      </c>
      <c r="B2731" s="188" t="s">
        <v>3787</v>
      </c>
      <c r="C2731" s="188" t="s">
        <v>659</v>
      </c>
      <c r="D2731" s="188" t="s">
        <v>4303</v>
      </c>
      <c r="E2731" s="189">
        <v>39534</v>
      </c>
      <c r="F2731" s="190">
        <v>0</v>
      </c>
      <c r="G2731" s="190">
        <v>60.93</v>
      </c>
      <c r="H2731" s="191">
        <v>1102</v>
      </c>
      <c r="I2731" s="191">
        <v>428.4</v>
      </c>
      <c r="J2731" s="188" t="s">
        <v>624</v>
      </c>
      <c r="K2731" s="188" t="s">
        <v>427</v>
      </c>
      <c r="L2731" s="188" t="s">
        <v>4304</v>
      </c>
      <c r="M2731" s="192">
        <f t="shared" si="126"/>
        <v>25</v>
      </c>
      <c r="N2731" s="193">
        <f t="shared" si="127"/>
        <v>1.1575630252100841</v>
      </c>
      <c r="O2731" s="194">
        <f t="shared" si="128"/>
        <v>4.6302521008403368E-2</v>
      </c>
    </row>
    <row r="2732" spans="1:15" ht="12.75" customHeight="1">
      <c r="A2732" s="188" t="s">
        <v>620</v>
      </c>
      <c r="B2732" s="188" t="s">
        <v>3787</v>
      </c>
      <c r="C2732" s="188" t="s">
        <v>659</v>
      </c>
      <c r="D2732" s="188" t="s">
        <v>4305</v>
      </c>
      <c r="E2732" s="189">
        <v>39380</v>
      </c>
      <c r="F2732" s="190">
        <v>0</v>
      </c>
      <c r="G2732" s="190">
        <v>80.64</v>
      </c>
      <c r="H2732" s="191">
        <v>1460</v>
      </c>
      <c r="I2732" s="191">
        <v>567</v>
      </c>
      <c r="J2732" s="188" t="s">
        <v>624</v>
      </c>
      <c r="K2732" s="188" t="s">
        <v>427</v>
      </c>
      <c r="L2732" s="188" t="s">
        <v>680</v>
      </c>
      <c r="M2732" s="192">
        <f t="shared" si="126"/>
        <v>25</v>
      </c>
      <c r="N2732" s="193">
        <f t="shared" si="127"/>
        <v>1.1587301587301588</v>
      </c>
      <c r="O2732" s="194">
        <f t="shared" si="128"/>
        <v>4.6349206349206355E-2</v>
      </c>
    </row>
    <row r="2733" spans="1:15" ht="12.75" customHeight="1">
      <c r="A2733" s="188" t="s">
        <v>620</v>
      </c>
      <c r="B2733" s="188" t="s">
        <v>3787</v>
      </c>
      <c r="C2733" s="188" t="s">
        <v>659</v>
      </c>
      <c r="D2733" s="188" t="s">
        <v>4306</v>
      </c>
      <c r="E2733" s="189">
        <v>39401</v>
      </c>
      <c r="F2733" s="190">
        <v>0</v>
      </c>
      <c r="G2733" s="190">
        <v>32</v>
      </c>
      <c r="H2733" s="191">
        <v>580</v>
      </c>
      <c r="I2733" s="191">
        <v>225</v>
      </c>
      <c r="J2733" s="188" t="s">
        <v>624</v>
      </c>
      <c r="K2733" s="188" t="s">
        <v>427</v>
      </c>
      <c r="L2733" s="188" t="s">
        <v>858</v>
      </c>
      <c r="M2733" s="192">
        <f t="shared" si="126"/>
        <v>25</v>
      </c>
      <c r="N2733" s="193">
        <f t="shared" si="127"/>
        <v>1.1599999999999999</v>
      </c>
      <c r="O2733" s="194">
        <f t="shared" si="128"/>
        <v>4.6399999999999997E-2</v>
      </c>
    </row>
    <row r="2734" spans="1:15" ht="12.75" customHeight="1">
      <c r="A2734" s="188" t="s">
        <v>620</v>
      </c>
      <c r="B2734" s="188" t="s">
        <v>3787</v>
      </c>
      <c r="C2734" s="188" t="s">
        <v>659</v>
      </c>
      <c r="D2734" s="188" t="s">
        <v>4307</v>
      </c>
      <c r="E2734" s="189">
        <v>39359</v>
      </c>
      <c r="F2734" s="190">
        <v>0</v>
      </c>
      <c r="G2734" s="190">
        <v>159.1</v>
      </c>
      <c r="H2734" s="191">
        <v>2885</v>
      </c>
      <c r="I2734" s="191">
        <v>1118.7</v>
      </c>
      <c r="J2734" s="188" t="s">
        <v>624</v>
      </c>
      <c r="K2734" s="188" t="s">
        <v>427</v>
      </c>
      <c r="L2734" s="188" t="s">
        <v>4308</v>
      </c>
      <c r="M2734" s="192">
        <f t="shared" si="126"/>
        <v>25</v>
      </c>
      <c r="N2734" s="193">
        <f t="shared" si="127"/>
        <v>1.160498793242156</v>
      </c>
      <c r="O2734" s="194">
        <f t="shared" si="128"/>
        <v>4.6419951729686243E-2</v>
      </c>
    </row>
    <row r="2735" spans="1:15" ht="12.75" customHeight="1">
      <c r="A2735" s="188" t="s">
        <v>620</v>
      </c>
      <c r="B2735" s="188" t="s">
        <v>3787</v>
      </c>
      <c r="C2735" s="188" t="s">
        <v>659</v>
      </c>
      <c r="D2735" s="188" t="s">
        <v>4309</v>
      </c>
      <c r="E2735" s="189">
        <v>39548</v>
      </c>
      <c r="F2735" s="190">
        <v>0</v>
      </c>
      <c r="G2735" s="190">
        <v>105.6</v>
      </c>
      <c r="H2735" s="191">
        <v>1915</v>
      </c>
      <c r="I2735" s="191">
        <v>742.5</v>
      </c>
      <c r="J2735" s="188" t="s">
        <v>624</v>
      </c>
      <c r="K2735" s="188" t="s">
        <v>427</v>
      </c>
      <c r="L2735" s="188" t="s">
        <v>885</v>
      </c>
      <c r="M2735" s="192">
        <f t="shared" si="126"/>
        <v>25</v>
      </c>
      <c r="N2735" s="193">
        <f t="shared" si="127"/>
        <v>1.1606060606060606</v>
      </c>
      <c r="O2735" s="194">
        <f t="shared" si="128"/>
        <v>4.6424242424242423E-2</v>
      </c>
    </row>
    <row r="2736" spans="1:15" ht="12.75" customHeight="1">
      <c r="A2736" s="188" t="s">
        <v>620</v>
      </c>
      <c r="B2736" s="188" t="s">
        <v>3787</v>
      </c>
      <c r="C2736" s="188" t="s">
        <v>659</v>
      </c>
      <c r="D2736" s="188" t="s">
        <v>4310</v>
      </c>
      <c r="E2736" s="189">
        <v>39261</v>
      </c>
      <c r="F2736" s="190">
        <v>0</v>
      </c>
      <c r="G2736" s="190">
        <v>46.59</v>
      </c>
      <c r="H2736" s="191">
        <v>848.19</v>
      </c>
      <c r="I2736" s="191">
        <v>327.60000000000002</v>
      </c>
      <c r="J2736" s="188" t="s">
        <v>624</v>
      </c>
      <c r="K2736" s="188" t="s">
        <v>427</v>
      </c>
      <c r="L2736" s="188" t="s">
        <v>1249</v>
      </c>
      <c r="M2736" s="192">
        <f t="shared" si="126"/>
        <v>25</v>
      </c>
      <c r="N2736" s="193">
        <f t="shared" si="127"/>
        <v>1.1650961538461539</v>
      </c>
      <c r="O2736" s="194">
        <f t="shared" si="128"/>
        <v>4.6603846153846155E-2</v>
      </c>
    </row>
    <row r="2737" spans="1:15" ht="12.75" customHeight="1">
      <c r="A2737" s="188" t="s">
        <v>620</v>
      </c>
      <c r="B2737" s="188" t="s">
        <v>3787</v>
      </c>
      <c r="C2737" s="188" t="s">
        <v>659</v>
      </c>
      <c r="D2737" s="188" t="s">
        <v>4311</v>
      </c>
      <c r="E2737" s="189">
        <v>39513</v>
      </c>
      <c r="F2737" s="190">
        <v>0</v>
      </c>
      <c r="G2737" s="190">
        <v>49.15</v>
      </c>
      <c r="H2737" s="191">
        <v>895</v>
      </c>
      <c r="I2737" s="191">
        <v>345.6</v>
      </c>
      <c r="J2737" s="188" t="s">
        <v>624</v>
      </c>
      <c r="K2737" s="188" t="s">
        <v>427</v>
      </c>
      <c r="L2737" s="188" t="s">
        <v>1741</v>
      </c>
      <c r="M2737" s="192">
        <f t="shared" si="126"/>
        <v>25</v>
      </c>
      <c r="N2737" s="193">
        <f t="shared" si="127"/>
        <v>1.1653645833333333</v>
      </c>
      <c r="O2737" s="194">
        <f t="shared" si="128"/>
        <v>4.6614583333333327E-2</v>
      </c>
    </row>
    <row r="2738" spans="1:15" ht="12.75" customHeight="1">
      <c r="A2738" s="188" t="s">
        <v>620</v>
      </c>
      <c r="B2738" s="188" t="s">
        <v>3787</v>
      </c>
      <c r="C2738" s="188" t="s">
        <v>659</v>
      </c>
      <c r="D2738" s="188" t="s">
        <v>4312</v>
      </c>
      <c r="E2738" s="189">
        <v>39520</v>
      </c>
      <c r="F2738" s="190">
        <v>0</v>
      </c>
      <c r="G2738" s="190">
        <v>82.24</v>
      </c>
      <c r="H2738" s="191">
        <v>1799</v>
      </c>
      <c r="I2738" s="191">
        <v>578.25</v>
      </c>
      <c r="J2738" s="188" t="s">
        <v>624</v>
      </c>
      <c r="K2738" s="188" t="s">
        <v>257</v>
      </c>
      <c r="L2738" s="188" t="s">
        <v>3031</v>
      </c>
      <c r="M2738" s="192">
        <f t="shared" si="126"/>
        <v>30</v>
      </c>
      <c r="N2738" s="193">
        <f t="shared" si="127"/>
        <v>1.4</v>
      </c>
      <c r="O2738" s="194">
        <f t="shared" si="128"/>
        <v>4.6666666666666662E-2</v>
      </c>
    </row>
    <row r="2739" spans="1:15" ht="12.75" customHeight="1">
      <c r="A2739" s="188" t="s">
        <v>620</v>
      </c>
      <c r="B2739" s="188" t="s">
        <v>3787</v>
      </c>
      <c r="C2739" s="188" t="s">
        <v>659</v>
      </c>
      <c r="D2739" s="188" t="s">
        <v>4313</v>
      </c>
      <c r="E2739" s="189">
        <v>39492</v>
      </c>
      <c r="F2739" s="190">
        <v>0</v>
      </c>
      <c r="G2739" s="190">
        <v>38.4</v>
      </c>
      <c r="H2739" s="191">
        <v>700</v>
      </c>
      <c r="I2739" s="191">
        <v>270</v>
      </c>
      <c r="J2739" s="188" t="s">
        <v>624</v>
      </c>
      <c r="K2739" s="188" t="s">
        <v>427</v>
      </c>
      <c r="L2739" s="188" t="s">
        <v>677</v>
      </c>
      <c r="M2739" s="192">
        <f t="shared" si="126"/>
        <v>25</v>
      </c>
      <c r="N2739" s="193">
        <f t="shared" si="127"/>
        <v>1.1666666666666667</v>
      </c>
      <c r="O2739" s="194">
        <f t="shared" si="128"/>
        <v>4.6666666666666669E-2</v>
      </c>
    </row>
    <row r="2740" spans="1:15" ht="12.75" customHeight="1">
      <c r="A2740" s="188" t="s">
        <v>620</v>
      </c>
      <c r="B2740" s="188" t="s">
        <v>3787</v>
      </c>
      <c r="C2740" s="188" t="s">
        <v>659</v>
      </c>
      <c r="D2740" s="188" t="s">
        <v>4314</v>
      </c>
      <c r="E2740" s="189">
        <v>39562</v>
      </c>
      <c r="F2740" s="190">
        <v>0</v>
      </c>
      <c r="G2740" s="190">
        <v>56.9</v>
      </c>
      <c r="H2740" s="191">
        <v>1247.03</v>
      </c>
      <c r="I2740" s="191">
        <v>400.05</v>
      </c>
      <c r="J2740" s="188" t="s">
        <v>624</v>
      </c>
      <c r="K2740" s="188" t="s">
        <v>257</v>
      </c>
      <c r="L2740" s="188" t="s">
        <v>3907</v>
      </c>
      <c r="M2740" s="192">
        <f t="shared" si="126"/>
        <v>30</v>
      </c>
      <c r="N2740" s="193">
        <f t="shared" si="127"/>
        <v>1.4027334083239595</v>
      </c>
      <c r="O2740" s="194">
        <f t="shared" si="128"/>
        <v>4.675778027746532E-2</v>
      </c>
    </row>
    <row r="2741" spans="1:15" ht="12.75" customHeight="1">
      <c r="A2741" s="188" t="s">
        <v>620</v>
      </c>
      <c r="B2741" s="188" t="s">
        <v>3787</v>
      </c>
      <c r="C2741" s="188" t="s">
        <v>659</v>
      </c>
      <c r="D2741" s="188" t="s">
        <v>4315</v>
      </c>
      <c r="E2741" s="189">
        <v>39219</v>
      </c>
      <c r="F2741" s="190">
        <v>0</v>
      </c>
      <c r="G2741" s="190">
        <v>38.4</v>
      </c>
      <c r="H2741" s="191">
        <v>702</v>
      </c>
      <c r="I2741" s="191">
        <v>270</v>
      </c>
      <c r="J2741" s="188" t="s">
        <v>624</v>
      </c>
      <c r="K2741" s="188" t="s">
        <v>427</v>
      </c>
      <c r="L2741" s="188" t="s">
        <v>677</v>
      </c>
      <c r="M2741" s="192">
        <f t="shared" si="126"/>
        <v>25</v>
      </c>
      <c r="N2741" s="193">
        <f t="shared" si="127"/>
        <v>1.17</v>
      </c>
      <c r="O2741" s="194">
        <f t="shared" si="128"/>
        <v>4.6799999999999994E-2</v>
      </c>
    </row>
    <row r="2742" spans="1:15" ht="12.75" customHeight="1">
      <c r="A2742" s="188" t="s">
        <v>620</v>
      </c>
      <c r="B2742" s="188" t="s">
        <v>3787</v>
      </c>
      <c r="C2742" s="188" t="s">
        <v>659</v>
      </c>
      <c r="D2742" s="188" t="s">
        <v>4316</v>
      </c>
      <c r="E2742" s="189">
        <v>39611</v>
      </c>
      <c r="F2742" s="190">
        <v>0</v>
      </c>
      <c r="G2742" s="190">
        <v>68.099999999999994</v>
      </c>
      <c r="H2742" s="191">
        <v>1245.4100000000001</v>
      </c>
      <c r="I2742" s="191">
        <v>478.8</v>
      </c>
      <c r="J2742" s="188" t="s">
        <v>624</v>
      </c>
      <c r="K2742" s="188" t="s">
        <v>427</v>
      </c>
      <c r="L2742" s="188" t="s">
        <v>2626</v>
      </c>
      <c r="M2742" s="192">
        <f t="shared" si="126"/>
        <v>25</v>
      </c>
      <c r="N2742" s="193">
        <f t="shared" si="127"/>
        <v>1.1704981203007521</v>
      </c>
      <c r="O2742" s="194">
        <f t="shared" si="128"/>
        <v>4.6819924812030081E-2</v>
      </c>
    </row>
    <row r="2743" spans="1:15" ht="12.75" customHeight="1">
      <c r="A2743" s="188" t="s">
        <v>620</v>
      </c>
      <c r="B2743" s="188" t="s">
        <v>3787</v>
      </c>
      <c r="C2743" s="188" t="s">
        <v>659</v>
      </c>
      <c r="D2743" s="188" t="s">
        <v>4317</v>
      </c>
      <c r="E2743" s="189">
        <v>39366</v>
      </c>
      <c r="F2743" s="190">
        <v>0</v>
      </c>
      <c r="G2743" s="190">
        <v>48.38</v>
      </c>
      <c r="H2743" s="191">
        <v>885</v>
      </c>
      <c r="I2743" s="191">
        <v>340.2</v>
      </c>
      <c r="J2743" s="188" t="s">
        <v>624</v>
      </c>
      <c r="K2743" s="188" t="s">
        <v>427</v>
      </c>
      <c r="L2743" s="188" t="s">
        <v>3595</v>
      </c>
      <c r="M2743" s="192">
        <f t="shared" si="126"/>
        <v>25</v>
      </c>
      <c r="N2743" s="193">
        <f t="shared" si="127"/>
        <v>1.1706349206349207</v>
      </c>
      <c r="O2743" s="194">
        <f t="shared" si="128"/>
        <v>4.6825396825396826E-2</v>
      </c>
    </row>
    <row r="2744" spans="1:15" ht="12.75" customHeight="1">
      <c r="A2744" s="188" t="s">
        <v>620</v>
      </c>
      <c r="B2744" s="188" t="s">
        <v>3787</v>
      </c>
      <c r="C2744" s="188" t="s">
        <v>659</v>
      </c>
      <c r="D2744" s="188" t="s">
        <v>4318</v>
      </c>
      <c r="E2744" s="189">
        <v>39576</v>
      </c>
      <c r="F2744" s="190">
        <v>0</v>
      </c>
      <c r="G2744" s="190">
        <v>75.459999999999994</v>
      </c>
      <c r="H2744" s="191">
        <v>1656.63</v>
      </c>
      <c r="I2744" s="191">
        <v>530.54999999999995</v>
      </c>
      <c r="J2744" s="188" t="s">
        <v>624</v>
      </c>
      <c r="K2744" s="188" t="s">
        <v>257</v>
      </c>
      <c r="L2744" s="188" t="s">
        <v>2831</v>
      </c>
      <c r="M2744" s="192">
        <f t="shared" si="126"/>
        <v>30</v>
      </c>
      <c r="N2744" s="193">
        <f t="shared" si="127"/>
        <v>1.405114503816794</v>
      </c>
      <c r="O2744" s="194">
        <f t="shared" si="128"/>
        <v>4.6837150127226466E-2</v>
      </c>
    </row>
    <row r="2745" spans="1:15" ht="12.75" customHeight="1">
      <c r="A2745" s="188" t="s">
        <v>620</v>
      </c>
      <c r="B2745" s="188" t="s">
        <v>3787</v>
      </c>
      <c r="C2745" s="188" t="s">
        <v>659</v>
      </c>
      <c r="D2745" s="188" t="s">
        <v>4319</v>
      </c>
      <c r="E2745" s="189">
        <v>39310</v>
      </c>
      <c r="F2745" s="190">
        <v>0</v>
      </c>
      <c r="G2745" s="190">
        <v>83.2</v>
      </c>
      <c r="H2745" s="191">
        <v>1278.94</v>
      </c>
      <c r="I2745" s="191">
        <v>585</v>
      </c>
      <c r="J2745" s="188" t="s">
        <v>624</v>
      </c>
      <c r="K2745" s="188" t="s">
        <v>1344</v>
      </c>
      <c r="L2745" s="188" t="s">
        <v>699</v>
      </c>
      <c r="M2745" s="192">
        <f t="shared" si="126"/>
        <v>21</v>
      </c>
      <c r="N2745" s="193">
        <f t="shared" si="127"/>
        <v>0.98380000000000001</v>
      </c>
      <c r="O2745" s="194">
        <f t="shared" si="128"/>
        <v>4.6847619047619048E-2</v>
      </c>
    </row>
    <row r="2746" spans="1:15" ht="12.75" customHeight="1">
      <c r="A2746" s="188" t="s">
        <v>620</v>
      </c>
      <c r="B2746" s="188" t="s">
        <v>3787</v>
      </c>
      <c r="C2746" s="188" t="s">
        <v>659</v>
      </c>
      <c r="D2746" s="188" t="s">
        <v>4320</v>
      </c>
      <c r="E2746" s="189">
        <v>39562</v>
      </c>
      <c r="F2746" s="190">
        <v>0</v>
      </c>
      <c r="G2746" s="190">
        <v>109.06</v>
      </c>
      <c r="H2746" s="191">
        <v>1999</v>
      </c>
      <c r="I2746" s="191">
        <v>766.8</v>
      </c>
      <c r="J2746" s="188" t="s">
        <v>624</v>
      </c>
      <c r="K2746" s="188" t="s">
        <v>427</v>
      </c>
      <c r="L2746" s="188" t="s">
        <v>2082</v>
      </c>
      <c r="M2746" s="192">
        <f t="shared" si="126"/>
        <v>25</v>
      </c>
      <c r="N2746" s="193">
        <f t="shared" si="127"/>
        <v>1.1731220657276995</v>
      </c>
      <c r="O2746" s="194">
        <f t="shared" si="128"/>
        <v>4.6924882629107982E-2</v>
      </c>
    </row>
    <row r="2747" spans="1:15" ht="12.75" customHeight="1">
      <c r="A2747" s="188" t="s">
        <v>620</v>
      </c>
      <c r="B2747" s="188" t="s">
        <v>3787</v>
      </c>
      <c r="C2747" s="188" t="s">
        <v>659</v>
      </c>
      <c r="D2747" s="188" t="s">
        <v>4321</v>
      </c>
      <c r="E2747" s="189">
        <v>39429</v>
      </c>
      <c r="F2747" s="190">
        <v>0</v>
      </c>
      <c r="G2747" s="190">
        <v>87.04</v>
      </c>
      <c r="H2747" s="191">
        <v>1600</v>
      </c>
      <c r="I2747" s="191">
        <v>612</v>
      </c>
      <c r="J2747" s="188" t="s">
        <v>624</v>
      </c>
      <c r="K2747" s="188" t="s">
        <v>427</v>
      </c>
      <c r="L2747" s="188" t="s">
        <v>774</v>
      </c>
      <c r="M2747" s="192">
        <f t="shared" si="126"/>
        <v>25</v>
      </c>
      <c r="N2747" s="193">
        <f t="shared" si="127"/>
        <v>1.1764705882352942</v>
      </c>
      <c r="O2747" s="194">
        <f t="shared" si="128"/>
        <v>4.7058823529411764E-2</v>
      </c>
    </row>
    <row r="2748" spans="1:15" ht="12.75" customHeight="1">
      <c r="A2748" s="188" t="s">
        <v>620</v>
      </c>
      <c r="B2748" s="188" t="s">
        <v>3787</v>
      </c>
      <c r="C2748" s="188" t="s">
        <v>659</v>
      </c>
      <c r="D2748" s="188" t="s">
        <v>4322</v>
      </c>
      <c r="E2748" s="189">
        <v>39289</v>
      </c>
      <c r="F2748" s="190">
        <v>0</v>
      </c>
      <c r="G2748" s="190">
        <v>72.19</v>
      </c>
      <c r="H2748" s="191">
        <v>1114.92</v>
      </c>
      <c r="I2748" s="191">
        <v>507.6</v>
      </c>
      <c r="J2748" s="188" t="s">
        <v>624</v>
      </c>
      <c r="K2748" s="188" t="s">
        <v>1344</v>
      </c>
      <c r="L2748" s="188" t="s">
        <v>1390</v>
      </c>
      <c r="M2748" s="192">
        <f t="shared" si="126"/>
        <v>21</v>
      </c>
      <c r="N2748" s="193">
        <f t="shared" si="127"/>
        <v>0.98840425531914899</v>
      </c>
      <c r="O2748" s="194">
        <f t="shared" si="128"/>
        <v>4.7066869300911855E-2</v>
      </c>
    </row>
    <row r="2749" spans="1:15" ht="12.75" customHeight="1">
      <c r="A2749" s="188" t="s">
        <v>620</v>
      </c>
      <c r="B2749" s="188" t="s">
        <v>3787</v>
      </c>
      <c r="C2749" s="188" t="s">
        <v>659</v>
      </c>
      <c r="D2749" s="188" t="s">
        <v>4323</v>
      </c>
      <c r="E2749" s="189">
        <v>39240</v>
      </c>
      <c r="F2749" s="190">
        <v>0</v>
      </c>
      <c r="G2749" s="190">
        <v>78.59</v>
      </c>
      <c r="H2749" s="191">
        <v>1214.98</v>
      </c>
      <c r="I2749" s="191">
        <v>552.6</v>
      </c>
      <c r="J2749" s="188" t="s">
        <v>624</v>
      </c>
      <c r="K2749" s="188" t="s">
        <v>1344</v>
      </c>
      <c r="L2749" s="188" t="s">
        <v>2829</v>
      </c>
      <c r="M2749" s="192">
        <f t="shared" si="126"/>
        <v>21</v>
      </c>
      <c r="N2749" s="193">
        <f t="shared" si="127"/>
        <v>0.98939739413680783</v>
      </c>
      <c r="O2749" s="194">
        <f t="shared" si="128"/>
        <v>4.7114161625562277E-2</v>
      </c>
    </row>
    <row r="2750" spans="1:15" ht="12.75" customHeight="1">
      <c r="A2750" s="188" t="s">
        <v>620</v>
      </c>
      <c r="B2750" s="188" t="s">
        <v>3787</v>
      </c>
      <c r="C2750" s="188" t="s">
        <v>659</v>
      </c>
      <c r="D2750" s="188" t="s">
        <v>4324</v>
      </c>
      <c r="E2750" s="189">
        <v>39269</v>
      </c>
      <c r="F2750" s="190">
        <v>0</v>
      </c>
      <c r="G2750" s="190">
        <v>58.37</v>
      </c>
      <c r="H2750" s="191">
        <v>1074.97</v>
      </c>
      <c r="I2750" s="191">
        <v>410.4</v>
      </c>
      <c r="J2750" s="188" t="s">
        <v>624</v>
      </c>
      <c r="K2750" s="188" t="s">
        <v>427</v>
      </c>
      <c r="L2750" s="188" t="s">
        <v>1808</v>
      </c>
      <c r="M2750" s="192">
        <f t="shared" si="126"/>
        <v>25</v>
      </c>
      <c r="N2750" s="193">
        <f t="shared" si="127"/>
        <v>1.1786951754385966</v>
      </c>
      <c r="O2750" s="194">
        <f t="shared" si="128"/>
        <v>4.7147807017543862E-2</v>
      </c>
    </row>
    <row r="2751" spans="1:15" ht="12.75" customHeight="1">
      <c r="A2751" s="188" t="s">
        <v>620</v>
      </c>
      <c r="B2751" s="188" t="s">
        <v>3787</v>
      </c>
      <c r="C2751" s="188" t="s">
        <v>659</v>
      </c>
      <c r="D2751" s="188" t="s">
        <v>4325</v>
      </c>
      <c r="E2751" s="189">
        <v>39269</v>
      </c>
      <c r="F2751" s="190">
        <v>0</v>
      </c>
      <c r="G2751" s="190">
        <v>67.260000000000005</v>
      </c>
      <c r="H2751" s="191">
        <v>1239.97</v>
      </c>
      <c r="I2751" s="191">
        <v>472.95</v>
      </c>
      <c r="J2751" s="188" t="s">
        <v>624</v>
      </c>
      <c r="K2751" s="188" t="s">
        <v>427</v>
      </c>
      <c r="L2751" s="188" t="s">
        <v>4326</v>
      </c>
      <c r="M2751" s="192">
        <f t="shared" si="126"/>
        <v>25</v>
      </c>
      <c r="N2751" s="193">
        <f t="shared" si="127"/>
        <v>1.1798001902949573</v>
      </c>
      <c r="O2751" s="194">
        <f t="shared" si="128"/>
        <v>4.7192007611798294E-2</v>
      </c>
    </row>
    <row r="2752" spans="1:15" ht="12.75" customHeight="1">
      <c r="A2752" s="188" t="s">
        <v>620</v>
      </c>
      <c r="B2752" s="188" t="s">
        <v>3787</v>
      </c>
      <c r="C2752" s="188" t="s">
        <v>659</v>
      </c>
      <c r="D2752" s="188" t="s">
        <v>4327</v>
      </c>
      <c r="E2752" s="189">
        <v>39618</v>
      </c>
      <c r="F2752" s="190">
        <v>0</v>
      </c>
      <c r="G2752" s="190">
        <v>58.37</v>
      </c>
      <c r="H2752" s="191">
        <v>1076</v>
      </c>
      <c r="I2752" s="191">
        <v>410.4</v>
      </c>
      <c r="J2752" s="188" t="s">
        <v>624</v>
      </c>
      <c r="K2752" s="188" t="s">
        <v>427</v>
      </c>
      <c r="L2752" s="188" t="s">
        <v>1808</v>
      </c>
      <c r="M2752" s="192">
        <f t="shared" si="126"/>
        <v>25</v>
      </c>
      <c r="N2752" s="193">
        <f t="shared" si="127"/>
        <v>1.1798245614035088</v>
      </c>
      <c r="O2752" s="194">
        <f t="shared" si="128"/>
        <v>4.7192982456140349E-2</v>
      </c>
    </row>
    <row r="2753" spans="1:15" ht="12.75" customHeight="1">
      <c r="A2753" s="188" t="s">
        <v>620</v>
      </c>
      <c r="B2753" s="188" t="s">
        <v>3787</v>
      </c>
      <c r="C2753" s="188" t="s">
        <v>659</v>
      </c>
      <c r="D2753" s="188" t="s">
        <v>4328</v>
      </c>
      <c r="E2753" s="189">
        <v>39611</v>
      </c>
      <c r="F2753" s="190">
        <v>0</v>
      </c>
      <c r="G2753" s="190">
        <v>20.61</v>
      </c>
      <c r="H2753" s="191">
        <v>379.96</v>
      </c>
      <c r="I2753" s="191">
        <v>144.9</v>
      </c>
      <c r="J2753" s="188" t="s">
        <v>624</v>
      </c>
      <c r="K2753" s="188" t="s">
        <v>427</v>
      </c>
      <c r="L2753" s="188" t="s">
        <v>1935</v>
      </c>
      <c r="M2753" s="192">
        <f t="shared" si="126"/>
        <v>25</v>
      </c>
      <c r="N2753" s="193">
        <f t="shared" si="127"/>
        <v>1.18</v>
      </c>
      <c r="O2753" s="194">
        <f t="shared" si="128"/>
        <v>4.7199999999999999E-2</v>
      </c>
    </row>
    <row r="2754" spans="1:15" ht="12.75" customHeight="1">
      <c r="A2754" s="188" t="s">
        <v>620</v>
      </c>
      <c r="B2754" s="188" t="s">
        <v>3787</v>
      </c>
      <c r="C2754" s="188" t="s">
        <v>659</v>
      </c>
      <c r="D2754" s="188" t="s">
        <v>4329</v>
      </c>
      <c r="E2754" s="189">
        <v>39513</v>
      </c>
      <c r="F2754" s="190">
        <v>0</v>
      </c>
      <c r="G2754" s="190">
        <v>80.06</v>
      </c>
      <c r="H2754" s="191">
        <v>1477</v>
      </c>
      <c r="I2754" s="191">
        <v>562.95000000000005</v>
      </c>
      <c r="J2754" s="188" t="s">
        <v>624</v>
      </c>
      <c r="K2754" s="188" t="s">
        <v>427</v>
      </c>
      <c r="L2754" s="188" t="s">
        <v>4330</v>
      </c>
      <c r="M2754" s="192">
        <f t="shared" ref="M2754:M2817" si="129">K2754-J2754</f>
        <v>25</v>
      </c>
      <c r="N2754" s="193">
        <f t="shared" ref="N2754:N2817" si="130">H2754/L2754</f>
        <v>1.1806554756195045</v>
      </c>
      <c r="O2754" s="194">
        <f t="shared" ref="O2754:O2817" si="131">N2754/M2754</f>
        <v>4.7226219024780178E-2</v>
      </c>
    </row>
    <row r="2755" spans="1:15" ht="12.75" customHeight="1">
      <c r="A2755" s="188" t="s">
        <v>620</v>
      </c>
      <c r="B2755" s="188" t="s">
        <v>3787</v>
      </c>
      <c r="C2755" s="188" t="s">
        <v>659</v>
      </c>
      <c r="D2755" s="188" t="s">
        <v>4331</v>
      </c>
      <c r="E2755" s="189">
        <v>39353</v>
      </c>
      <c r="F2755" s="190">
        <v>0</v>
      </c>
      <c r="G2755" s="190">
        <v>72.58</v>
      </c>
      <c r="H2755" s="191">
        <v>1340</v>
      </c>
      <c r="I2755" s="191">
        <v>510.3</v>
      </c>
      <c r="J2755" s="188" t="s">
        <v>624</v>
      </c>
      <c r="K2755" s="188" t="s">
        <v>427</v>
      </c>
      <c r="L2755" s="188" t="s">
        <v>1680</v>
      </c>
      <c r="M2755" s="192">
        <f t="shared" si="129"/>
        <v>25</v>
      </c>
      <c r="N2755" s="193">
        <f t="shared" si="130"/>
        <v>1.181657848324515</v>
      </c>
      <c r="O2755" s="194">
        <f t="shared" si="131"/>
        <v>4.72663139329806E-2</v>
      </c>
    </row>
    <row r="2756" spans="1:15" ht="12.75" customHeight="1">
      <c r="A2756" s="188" t="s">
        <v>620</v>
      </c>
      <c r="B2756" s="188" t="s">
        <v>3787</v>
      </c>
      <c r="C2756" s="188" t="s">
        <v>659</v>
      </c>
      <c r="D2756" s="188" t="s">
        <v>4332</v>
      </c>
      <c r="E2756" s="189">
        <v>39513</v>
      </c>
      <c r="F2756" s="190">
        <v>0</v>
      </c>
      <c r="G2756" s="190">
        <v>70.400000000000006</v>
      </c>
      <c r="H2756" s="191">
        <v>1300</v>
      </c>
      <c r="I2756" s="191">
        <v>495</v>
      </c>
      <c r="J2756" s="188" t="s">
        <v>624</v>
      </c>
      <c r="K2756" s="188" t="s">
        <v>427</v>
      </c>
      <c r="L2756" s="188" t="s">
        <v>557</v>
      </c>
      <c r="M2756" s="192">
        <f t="shared" si="129"/>
        <v>25</v>
      </c>
      <c r="N2756" s="193">
        <f t="shared" si="130"/>
        <v>1.1818181818181819</v>
      </c>
      <c r="O2756" s="194">
        <f t="shared" si="131"/>
        <v>4.7272727272727272E-2</v>
      </c>
    </row>
    <row r="2757" spans="1:15" ht="12.75" customHeight="1">
      <c r="A2757" s="188" t="s">
        <v>620</v>
      </c>
      <c r="B2757" s="188" t="s">
        <v>3787</v>
      </c>
      <c r="C2757" s="188" t="s">
        <v>659</v>
      </c>
      <c r="D2757" s="188" t="s">
        <v>4333</v>
      </c>
      <c r="E2757" s="189">
        <v>39507</v>
      </c>
      <c r="F2757" s="190">
        <v>0</v>
      </c>
      <c r="G2757" s="190">
        <v>87.3</v>
      </c>
      <c r="H2757" s="191">
        <v>1614</v>
      </c>
      <c r="I2757" s="191">
        <v>613.79999999999995</v>
      </c>
      <c r="J2757" s="188" t="s">
        <v>624</v>
      </c>
      <c r="K2757" s="188" t="s">
        <v>427</v>
      </c>
      <c r="L2757" s="188" t="s">
        <v>1844</v>
      </c>
      <c r="M2757" s="192">
        <f t="shared" si="129"/>
        <v>25</v>
      </c>
      <c r="N2757" s="193">
        <f t="shared" si="130"/>
        <v>1.1832844574780059</v>
      </c>
      <c r="O2757" s="194">
        <f t="shared" si="131"/>
        <v>4.7331378299120236E-2</v>
      </c>
    </row>
    <row r="2758" spans="1:15" ht="12.75" customHeight="1">
      <c r="A2758" s="188" t="s">
        <v>620</v>
      </c>
      <c r="B2758" s="188" t="s">
        <v>3787</v>
      </c>
      <c r="C2758" s="188" t="s">
        <v>659</v>
      </c>
      <c r="D2758" s="188" t="s">
        <v>4334</v>
      </c>
      <c r="E2758" s="189">
        <v>39625</v>
      </c>
      <c r="F2758" s="190">
        <v>0</v>
      </c>
      <c r="G2758" s="190">
        <v>44.8</v>
      </c>
      <c r="H2758" s="191">
        <v>995</v>
      </c>
      <c r="I2758" s="191">
        <v>315</v>
      </c>
      <c r="J2758" s="188" t="s">
        <v>624</v>
      </c>
      <c r="K2758" s="188" t="s">
        <v>257</v>
      </c>
      <c r="L2758" s="188" t="s">
        <v>1827</v>
      </c>
      <c r="M2758" s="192">
        <f t="shared" si="129"/>
        <v>30</v>
      </c>
      <c r="N2758" s="193">
        <f t="shared" si="130"/>
        <v>1.4214285714285715</v>
      </c>
      <c r="O2758" s="194">
        <f t="shared" si="131"/>
        <v>4.7380952380952385E-2</v>
      </c>
    </row>
    <row r="2759" spans="1:15" ht="12.75" customHeight="1">
      <c r="A2759" s="188" t="s">
        <v>620</v>
      </c>
      <c r="B2759" s="188" t="s">
        <v>3787</v>
      </c>
      <c r="C2759" s="188" t="s">
        <v>659</v>
      </c>
      <c r="D2759" s="188" t="s">
        <v>4335</v>
      </c>
      <c r="E2759" s="189">
        <v>39507</v>
      </c>
      <c r="F2759" s="190">
        <v>0</v>
      </c>
      <c r="G2759" s="190">
        <v>121.6</v>
      </c>
      <c r="H2759" s="191">
        <v>2254</v>
      </c>
      <c r="I2759" s="191">
        <v>855</v>
      </c>
      <c r="J2759" s="188" t="s">
        <v>624</v>
      </c>
      <c r="K2759" s="188" t="s">
        <v>427</v>
      </c>
      <c r="L2759" s="188" t="s">
        <v>1673</v>
      </c>
      <c r="M2759" s="192">
        <f t="shared" si="129"/>
        <v>25</v>
      </c>
      <c r="N2759" s="193">
        <f t="shared" si="130"/>
        <v>1.1863157894736842</v>
      </c>
      <c r="O2759" s="194">
        <f t="shared" si="131"/>
        <v>4.7452631578947371E-2</v>
      </c>
    </row>
    <row r="2760" spans="1:15" ht="12.75" customHeight="1">
      <c r="A2760" s="188" t="s">
        <v>620</v>
      </c>
      <c r="B2760" s="188" t="s">
        <v>3787</v>
      </c>
      <c r="C2760" s="188" t="s">
        <v>659</v>
      </c>
      <c r="D2760" s="188" t="s">
        <v>4336</v>
      </c>
      <c r="E2760" s="189">
        <v>39611</v>
      </c>
      <c r="F2760" s="190">
        <v>0</v>
      </c>
      <c r="G2760" s="190">
        <v>89.6</v>
      </c>
      <c r="H2760" s="191">
        <v>1995</v>
      </c>
      <c r="I2760" s="191">
        <v>630</v>
      </c>
      <c r="J2760" s="188" t="s">
        <v>624</v>
      </c>
      <c r="K2760" s="188" t="s">
        <v>257</v>
      </c>
      <c r="L2760" s="188" t="s">
        <v>754</v>
      </c>
      <c r="M2760" s="192">
        <f t="shared" si="129"/>
        <v>30</v>
      </c>
      <c r="N2760" s="193">
        <f t="shared" si="130"/>
        <v>1.425</v>
      </c>
      <c r="O2760" s="194">
        <f t="shared" si="131"/>
        <v>4.7500000000000001E-2</v>
      </c>
    </row>
    <row r="2761" spans="1:15" ht="12.75" customHeight="1">
      <c r="A2761" s="188" t="s">
        <v>620</v>
      </c>
      <c r="B2761" s="188" t="s">
        <v>3787</v>
      </c>
      <c r="C2761" s="188" t="s">
        <v>659</v>
      </c>
      <c r="D2761" s="188" t="s">
        <v>4337</v>
      </c>
      <c r="E2761" s="189">
        <v>39324</v>
      </c>
      <c r="F2761" s="190">
        <v>0</v>
      </c>
      <c r="G2761" s="190">
        <v>65.66</v>
      </c>
      <c r="H2761" s="191">
        <v>1220.02</v>
      </c>
      <c r="I2761" s="191">
        <v>461.7</v>
      </c>
      <c r="J2761" s="188" t="s">
        <v>624</v>
      </c>
      <c r="K2761" s="188" t="s">
        <v>427</v>
      </c>
      <c r="L2761" s="188" t="s">
        <v>4338</v>
      </c>
      <c r="M2761" s="192">
        <f t="shared" si="129"/>
        <v>25</v>
      </c>
      <c r="N2761" s="193">
        <f t="shared" si="130"/>
        <v>1.1891033138401559</v>
      </c>
      <c r="O2761" s="194">
        <f t="shared" si="131"/>
        <v>4.7564132553606232E-2</v>
      </c>
    </row>
    <row r="2762" spans="1:15" ht="12.75" customHeight="1">
      <c r="A2762" s="188" t="s">
        <v>620</v>
      </c>
      <c r="B2762" s="188" t="s">
        <v>3787</v>
      </c>
      <c r="C2762" s="188" t="s">
        <v>659</v>
      </c>
      <c r="D2762" s="188" t="s">
        <v>4339</v>
      </c>
      <c r="E2762" s="189">
        <v>39240</v>
      </c>
      <c r="F2762" s="190">
        <v>0</v>
      </c>
      <c r="G2762" s="190">
        <v>64.510000000000005</v>
      </c>
      <c r="H2762" s="191">
        <v>1006.99</v>
      </c>
      <c r="I2762" s="191">
        <v>453.6</v>
      </c>
      <c r="J2762" s="188" t="s">
        <v>624</v>
      </c>
      <c r="K2762" s="188" t="s">
        <v>1344</v>
      </c>
      <c r="L2762" s="188" t="s">
        <v>736</v>
      </c>
      <c r="M2762" s="192">
        <f t="shared" si="129"/>
        <v>21</v>
      </c>
      <c r="N2762" s="193">
        <f t="shared" si="130"/>
        <v>0.99899801587301584</v>
      </c>
      <c r="O2762" s="194">
        <f t="shared" si="131"/>
        <v>4.7571334089191231E-2</v>
      </c>
    </row>
    <row r="2763" spans="1:15" ht="12.75" customHeight="1">
      <c r="A2763" s="188" t="s">
        <v>620</v>
      </c>
      <c r="B2763" s="188" t="s">
        <v>3787</v>
      </c>
      <c r="C2763" s="188" t="s">
        <v>659</v>
      </c>
      <c r="D2763" s="188" t="s">
        <v>4340</v>
      </c>
      <c r="E2763" s="189">
        <v>39310</v>
      </c>
      <c r="F2763" s="190">
        <v>0</v>
      </c>
      <c r="G2763" s="190">
        <v>85.12</v>
      </c>
      <c r="H2763" s="191">
        <v>1330</v>
      </c>
      <c r="I2763" s="191">
        <v>598.5</v>
      </c>
      <c r="J2763" s="188" t="s">
        <v>624</v>
      </c>
      <c r="K2763" s="188" t="s">
        <v>1344</v>
      </c>
      <c r="L2763" s="188" t="s">
        <v>3803</v>
      </c>
      <c r="M2763" s="192">
        <f t="shared" si="129"/>
        <v>21</v>
      </c>
      <c r="N2763" s="193">
        <f t="shared" si="130"/>
        <v>1</v>
      </c>
      <c r="O2763" s="194">
        <f t="shared" si="131"/>
        <v>4.7619047619047616E-2</v>
      </c>
    </row>
    <row r="2764" spans="1:15" ht="12.75" customHeight="1">
      <c r="A2764" s="188" t="s">
        <v>620</v>
      </c>
      <c r="B2764" s="188" t="s">
        <v>3787</v>
      </c>
      <c r="C2764" s="188" t="s">
        <v>659</v>
      </c>
      <c r="D2764" s="188" t="s">
        <v>4341</v>
      </c>
      <c r="E2764" s="189">
        <v>39345</v>
      </c>
      <c r="F2764" s="190">
        <v>0</v>
      </c>
      <c r="G2764" s="190">
        <v>55.68</v>
      </c>
      <c r="H2764" s="191">
        <v>933</v>
      </c>
      <c r="I2764" s="191">
        <v>391.5</v>
      </c>
      <c r="J2764" s="188" t="s">
        <v>624</v>
      </c>
      <c r="K2764" s="188" t="s">
        <v>1344</v>
      </c>
      <c r="L2764" s="188" t="s">
        <v>2843</v>
      </c>
      <c r="M2764" s="192">
        <f t="shared" si="129"/>
        <v>21</v>
      </c>
      <c r="N2764" s="193">
        <f t="shared" si="130"/>
        <v>1</v>
      </c>
      <c r="O2764" s="194">
        <f t="shared" si="131"/>
        <v>4.7619047619047616E-2</v>
      </c>
    </row>
    <row r="2765" spans="1:15" ht="12.75" customHeight="1">
      <c r="A2765" s="188" t="s">
        <v>620</v>
      </c>
      <c r="B2765" s="188" t="s">
        <v>3787</v>
      </c>
      <c r="C2765" s="188" t="s">
        <v>659</v>
      </c>
      <c r="D2765" s="188" t="s">
        <v>4342</v>
      </c>
      <c r="E2765" s="189">
        <v>39353</v>
      </c>
      <c r="F2765" s="190">
        <v>0</v>
      </c>
      <c r="G2765" s="190">
        <v>83.2</v>
      </c>
      <c r="H2765" s="191">
        <v>1300</v>
      </c>
      <c r="I2765" s="191">
        <v>585</v>
      </c>
      <c r="J2765" s="188" t="s">
        <v>624</v>
      </c>
      <c r="K2765" s="188" t="s">
        <v>1344</v>
      </c>
      <c r="L2765" s="188" t="s">
        <v>699</v>
      </c>
      <c r="M2765" s="192">
        <f t="shared" si="129"/>
        <v>21</v>
      </c>
      <c r="N2765" s="193">
        <f t="shared" si="130"/>
        <v>1</v>
      </c>
      <c r="O2765" s="194">
        <f t="shared" si="131"/>
        <v>4.7619047619047616E-2</v>
      </c>
    </row>
    <row r="2766" spans="1:15" ht="12.75" customHeight="1">
      <c r="A2766" s="188" t="s">
        <v>620</v>
      </c>
      <c r="B2766" s="188" t="s">
        <v>3787</v>
      </c>
      <c r="C2766" s="188" t="s">
        <v>659</v>
      </c>
      <c r="D2766" s="188" t="s">
        <v>4343</v>
      </c>
      <c r="E2766" s="189">
        <v>39492</v>
      </c>
      <c r="F2766" s="190">
        <v>0</v>
      </c>
      <c r="G2766" s="190">
        <v>64</v>
      </c>
      <c r="H2766" s="191">
        <v>1000</v>
      </c>
      <c r="I2766" s="191">
        <v>450</v>
      </c>
      <c r="J2766" s="188" t="s">
        <v>624</v>
      </c>
      <c r="K2766" s="188" t="s">
        <v>1344</v>
      </c>
      <c r="L2766" s="188" t="s">
        <v>636</v>
      </c>
      <c r="M2766" s="192">
        <f t="shared" si="129"/>
        <v>21</v>
      </c>
      <c r="N2766" s="193">
        <f t="shared" si="130"/>
        <v>1</v>
      </c>
      <c r="O2766" s="194">
        <f t="shared" si="131"/>
        <v>4.7619047619047616E-2</v>
      </c>
    </row>
    <row r="2767" spans="1:15" ht="12.75" customHeight="1">
      <c r="A2767" s="188" t="s">
        <v>620</v>
      </c>
      <c r="B2767" s="188" t="s">
        <v>3787</v>
      </c>
      <c r="C2767" s="188" t="s">
        <v>659</v>
      </c>
      <c r="D2767" s="188" t="s">
        <v>4344</v>
      </c>
      <c r="E2767" s="189">
        <v>39611</v>
      </c>
      <c r="F2767" s="190">
        <v>0</v>
      </c>
      <c r="G2767" s="190">
        <v>156.80000000000001</v>
      </c>
      <c r="H2767" s="191">
        <v>2926.4</v>
      </c>
      <c r="I2767" s="191">
        <v>1102.5</v>
      </c>
      <c r="J2767" s="188" t="s">
        <v>624</v>
      </c>
      <c r="K2767" s="188" t="s">
        <v>427</v>
      </c>
      <c r="L2767" s="188" t="s">
        <v>2026</v>
      </c>
      <c r="M2767" s="192">
        <f t="shared" si="129"/>
        <v>25</v>
      </c>
      <c r="N2767" s="193">
        <f t="shared" si="130"/>
        <v>1.1944489795918367</v>
      </c>
      <c r="O2767" s="194">
        <f t="shared" si="131"/>
        <v>4.7777959183673467E-2</v>
      </c>
    </row>
    <row r="2768" spans="1:15" ht="12.75" customHeight="1">
      <c r="A2768" s="188" t="s">
        <v>620</v>
      </c>
      <c r="B2768" s="188" t="s">
        <v>3787</v>
      </c>
      <c r="C2768" s="188" t="s">
        <v>659</v>
      </c>
      <c r="D2768" s="188" t="s">
        <v>4345</v>
      </c>
      <c r="E2768" s="189">
        <v>39541</v>
      </c>
      <c r="F2768" s="190">
        <v>0</v>
      </c>
      <c r="G2768" s="190">
        <v>84.48</v>
      </c>
      <c r="H2768" s="191">
        <v>1579</v>
      </c>
      <c r="I2768" s="191">
        <v>594</v>
      </c>
      <c r="J2768" s="188" t="s">
        <v>624</v>
      </c>
      <c r="K2768" s="188" t="s">
        <v>427</v>
      </c>
      <c r="L2768" s="188" t="s">
        <v>1050</v>
      </c>
      <c r="M2768" s="192">
        <f t="shared" si="129"/>
        <v>25</v>
      </c>
      <c r="N2768" s="193">
        <f t="shared" si="130"/>
        <v>1.1962121212121213</v>
      </c>
      <c r="O2768" s="194">
        <f t="shared" si="131"/>
        <v>4.7848484848484849E-2</v>
      </c>
    </row>
    <row r="2769" spans="1:15" ht="12.75" customHeight="1">
      <c r="A2769" s="188" t="s">
        <v>620</v>
      </c>
      <c r="B2769" s="188" t="s">
        <v>3787</v>
      </c>
      <c r="C2769" s="188" t="s">
        <v>659</v>
      </c>
      <c r="D2769" s="188" t="s">
        <v>4346</v>
      </c>
      <c r="E2769" s="189">
        <v>39471</v>
      </c>
      <c r="F2769" s="190">
        <v>0</v>
      </c>
      <c r="G2769" s="190">
        <v>65.540000000000006</v>
      </c>
      <c r="H2769" s="191">
        <v>1228</v>
      </c>
      <c r="I2769" s="191">
        <v>460.8</v>
      </c>
      <c r="J2769" s="188" t="s">
        <v>624</v>
      </c>
      <c r="K2769" s="188" t="s">
        <v>427</v>
      </c>
      <c r="L2769" s="188" t="s">
        <v>507</v>
      </c>
      <c r="M2769" s="192">
        <f t="shared" si="129"/>
        <v>25</v>
      </c>
      <c r="N2769" s="193">
        <f t="shared" si="130"/>
        <v>1.19921875</v>
      </c>
      <c r="O2769" s="194">
        <f t="shared" si="131"/>
        <v>4.7968749999999998E-2</v>
      </c>
    </row>
    <row r="2770" spans="1:15" ht="12.75" customHeight="1">
      <c r="A2770" s="188" t="s">
        <v>620</v>
      </c>
      <c r="B2770" s="188" t="s">
        <v>3787</v>
      </c>
      <c r="C2770" s="188" t="s">
        <v>659</v>
      </c>
      <c r="D2770" s="188" t="s">
        <v>4347</v>
      </c>
      <c r="E2770" s="189">
        <v>39219</v>
      </c>
      <c r="F2770" s="190">
        <v>0</v>
      </c>
      <c r="G2770" s="190">
        <v>53.76</v>
      </c>
      <c r="H2770" s="191">
        <v>1008</v>
      </c>
      <c r="I2770" s="191">
        <v>378</v>
      </c>
      <c r="J2770" s="188" t="s">
        <v>624</v>
      </c>
      <c r="K2770" s="188" t="s">
        <v>427</v>
      </c>
      <c r="L2770" s="188" t="s">
        <v>906</v>
      </c>
      <c r="M2770" s="192">
        <f t="shared" si="129"/>
        <v>25</v>
      </c>
      <c r="N2770" s="193">
        <f t="shared" si="130"/>
        <v>1.2</v>
      </c>
      <c r="O2770" s="194">
        <f t="shared" si="131"/>
        <v>4.8000000000000001E-2</v>
      </c>
    </row>
    <row r="2771" spans="1:15" ht="12.75" customHeight="1">
      <c r="A2771" s="188" t="s">
        <v>620</v>
      </c>
      <c r="B2771" s="188" t="s">
        <v>3787</v>
      </c>
      <c r="C2771" s="188" t="s">
        <v>659</v>
      </c>
      <c r="D2771" s="188" t="s">
        <v>4348</v>
      </c>
      <c r="E2771" s="189">
        <v>39353</v>
      </c>
      <c r="F2771" s="190">
        <v>0</v>
      </c>
      <c r="G2771" s="190">
        <v>99.2</v>
      </c>
      <c r="H2771" s="191">
        <v>1860</v>
      </c>
      <c r="I2771" s="191">
        <v>697.5</v>
      </c>
      <c r="J2771" s="188" t="s">
        <v>624</v>
      </c>
      <c r="K2771" s="188" t="s">
        <v>427</v>
      </c>
      <c r="L2771" s="188" t="s">
        <v>1474</v>
      </c>
      <c r="M2771" s="192">
        <f t="shared" si="129"/>
        <v>25</v>
      </c>
      <c r="N2771" s="193">
        <f t="shared" si="130"/>
        <v>1.2</v>
      </c>
      <c r="O2771" s="194">
        <f t="shared" si="131"/>
        <v>4.8000000000000001E-2</v>
      </c>
    </row>
    <row r="2772" spans="1:15" ht="12.75" customHeight="1">
      <c r="A2772" s="188" t="s">
        <v>620</v>
      </c>
      <c r="B2772" s="188" t="s">
        <v>3787</v>
      </c>
      <c r="C2772" s="188" t="s">
        <v>659</v>
      </c>
      <c r="D2772" s="188" t="s">
        <v>4349</v>
      </c>
      <c r="E2772" s="189">
        <v>39507</v>
      </c>
      <c r="F2772" s="190">
        <v>0</v>
      </c>
      <c r="G2772" s="190">
        <v>82.43</v>
      </c>
      <c r="H2772" s="191">
        <v>1545.6</v>
      </c>
      <c r="I2772" s="191">
        <v>579.6</v>
      </c>
      <c r="J2772" s="188" t="s">
        <v>624</v>
      </c>
      <c r="K2772" s="188" t="s">
        <v>427</v>
      </c>
      <c r="L2772" s="188" t="s">
        <v>2088</v>
      </c>
      <c r="M2772" s="192">
        <f t="shared" si="129"/>
        <v>25</v>
      </c>
      <c r="N2772" s="193">
        <f t="shared" si="130"/>
        <v>1.2</v>
      </c>
      <c r="O2772" s="194">
        <f t="shared" si="131"/>
        <v>4.8000000000000001E-2</v>
      </c>
    </row>
    <row r="2773" spans="1:15" ht="12.75" customHeight="1">
      <c r="A2773" s="188" t="s">
        <v>620</v>
      </c>
      <c r="B2773" s="188" t="s">
        <v>3787</v>
      </c>
      <c r="C2773" s="188" t="s">
        <v>659</v>
      </c>
      <c r="D2773" s="188" t="s">
        <v>4350</v>
      </c>
      <c r="E2773" s="189">
        <v>39247</v>
      </c>
      <c r="F2773" s="190">
        <v>0</v>
      </c>
      <c r="G2773" s="190">
        <v>63.04</v>
      </c>
      <c r="H2773" s="191">
        <v>1182.99</v>
      </c>
      <c r="I2773" s="191">
        <v>443.25</v>
      </c>
      <c r="J2773" s="188" t="s">
        <v>624</v>
      </c>
      <c r="K2773" s="188" t="s">
        <v>427</v>
      </c>
      <c r="L2773" s="188" t="s">
        <v>4351</v>
      </c>
      <c r="M2773" s="192">
        <f t="shared" si="129"/>
        <v>25</v>
      </c>
      <c r="N2773" s="193">
        <f t="shared" si="130"/>
        <v>1.201005076142132</v>
      </c>
      <c r="O2773" s="194">
        <f t="shared" si="131"/>
        <v>4.8040203045685279E-2</v>
      </c>
    </row>
    <row r="2774" spans="1:15" ht="12.75" customHeight="1">
      <c r="A2774" s="188" t="s">
        <v>620</v>
      </c>
      <c r="B2774" s="188" t="s">
        <v>3787</v>
      </c>
      <c r="C2774" s="188" t="s">
        <v>659</v>
      </c>
      <c r="D2774" s="188" t="s">
        <v>4352</v>
      </c>
      <c r="E2774" s="189">
        <v>39548</v>
      </c>
      <c r="F2774" s="190">
        <v>0</v>
      </c>
      <c r="G2774" s="190">
        <v>89.6</v>
      </c>
      <c r="H2774" s="191">
        <v>1278</v>
      </c>
      <c r="I2774" s="191">
        <v>630</v>
      </c>
      <c r="J2774" s="188" t="s">
        <v>624</v>
      </c>
      <c r="K2774" s="188" t="s">
        <v>667</v>
      </c>
      <c r="L2774" s="188" t="s">
        <v>754</v>
      </c>
      <c r="M2774" s="192">
        <f t="shared" si="129"/>
        <v>19</v>
      </c>
      <c r="N2774" s="193">
        <f t="shared" si="130"/>
        <v>0.91285714285714281</v>
      </c>
      <c r="O2774" s="194">
        <f t="shared" si="131"/>
        <v>4.8045112781954884E-2</v>
      </c>
    </row>
    <row r="2775" spans="1:15" ht="12.75" customHeight="1">
      <c r="A2775" s="188" t="s">
        <v>620</v>
      </c>
      <c r="B2775" s="188" t="s">
        <v>3787</v>
      </c>
      <c r="C2775" s="188" t="s">
        <v>659</v>
      </c>
      <c r="D2775" s="188" t="s">
        <v>4353</v>
      </c>
      <c r="E2775" s="189">
        <v>39261</v>
      </c>
      <c r="F2775" s="190">
        <v>0</v>
      </c>
      <c r="G2775" s="190">
        <v>76.8</v>
      </c>
      <c r="H2775" s="191">
        <v>1442.04</v>
      </c>
      <c r="I2775" s="191">
        <v>540</v>
      </c>
      <c r="J2775" s="188" t="s">
        <v>624</v>
      </c>
      <c r="K2775" s="188" t="s">
        <v>427</v>
      </c>
      <c r="L2775" s="188" t="s">
        <v>632</v>
      </c>
      <c r="M2775" s="192">
        <f t="shared" si="129"/>
        <v>25</v>
      </c>
      <c r="N2775" s="193">
        <f t="shared" si="130"/>
        <v>1.2017</v>
      </c>
      <c r="O2775" s="194">
        <f t="shared" si="131"/>
        <v>4.8068E-2</v>
      </c>
    </row>
    <row r="2776" spans="1:15" ht="12.75" customHeight="1">
      <c r="A2776" s="188" t="s">
        <v>620</v>
      </c>
      <c r="B2776" s="188" t="s">
        <v>3787</v>
      </c>
      <c r="C2776" s="188" t="s">
        <v>659</v>
      </c>
      <c r="D2776" s="188" t="s">
        <v>4354</v>
      </c>
      <c r="E2776" s="189">
        <v>39555</v>
      </c>
      <c r="F2776" s="190">
        <v>0</v>
      </c>
      <c r="G2776" s="190">
        <v>113.6</v>
      </c>
      <c r="H2776" s="191">
        <v>2134.4</v>
      </c>
      <c r="I2776" s="191">
        <v>798.75</v>
      </c>
      <c r="J2776" s="188" t="s">
        <v>624</v>
      </c>
      <c r="K2776" s="188" t="s">
        <v>427</v>
      </c>
      <c r="L2776" s="188" t="s">
        <v>1403</v>
      </c>
      <c r="M2776" s="192">
        <f t="shared" si="129"/>
        <v>25</v>
      </c>
      <c r="N2776" s="193">
        <f t="shared" si="130"/>
        <v>1.2024788732394367</v>
      </c>
      <c r="O2776" s="194">
        <f t="shared" si="131"/>
        <v>4.8099154929577469E-2</v>
      </c>
    </row>
    <row r="2777" spans="1:15" ht="12.75" customHeight="1">
      <c r="A2777" s="188" t="s">
        <v>620</v>
      </c>
      <c r="B2777" s="188" t="s">
        <v>3787</v>
      </c>
      <c r="C2777" s="188" t="s">
        <v>659</v>
      </c>
      <c r="D2777" s="188" t="s">
        <v>4355</v>
      </c>
      <c r="E2777" s="189">
        <v>39527</v>
      </c>
      <c r="F2777" s="190">
        <v>0</v>
      </c>
      <c r="G2777" s="190">
        <v>98.69</v>
      </c>
      <c r="H2777" s="191">
        <v>1855</v>
      </c>
      <c r="I2777" s="191">
        <v>693.9</v>
      </c>
      <c r="J2777" s="188" t="s">
        <v>624</v>
      </c>
      <c r="K2777" s="188" t="s">
        <v>427</v>
      </c>
      <c r="L2777" s="188" t="s">
        <v>2222</v>
      </c>
      <c r="M2777" s="192">
        <f t="shared" si="129"/>
        <v>25</v>
      </c>
      <c r="N2777" s="193">
        <f t="shared" si="130"/>
        <v>1.2029831387808041</v>
      </c>
      <c r="O2777" s="194">
        <f t="shared" si="131"/>
        <v>4.8119325551232162E-2</v>
      </c>
    </row>
    <row r="2778" spans="1:15" ht="12.75" customHeight="1">
      <c r="A2778" s="188" t="s">
        <v>620</v>
      </c>
      <c r="B2778" s="188" t="s">
        <v>3787</v>
      </c>
      <c r="C2778" s="188" t="s">
        <v>659</v>
      </c>
      <c r="D2778" s="188" t="s">
        <v>4356</v>
      </c>
      <c r="E2778" s="189">
        <v>39507</v>
      </c>
      <c r="F2778" s="190">
        <v>0</v>
      </c>
      <c r="G2778" s="190">
        <v>100.48</v>
      </c>
      <c r="H2778" s="191">
        <v>1890</v>
      </c>
      <c r="I2778" s="191">
        <v>706.5</v>
      </c>
      <c r="J2778" s="188" t="s">
        <v>624</v>
      </c>
      <c r="K2778" s="188" t="s">
        <v>427</v>
      </c>
      <c r="L2778" s="188" t="s">
        <v>3920</v>
      </c>
      <c r="M2778" s="192">
        <f t="shared" si="129"/>
        <v>25</v>
      </c>
      <c r="N2778" s="193">
        <f t="shared" si="130"/>
        <v>1.2038216560509554</v>
      </c>
      <c r="O2778" s="194">
        <f t="shared" si="131"/>
        <v>4.8152866242038211E-2</v>
      </c>
    </row>
    <row r="2779" spans="1:15" ht="12.75" customHeight="1">
      <c r="A2779" s="188" t="s">
        <v>620</v>
      </c>
      <c r="B2779" s="188" t="s">
        <v>3787</v>
      </c>
      <c r="C2779" s="188" t="s">
        <v>659</v>
      </c>
      <c r="D2779" s="188" t="s">
        <v>4357</v>
      </c>
      <c r="E2779" s="189">
        <v>39471</v>
      </c>
      <c r="F2779" s="190">
        <v>0</v>
      </c>
      <c r="G2779" s="190">
        <v>31.62</v>
      </c>
      <c r="H2779" s="191">
        <v>595</v>
      </c>
      <c r="I2779" s="191">
        <v>222.3</v>
      </c>
      <c r="J2779" s="188" t="s">
        <v>624</v>
      </c>
      <c r="K2779" s="188" t="s">
        <v>427</v>
      </c>
      <c r="L2779" s="188" t="s">
        <v>4358</v>
      </c>
      <c r="M2779" s="192">
        <f t="shared" si="129"/>
        <v>25</v>
      </c>
      <c r="N2779" s="193">
        <f t="shared" si="130"/>
        <v>1.2044534412955465</v>
      </c>
      <c r="O2779" s="194">
        <f t="shared" si="131"/>
        <v>4.8178137651821863E-2</v>
      </c>
    </row>
    <row r="2780" spans="1:15" ht="12.75" customHeight="1">
      <c r="A2780" s="188" t="s">
        <v>620</v>
      </c>
      <c r="B2780" s="188" t="s">
        <v>3787</v>
      </c>
      <c r="C2780" s="188" t="s">
        <v>659</v>
      </c>
      <c r="D2780" s="188" t="s">
        <v>4359</v>
      </c>
      <c r="E2780" s="189">
        <v>39289</v>
      </c>
      <c r="F2780" s="190">
        <v>0</v>
      </c>
      <c r="G2780" s="190">
        <v>84.8</v>
      </c>
      <c r="H2780" s="191">
        <v>1595.96</v>
      </c>
      <c r="I2780" s="191">
        <v>596.25</v>
      </c>
      <c r="J2780" s="188" t="s">
        <v>624</v>
      </c>
      <c r="K2780" s="188" t="s">
        <v>427</v>
      </c>
      <c r="L2780" s="188" t="s">
        <v>1691</v>
      </c>
      <c r="M2780" s="192">
        <f t="shared" si="129"/>
        <v>25</v>
      </c>
      <c r="N2780" s="193">
        <f t="shared" si="130"/>
        <v>1.2044981132075472</v>
      </c>
      <c r="O2780" s="194">
        <f t="shared" si="131"/>
        <v>4.8179924528301887E-2</v>
      </c>
    </row>
    <row r="2781" spans="1:15" ht="12.75" customHeight="1">
      <c r="A2781" s="188" t="s">
        <v>620</v>
      </c>
      <c r="B2781" s="188" t="s">
        <v>3787</v>
      </c>
      <c r="C2781" s="188" t="s">
        <v>659</v>
      </c>
      <c r="D2781" s="188" t="s">
        <v>4360</v>
      </c>
      <c r="E2781" s="189">
        <v>39331</v>
      </c>
      <c r="F2781" s="190">
        <v>0</v>
      </c>
      <c r="G2781" s="190">
        <v>106.24</v>
      </c>
      <c r="H2781" s="191">
        <v>1999.97</v>
      </c>
      <c r="I2781" s="191">
        <v>747</v>
      </c>
      <c r="J2781" s="188" t="s">
        <v>624</v>
      </c>
      <c r="K2781" s="188" t="s">
        <v>427</v>
      </c>
      <c r="L2781" s="188" t="s">
        <v>1298</v>
      </c>
      <c r="M2781" s="192">
        <f t="shared" si="129"/>
        <v>25</v>
      </c>
      <c r="N2781" s="193">
        <f t="shared" si="130"/>
        <v>1.2048012048192771</v>
      </c>
      <c r="O2781" s="194">
        <f t="shared" si="131"/>
        <v>4.8192048192771085E-2</v>
      </c>
    </row>
    <row r="2782" spans="1:15" ht="12.75" customHeight="1">
      <c r="A2782" s="188" t="s">
        <v>620</v>
      </c>
      <c r="B2782" s="188" t="s">
        <v>3787</v>
      </c>
      <c r="C2782" s="188" t="s">
        <v>659</v>
      </c>
      <c r="D2782" s="188" t="s">
        <v>4361</v>
      </c>
      <c r="E2782" s="189">
        <v>39471</v>
      </c>
      <c r="F2782" s="190">
        <v>0</v>
      </c>
      <c r="G2782" s="190">
        <v>79.36</v>
      </c>
      <c r="H2782" s="191">
        <v>1495</v>
      </c>
      <c r="I2782" s="191">
        <v>558</v>
      </c>
      <c r="J2782" s="188" t="s">
        <v>624</v>
      </c>
      <c r="K2782" s="188" t="s">
        <v>427</v>
      </c>
      <c r="L2782" s="188" t="s">
        <v>1449</v>
      </c>
      <c r="M2782" s="192">
        <f t="shared" si="129"/>
        <v>25</v>
      </c>
      <c r="N2782" s="193">
        <f t="shared" si="130"/>
        <v>1.2056451612903225</v>
      </c>
      <c r="O2782" s="194">
        <f t="shared" si="131"/>
        <v>4.8225806451612903E-2</v>
      </c>
    </row>
    <row r="2783" spans="1:15" ht="12.75" customHeight="1">
      <c r="A2783" s="188" t="s">
        <v>620</v>
      </c>
      <c r="B2783" s="188" t="s">
        <v>3787</v>
      </c>
      <c r="C2783" s="188" t="s">
        <v>659</v>
      </c>
      <c r="D2783" s="188" t="s">
        <v>4362</v>
      </c>
      <c r="E2783" s="189">
        <v>39548</v>
      </c>
      <c r="F2783" s="190">
        <v>0</v>
      </c>
      <c r="G2783" s="190">
        <v>83.52</v>
      </c>
      <c r="H2783" s="191">
        <v>1574</v>
      </c>
      <c r="I2783" s="191">
        <v>587.25</v>
      </c>
      <c r="J2783" s="188" t="s">
        <v>624</v>
      </c>
      <c r="K2783" s="188" t="s">
        <v>427</v>
      </c>
      <c r="L2783" s="188" t="s">
        <v>1950</v>
      </c>
      <c r="M2783" s="192">
        <f t="shared" si="129"/>
        <v>25</v>
      </c>
      <c r="N2783" s="193">
        <f t="shared" si="130"/>
        <v>1.2061302681992336</v>
      </c>
      <c r="O2783" s="194">
        <f t="shared" si="131"/>
        <v>4.8245210727969348E-2</v>
      </c>
    </row>
    <row r="2784" spans="1:15" ht="12.75" customHeight="1">
      <c r="A2784" s="188" t="s">
        <v>620</v>
      </c>
      <c r="B2784" s="188" t="s">
        <v>3787</v>
      </c>
      <c r="C2784" s="188" t="s">
        <v>659</v>
      </c>
      <c r="D2784" s="188" t="s">
        <v>4363</v>
      </c>
      <c r="E2784" s="189">
        <v>39401</v>
      </c>
      <c r="F2784" s="190">
        <v>0</v>
      </c>
      <c r="G2784" s="190">
        <v>74.239999999999995</v>
      </c>
      <c r="H2784" s="191">
        <v>1400</v>
      </c>
      <c r="I2784" s="191">
        <v>522</v>
      </c>
      <c r="J2784" s="188" t="s">
        <v>624</v>
      </c>
      <c r="K2784" s="188" t="s">
        <v>427</v>
      </c>
      <c r="L2784" s="188" t="s">
        <v>1001</v>
      </c>
      <c r="M2784" s="192">
        <f t="shared" si="129"/>
        <v>25</v>
      </c>
      <c r="N2784" s="193">
        <f t="shared" si="130"/>
        <v>1.2068965517241379</v>
      </c>
      <c r="O2784" s="194">
        <f t="shared" si="131"/>
        <v>4.8275862068965517E-2</v>
      </c>
    </row>
    <row r="2785" spans="1:15" ht="12.75" customHeight="1">
      <c r="A2785" s="188" t="s">
        <v>620</v>
      </c>
      <c r="B2785" s="188" t="s">
        <v>3787</v>
      </c>
      <c r="C2785" s="188" t="s">
        <v>659</v>
      </c>
      <c r="D2785" s="188" t="s">
        <v>4364</v>
      </c>
      <c r="E2785" s="189">
        <v>39247</v>
      </c>
      <c r="F2785" s="190">
        <v>0</v>
      </c>
      <c r="G2785" s="190">
        <v>67.709999999999994</v>
      </c>
      <c r="H2785" s="191">
        <v>1277.01</v>
      </c>
      <c r="I2785" s="191">
        <v>476.1</v>
      </c>
      <c r="J2785" s="188" t="s">
        <v>624</v>
      </c>
      <c r="K2785" s="188" t="s">
        <v>427</v>
      </c>
      <c r="L2785" s="188" t="s">
        <v>862</v>
      </c>
      <c r="M2785" s="192">
        <f t="shared" si="129"/>
        <v>25</v>
      </c>
      <c r="N2785" s="193">
        <f t="shared" si="130"/>
        <v>1.2070037807183365</v>
      </c>
      <c r="O2785" s="194">
        <f t="shared" si="131"/>
        <v>4.8280151228733456E-2</v>
      </c>
    </row>
    <row r="2786" spans="1:15" ht="12.75" customHeight="1">
      <c r="A2786" s="188" t="s">
        <v>620</v>
      </c>
      <c r="B2786" s="188" t="s">
        <v>3787</v>
      </c>
      <c r="C2786" s="188" t="s">
        <v>659</v>
      </c>
      <c r="D2786" s="188" t="s">
        <v>4365</v>
      </c>
      <c r="E2786" s="189">
        <v>39422</v>
      </c>
      <c r="F2786" s="190">
        <v>0</v>
      </c>
      <c r="G2786" s="190">
        <v>49.66</v>
      </c>
      <c r="H2786" s="191">
        <v>712</v>
      </c>
      <c r="I2786" s="191">
        <v>349.2</v>
      </c>
      <c r="J2786" s="188" t="s">
        <v>624</v>
      </c>
      <c r="K2786" s="188" t="s">
        <v>667</v>
      </c>
      <c r="L2786" s="188" t="s">
        <v>1036</v>
      </c>
      <c r="M2786" s="192">
        <f t="shared" si="129"/>
        <v>19</v>
      </c>
      <c r="N2786" s="193">
        <f t="shared" si="130"/>
        <v>0.91752577319587625</v>
      </c>
      <c r="O2786" s="194">
        <f t="shared" si="131"/>
        <v>4.8290830168204013E-2</v>
      </c>
    </row>
    <row r="2787" spans="1:15" ht="12.75" customHeight="1">
      <c r="A2787" s="188" t="s">
        <v>620</v>
      </c>
      <c r="B2787" s="188" t="s">
        <v>3787</v>
      </c>
      <c r="C2787" s="188" t="s">
        <v>659</v>
      </c>
      <c r="D2787" s="188" t="s">
        <v>4366</v>
      </c>
      <c r="E2787" s="189">
        <v>39478</v>
      </c>
      <c r="F2787" s="190">
        <v>0</v>
      </c>
      <c r="G2787" s="190">
        <v>94.34</v>
      </c>
      <c r="H2787" s="191">
        <v>1782</v>
      </c>
      <c r="I2787" s="191">
        <v>663.3</v>
      </c>
      <c r="J2787" s="188" t="s">
        <v>624</v>
      </c>
      <c r="K2787" s="188" t="s">
        <v>427</v>
      </c>
      <c r="L2787" s="188" t="s">
        <v>4367</v>
      </c>
      <c r="M2787" s="192">
        <f t="shared" si="129"/>
        <v>25</v>
      </c>
      <c r="N2787" s="193">
        <f t="shared" si="130"/>
        <v>1.208955223880597</v>
      </c>
      <c r="O2787" s="194">
        <f t="shared" si="131"/>
        <v>4.8358208955223879E-2</v>
      </c>
    </row>
    <row r="2788" spans="1:15" ht="12.75" customHeight="1">
      <c r="A2788" s="188" t="s">
        <v>620</v>
      </c>
      <c r="B2788" s="188" t="s">
        <v>3787</v>
      </c>
      <c r="C2788" s="188" t="s">
        <v>659</v>
      </c>
      <c r="D2788" s="188" t="s">
        <v>4368</v>
      </c>
      <c r="E2788" s="189">
        <v>39324</v>
      </c>
      <c r="F2788" s="190">
        <v>0</v>
      </c>
      <c r="G2788" s="190">
        <v>113.92</v>
      </c>
      <c r="H2788" s="191">
        <v>2157</v>
      </c>
      <c r="I2788" s="191">
        <v>801</v>
      </c>
      <c r="J2788" s="188" t="s">
        <v>624</v>
      </c>
      <c r="K2788" s="188" t="s">
        <v>427</v>
      </c>
      <c r="L2788" s="188" t="s">
        <v>1724</v>
      </c>
      <c r="M2788" s="192">
        <f t="shared" si="129"/>
        <v>25</v>
      </c>
      <c r="N2788" s="193">
        <f t="shared" si="130"/>
        <v>1.2117977528089887</v>
      </c>
      <c r="O2788" s="194">
        <f t="shared" si="131"/>
        <v>4.8471910112359545E-2</v>
      </c>
    </row>
    <row r="2789" spans="1:15" ht="12.75" customHeight="1">
      <c r="A2789" s="188" t="s">
        <v>620</v>
      </c>
      <c r="B2789" s="188" t="s">
        <v>3787</v>
      </c>
      <c r="C2789" s="188" t="s">
        <v>659</v>
      </c>
      <c r="D2789" s="188" t="s">
        <v>4369</v>
      </c>
      <c r="E2789" s="189">
        <v>39447</v>
      </c>
      <c r="F2789" s="190">
        <v>0</v>
      </c>
      <c r="G2789" s="190">
        <v>69.25</v>
      </c>
      <c r="H2789" s="191">
        <v>1313</v>
      </c>
      <c r="I2789" s="191">
        <v>486.9</v>
      </c>
      <c r="J2789" s="188" t="s">
        <v>624</v>
      </c>
      <c r="K2789" s="188" t="s">
        <v>427</v>
      </c>
      <c r="L2789" s="188" t="s">
        <v>575</v>
      </c>
      <c r="M2789" s="192">
        <f t="shared" si="129"/>
        <v>25</v>
      </c>
      <c r="N2789" s="193">
        <f t="shared" si="130"/>
        <v>1.2134935304990757</v>
      </c>
      <c r="O2789" s="194">
        <f t="shared" si="131"/>
        <v>4.8539741219963031E-2</v>
      </c>
    </row>
    <row r="2790" spans="1:15" ht="12.75" customHeight="1">
      <c r="A2790" s="188" t="s">
        <v>620</v>
      </c>
      <c r="B2790" s="188" t="s">
        <v>3787</v>
      </c>
      <c r="C2790" s="188" t="s">
        <v>659</v>
      </c>
      <c r="D2790" s="188" t="s">
        <v>4370</v>
      </c>
      <c r="E2790" s="189">
        <v>39303</v>
      </c>
      <c r="F2790" s="190">
        <v>0</v>
      </c>
      <c r="G2790" s="190">
        <v>91.52</v>
      </c>
      <c r="H2790" s="191">
        <v>1744.6</v>
      </c>
      <c r="I2790" s="191">
        <v>643.5</v>
      </c>
      <c r="J2790" s="188" t="s">
        <v>624</v>
      </c>
      <c r="K2790" s="188" t="s">
        <v>427</v>
      </c>
      <c r="L2790" s="188" t="s">
        <v>1798</v>
      </c>
      <c r="M2790" s="192">
        <f t="shared" si="129"/>
        <v>25</v>
      </c>
      <c r="N2790" s="193">
        <f t="shared" si="130"/>
        <v>1.22</v>
      </c>
      <c r="O2790" s="194">
        <f t="shared" si="131"/>
        <v>4.8799999999999996E-2</v>
      </c>
    </row>
    <row r="2791" spans="1:15" ht="12.75" customHeight="1">
      <c r="A2791" s="188" t="s">
        <v>620</v>
      </c>
      <c r="B2791" s="188" t="s">
        <v>3787</v>
      </c>
      <c r="C2791" s="188" t="s">
        <v>659</v>
      </c>
      <c r="D2791" s="188" t="s">
        <v>4371</v>
      </c>
      <c r="E2791" s="189">
        <v>39520</v>
      </c>
      <c r="F2791" s="190">
        <v>0</v>
      </c>
      <c r="G2791" s="190">
        <v>83.78</v>
      </c>
      <c r="H2791" s="191">
        <v>1214</v>
      </c>
      <c r="I2791" s="191">
        <v>589.04999999999995</v>
      </c>
      <c r="J2791" s="188" t="s">
        <v>624</v>
      </c>
      <c r="K2791" s="188" t="s">
        <v>667</v>
      </c>
      <c r="L2791" s="188" t="s">
        <v>2004</v>
      </c>
      <c r="M2791" s="192">
        <f t="shared" si="129"/>
        <v>19</v>
      </c>
      <c r="N2791" s="193">
        <f t="shared" si="130"/>
        <v>0.92742551566080977</v>
      </c>
      <c r="O2791" s="194">
        <f t="shared" si="131"/>
        <v>4.8811869245305776E-2</v>
      </c>
    </row>
    <row r="2792" spans="1:15" ht="12.75" customHeight="1">
      <c r="A2792" s="188" t="s">
        <v>620</v>
      </c>
      <c r="B2792" s="188" t="s">
        <v>3787</v>
      </c>
      <c r="C2792" s="188" t="s">
        <v>659</v>
      </c>
      <c r="D2792" s="188" t="s">
        <v>4372</v>
      </c>
      <c r="E2792" s="189">
        <v>39513</v>
      </c>
      <c r="F2792" s="190">
        <v>0</v>
      </c>
      <c r="G2792" s="190">
        <v>59.39</v>
      </c>
      <c r="H2792" s="191">
        <v>1134</v>
      </c>
      <c r="I2792" s="191">
        <v>417.6</v>
      </c>
      <c r="J2792" s="188" t="s">
        <v>624</v>
      </c>
      <c r="K2792" s="188" t="s">
        <v>427</v>
      </c>
      <c r="L2792" s="188" t="s">
        <v>4373</v>
      </c>
      <c r="M2792" s="192">
        <f t="shared" si="129"/>
        <v>25</v>
      </c>
      <c r="N2792" s="193">
        <f t="shared" si="130"/>
        <v>1.2219827586206897</v>
      </c>
      <c r="O2792" s="194">
        <f t="shared" si="131"/>
        <v>4.8879310344827592E-2</v>
      </c>
    </row>
    <row r="2793" spans="1:15" ht="12.75" customHeight="1">
      <c r="A2793" s="188" t="s">
        <v>620</v>
      </c>
      <c r="B2793" s="188" t="s">
        <v>3787</v>
      </c>
      <c r="C2793" s="188" t="s">
        <v>659</v>
      </c>
      <c r="D2793" s="188" t="s">
        <v>4374</v>
      </c>
      <c r="E2793" s="189">
        <v>39583</v>
      </c>
      <c r="F2793" s="190">
        <v>0</v>
      </c>
      <c r="G2793" s="190">
        <v>57.6</v>
      </c>
      <c r="H2793" s="191">
        <v>1100</v>
      </c>
      <c r="I2793" s="191">
        <v>405</v>
      </c>
      <c r="J2793" s="188" t="s">
        <v>624</v>
      </c>
      <c r="K2793" s="188" t="s">
        <v>427</v>
      </c>
      <c r="L2793" s="188" t="s">
        <v>740</v>
      </c>
      <c r="M2793" s="192">
        <f t="shared" si="129"/>
        <v>25</v>
      </c>
      <c r="N2793" s="193">
        <f t="shared" si="130"/>
        <v>1.2222222222222223</v>
      </c>
      <c r="O2793" s="194">
        <f t="shared" si="131"/>
        <v>4.8888888888888891E-2</v>
      </c>
    </row>
    <row r="2794" spans="1:15" ht="12.75" customHeight="1">
      <c r="A2794" s="188" t="s">
        <v>620</v>
      </c>
      <c r="B2794" s="188" t="s">
        <v>3787</v>
      </c>
      <c r="C2794" s="188" t="s">
        <v>659</v>
      </c>
      <c r="D2794" s="188" t="s">
        <v>4375</v>
      </c>
      <c r="E2794" s="189">
        <v>39261</v>
      </c>
      <c r="F2794" s="190">
        <v>0</v>
      </c>
      <c r="G2794" s="190">
        <v>140.80000000000001</v>
      </c>
      <c r="H2794" s="191">
        <v>2690.6</v>
      </c>
      <c r="I2794" s="191">
        <v>990</v>
      </c>
      <c r="J2794" s="188" t="s">
        <v>624</v>
      </c>
      <c r="K2794" s="188" t="s">
        <v>427</v>
      </c>
      <c r="L2794" s="188" t="s">
        <v>938</v>
      </c>
      <c r="M2794" s="192">
        <f t="shared" si="129"/>
        <v>25</v>
      </c>
      <c r="N2794" s="193">
        <f t="shared" si="130"/>
        <v>1.2229999999999999</v>
      </c>
      <c r="O2794" s="194">
        <f t="shared" si="131"/>
        <v>4.8919999999999991E-2</v>
      </c>
    </row>
    <row r="2795" spans="1:15" ht="12.75" customHeight="1">
      <c r="A2795" s="188" t="s">
        <v>620</v>
      </c>
      <c r="B2795" s="188" t="s">
        <v>3787</v>
      </c>
      <c r="C2795" s="188" t="s">
        <v>659</v>
      </c>
      <c r="D2795" s="188" t="s">
        <v>4376</v>
      </c>
      <c r="E2795" s="189">
        <v>39415</v>
      </c>
      <c r="F2795" s="190">
        <v>0</v>
      </c>
      <c r="G2795" s="190">
        <v>71.81</v>
      </c>
      <c r="H2795" s="191">
        <v>1375</v>
      </c>
      <c r="I2795" s="191">
        <v>504.9</v>
      </c>
      <c r="J2795" s="188" t="s">
        <v>624</v>
      </c>
      <c r="K2795" s="188" t="s">
        <v>427</v>
      </c>
      <c r="L2795" s="188" t="s">
        <v>3092</v>
      </c>
      <c r="M2795" s="192">
        <f t="shared" si="129"/>
        <v>25</v>
      </c>
      <c r="N2795" s="193">
        <f t="shared" si="130"/>
        <v>1.2254901960784315</v>
      </c>
      <c r="O2795" s="194">
        <f t="shared" si="131"/>
        <v>4.9019607843137261E-2</v>
      </c>
    </row>
    <row r="2796" spans="1:15" ht="12.75" customHeight="1">
      <c r="A2796" s="188" t="s">
        <v>620</v>
      </c>
      <c r="B2796" s="188" t="s">
        <v>3787</v>
      </c>
      <c r="C2796" s="188" t="s">
        <v>659</v>
      </c>
      <c r="D2796" s="188" t="s">
        <v>4377</v>
      </c>
      <c r="E2796" s="189">
        <v>39447</v>
      </c>
      <c r="F2796" s="190">
        <v>0</v>
      </c>
      <c r="G2796" s="190">
        <v>72.58</v>
      </c>
      <c r="H2796" s="191">
        <v>1391</v>
      </c>
      <c r="I2796" s="191">
        <v>510.3</v>
      </c>
      <c r="J2796" s="188" t="s">
        <v>624</v>
      </c>
      <c r="K2796" s="188" t="s">
        <v>427</v>
      </c>
      <c r="L2796" s="188" t="s">
        <v>1680</v>
      </c>
      <c r="M2796" s="192">
        <f t="shared" si="129"/>
        <v>25</v>
      </c>
      <c r="N2796" s="193">
        <f t="shared" si="130"/>
        <v>1.2266313932980599</v>
      </c>
      <c r="O2796" s="194">
        <f t="shared" si="131"/>
        <v>4.90652557319224E-2</v>
      </c>
    </row>
    <row r="2797" spans="1:15" ht="12.75" customHeight="1">
      <c r="A2797" s="188" t="s">
        <v>620</v>
      </c>
      <c r="B2797" s="188" t="s">
        <v>3787</v>
      </c>
      <c r="C2797" s="188" t="s">
        <v>659</v>
      </c>
      <c r="D2797" s="188" t="s">
        <v>4378</v>
      </c>
      <c r="E2797" s="189">
        <v>39422</v>
      </c>
      <c r="F2797" s="190">
        <v>0</v>
      </c>
      <c r="G2797" s="190">
        <v>114.24</v>
      </c>
      <c r="H2797" s="191">
        <v>2190</v>
      </c>
      <c r="I2797" s="191">
        <v>803.25</v>
      </c>
      <c r="J2797" s="188" t="s">
        <v>624</v>
      </c>
      <c r="K2797" s="188" t="s">
        <v>427</v>
      </c>
      <c r="L2797" s="188" t="s">
        <v>4379</v>
      </c>
      <c r="M2797" s="192">
        <f t="shared" si="129"/>
        <v>25</v>
      </c>
      <c r="N2797" s="193">
        <f t="shared" si="130"/>
        <v>1.2268907563025211</v>
      </c>
      <c r="O2797" s="194">
        <f t="shared" si="131"/>
        <v>4.9075630252100842E-2</v>
      </c>
    </row>
    <row r="2798" spans="1:15" ht="12.75" customHeight="1">
      <c r="A2798" s="188" t="s">
        <v>620</v>
      </c>
      <c r="B2798" s="188" t="s">
        <v>3787</v>
      </c>
      <c r="C2798" s="188" t="s">
        <v>659</v>
      </c>
      <c r="D2798" s="188" t="s">
        <v>4380</v>
      </c>
      <c r="E2798" s="189">
        <v>39527</v>
      </c>
      <c r="F2798" s="190">
        <v>0</v>
      </c>
      <c r="G2798" s="190">
        <v>126.46</v>
      </c>
      <c r="H2798" s="191">
        <v>2425</v>
      </c>
      <c r="I2798" s="191">
        <v>889.2</v>
      </c>
      <c r="J2798" s="188" t="s">
        <v>624</v>
      </c>
      <c r="K2798" s="188" t="s">
        <v>427</v>
      </c>
      <c r="L2798" s="188" t="s">
        <v>2660</v>
      </c>
      <c r="M2798" s="192">
        <f t="shared" si="129"/>
        <v>25</v>
      </c>
      <c r="N2798" s="193">
        <f t="shared" si="130"/>
        <v>1.2272267206477734</v>
      </c>
      <c r="O2798" s="194">
        <f t="shared" si="131"/>
        <v>4.9089068825910936E-2</v>
      </c>
    </row>
    <row r="2799" spans="1:15" ht="12.75" customHeight="1">
      <c r="A2799" s="188" t="s">
        <v>620</v>
      </c>
      <c r="B2799" s="188" t="s">
        <v>3787</v>
      </c>
      <c r="C2799" s="188" t="s">
        <v>659</v>
      </c>
      <c r="D2799" s="188" t="s">
        <v>4381</v>
      </c>
      <c r="E2799" s="189">
        <v>39590</v>
      </c>
      <c r="F2799" s="190">
        <v>0</v>
      </c>
      <c r="G2799" s="190">
        <v>89.6</v>
      </c>
      <c r="H2799" s="191">
        <v>1720</v>
      </c>
      <c r="I2799" s="191">
        <v>630</v>
      </c>
      <c r="J2799" s="188" t="s">
        <v>624</v>
      </c>
      <c r="K2799" s="188" t="s">
        <v>427</v>
      </c>
      <c r="L2799" s="188" t="s">
        <v>754</v>
      </c>
      <c r="M2799" s="192">
        <f t="shared" si="129"/>
        <v>25</v>
      </c>
      <c r="N2799" s="193">
        <f t="shared" si="130"/>
        <v>1.2285714285714286</v>
      </c>
      <c r="O2799" s="194">
        <f t="shared" si="131"/>
        <v>4.9142857142857148E-2</v>
      </c>
    </row>
    <row r="2800" spans="1:15" ht="12.75" customHeight="1">
      <c r="A2800" s="188" t="s">
        <v>620</v>
      </c>
      <c r="B2800" s="188" t="s">
        <v>3787</v>
      </c>
      <c r="C2800" s="188" t="s">
        <v>659</v>
      </c>
      <c r="D2800" s="188" t="s">
        <v>4382</v>
      </c>
      <c r="E2800" s="189">
        <v>39513</v>
      </c>
      <c r="F2800" s="190">
        <v>0</v>
      </c>
      <c r="G2800" s="190">
        <v>27.84</v>
      </c>
      <c r="H2800" s="191">
        <v>450</v>
      </c>
      <c r="I2800" s="191">
        <v>195.75</v>
      </c>
      <c r="J2800" s="188" t="s">
        <v>624</v>
      </c>
      <c r="K2800" s="188" t="s">
        <v>1344</v>
      </c>
      <c r="L2800" s="188" t="s">
        <v>4383</v>
      </c>
      <c r="M2800" s="192">
        <f t="shared" si="129"/>
        <v>21</v>
      </c>
      <c r="N2800" s="193">
        <f t="shared" si="130"/>
        <v>1.0344827586206897</v>
      </c>
      <c r="O2800" s="194">
        <f t="shared" si="131"/>
        <v>4.9261083743842367E-2</v>
      </c>
    </row>
    <row r="2801" spans="1:15" ht="12.75" customHeight="1">
      <c r="A2801" s="188" t="s">
        <v>620</v>
      </c>
      <c r="B2801" s="188" t="s">
        <v>3787</v>
      </c>
      <c r="C2801" s="188" t="s">
        <v>659</v>
      </c>
      <c r="D2801" s="188" t="s">
        <v>4384</v>
      </c>
      <c r="E2801" s="189">
        <v>39401</v>
      </c>
      <c r="F2801" s="190">
        <v>0</v>
      </c>
      <c r="G2801" s="190">
        <v>74.88</v>
      </c>
      <c r="H2801" s="191">
        <v>1441</v>
      </c>
      <c r="I2801" s="191">
        <v>526.5</v>
      </c>
      <c r="J2801" s="188" t="s">
        <v>624</v>
      </c>
      <c r="K2801" s="188" t="s">
        <v>427</v>
      </c>
      <c r="L2801" s="188" t="s">
        <v>1261</v>
      </c>
      <c r="M2801" s="192">
        <f t="shared" si="129"/>
        <v>25</v>
      </c>
      <c r="N2801" s="193">
        <f t="shared" si="130"/>
        <v>1.2316239316239317</v>
      </c>
      <c r="O2801" s="194">
        <f t="shared" si="131"/>
        <v>4.926495726495727E-2</v>
      </c>
    </row>
    <row r="2802" spans="1:15" ht="12.75" customHeight="1">
      <c r="A2802" s="188" t="s">
        <v>620</v>
      </c>
      <c r="B2802" s="188" t="s">
        <v>3787</v>
      </c>
      <c r="C2802" s="188" t="s">
        <v>659</v>
      </c>
      <c r="D2802" s="188" t="s">
        <v>4385</v>
      </c>
      <c r="E2802" s="189">
        <v>39310</v>
      </c>
      <c r="F2802" s="190">
        <v>0</v>
      </c>
      <c r="G2802" s="190">
        <v>118.91</v>
      </c>
      <c r="H2802" s="191">
        <v>2297.0500000000002</v>
      </c>
      <c r="I2802" s="191">
        <v>836.1</v>
      </c>
      <c r="J2802" s="188" t="s">
        <v>624</v>
      </c>
      <c r="K2802" s="188" t="s">
        <v>427</v>
      </c>
      <c r="L2802" s="188" t="s">
        <v>4386</v>
      </c>
      <c r="M2802" s="192">
        <f t="shared" si="129"/>
        <v>25</v>
      </c>
      <c r="N2802" s="193">
        <f t="shared" si="130"/>
        <v>1.2363024757804091</v>
      </c>
      <c r="O2802" s="194">
        <f t="shared" si="131"/>
        <v>4.9452099031216362E-2</v>
      </c>
    </row>
    <row r="2803" spans="1:15" ht="12.75" customHeight="1">
      <c r="A2803" s="188" t="s">
        <v>620</v>
      </c>
      <c r="B2803" s="188" t="s">
        <v>3787</v>
      </c>
      <c r="C2803" s="188" t="s">
        <v>659</v>
      </c>
      <c r="D2803" s="188" t="s">
        <v>4387</v>
      </c>
      <c r="E2803" s="189">
        <v>39387</v>
      </c>
      <c r="F2803" s="190">
        <v>0</v>
      </c>
      <c r="G2803" s="190">
        <v>13.44</v>
      </c>
      <c r="H2803" s="191">
        <v>158.28</v>
      </c>
      <c r="I2803" s="191">
        <v>94.5</v>
      </c>
      <c r="J2803" s="188" t="s">
        <v>639</v>
      </c>
      <c r="K2803" s="188" t="s">
        <v>257</v>
      </c>
      <c r="L2803" s="188" t="s">
        <v>4388</v>
      </c>
      <c r="M2803" s="192">
        <f t="shared" si="129"/>
        <v>19</v>
      </c>
      <c r="N2803" s="193">
        <f t="shared" si="130"/>
        <v>0.94214285714285717</v>
      </c>
      <c r="O2803" s="194">
        <f t="shared" si="131"/>
        <v>4.9586466165413533E-2</v>
      </c>
    </row>
    <row r="2804" spans="1:15" ht="12.75" customHeight="1">
      <c r="A2804" s="188" t="s">
        <v>620</v>
      </c>
      <c r="B2804" s="188" t="s">
        <v>3787</v>
      </c>
      <c r="C2804" s="188" t="s">
        <v>659</v>
      </c>
      <c r="D2804" s="188" t="s">
        <v>4389</v>
      </c>
      <c r="E2804" s="189">
        <v>39387</v>
      </c>
      <c r="F2804" s="190">
        <v>0</v>
      </c>
      <c r="G2804" s="190">
        <v>76.8</v>
      </c>
      <c r="H2804" s="191">
        <v>1489</v>
      </c>
      <c r="I2804" s="191">
        <v>540</v>
      </c>
      <c r="J2804" s="188" t="s">
        <v>624</v>
      </c>
      <c r="K2804" s="188" t="s">
        <v>427</v>
      </c>
      <c r="L2804" s="188" t="s">
        <v>632</v>
      </c>
      <c r="M2804" s="192">
        <f t="shared" si="129"/>
        <v>25</v>
      </c>
      <c r="N2804" s="193">
        <f t="shared" si="130"/>
        <v>1.2408333333333332</v>
      </c>
      <c r="O2804" s="194">
        <f t="shared" si="131"/>
        <v>4.9633333333333328E-2</v>
      </c>
    </row>
    <row r="2805" spans="1:15" ht="12.75" customHeight="1">
      <c r="A2805" s="188" t="s">
        <v>620</v>
      </c>
      <c r="B2805" s="188" t="s">
        <v>3787</v>
      </c>
      <c r="C2805" s="188" t="s">
        <v>659</v>
      </c>
      <c r="D2805" s="188" t="s">
        <v>4390</v>
      </c>
      <c r="E2805" s="189">
        <v>39219</v>
      </c>
      <c r="F2805" s="190">
        <v>0</v>
      </c>
      <c r="G2805" s="190">
        <v>78.849999999999994</v>
      </c>
      <c r="H2805" s="191">
        <v>1540</v>
      </c>
      <c r="I2805" s="191">
        <v>554.4</v>
      </c>
      <c r="J2805" s="188" t="s">
        <v>624</v>
      </c>
      <c r="K2805" s="188" t="s">
        <v>427</v>
      </c>
      <c r="L2805" s="188" t="s">
        <v>1965</v>
      </c>
      <c r="M2805" s="192">
        <f t="shared" si="129"/>
        <v>25</v>
      </c>
      <c r="N2805" s="193">
        <f t="shared" si="130"/>
        <v>1.25</v>
      </c>
      <c r="O2805" s="194">
        <f t="shared" si="131"/>
        <v>0.05</v>
      </c>
    </row>
    <row r="2806" spans="1:15" ht="12.75" customHeight="1">
      <c r="A2806" s="188" t="s">
        <v>620</v>
      </c>
      <c r="B2806" s="188" t="s">
        <v>3787</v>
      </c>
      <c r="C2806" s="188" t="s">
        <v>659</v>
      </c>
      <c r="D2806" s="188" t="s">
        <v>4391</v>
      </c>
      <c r="E2806" s="189">
        <v>39233</v>
      </c>
      <c r="F2806" s="190">
        <v>0</v>
      </c>
      <c r="G2806" s="190">
        <v>89.6</v>
      </c>
      <c r="H2806" s="191">
        <v>1750</v>
      </c>
      <c r="I2806" s="191">
        <v>630</v>
      </c>
      <c r="J2806" s="188" t="s">
        <v>624</v>
      </c>
      <c r="K2806" s="188" t="s">
        <v>427</v>
      </c>
      <c r="L2806" s="188" t="s">
        <v>754</v>
      </c>
      <c r="M2806" s="192">
        <f t="shared" si="129"/>
        <v>25</v>
      </c>
      <c r="N2806" s="193">
        <f t="shared" si="130"/>
        <v>1.25</v>
      </c>
      <c r="O2806" s="194">
        <f t="shared" si="131"/>
        <v>0.05</v>
      </c>
    </row>
    <row r="2807" spans="1:15" ht="12.75" customHeight="1">
      <c r="A2807" s="188" t="s">
        <v>620</v>
      </c>
      <c r="B2807" s="188" t="s">
        <v>3787</v>
      </c>
      <c r="C2807" s="188" t="s">
        <v>659</v>
      </c>
      <c r="D2807" s="188" t="s">
        <v>4392</v>
      </c>
      <c r="E2807" s="189">
        <v>39436</v>
      </c>
      <c r="F2807" s="190">
        <v>0</v>
      </c>
      <c r="G2807" s="190">
        <v>7.68</v>
      </c>
      <c r="H2807" s="191">
        <v>150</v>
      </c>
      <c r="I2807" s="191">
        <v>54</v>
      </c>
      <c r="J2807" s="188" t="s">
        <v>624</v>
      </c>
      <c r="K2807" s="188" t="s">
        <v>427</v>
      </c>
      <c r="L2807" s="188" t="s">
        <v>1371</v>
      </c>
      <c r="M2807" s="192">
        <f t="shared" si="129"/>
        <v>25</v>
      </c>
      <c r="N2807" s="193">
        <f t="shared" si="130"/>
        <v>1.25</v>
      </c>
      <c r="O2807" s="194">
        <f t="shared" si="131"/>
        <v>0.05</v>
      </c>
    </row>
    <row r="2808" spans="1:15" ht="12.75" customHeight="1">
      <c r="A2808" s="188" t="s">
        <v>620</v>
      </c>
      <c r="B2808" s="188" t="s">
        <v>3787</v>
      </c>
      <c r="C2808" s="188" t="s">
        <v>659</v>
      </c>
      <c r="D2808" s="188" t="s">
        <v>4393</v>
      </c>
      <c r="E2808" s="189">
        <v>39422</v>
      </c>
      <c r="F2808" s="190">
        <v>0</v>
      </c>
      <c r="G2808" s="190">
        <v>44.8</v>
      </c>
      <c r="H2808" s="191">
        <v>875</v>
      </c>
      <c r="I2808" s="191">
        <v>315</v>
      </c>
      <c r="J2808" s="188" t="s">
        <v>624</v>
      </c>
      <c r="K2808" s="188" t="s">
        <v>427</v>
      </c>
      <c r="L2808" s="188" t="s">
        <v>1827</v>
      </c>
      <c r="M2808" s="192">
        <f t="shared" si="129"/>
        <v>25</v>
      </c>
      <c r="N2808" s="193">
        <f t="shared" si="130"/>
        <v>1.25</v>
      </c>
      <c r="O2808" s="194">
        <f t="shared" si="131"/>
        <v>0.05</v>
      </c>
    </row>
    <row r="2809" spans="1:15" ht="12.75" customHeight="1">
      <c r="A2809" s="188" t="s">
        <v>620</v>
      </c>
      <c r="B2809" s="188" t="s">
        <v>3787</v>
      </c>
      <c r="C2809" s="188" t="s">
        <v>659</v>
      </c>
      <c r="D2809" s="188" t="s">
        <v>4394</v>
      </c>
      <c r="E2809" s="189">
        <v>39520</v>
      </c>
      <c r="F2809" s="190">
        <v>0</v>
      </c>
      <c r="G2809" s="190">
        <v>40.96</v>
      </c>
      <c r="H2809" s="191">
        <v>805</v>
      </c>
      <c r="I2809" s="191">
        <v>288</v>
      </c>
      <c r="J2809" s="188" t="s">
        <v>624</v>
      </c>
      <c r="K2809" s="188" t="s">
        <v>427</v>
      </c>
      <c r="L2809" s="188" t="s">
        <v>1849</v>
      </c>
      <c r="M2809" s="192">
        <f t="shared" si="129"/>
        <v>25</v>
      </c>
      <c r="N2809" s="193">
        <f t="shared" si="130"/>
        <v>1.2578125</v>
      </c>
      <c r="O2809" s="194">
        <f t="shared" si="131"/>
        <v>5.0312500000000003E-2</v>
      </c>
    </row>
    <row r="2810" spans="1:15" ht="12.75" customHeight="1">
      <c r="A2810" s="188" t="s">
        <v>620</v>
      </c>
      <c r="B2810" s="188" t="s">
        <v>3787</v>
      </c>
      <c r="C2810" s="188" t="s">
        <v>659</v>
      </c>
      <c r="D2810" s="188" t="s">
        <v>4395</v>
      </c>
      <c r="E2810" s="189">
        <v>39240</v>
      </c>
      <c r="F2810" s="190">
        <v>0</v>
      </c>
      <c r="G2810" s="190">
        <v>91.26</v>
      </c>
      <c r="H2810" s="191">
        <v>1794.05</v>
      </c>
      <c r="I2810" s="191">
        <v>641.70000000000005</v>
      </c>
      <c r="J2810" s="188" t="s">
        <v>624</v>
      </c>
      <c r="K2810" s="188" t="s">
        <v>427</v>
      </c>
      <c r="L2810" s="188" t="s">
        <v>4396</v>
      </c>
      <c r="M2810" s="192">
        <f t="shared" si="129"/>
        <v>25</v>
      </c>
      <c r="N2810" s="193">
        <f t="shared" si="130"/>
        <v>1.2580995792426368</v>
      </c>
      <c r="O2810" s="194">
        <f t="shared" si="131"/>
        <v>5.0323983169705475E-2</v>
      </c>
    </row>
    <row r="2811" spans="1:15" ht="12.75" customHeight="1">
      <c r="A2811" s="188" t="s">
        <v>620</v>
      </c>
      <c r="B2811" s="188" t="s">
        <v>3787</v>
      </c>
      <c r="C2811" s="188" t="s">
        <v>659</v>
      </c>
      <c r="D2811" s="188" t="s">
        <v>4397</v>
      </c>
      <c r="E2811" s="189">
        <v>39436</v>
      </c>
      <c r="F2811" s="190">
        <v>0</v>
      </c>
      <c r="G2811" s="190">
        <v>103.68</v>
      </c>
      <c r="H2811" s="191">
        <v>2039</v>
      </c>
      <c r="I2811" s="191">
        <v>729</v>
      </c>
      <c r="J2811" s="188" t="s">
        <v>624</v>
      </c>
      <c r="K2811" s="188" t="s">
        <v>427</v>
      </c>
      <c r="L2811" s="188" t="s">
        <v>1195</v>
      </c>
      <c r="M2811" s="192">
        <f t="shared" si="129"/>
        <v>25</v>
      </c>
      <c r="N2811" s="193">
        <f t="shared" si="130"/>
        <v>1.258641975308642</v>
      </c>
      <c r="O2811" s="194">
        <f t="shared" si="131"/>
        <v>5.0345679012345677E-2</v>
      </c>
    </row>
    <row r="2812" spans="1:15" ht="12.75" customHeight="1">
      <c r="A2812" s="188" t="s">
        <v>620</v>
      </c>
      <c r="B2812" s="188" t="s">
        <v>3787</v>
      </c>
      <c r="C2812" s="188" t="s">
        <v>659</v>
      </c>
      <c r="D2812" s="188" t="s">
        <v>4398</v>
      </c>
      <c r="E2812" s="189">
        <v>39345</v>
      </c>
      <c r="F2812" s="190">
        <v>0</v>
      </c>
      <c r="G2812" s="190">
        <v>44.54</v>
      </c>
      <c r="H2812" s="191">
        <v>877</v>
      </c>
      <c r="I2812" s="191">
        <v>313.2</v>
      </c>
      <c r="J2812" s="188" t="s">
        <v>624</v>
      </c>
      <c r="K2812" s="188" t="s">
        <v>427</v>
      </c>
      <c r="L2812" s="188" t="s">
        <v>2705</v>
      </c>
      <c r="M2812" s="192">
        <f t="shared" si="129"/>
        <v>25</v>
      </c>
      <c r="N2812" s="193">
        <f t="shared" si="130"/>
        <v>1.2600574712643677</v>
      </c>
      <c r="O2812" s="194">
        <f t="shared" si="131"/>
        <v>5.0402298850574706E-2</v>
      </c>
    </row>
    <row r="2813" spans="1:15" ht="12.75" customHeight="1">
      <c r="A2813" s="188" t="s">
        <v>620</v>
      </c>
      <c r="B2813" s="188" t="s">
        <v>3787</v>
      </c>
      <c r="C2813" s="188" t="s">
        <v>659</v>
      </c>
      <c r="D2813" s="188" t="s">
        <v>4399</v>
      </c>
      <c r="E2813" s="189">
        <v>39395</v>
      </c>
      <c r="F2813" s="190">
        <v>0</v>
      </c>
      <c r="G2813" s="190">
        <v>56</v>
      </c>
      <c r="H2813" s="191">
        <v>1103</v>
      </c>
      <c r="I2813" s="191">
        <v>393.75</v>
      </c>
      <c r="J2813" s="188" t="s">
        <v>624</v>
      </c>
      <c r="K2813" s="188" t="s">
        <v>427</v>
      </c>
      <c r="L2813" s="188" t="s">
        <v>1511</v>
      </c>
      <c r="M2813" s="192">
        <f t="shared" si="129"/>
        <v>25</v>
      </c>
      <c r="N2813" s="193">
        <f t="shared" si="130"/>
        <v>1.2605714285714287</v>
      </c>
      <c r="O2813" s="194">
        <f t="shared" si="131"/>
        <v>5.0422857142857144E-2</v>
      </c>
    </row>
    <row r="2814" spans="1:15" ht="12.75" customHeight="1">
      <c r="A2814" s="188" t="s">
        <v>620</v>
      </c>
      <c r="B2814" s="188" t="s">
        <v>3787</v>
      </c>
      <c r="C2814" s="188" t="s">
        <v>659</v>
      </c>
      <c r="D2814" s="188" t="s">
        <v>4400</v>
      </c>
      <c r="E2814" s="189">
        <v>39611</v>
      </c>
      <c r="F2814" s="190">
        <v>0</v>
      </c>
      <c r="G2814" s="190">
        <v>34.18</v>
      </c>
      <c r="H2814" s="191">
        <v>808</v>
      </c>
      <c r="I2814" s="191">
        <v>240.3</v>
      </c>
      <c r="J2814" s="188" t="s">
        <v>624</v>
      </c>
      <c r="K2814" s="188" t="s">
        <v>257</v>
      </c>
      <c r="L2814" s="188" t="s">
        <v>4401</v>
      </c>
      <c r="M2814" s="192">
        <f t="shared" si="129"/>
        <v>30</v>
      </c>
      <c r="N2814" s="193">
        <f t="shared" si="130"/>
        <v>1.5131086142322097</v>
      </c>
      <c r="O2814" s="194">
        <f t="shared" si="131"/>
        <v>5.0436953807740319E-2</v>
      </c>
    </row>
    <row r="2815" spans="1:15" ht="12.75" customHeight="1">
      <c r="A2815" s="188" t="s">
        <v>620</v>
      </c>
      <c r="B2815" s="188" t="s">
        <v>3787</v>
      </c>
      <c r="C2815" s="188" t="s">
        <v>659</v>
      </c>
      <c r="D2815" s="188" t="s">
        <v>4402</v>
      </c>
      <c r="E2815" s="189">
        <v>39590</v>
      </c>
      <c r="F2815" s="190">
        <v>0</v>
      </c>
      <c r="G2815" s="190">
        <v>36.74</v>
      </c>
      <c r="H2815" s="191">
        <v>724</v>
      </c>
      <c r="I2815" s="191">
        <v>258.3</v>
      </c>
      <c r="J2815" s="188" t="s">
        <v>624</v>
      </c>
      <c r="K2815" s="188" t="s">
        <v>427</v>
      </c>
      <c r="L2815" s="188" t="s">
        <v>4403</v>
      </c>
      <c r="M2815" s="192">
        <f t="shared" si="129"/>
        <v>25</v>
      </c>
      <c r="N2815" s="193">
        <f t="shared" si="130"/>
        <v>1.2613240418118468</v>
      </c>
      <c r="O2815" s="194">
        <f t="shared" si="131"/>
        <v>5.0452961672473873E-2</v>
      </c>
    </row>
    <row r="2816" spans="1:15" ht="12.75" customHeight="1">
      <c r="A2816" s="188" t="s">
        <v>620</v>
      </c>
      <c r="B2816" s="188" t="s">
        <v>3787</v>
      </c>
      <c r="C2816" s="188" t="s">
        <v>659</v>
      </c>
      <c r="D2816" s="188" t="s">
        <v>4404</v>
      </c>
      <c r="E2816" s="189">
        <v>39339</v>
      </c>
      <c r="F2816" s="190">
        <v>0</v>
      </c>
      <c r="G2816" s="190">
        <v>89.92</v>
      </c>
      <c r="H2816" s="191">
        <v>1775.92</v>
      </c>
      <c r="I2816" s="191">
        <v>632.25</v>
      </c>
      <c r="J2816" s="188" t="s">
        <v>624</v>
      </c>
      <c r="K2816" s="188" t="s">
        <v>427</v>
      </c>
      <c r="L2816" s="188" t="s">
        <v>2146</v>
      </c>
      <c r="M2816" s="192">
        <f t="shared" si="129"/>
        <v>25</v>
      </c>
      <c r="N2816" s="193">
        <f t="shared" si="130"/>
        <v>1.264</v>
      </c>
      <c r="O2816" s="194">
        <f t="shared" si="131"/>
        <v>5.0560000000000001E-2</v>
      </c>
    </row>
    <row r="2817" spans="1:15" ht="12.75" customHeight="1">
      <c r="A2817" s="188" t="s">
        <v>620</v>
      </c>
      <c r="B2817" s="188" t="s">
        <v>3787</v>
      </c>
      <c r="C2817" s="188" t="s">
        <v>659</v>
      </c>
      <c r="D2817" s="188" t="s">
        <v>4405</v>
      </c>
      <c r="E2817" s="189">
        <v>39447</v>
      </c>
      <c r="F2817" s="190">
        <v>0</v>
      </c>
      <c r="G2817" s="190">
        <v>62.21</v>
      </c>
      <c r="H2817" s="191">
        <v>1234</v>
      </c>
      <c r="I2817" s="191">
        <v>437.4</v>
      </c>
      <c r="J2817" s="188" t="s">
        <v>624</v>
      </c>
      <c r="K2817" s="188" t="s">
        <v>427</v>
      </c>
      <c r="L2817" s="188" t="s">
        <v>365</v>
      </c>
      <c r="M2817" s="192">
        <f t="shared" si="129"/>
        <v>25</v>
      </c>
      <c r="N2817" s="193">
        <f t="shared" si="130"/>
        <v>1.2695473251028806</v>
      </c>
      <c r="O2817" s="194">
        <f t="shared" si="131"/>
        <v>5.0781893004115224E-2</v>
      </c>
    </row>
    <row r="2818" spans="1:15" ht="12.75" customHeight="1">
      <c r="A2818" s="188" t="s">
        <v>620</v>
      </c>
      <c r="B2818" s="188" t="s">
        <v>3787</v>
      </c>
      <c r="C2818" s="188" t="s">
        <v>659</v>
      </c>
      <c r="D2818" s="188" t="s">
        <v>4406</v>
      </c>
      <c r="E2818" s="189">
        <v>39436</v>
      </c>
      <c r="F2818" s="190">
        <v>0</v>
      </c>
      <c r="G2818" s="190">
        <v>71.23</v>
      </c>
      <c r="H2818" s="191">
        <v>1418</v>
      </c>
      <c r="I2818" s="191">
        <v>500.85</v>
      </c>
      <c r="J2818" s="188" t="s">
        <v>624</v>
      </c>
      <c r="K2818" s="188" t="s">
        <v>427</v>
      </c>
      <c r="L2818" s="188" t="s">
        <v>2160</v>
      </c>
      <c r="M2818" s="192">
        <f t="shared" ref="M2818:M2881" si="132">K2818-J2818</f>
        <v>25</v>
      </c>
      <c r="N2818" s="193">
        <f t="shared" ref="N2818:N2881" si="133">H2818/L2818</f>
        <v>1.2740341419586703</v>
      </c>
      <c r="O2818" s="194">
        <f t="shared" ref="O2818:O2881" si="134">N2818/M2818</f>
        <v>5.0961365678346811E-2</v>
      </c>
    </row>
    <row r="2819" spans="1:15" ht="12.75" customHeight="1">
      <c r="A2819" s="188" t="s">
        <v>620</v>
      </c>
      <c r="B2819" s="188" t="s">
        <v>3787</v>
      </c>
      <c r="C2819" s="188" t="s">
        <v>659</v>
      </c>
      <c r="D2819" s="188" t="s">
        <v>4407</v>
      </c>
      <c r="E2819" s="189">
        <v>39507</v>
      </c>
      <c r="F2819" s="190">
        <v>0</v>
      </c>
      <c r="G2819" s="190">
        <v>88.06</v>
      </c>
      <c r="H2819" s="191">
        <v>1477</v>
      </c>
      <c r="I2819" s="191">
        <v>619.20000000000005</v>
      </c>
      <c r="J2819" s="188" t="s">
        <v>624</v>
      </c>
      <c r="K2819" s="188" t="s">
        <v>1344</v>
      </c>
      <c r="L2819" s="188" t="s">
        <v>4408</v>
      </c>
      <c r="M2819" s="192">
        <f t="shared" si="132"/>
        <v>21</v>
      </c>
      <c r="N2819" s="193">
        <f t="shared" si="133"/>
        <v>1.0734011627906976</v>
      </c>
      <c r="O2819" s="194">
        <f t="shared" si="134"/>
        <v>5.1114341085271318E-2</v>
      </c>
    </row>
    <row r="2820" spans="1:15" ht="12.75" customHeight="1">
      <c r="A2820" s="188" t="s">
        <v>620</v>
      </c>
      <c r="B2820" s="188" t="s">
        <v>3787</v>
      </c>
      <c r="C2820" s="188" t="s">
        <v>659</v>
      </c>
      <c r="D2820" s="188" t="s">
        <v>4409</v>
      </c>
      <c r="E2820" s="189">
        <v>39471</v>
      </c>
      <c r="F2820" s="190">
        <v>0</v>
      </c>
      <c r="G2820" s="190">
        <v>128</v>
      </c>
      <c r="H2820" s="191">
        <v>2556</v>
      </c>
      <c r="I2820" s="191">
        <v>900</v>
      </c>
      <c r="J2820" s="188" t="s">
        <v>624</v>
      </c>
      <c r="K2820" s="188" t="s">
        <v>427</v>
      </c>
      <c r="L2820" s="188" t="s">
        <v>756</v>
      </c>
      <c r="M2820" s="192">
        <f t="shared" si="132"/>
        <v>25</v>
      </c>
      <c r="N2820" s="193">
        <f t="shared" si="133"/>
        <v>1.278</v>
      </c>
      <c r="O2820" s="194">
        <f t="shared" si="134"/>
        <v>5.1119999999999999E-2</v>
      </c>
    </row>
    <row r="2821" spans="1:15" ht="12.75" customHeight="1">
      <c r="A2821" s="188" t="s">
        <v>620</v>
      </c>
      <c r="B2821" s="188" t="s">
        <v>3787</v>
      </c>
      <c r="C2821" s="188" t="s">
        <v>659</v>
      </c>
      <c r="D2821" s="188" t="s">
        <v>4410</v>
      </c>
      <c r="E2821" s="189">
        <v>39507</v>
      </c>
      <c r="F2821" s="190">
        <v>0</v>
      </c>
      <c r="G2821" s="190">
        <v>36.61</v>
      </c>
      <c r="H2821" s="191">
        <v>615</v>
      </c>
      <c r="I2821" s="191">
        <v>257.39999999999998</v>
      </c>
      <c r="J2821" s="188" t="s">
        <v>624</v>
      </c>
      <c r="K2821" s="188" t="s">
        <v>1344</v>
      </c>
      <c r="L2821" s="188" t="s">
        <v>841</v>
      </c>
      <c r="M2821" s="192">
        <f t="shared" si="132"/>
        <v>21</v>
      </c>
      <c r="N2821" s="193">
        <f t="shared" si="133"/>
        <v>1.0751748251748252</v>
      </c>
      <c r="O2821" s="194">
        <f t="shared" si="134"/>
        <v>5.11988011988012E-2</v>
      </c>
    </row>
    <row r="2822" spans="1:15" ht="12.75" customHeight="1">
      <c r="A2822" s="188" t="s">
        <v>620</v>
      </c>
      <c r="B2822" s="188" t="s">
        <v>3787</v>
      </c>
      <c r="C2822" s="188" t="s">
        <v>659</v>
      </c>
      <c r="D2822" s="188" t="s">
        <v>4411</v>
      </c>
      <c r="E2822" s="189">
        <v>39380</v>
      </c>
      <c r="F2822" s="190">
        <v>0</v>
      </c>
      <c r="G2822" s="190">
        <v>68.349999999999994</v>
      </c>
      <c r="H2822" s="191">
        <v>1150</v>
      </c>
      <c r="I2822" s="191">
        <v>480.6</v>
      </c>
      <c r="J2822" s="188" t="s">
        <v>624</v>
      </c>
      <c r="K2822" s="188" t="s">
        <v>1344</v>
      </c>
      <c r="L2822" s="188" t="s">
        <v>3118</v>
      </c>
      <c r="M2822" s="192">
        <f t="shared" si="132"/>
        <v>21</v>
      </c>
      <c r="N2822" s="193">
        <f t="shared" si="133"/>
        <v>1.0767790262172285</v>
      </c>
      <c r="O2822" s="194">
        <f t="shared" si="134"/>
        <v>5.127519172462993E-2</v>
      </c>
    </row>
    <row r="2823" spans="1:15" ht="12.75" customHeight="1">
      <c r="A2823" s="188" t="s">
        <v>620</v>
      </c>
      <c r="B2823" s="188" t="s">
        <v>3787</v>
      </c>
      <c r="C2823" s="188" t="s">
        <v>659</v>
      </c>
      <c r="D2823" s="188" t="s">
        <v>4412</v>
      </c>
      <c r="E2823" s="189">
        <v>39548</v>
      </c>
      <c r="F2823" s="190">
        <v>0</v>
      </c>
      <c r="G2823" s="190">
        <v>83.58</v>
      </c>
      <c r="H2823" s="191">
        <v>1680</v>
      </c>
      <c r="I2823" s="191">
        <v>587.70000000000005</v>
      </c>
      <c r="J2823" s="188" t="s">
        <v>624</v>
      </c>
      <c r="K2823" s="188" t="s">
        <v>427</v>
      </c>
      <c r="L2823" s="188" t="s">
        <v>935</v>
      </c>
      <c r="M2823" s="192">
        <f t="shared" si="132"/>
        <v>25</v>
      </c>
      <c r="N2823" s="193">
        <f t="shared" si="133"/>
        <v>1.2863705972434916</v>
      </c>
      <c r="O2823" s="194">
        <f t="shared" si="134"/>
        <v>5.1454823889739661E-2</v>
      </c>
    </row>
    <row r="2824" spans="1:15" ht="12.75" customHeight="1">
      <c r="A2824" s="188" t="s">
        <v>620</v>
      </c>
      <c r="B2824" s="188" t="s">
        <v>3787</v>
      </c>
      <c r="C2824" s="188" t="s">
        <v>659</v>
      </c>
      <c r="D2824" s="188" t="s">
        <v>4413</v>
      </c>
      <c r="E2824" s="189">
        <v>39541</v>
      </c>
      <c r="F2824" s="190">
        <v>0</v>
      </c>
      <c r="G2824" s="190">
        <v>74.37</v>
      </c>
      <c r="H2824" s="191">
        <v>1496</v>
      </c>
      <c r="I2824" s="191">
        <v>522.9</v>
      </c>
      <c r="J2824" s="188" t="s">
        <v>624</v>
      </c>
      <c r="K2824" s="188" t="s">
        <v>427</v>
      </c>
      <c r="L2824" s="188" t="s">
        <v>346</v>
      </c>
      <c r="M2824" s="192">
        <f t="shared" si="132"/>
        <v>25</v>
      </c>
      <c r="N2824" s="193">
        <f t="shared" si="133"/>
        <v>1.2874354561101549</v>
      </c>
      <c r="O2824" s="194">
        <f t="shared" si="134"/>
        <v>5.1497418244406193E-2</v>
      </c>
    </row>
    <row r="2825" spans="1:15" ht="12.75" customHeight="1">
      <c r="A2825" s="188" t="s">
        <v>620</v>
      </c>
      <c r="B2825" s="188" t="s">
        <v>3787</v>
      </c>
      <c r="C2825" s="188" t="s">
        <v>659</v>
      </c>
      <c r="D2825" s="188" t="s">
        <v>4414</v>
      </c>
      <c r="E2825" s="189">
        <v>39289</v>
      </c>
      <c r="F2825" s="190">
        <v>0</v>
      </c>
      <c r="G2825" s="190">
        <v>83.2</v>
      </c>
      <c r="H2825" s="191">
        <v>1674.01</v>
      </c>
      <c r="I2825" s="191">
        <v>585</v>
      </c>
      <c r="J2825" s="188" t="s">
        <v>624</v>
      </c>
      <c r="K2825" s="188" t="s">
        <v>427</v>
      </c>
      <c r="L2825" s="188" t="s">
        <v>699</v>
      </c>
      <c r="M2825" s="192">
        <f t="shared" si="132"/>
        <v>25</v>
      </c>
      <c r="N2825" s="193">
        <f t="shared" si="133"/>
        <v>1.2877000000000001</v>
      </c>
      <c r="O2825" s="194">
        <f t="shared" si="134"/>
        <v>5.1508000000000005E-2</v>
      </c>
    </row>
    <row r="2826" spans="1:15" ht="12.75" customHeight="1">
      <c r="A2826" s="188" t="s">
        <v>620</v>
      </c>
      <c r="B2826" s="188" t="s">
        <v>3787</v>
      </c>
      <c r="C2826" s="188" t="s">
        <v>659</v>
      </c>
      <c r="D2826" s="188" t="s">
        <v>4415</v>
      </c>
      <c r="E2826" s="189">
        <v>39527</v>
      </c>
      <c r="F2826" s="190">
        <v>0</v>
      </c>
      <c r="G2826" s="190">
        <v>89.34</v>
      </c>
      <c r="H2826" s="191">
        <v>1799</v>
      </c>
      <c r="I2826" s="191">
        <v>628.20000000000005</v>
      </c>
      <c r="J2826" s="188" t="s">
        <v>624</v>
      </c>
      <c r="K2826" s="188" t="s">
        <v>427</v>
      </c>
      <c r="L2826" s="188" t="s">
        <v>2138</v>
      </c>
      <c r="M2826" s="192">
        <f t="shared" si="132"/>
        <v>25</v>
      </c>
      <c r="N2826" s="193">
        <f t="shared" si="133"/>
        <v>1.2886819484240688</v>
      </c>
      <c r="O2826" s="194">
        <f t="shared" si="134"/>
        <v>5.1547277936962753E-2</v>
      </c>
    </row>
    <row r="2827" spans="1:15" ht="12.75" customHeight="1">
      <c r="A2827" s="188" t="s">
        <v>620</v>
      </c>
      <c r="B2827" s="188" t="s">
        <v>3787</v>
      </c>
      <c r="C2827" s="188" t="s">
        <v>659</v>
      </c>
      <c r="D2827" s="188" t="s">
        <v>4416</v>
      </c>
      <c r="E2827" s="189">
        <v>39415</v>
      </c>
      <c r="F2827" s="190">
        <v>0</v>
      </c>
      <c r="G2827" s="190">
        <v>90.18</v>
      </c>
      <c r="H2827" s="191">
        <v>1525.35</v>
      </c>
      <c r="I2827" s="191">
        <v>634.04999999999995</v>
      </c>
      <c r="J2827" s="188" t="s">
        <v>624</v>
      </c>
      <c r="K2827" s="188" t="s">
        <v>1344</v>
      </c>
      <c r="L2827" s="188" t="s">
        <v>4417</v>
      </c>
      <c r="M2827" s="192">
        <f t="shared" si="132"/>
        <v>21</v>
      </c>
      <c r="N2827" s="193">
        <f t="shared" si="133"/>
        <v>1.0825762952448545</v>
      </c>
      <c r="O2827" s="194">
        <f t="shared" si="134"/>
        <v>5.1551252154516884E-2</v>
      </c>
    </row>
    <row r="2828" spans="1:15" ht="12.75" customHeight="1">
      <c r="A2828" s="188" t="s">
        <v>620</v>
      </c>
      <c r="B2828" s="188" t="s">
        <v>3787</v>
      </c>
      <c r="C2828" s="188" t="s">
        <v>659</v>
      </c>
      <c r="D2828" s="188" t="s">
        <v>4418</v>
      </c>
      <c r="E2828" s="189">
        <v>39233</v>
      </c>
      <c r="F2828" s="190">
        <v>0</v>
      </c>
      <c r="G2828" s="190">
        <v>15.36</v>
      </c>
      <c r="H2828" s="191">
        <v>310.01</v>
      </c>
      <c r="I2828" s="191">
        <v>108</v>
      </c>
      <c r="J2828" s="188" t="s">
        <v>624</v>
      </c>
      <c r="K2828" s="188" t="s">
        <v>427</v>
      </c>
      <c r="L2828" s="188" t="s">
        <v>3940</v>
      </c>
      <c r="M2828" s="192">
        <f t="shared" si="132"/>
        <v>25</v>
      </c>
      <c r="N2828" s="193">
        <f t="shared" si="133"/>
        <v>1.2917083333333332</v>
      </c>
      <c r="O2828" s="194">
        <f t="shared" si="134"/>
        <v>5.166833333333333E-2</v>
      </c>
    </row>
    <row r="2829" spans="1:15" ht="12.75" customHeight="1">
      <c r="A2829" s="188" t="s">
        <v>620</v>
      </c>
      <c r="B2829" s="188" t="s">
        <v>3787</v>
      </c>
      <c r="C2829" s="188" t="s">
        <v>659</v>
      </c>
      <c r="D2829" s="188" t="s">
        <v>4419</v>
      </c>
      <c r="E2829" s="189">
        <v>39303</v>
      </c>
      <c r="F2829" s="190">
        <v>0</v>
      </c>
      <c r="G2829" s="190">
        <v>102.14</v>
      </c>
      <c r="H2829" s="191">
        <v>2063.31</v>
      </c>
      <c r="I2829" s="191">
        <v>718.2</v>
      </c>
      <c r="J2829" s="188" t="s">
        <v>624</v>
      </c>
      <c r="K2829" s="188" t="s">
        <v>427</v>
      </c>
      <c r="L2829" s="188" t="s">
        <v>1516</v>
      </c>
      <c r="M2829" s="192">
        <f t="shared" si="132"/>
        <v>25</v>
      </c>
      <c r="N2829" s="193">
        <f t="shared" si="133"/>
        <v>1.2928007518796991</v>
      </c>
      <c r="O2829" s="194">
        <f t="shared" si="134"/>
        <v>5.1712030075187966E-2</v>
      </c>
    </row>
    <row r="2830" spans="1:15" ht="12.75" customHeight="1">
      <c r="A2830" s="188" t="s">
        <v>620</v>
      </c>
      <c r="B2830" s="188" t="s">
        <v>3787</v>
      </c>
      <c r="C2830" s="188" t="s">
        <v>659</v>
      </c>
      <c r="D2830" s="188" t="s">
        <v>4420</v>
      </c>
      <c r="E2830" s="189">
        <v>39534</v>
      </c>
      <c r="F2830" s="190">
        <v>0</v>
      </c>
      <c r="G2830" s="190">
        <v>82.56</v>
      </c>
      <c r="H2830" s="191">
        <v>1672</v>
      </c>
      <c r="I2830" s="191">
        <v>580.5</v>
      </c>
      <c r="J2830" s="188" t="s">
        <v>624</v>
      </c>
      <c r="K2830" s="188" t="s">
        <v>427</v>
      </c>
      <c r="L2830" s="188" t="s">
        <v>2665</v>
      </c>
      <c r="M2830" s="192">
        <f t="shared" si="132"/>
        <v>25</v>
      </c>
      <c r="N2830" s="193">
        <f t="shared" si="133"/>
        <v>1.296124031007752</v>
      </c>
      <c r="O2830" s="194">
        <f t="shared" si="134"/>
        <v>5.1844961240310079E-2</v>
      </c>
    </row>
    <row r="2831" spans="1:15" ht="12.75" customHeight="1">
      <c r="A2831" s="188" t="s">
        <v>620</v>
      </c>
      <c r="B2831" s="188" t="s">
        <v>3787</v>
      </c>
      <c r="C2831" s="188" t="s">
        <v>659</v>
      </c>
      <c r="D2831" s="188" t="s">
        <v>4421</v>
      </c>
      <c r="E2831" s="189">
        <v>39219</v>
      </c>
      <c r="F2831" s="190">
        <v>0</v>
      </c>
      <c r="G2831" s="190">
        <v>70.400000000000006</v>
      </c>
      <c r="H2831" s="191">
        <v>1199</v>
      </c>
      <c r="I2831" s="191">
        <v>495</v>
      </c>
      <c r="J2831" s="188" t="s">
        <v>624</v>
      </c>
      <c r="K2831" s="188" t="s">
        <v>1344</v>
      </c>
      <c r="L2831" s="188" t="s">
        <v>557</v>
      </c>
      <c r="M2831" s="192">
        <f t="shared" si="132"/>
        <v>21</v>
      </c>
      <c r="N2831" s="193">
        <f t="shared" si="133"/>
        <v>1.0900000000000001</v>
      </c>
      <c r="O2831" s="194">
        <f t="shared" si="134"/>
        <v>5.1904761904761912E-2</v>
      </c>
    </row>
    <row r="2832" spans="1:15" ht="12.75" customHeight="1">
      <c r="A2832" s="188" t="s">
        <v>620</v>
      </c>
      <c r="B2832" s="188" t="s">
        <v>3787</v>
      </c>
      <c r="C2832" s="188" t="s">
        <v>659</v>
      </c>
      <c r="D2832" s="188" t="s">
        <v>4422</v>
      </c>
      <c r="E2832" s="189">
        <v>39471</v>
      </c>
      <c r="F2832" s="190">
        <v>0</v>
      </c>
      <c r="G2832" s="190">
        <v>109.06</v>
      </c>
      <c r="H2832" s="191">
        <v>2213</v>
      </c>
      <c r="I2832" s="191">
        <v>766.8</v>
      </c>
      <c r="J2832" s="188" t="s">
        <v>624</v>
      </c>
      <c r="K2832" s="188" t="s">
        <v>427</v>
      </c>
      <c r="L2832" s="188" t="s">
        <v>2082</v>
      </c>
      <c r="M2832" s="192">
        <f t="shared" si="132"/>
        <v>25</v>
      </c>
      <c r="N2832" s="193">
        <f t="shared" si="133"/>
        <v>1.2987089201877935</v>
      </c>
      <c r="O2832" s="194">
        <f t="shared" si="134"/>
        <v>5.1948356807511739E-2</v>
      </c>
    </row>
    <row r="2833" spans="1:15" ht="12.75" customHeight="1">
      <c r="A2833" s="188" t="s">
        <v>620</v>
      </c>
      <c r="B2833" s="188" t="s">
        <v>3787</v>
      </c>
      <c r="C2833" s="188" t="s">
        <v>659</v>
      </c>
      <c r="D2833" s="188" t="s">
        <v>4423</v>
      </c>
      <c r="E2833" s="189">
        <v>39219</v>
      </c>
      <c r="F2833" s="190">
        <v>0</v>
      </c>
      <c r="G2833" s="190">
        <v>49.92</v>
      </c>
      <c r="H2833" s="191">
        <v>1014</v>
      </c>
      <c r="I2833" s="191">
        <v>351</v>
      </c>
      <c r="J2833" s="188" t="s">
        <v>624</v>
      </c>
      <c r="K2833" s="188" t="s">
        <v>427</v>
      </c>
      <c r="L2833" s="188" t="s">
        <v>656</v>
      </c>
      <c r="M2833" s="192">
        <f t="shared" si="132"/>
        <v>25</v>
      </c>
      <c r="N2833" s="193">
        <f t="shared" si="133"/>
        <v>1.3</v>
      </c>
      <c r="O2833" s="194">
        <f t="shared" si="134"/>
        <v>5.2000000000000005E-2</v>
      </c>
    </row>
    <row r="2834" spans="1:15" ht="12.75" customHeight="1">
      <c r="A2834" s="188" t="s">
        <v>620</v>
      </c>
      <c r="B2834" s="188" t="s">
        <v>3787</v>
      </c>
      <c r="C2834" s="188" t="s">
        <v>659</v>
      </c>
      <c r="D2834" s="188" t="s">
        <v>4424</v>
      </c>
      <c r="E2834" s="189">
        <v>39269</v>
      </c>
      <c r="F2834" s="190">
        <v>0</v>
      </c>
      <c r="G2834" s="190">
        <v>64</v>
      </c>
      <c r="H2834" s="191">
        <v>1300</v>
      </c>
      <c r="I2834" s="191">
        <v>450</v>
      </c>
      <c r="J2834" s="188" t="s">
        <v>624</v>
      </c>
      <c r="K2834" s="188" t="s">
        <v>427</v>
      </c>
      <c r="L2834" s="188" t="s">
        <v>636</v>
      </c>
      <c r="M2834" s="192">
        <f t="shared" si="132"/>
        <v>25</v>
      </c>
      <c r="N2834" s="193">
        <f t="shared" si="133"/>
        <v>1.3</v>
      </c>
      <c r="O2834" s="194">
        <f t="shared" si="134"/>
        <v>5.2000000000000005E-2</v>
      </c>
    </row>
    <row r="2835" spans="1:15" ht="12.75" customHeight="1">
      <c r="A2835" s="188" t="s">
        <v>620</v>
      </c>
      <c r="B2835" s="188" t="s">
        <v>3787</v>
      </c>
      <c r="C2835" s="188" t="s">
        <v>659</v>
      </c>
      <c r="D2835" s="188" t="s">
        <v>4425</v>
      </c>
      <c r="E2835" s="189">
        <v>39436</v>
      </c>
      <c r="F2835" s="190">
        <v>0</v>
      </c>
      <c r="G2835" s="190">
        <v>76.8</v>
      </c>
      <c r="H2835" s="191">
        <v>1560</v>
      </c>
      <c r="I2835" s="191">
        <v>540</v>
      </c>
      <c r="J2835" s="188" t="s">
        <v>624</v>
      </c>
      <c r="K2835" s="188" t="s">
        <v>427</v>
      </c>
      <c r="L2835" s="188" t="s">
        <v>632</v>
      </c>
      <c r="M2835" s="192">
        <f t="shared" si="132"/>
        <v>25</v>
      </c>
      <c r="N2835" s="193">
        <f t="shared" si="133"/>
        <v>1.3</v>
      </c>
      <c r="O2835" s="194">
        <f t="shared" si="134"/>
        <v>5.2000000000000005E-2</v>
      </c>
    </row>
    <row r="2836" spans="1:15" ht="12.75" customHeight="1">
      <c r="A2836" s="188" t="s">
        <v>620</v>
      </c>
      <c r="B2836" s="188" t="s">
        <v>3787</v>
      </c>
      <c r="C2836" s="188" t="s">
        <v>659</v>
      </c>
      <c r="D2836" s="188" t="s">
        <v>4426</v>
      </c>
      <c r="E2836" s="189">
        <v>39380</v>
      </c>
      <c r="F2836" s="190">
        <v>0</v>
      </c>
      <c r="G2836" s="190">
        <v>65.28</v>
      </c>
      <c r="H2836" s="191">
        <v>1330</v>
      </c>
      <c r="I2836" s="191">
        <v>459</v>
      </c>
      <c r="J2836" s="188" t="s">
        <v>624</v>
      </c>
      <c r="K2836" s="188" t="s">
        <v>427</v>
      </c>
      <c r="L2836" s="188" t="s">
        <v>658</v>
      </c>
      <c r="M2836" s="192">
        <f t="shared" si="132"/>
        <v>25</v>
      </c>
      <c r="N2836" s="193">
        <f t="shared" si="133"/>
        <v>1.303921568627451</v>
      </c>
      <c r="O2836" s="194">
        <f t="shared" si="134"/>
        <v>5.2156862745098037E-2</v>
      </c>
    </row>
    <row r="2837" spans="1:15" ht="12.75" customHeight="1">
      <c r="A2837" s="188" t="s">
        <v>620</v>
      </c>
      <c r="B2837" s="188" t="s">
        <v>3787</v>
      </c>
      <c r="C2837" s="188" t="s">
        <v>659</v>
      </c>
      <c r="D2837" s="188" t="s">
        <v>4427</v>
      </c>
      <c r="E2837" s="189">
        <v>39282</v>
      </c>
      <c r="F2837" s="190">
        <v>0</v>
      </c>
      <c r="G2837" s="190">
        <v>121.6</v>
      </c>
      <c r="H2837" s="191">
        <v>2082.9699999999998</v>
      </c>
      <c r="I2837" s="191">
        <v>855</v>
      </c>
      <c r="J2837" s="188" t="s">
        <v>624</v>
      </c>
      <c r="K2837" s="188" t="s">
        <v>1344</v>
      </c>
      <c r="L2837" s="188" t="s">
        <v>1673</v>
      </c>
      <c r="M2837" s="192">
        <f t="shared" si="132"/>
        <v>21</v>
      </c>
      <c r="N2837" s="193">
        <f t="shared" si="133"/>
        <v>1.0962999999999998</v>
      </c>
      <c r="O2837" s="194">
        <f t="shared" si="134"/>
        <v>5.22047619047619E-2</v>
      </c>
    </row>
    <row r="2838" spans="1:15" ht="12.75" customHeight="1">
      <c r="A2838" s="188" t="s">
        <v>620</v>
      </c>
      <c r="B2838" s="188" t="s">
        <v>3787</v>
      </c>
      <c r="C2838" s="188" t="s">
        <v>659</v>
      </c>
      <c r="D2838" s="188" t="s">
        <v>4428</v>
      </c>
      <c r="E2838" s="189">
        <v>39471</v>
      </c>
      <c r="F2838" s="190">
        <v>0</v>
      </c>
      <c r="G2838" s="190">
        <v>68.739999999999995</v>
      </c>
      <c r="H2838" s="191">
        <v>1403</v>
      </c>
      <c r="I2838" s="191">
        <v>483.3</v>
      </c>
      <c r="J2838" s="188" t="s">
        <v>624</v>
      </c>
      <c r="K2838" s="188" t="s">
        <v>427</v>
      </c>
      <c r="L2838" s="188" t="s">
        <v>1440</v>
      </c>
      <c r="M2838" s="192">
        <f t="shared" si="132"/>
        <v>25</v>
      </c>
      <c r="N2838" s="193">
        <f t="shared" si="133"/>
        <v>1.3063314711359404</v>
      </c>
      <c r="O2838" s="194">
        <f t="shared" si="134"/>
        <v>5.2253258845437613E-2</v>
      </c>
    </row>
    <row r="2839" spans="1:15" ht="12.75" customHeight="1">
      <c r="A2839" s="188" t="s">
        <v>620</v>
      </c>
      <c r="B2839" s="188" t="s">
        <v>3787</v>
      </c>
      <c r="C2839" s="188" t="s">
        <v>659</v>
      </c>
      <c r="D2839" s="188" t="s">
        <v>4429</v>
      </c>
      <c r="E2839" s="189">
        <v>39436</v>
      </c>
      <c r="F2839" s="190">
        <v>0</v>
      </c>
      <c r="G2839" s="190">
        <v>99.2</v>
      </c>
      <c r="H2839" s="191">
        <v>2430</v>
      </c>
      <c r="I2839" s="191">
        <v>697.5</v>
      </c>
      <c r="J2839" s="188" t="s">
        <v>624</v>
      </c>
      <c r="K2839" s="188" t="s">
        <v>257</v>
      </c>
      <c r="L2839" s="188" t="s">
        <v>1474</v>
      </c>
      <c r="M2839" s="192">
        <f t="shared" si="132"/>
        <v>30</v>
      </c>
      <c r="N2839" s="193">
        <f t="shared" si="133"/>
        <v>1.5677419354838709</v>
      </c>
      <c r="O2839" s="194">
        <f t="shared" si="134"/>
        <v>5.2258064516129028E-2</v>
      </c>
    </row>
    <row r="2840" spans="1:15" ht="12.75" customHeight="1">
      <c r="A2840" s="188" t="s">
        <v>620</v>
      </c>
      <c r="B2840" s="188" t="s">
        <v>3787</v>
      </c>
      <c r="C2840" s="188" t="s">
        <v>659</v>
      </c>
      <c r="D2840" s="188" t="s">
        <v>4430</v>
      </c>
      <c r="E2840" s="189">
        <v>39507</v>
      </c>
      <c r="F2840" s="190">
        <v>0</v>
      </c>
      <c r="G2840" s="190">
        <v>68.349999999999994</v>
      </c>
      <c r="H2840" s="191">
        <v>1397</v>
      </c>
      <c r="I2840" s="191">
        <v>480.6</v>
      </c>
      <c r="J2840" s="188" t="s">
        <v>624</v>
      </c>
      <c r="K2840" s="188" t="s">
        <v>427</v>
      </c>
      <c r="L2840" s="188" t="s">
        <v>3118</v>
      </c>
      <c r="M2840" s="192">
        <f t="shared" si="132"/>
        <v>25</v>
      </c>
      <c r="N2840" s="193">
        <f t="shared" si="133"/>
        <v>1.3080524344569289</v>
      </c>
      <c r="O2840" s="194">
        <f t="shared" si="134"/>
        <v>5.2322097378277158E-2</v>
      </c>
    </row>
    <row r="2841" spans="1:15" ht="12.75" customHeight="1">
      <c r="A2841" s="188" t="s">
        <v>620</v>
      </c>
      <c r="B2841" s="188" t="s">
        <v>3787</v>
      </c>
      <c r="C2841" s="188" t="s">
        <v>659</v>
      </c>
      <c r="D2841" s="188" t="s">
        <v>4431</v>
      </c>
      <c r="E2841" s="189">
        <v>39527</v>
      </c>
      <c r="F2841" s="190">
        <v>0</v>
      </c>
      <c r="G2841" s="190">
        <v>63.68</v>
      </c>
      <c r="H2841" s="191">
        <v>990</v>
      </c>
      <c r="I2841" s="191">
        <v>447.75</v>
      </c>
      <c r="J2841" s="188" t="s">
        <v>639</v>
      </c>
      <c r="K2841" s="188" t="s">
        <v>257</v>
      </c>
      <c r="L2841" s="188" t="s">
        <v>4432</v>
      </c>
      <c r="M2841" s="192">
        <f t="shared" si="132"/>
        <v>19</v>
      </c>
      <c r="N2841" s="193">
        <f t="shared" si="133"/>
        <v>0.99497487437185927</v>
      </c>
      <c r="O2841" s="194">
        <f t="shared" si="134"/>
        <v>5.2367098651150489E-2</v>
      </c>
    </row>
    <row r="2842" spans="1:15" ht="12.75" customHeight="1">
      <c r="A2842" s="188" t="s">
        <v>620</v>
      </c>
      <c r="B2842" s="188" t="s">
        <v>3787</v>
      </c>
      <c r="C2842" s="188" t="s">
        <v>659</v>
      </c>
      <c r="D2842" s="188" t="s">
        <v>4433</v>
      </c>
      <c r="E2842" s="189">
        <v>39407</v>
      </c>
      <c r="F2842" s="190">
        <v>0</v>
      </c>
      <c r="G2842" s="190">
        <v>111.3</v>
      </c>
      <c r="H2842" s="191">
        <v>2740.67</v>
      </c>
      <c r="I2842" s="191">
        <v>782.55</v>
      </c>
      <c r="J2842" s="188" t="s">
        <v>624</v>
      </c>
      <c r="K2842" s="188" t="s">
        <v>257</v>
      </c>
      <c r="L2842" s="188" t="s">
        <v>4434</v>
      </c>
      <c r="M2842" s="192">
        <f t="shared" si="132"/>
        <v>30</v>
      </c>
      <c r="N2842" s="193">
        <f t="shared" si="133"/>
        <v>1.5760034502587694</v>
      </c>
      <c r="O2842" s="194">
        <f t="shared" si="134"/>
        <v>5.2533448341958978E-2</v>
      </c>
    </row>
    <row r="2843" spans="1:15" ht="12.75" customHeight="1">
      <c r="A2843" s="188" t="s">
        <v>620</v>
      </c>
      <c r="B2843" s="188" t="s">
        <v>3787</v>
      </c>
      <c r="C2843" s="188" t="s">
        <v>659</v>
      </c>
      <c r="D2843" s="188" t="s">
        <v>4435</v>
      </c>
      <c r="E2843" s="189">
        <v>39275</v>
      </c>
      <c r="F2843" s="190">
        <v>0</v>
      </c>
      <c r="G2843" s="190">
        <v>78.400000000000006</v>
      </c>
      <c r="H2843" s="191">
        <v>1610.02</v>
      </c>
      <c r="I2843" s="191">
        <v>551.25</v>
      </c>
      <c r="J2843" s="188" t="s">
        <v>624</v>
      </c>
      <c r="K2843" s="188" t="s">
        <v>427</v>
      </c>
      <c r="L2843" s="188" t="s">
        <v>1653</v>
      </c>
      <c r="M2843" s="192">
        <f t="shared" si="132"/>
        <v>25</v>
      </c>
      <c r="N2843" s="193">
        <f t="shared" si="133"/>
        <v>1.3143020408163266</v>
      </c>
      <c r="O2843" s="194">
        <f t="shared" si="134"/>
        <v>5.2572081632653062E-2</v>
      </c>
    </row>
    <row r="2844" spans="1:15" ht="12.75" customHeight="1">
      <c r="A2844" s="188" t="s">
        <v>620</v>
      </c>
      <c r="B2844" s="188" t="s">
        <v>3787</v>
      </c>
      <c r="C2844" s="188" t="s">
        <v>659</v>
      </c>
      <c r="D2844" s="188" t="s">
        <v>4436</v>
      </c>
      <c r="E2844" s="189">
        <v>39527</v>
      </c>
      <c r="F2844" s="190">
        <v>0</v>
      </c>
      <c r="G2844" s="190">
        <v>81.92</v>
      </c>
      <c r="H2844" s="191">
        <v>1683.86</v>
      </c>
      <c r="I2844" s="191">
        <v>576</v>
      </c>
      <c r="J2844" s="188" t="s">
        <v>624</v>
      </c>
      <c r="K2844" s="188" t="s">
        <v>427</v>
      </c>
      <c r="L2844" s="188" t="s">
        <v>994</v>
      </c>
      <c r="M2844" s="192">
        <f t="shared" si="132"/>
        <v>25</v>
      </c>
      <c r="N2844" s="193">
        <f t="shared" si="133"/>
        <v>1.315515625</v>
      </c>
      <c r="O2844" s="194">
        <f t="shared" si="134"/>
        <v>5.2620624999999997E-2</v>
      </c>
    </row>
    <row r="2845" spans="1:15" ht="12.75" customHeight="1">
      <c r="A2845" s="188" t="s">
        <v>620</v>
      </c>
      <c r="B2845" s="188" t="s">
        <v>3787</v>
      </c>
      <c r="C2845" s="188" t="s">
        <v>659</v>
      </c>
      <c r="D2845" s="188" t="s">
        <v>4437</v>
      </c>
      <c r="E2845" s="189">
        <v>39513</v>
      </c>
      <c r="F2845" s="190">
        <v>0</v>
      </c>
      <c r="G2845" s="190">
        <v>87.55</v>
      </c>
      <c r="H2845" s="191">
        <v>1368</v>
      </c>
      <c r="I2845" s="191">
        <v>615.6</v>
      </c>
      <c r="J2845" s="188" t="s">
        <v>624</v>
      </c>
      <c r="K2845" s="188" t="s">
        <v>667</v>
      </c>
      <c r="L2845" s="188" t="s">
        <v>668</v>
      </c>
      <c r="M2845" s="192">
        <f t="shared" si="132"/>
        <v>19</v>
      </c>
      <c r="N2845" s="193">
        <f t="shared" si="133"/>
        <v>1</v>
      </c>
      <c r="O2845" s="194">
        <f t="shared" si="134"/>
        <v>5.2631578947368418E-2</v>
      </c>
    </row>
    <row r="2846" spans="1:15" ht="12.75" customHeight="1">
      <c r="A2846" s="188" t="s">
        <v>620</v>
      </c>
      <c r="B2846" s="188" t="s">
        <v>3787</v>
      </c>
      <c r="C2846" s="188" t="s">
        <v>659</v>
      </c>
      <c r="D2846" s="188" t="s">
        <v>4438</v>
      </c>
      <c r="E2846" s="189">
        <v>39359</v>
      </c>
      <c r="F2846" s="190">
        <v>0</v>
      </c>
      <c r="G2846" s="190">
        <v>96</v>
      </c>
      <c r="H2846" s="191">
        <v>2370.1</v>
      </c>
      <c r="I2846" s="191">
        <v>675</v>
      </c>
      <c r="J2846" s="188" t="s">
        <v>624</v>
      </c>
      <c r="K2846" s="188" t="s">
        <v>257</v>
      </c>
      <c r="L2846" s="188" t="s">
        <v>746</v>
      </c>
      <c r="M2846" s="192">
        <f t="shared" si="132"/>
        <v>30</v>
      </c>
      <c r="N2846" s="193">
        <f t="shared" si="133"/>
        <v>1.5800666666666665</v>
      </c>
      <c r="O2846" s="194">
        <f t="shared" si="134"/>
        <v>5.2668888888888883E-2</v>
      </c>
    </row>
    <row r="2847" spans="1:15" ht="12.75" customHeight="1">
      <c r="A2847" s="188" t="s">
        <v>620</v>
      </c>
      <c r="B2847" s="188" t="s">
        <v>3787</v>
      </c>
      <c r="C2847" s="188" t="s">
        <v>659</v>
      </c>
      <c r="D2847" s="188" t="s">
        <v>4439</v>
      </c>
      <c r="E2847" s="189">
        <v>39632</v>
      </c>
      <c r="F2847" s="190">
        <v>0</v>
      </c>
      <c r="G2847" s="190">
        <v>106.11</v>
      </c>
      <c r="H2847" s="191">
        <v>2185.36</v>
      </c>
      <c r="I2847" s="191">
        <v>746.1</v>
      </c>
      <c r="J2847" s="188" t="s">
        <v>624</v>
      </c>
      <c r="K2847" s="188" t="s">
        <v>427</v>
      </c>
      <c r="L2847" s="188" t="s">
        <v>2735</v>
      </c>
      <c r="M2847" s="192">
        <f t="shared" si="132"/>
        <v>25</v>
      </c>
      <c r="N2847" s="193">
        <f t="shared" si="133"/>
        <v>1.3180699638118216</v>
      </c>
      <c r="O2847" s="194">
        <f t="shared" si="134"/>
        <v>5.2722798552472867E-2</v>
      </c>
    </row>
    <row r="2848" spans="1:15" ht="12.75" customHeight="1">
      <c r="A2848" s="188" t="s">
        <v>620</v>
      </c>
      <c r="B2848" s="188" t="s">
        <v>3787</v>
      </c>
      <c r="C2848" s="188" t="s">
        <v>659</v>
      </c>
      <c r="D2848" s="188" t="s">
        <v>4440</v>
      </c>
      <c r="E2848" s="189">
        <v>39447</v>
      </c>
      <c r="F2848" s="190">
        <v>0</v>
      </c>
      <c r="G2848" s="190">
        <v>74.239999999999995</v>
      </c>
      <c r="H2848" s="191">
        <v>1531</v>
      </c>
      <c r="I2848" s="191">
        <v>522</v>
      </c>
      <c r="J2848" s="188" t="s">
        <v>624</v>
      </c>
      <c r="K2848" s="188" t="s">
        <v>427</v>
      </c>
      <c r="L2848" s="188" t="s">
        <v>1001</v>
      </c>
      <c r="M2848" s="192">
        <f t="shared" si="132"/>
        <v>25</v>
      </c>
      <c r="N2848" s="193">
        <f t="shared" si="133"/>
        <v>1.3198275862068964</v>
      </c>
      <c r="O2848" s="194">
        <f t="shared" si="134"/>
        <v>5.2793103448275855E-2</v>
      </c>
    </row>
    <row r="2849" spans="1:15" ht="12.75" customHeight="1">
      <c r="A2849" s="188" t="s">
        <v>620</v>
      </c>
      <c r="B2849" s="188" t="s">
        <v>3787</v>
      </c>
      <c r="C2849" s="188" t="s">
        <v>659</v>
      </c>
      <c r="D2849" s="188" t="s">
        <v>4441</v>
      </c>
      <c r="E2849" s="189">
        <v>39395</v>
      </c>
      <c r="F2849" s="190">
        <v>0</v>
      </c>
      <c r="G2849" s="190">
        <v>50.43</v>
      </c>
      <c r="H2849" s="191">
        <v>1044.02</v>
      </c>
      <c r="I2849" s="191">
        <v>354.6</v>
      </c>
      <c r="J2849" s="188" t="s">
        <v>624</v>
      </c>
      <c r="K2849" s="188" t="s">
        <v>427</v>
      </c>
      <c r="L2849" s="188" t="s">
        <v>3081</v>
      </c>
      <c r="M2849" s="192">
        <f t="shared" si="132"/>
        <v>25</v>
      </c>
      <c r="N2849" s="193">
        <f t="shared" si="133"/>
        <v>1.3248984771573604</v>
      </c>
      <c r="O2849" s="194">
        <f t="shared" si="134"/>
        <v>5.2995939086294415E-2</v>
      </c>
    </row>
    <row r="2850" spans="1:15" ht="12.75" customHeight="1">
      <c r="A2850" s="188" t="s">
        <v>620</v>
      </c>
      <c r="B2850" s="188" t="s">
        <v>3787</v>
      </c>
      <c r="C2850" s="188" t="s">
        <v>659</v>
      </c>
      <c r="D2850" s="188" t="s">
        <v>4442</v>
      </c>
      <c r="E2850" s="189">
        <v>39527</v>
      </c>
      <c r="F2850" s="190">
        <v>0</v>
      </c>
      <c r="G2850" s="190">
        <v>161.6</v>
      </c>
      <c r="H2850" s="191">
        <v>3348.55</v>
      </c>
      <c r="I2850" s="191">
        <v>1136.25</v>
      </c>
      <c r="J2850" s="188" t="s">
        <v>624</v>
      </c>
      <c r="K2850" s="188" t="s">
        <v>427</v>
      </c>
      <c r="L2850" s="188" t="s">
        <v>4443</v>
      </c>
      <c r="M2850" s="192">
        <f t="shared" si="132"/>
        <v>25</v>
      </c>
      <c r="N2850" s="193">
        <f t="shared" si="133"/>
        <v>1.3261584158415842</v>
      </c>
      <c r="O2850" s="194">
        <f t="shared" si="134"/>
        <v>5.3046336633663371E-2</v>
      </c>
    </row>
    <row r="2851" spans="1:15" ht="12.75" customHeight="1">
      <c r="A2851" s="188" t="s">
        <v>620</v>
      </c>
      <c r="B2851" s="188" t="s">
        <v>3787</v>
      </c>
      <c r="C2851" s="188" t="s">
        <v>659</v>
      </c>
      <c r="D2851" s="188" t="s">
        <v>4444</v>
      </c>
      <c r="E2851" s="189">
        <v>39527</v>
      </c>
      <c r="F2851" s="190">
        <v>0</v>
      </c>
      <c r="G2851" s="190">
        <v>31.36</v>
      </c>
      <c r="H2851" s="191">
        <v>650</v>
      </c>
      <c r="I2851" s="191">
        <v>220.5</v>
      </c>
      <c r="J2851" s="188" t="s">
        <v>624</v>
      </c>
      <c r="K2851" s="188" t="s">
        <v>427</v>
      </c>
      <c r="L2851" s="188" t="s">
        <v>3996</v>
      </c>
      <c r="M2851" s="192">
        <f t="shared" si="132"/>
        <v>25</v>
      </c>
      <c r="N2851" s="193">
        <f t="shared" si="133"/>
        <v>1.3265306122448979</v>
      </c>
      <c r="O2851" s="194">
        <f t="shared" si="134"/>
        <v>5.3061224489795916E-2</v>
      </c>
    </row>
    <row r="2852" spans="1:15" ht="12.75" customHeight="1">
      <c r="A2852" s="188" t="s">
        <v>620</v>
      </c>
      <c r="B2852" s="188" t="s">
        <v>3787</v>
      </c>
      <c r="C2852" s="188" t="s">
        <v>659</v>
      </c>
      <c r="D2852" s="188" t="s">
        <v>4445</v>
      </c>
      <c r="E2852" s="189">
        <v>39527</v>
      </c>
      <c r="F2852" s="190">
        <v>0</v>
      </c>
      <c r="G2852" s="190">
        <v>59.14</v>
      </c>
      <c r="H2852" s="191">
        <v>1474</v>
      </c>
      <c r="I2852" s="191">
        <v>415.8</v>
      </c>
      <c r="J2852" s="188" t="s">
        <v>624</v>
      </c>
      <c r="K2852" s="188" t="s">
        <v>257</v>
      </c>
      <c r="L2852" s="188" t="s">
        <v>1976</v>
      </c>
      <c r="M2852" s="192">
        <f t="shared" si="132"/>
        <v>30</v>
      </c>
      <c r="N2852" s="193">
        <f t="shared" si="133"/>
        <v>1.5952380952380953</v>
      </c>
      <c r="O2852" s="194">
        <f t="shared" si="134"/>
        <v>5.317460317460318E-2</v>
      </c>
    </row>
    <row r="2853" spans="1:15" ht="12.75" customHeight="1">
      <c r="A2853" s="188" t="s">
        <v>620</v>
      </c>
      <c r="B2853" s="188" t="s">
        <v>3787</v>
      </c>
      <c r="C2853" s="188" t="s">
        <v>659</v>
      </c>
      <c r="D2853" s="188" t="s">
        <v>4446</v>
      </c>
      <c r="E2853" s="189">
        <v>39310</v>
      </c>
      <c r="F2853" s="190">
        <v>0</v>
      </c>
      <c r="G2853" s="190">
        <v>89.6</v>
      </c>
      <c r="H2853" s="191">
        <v>1862</v>
      </c>
      <c r="I2853" s="191">
        <v>630</v>
      </c>
      <c r="J2853" s="188" t="s">
        <v>624</v>
      </c>
      <c r="K2853" s="188" t="s">
        <v>427</v>
      </c>
      <c r="L2853" s="188" t="s">
        <v>754</v>
      </c>
      <c r="M2853" s="192">
        <f t="shared" si="132"/>
        <v>25</v>
      </c>
      <c r="N2853" s="193">
        <f t="shared" si="133"/>
        <v>1.33</v>
      </c>
      <c r="O2853" s="194">
        <f t="shared" si="134"/>
        <v>5.3200000000000004E-2</v>
      </c>
    </row>
    <row r="2854" spans="1:15" ht="12.75" customHeight="1">
      <c r="A2854" s="188" t="s">
        <v>620</v>
      </c>
      <c r="B2854" s="188" t="s">
        <v>3787</v>
      </c>
      <c r="C2854" s="188" t="s">
        <v>659</v>
      </c>
      <c r="D2854" s="188" t="s">
        <v>4447</v>
      </c>
      <c r="E2854" s="189">
        <v>39366</v>
      </c>
      <c r="F2854" s="190">
        <v>0</v>
      </c>
      <c r="G2854" s="190">
        <v>88.58</v>
      </c>
      <c r="H2854" s="191">
        <v>1402</v>
      </c>
      <c r="I2854" s="191">
        <v>622.79999999999995</v>
      </c>
      <c r="J2854" s="188" t="s">
        <v>353</v>
      </c>
      <c r="K2854" s="188" t="s">
        <v>427</v>
      </c>
      <c r="L2854" s="188" t="s">
        <v>1155</v>
      </c>
      <c r="M2854" s="192">
        <f t="shared" si="132"/>
        <v>19</v>
      </c>
      <c r="N2854" s="193">
        <f t="shared" si="133"/>
        <v>1.0130057803468209</v>
      </c>
      <c r="O2854" s="194">
        <f t="shared" si="134"/>
        <v>5.3316093702464255E-2</v>
      </c>
    </row>
    <row r="2855" spans="1:15" ht="12.75" customHeight="1">
      <c r="A2855" s="188" t="s">
        <v>620</v>
      </c>
      <c r="B2855" s="188" t="s">
        <v>3787</v>
      </c>
      <c r="C2855" s="188" t="s">
        <v>659</v>
      </c>
      <c r="D2855" s="188" t="s">
        <v>4448</v>
      </c>
      <c r="E2855" s="189">
        <v>39527</v>
      </c>
      <c r="F2855" s="190">
        <v>0</v>
      </c>
      <c r="G2855" s="190">
        <v>49.34</v>
      </c>
      <c r="H2855" s="191">
        <v>1028</v>
      </c>
      <c r="I2855" s="191">
        <v>346.95</v>
      </c>
      <c r="J2855" s="188" t="s">
        <v>624</v>
      </c>
      <c r="K2855" s="188" t="s">
        <v>427</v>
      </c>
      <c r="L2855" s="188" t="s">
        <v>1425</v>
      </c>
      <c r="M2855" s="192">
        <f t="shared" si="132"/>
        <v>25</v>
      </c>
      <c r="N2855" s="193">
        <f t="shared" si="133"/>
        <v>1.3333333333333333</v>
      </c>
      <c r="O2855" s="194">
        <f t="shared" si="134"/>
        <v>5.333333333333333E-2</v>
      </c>
    </row>
    <row r="2856" spans="1:15" ht="12.75" customHeight="1">
      <c r="A2856" s="188" t="s">
        <v>620</v>
      </c>
      <c r="B2856" s="188" t="s">
        <v>3787</v>
      </c>
      <c r="C2856" s="188" t="s">
        <v>659</v>
      </c>
      <c r="D2856" s="188" t="s">
        <v>4449</v>
      </c>
      <c r="E2856" s="189">
        <v>39513</v>
      </c>
      <c r="F2856" s="190">
        <v>0</v>
      </c>
      <c r="G2856" s="190">
        <v>56</v>
      </c>
      <c r="H2856" s="191">
        <v>890</v>
      </c>
      <c r="I2856" s="191">
        <v>393.75</v>
      </c>
      <c r="J2856" s="188" t="s">
        <v>624</v>
      </c>
      <c r="K2856" s="188" t="s">
        <v>667</v>
      </c>
      <c r="L2856" s="188" t="s">
        <v>1511</v>
      </c>
      <c r="M2856" s="192">
        <f t="shared" si="132"/>
        <v>19</v>
      </c>
      <c r="N2856" s="193">
        <f t="shared" si="133"/>
        <v>1.0171428571428571</v>
      </c>
      <c r="O2856" s="194">
        <f t="shared" si="134"/>
        <v>5.3533834586466163E-2</v>
      </c>
    </row>
    <row r="2857" spans="1:15" ht="12.75" customHeight="1">
      <c r="A2857" s="188" t="s">
        <v>620</v>
      </c>
      <c r="B2857" s="188" t="s">
        <v>3787</v>
      </c>
      <c r="C2857" s="188" t="s">
        <v>659</v>
      </c>
      <c r="D2857" s="188" t="s">
        <v>4450</v>
      </c>
      <c r="E2857" s="189">
        <v>39395</v>
      </c>
      <c r="F2857" s="190">
        <v>0</v>
      </c>
      <c r="G2857" s="190">
        <v>63.36</v>
      </c>
      <c r="H2857" s="191">
        <v>1325</v>
      </c>
      <c r="I2857" s="191">
        <v>445.5</v>
      </c>
      <c r="J2857" s="188" t="s">
        <v>624</v>
      </c>
      <c r="K2857" s="188" t="s">
        <v>427</v>
      </c>
      <c r="L2857" s="188" t="s">
        <v>738</v>
      </c>
      <c r="M2857" s="192">
        <f t="shared" si="132"/>
        <v>25</v>
      </c>
      <c r="N2857" s="193">
        <f t="shared" si="133"/>
        <v>1.3383838383838385</v>
      </c>
      <c r="O2857" s="194">
        <f t="shared" si="134"/>
        <v>5.353535353535354E-2</v>
      </c>
    </row>
    <row r="2858" spans="1:15" ht="12.75" customHeight="1">
      <c r="A2858" s="188" t="s">
        <v>620</v>
      </c>
      <c r="B2858" s="188" t="s">
        <v>3787</v>
      </c>
      <c r="C2858" s="188" t="s">
        <v>659</v>
      </c>
      <c r="D2858" s="188" t="s">
        <v>4451</v>
      </c>
      <c r="E2858" s="189">
        <v>39324</v>
      </c>
      <c r="F2858" s="190">
        <v>0</v>
      </c>
      <c r="G2858" s="190">
        <v>51.2</v>
      </c>
      <c r="H2858" s="191">
        <v>1070.96</v>
      </c>
      <c r="I2858" s="191">
        <v>360</v>
      </c>
      <c r="J2858" s="188" t="s">
        <v>624</v>
      </c>
      <c r="K2858" s="188" t="s">
        <v>427</v>
      </c>
      <c r="L2858" s="188" t="s">
        <v>752</v>
      </c>
      <c r="M2858" s="192">
        <f t="shared" si="132"/>
        <v>25</v>
      </c>
      <c r="N2858" s="193">
        <f t="shared" si="133"/>
        <v>1.3387</v>
      </c>
      <c r="O2858" s="194">
        <f t="shared" si="134"/>
        <v>5.3547999999999998E-2</v>
      </c>
    </row>
    <row r="2859" spans="1:15" ht="12.75" customHeight="1">
      <c r="A2859" s="188" t="s">
        <v>620</v>
      </c>
      <c r="B2859" s="188" t="s">
        <v>3787</v>
      </c>
      <c r="C2859" s="188" t="s">
        <v>659</v>
      </c>
      <c r="D2859" s="188" t="s">
        <v>4452</v>
      </c>
      <c r="E2859" s="189">
        <v>39447</v>
      </c>
      <c r="F2859" s="190">
        <v>0</v>
      </c>
      <c r="G2859" s="190">
        <v>132.80000000000001</v>
      </c>
      <c r="H2859" s="191">
        <v>2338</v>
      </c>
      <c r="I2859" s="191">
        <v>933.75</v>
      </c>
      <c r="J2859" s="188" t="s">
        <v>624</v>
      </c>
      <c r="K2859" s="188" t="s">
        <v>1344</v>
      </c>
      <c r="L2859" s="188" t="s">
        <v>1607</v>
      </c>
      <c r="M2859" s="192">
        <f t="shared" si="132"/>
        <v>21</v>
      </c>
      <c r="N2859" s="193">
        <f t="shared" si="133"/>
        <v>1.1267469879518073</v>
      </c>
      <c r="O2859" s="194">
        <f t="shared" si="134"/>
        <v>5.3654618473895584E-2</v>
      </c>
    </row>
    <row r="2860" spans="1:15" ht="12.75" customHeight="1">
      <c r="A2860" s="188" t="s">
        <v>620</v>
      </c>
      <c r="B2860" s="188" t="s">
        <v>3787</v>
      </c>
      <c r="C2860" s="188" t="s">
        <v>659</v>
      </c>
      <c r="D2860" s="188" t="s">
        <v>4453</v>
      </c>
      <c r="E2860" s="189">
        <v>39310</v>
      </c>
      <c r="F2860" s="190">
        <v>0</v>
      </c>
      <c r="G2860" s="190">
        <v>79.81</v>
      </c>
      <c r="H2860" s="191">
        <v>1674.1</v>
      </c>
      <c r="I2860" s="191">
        <v>561.15</v>
      </c>
      <c r="J2860" s="188" t="s">
        <v>624</v>
      </c>
      <c r="K2860" s="188" t="s">
        <v>427</v>
      </c>
      <c r="L2860" s="188" t="s">
        <v>4454</v>
      </c>
      <c r="M2860" s="192">
        <f t="shared" si="132"/>
        <v>25</v>
      </c>
      <c r="N2860" s="193">
        <f t="shared" si="133"/>
        <v>1.3425020048115477</v>
      </c>
      <c r="O2860" s="194">
        <f t="shared" si="134"/>
        <v>5.3700080192461905E-2</v>
      </c>
    </row>
    <row r="2861" spans="1:15" ht="12.75" customHeight="1">
      <c r="A2861" s="188" t="s">
        <v>620</v>
      </c>
      <c r="B2861" s="188" t="s">
        <v>3787</v>
      </c>
      <c r="C2861" s="188" t="s">
        <v>659</v>
      </c>
      <c r="D2861" s="188" t="s">
        <v>4455</v>
      </c>
      <c r="E2861" s="189">
        <v>39583</v>
      </c>
      <c r="F2861" s="190">
        <v>0</v>
      </c>
      <c r="G2861" s="190">
        <v>86.91</v>
      </c>
      <c r="H2861" s="191">
        <v>2200.42</v>
      </c>
      <c r="I2861" s="191">
        <v>611.1</v>
      </c>
      <c r="J2861" s="188" t="s">
        <v>624</v>
      </c>
      <c r="K2861" s="188" t="s">
        <v>257</v>
      </c>
      <c r="L2861" s="188" t="s">
        <v>1751</v>
      </c>
      <c r="M2861" s="192">
        <f t="shared" si="132"/>
        <v>30</v>
      </c>
      <c r="N2861" s="193">
        <f t="shared" si="133"/>
        <v>1.6203387334315169</v>
      </c>
      <c r="O2861" s="194">
        <f t="shared" si="134"/>
        <v>5.4011291114383894E-2</v>
      </c>
    </row>
    <row r="2862" spans="1:15" ht="12.75" customHeight="1">
      <c r="A2862" s="188" t="s">
        <v>620</v>
      </c>
      <c r="B2862" s="188" t="s">
        <v>3787</v>
      </c>
      <c r="C2862" s="188" t="s">
        <v>659</v>
      </c>
      <c r="D2862" s="188" t="s">
        <v>4456</v>
      </c>
      <c r="E2862" s="189">
        <v>39576</v>
      </c>
      <c r="F2862" s="190">
        <v>0</v>
      </c>
      <c r="G2862" s="190">
        <v>112.64</v>
      </c>
      <c r="H2862" s="191">
        <v>2378.36</v>
      </c>
      <c r="I2862" s="191">
        <v>792</v>
      </c>
      <c r="J2862" s="188" t="s">
        <v>624</v>
      </c>
      <c r="K2862" s="188" t="s">
        <v>427</v>
      </c>
      <c r="L2862" s="188" t="s">
        <v>1496</v>
      </c>
      <c r="M2862" s="192">
        <f t="shared" si="132"/>
        <v>25</v>
      </c>
      <c r="N2862" s="193">
        <f t="shared" si="133"/>
        <v>1.3513409090909092</v>
      </c>
      <c r="O2862" s="194">
        <f t="shared" si="134"/>
        <v>5.4053636363636366E-2</v>
      </c>
    </row>
    <row r="2863" spans="1:15" ht="12.75" customHeight="1">
      <c r="A2863" s="188" t="s">
        <v>620</v>
      </c>
      <c r="B2863" s="188" t="s">
        <v>3787</v>
      </c>
      <c r="C2863" s="188" t="s">
        <v>659</v>
      </c>
      <c r="D2863" s="188" t="s">
        <v>4457</v>
      </c>
      <c r="E2863" s="189">
        <v>39269</v>
      </c>
      <c r="F2863" s="190">
        <v>0</v>
      </c>
      <c r="G2863" s="190">
        <v>96</v>
      </c>
      <c r="H2863" s="191">
        <v>1702.95</v>
      </c>
      <c r="I2863" s="191">
        <v>675</v>
      </c>
      <c r="J2863" s="188" t="s">
        <v>624</v>
      </c>
      <c r="K2863" s="188" t="s">
        <v>1344</v>
      </c>
      <c r="L2863" s="188" t="s">
        <v>746</v>
      </c>
      <c r="M2863" s="192">
        <f t="shared" si="132"/>
        <v>21</v>
      </c>
      <c r="N2863" s="193">
        <f t="shared" si="133"/>
        <v>1.1353</v>
      </c>
      <c r="O2863" s="194">
        <f t="shared" si="134"/>
        <v>5.4061904761904762E-2</v>
      </c>
    </row>
    <row r="2864" spans="1:15" ht="12.75" customHeight="1">
      <c r="A2864" s="188" t="s">
        <v>620</v>
      </c>
      <c r="B2864" s="188" t="s">
        <v>3787</v>
      </c>
      <c r="C2864" s="188" t="s">
        <v>659</v>
      </c>
      <c r="D2864" s="188" t="s">
        <v>4458</v>
      </c>
      <c r="E2864" s="189">
        <v>39415</v>
      </c>
      <c r="F2864" s="190">
        <v>0</v>
      </c>
      <c r="G2864" s="190">
        <v>102.4</v>
      </c>
      <c r="H2864" s="191">
        <v>2596.4</v>
      </c>
      <c r="I2864" s="191">
        <v>720</v>
      </c>
      <c r="J2864" s="188" t="s">
        <v>624</v>
      </c>
      <c r="K2864" s="188" t="s">
        <v>257</v>
      </c>
      <c r="L2864" s="188" t="s">
        <v>625</v>
      </c>
      <c r="M2864" s="192">
        <f t="shared" si="132"/>
        <v>30</v>
      </c>
      <c r="N2864" s="193">
        <f t="shared" si="133"/>
        <v>1.6227500000000001</v>
      </c>
      <c r="O2864" s="194">
        <f t="shared" si="134"/>
        <v>5.409166666666667E-2</v>
      </c>
    </row>
    <row r="2865" spans="1:15" ht="12.75" customHeight="1">
      <c r="A2865" s="188" t="s">
        <v>620</v>
      </c>
      <c r="B2865" s="188" t="s">
        <v>3787</v>
      </c>
      <c r="C2865" s="188" t="s">
        <v>659</v>
      </c>
      <c r="D2865" s="188" t="s">
        <v>4459</v>
      </c>
      <c r="E2865" s="189">
        <v>39324</v>
      </c>
      <c r="F2865" s="190">
        <v>0</v>
      </c>
      <c r="G2865" s="190">
        <v>115.2</v>
      </c>
      <c r="H2865" s="191">
        <v>2439.9</v>
      </c>
      <c r="I2865" s="191">
        <v>810</v>
      </c>
      <c r="J2865" s="188" t="s">
        <v>624</v>
      </c>
      <c r="K2865" s="188" t="s">
        <v>427</v>
      </c>
      <c r="L2865" s="188" t="s">
        <v>718</v>
      </c>
      <c r="M2865" s="192">
        <f t="shared" si="132"/>
        <v>25</v>
      </c>
      <c r="N2865" s="193">
        <f t="shared" si="133"/>
        <v>1.3555000000000001</v>
      </c>
      <c r="O2865" s="194">
        <f t="shared" si="134"/>
        <v>5.4220000000000004E-2</v>
      </c>
    </row>
    <row r="2866" spans="1:15" ht="12.75" customHeight="1">
      <c r="A2866" s="188" t="s">
        <v>620</v>
      </c>
      <c r="B2866" s="188" t="s">
        <v>3787</v>
      </c>
      <c r="C2866" s="188" t="s">
        <v>659</v>
      </c>
      <c r="D2866" s="188" t="s">
        <v>4460</v>
      </c>
      <c r="E2866" s="189">
        <v>39583</v>
      </c>
      <c r="F2866" s="190">
        <v>0</v>
      </c>
      <c r="G2866" s="190">
        <v>53.76</v>
      </c>
      <c r="H2866" s="191">
        <v>1367.24</v>
      </c>
      <c r="I2866" s="191">
        <v>378</v>
      </c>
      <c r="J2866" s="188" t="s">
        <v>624</v>
      </c>
      <c r="K2866" s="188" t="s">
        <v>257</v>
      </c>
      <c r="L2866" s="188" t="s">
        <v>906</v>
      </c>
      <c r="M2866" s="192">
        <f t="shared" si="132"/>
        <v>30</v>
      </c>
      <c r="N2866" s="193">
        <f t="shared" si="133"/>
        <v>1.6276666666666666</v>
      </c>
      <c r="O2866" s="194">
        <f t="shared" si="134"/>
        <v>5.425555555555555E-2</v>
      </c>
    </row>
    <row r="2867" spans="1:15" ht="12.75" customHeight="1">
      <c r="A2867" s="188" t="s">
        <v>620</v>
      </c>
      <c r="B2867" s="188" t="s">
        <v>3787</v>
      </c>
      <c r="C2867" s="188" t="s">
        <v>659</v>
      </c>
      <c r="D2867" s="188" t="s">
        <v>4461</v>
      </c>
      <c r="E2867" s="189">
        <v>39611</v>
      </c>
      <c r="F2867" s="190">
        <v>0</v>
      </c>
      <c r="G2867" s="190">
        <v>99.84</v>
      </c>
      <c r="H2867" s="191">
        <v>2117</v>
      </c>
      <c r="I2867" s="191">
        <v>702</v>
      </c>
      <c r="J2867" s="188" t="s">
        <v>624</v>
      </c>
      <c r="K2867" s="188" t="s">
        <v>427</v>
      </c>
      <c r="L2867" s="188" t="s">
        <v>797</v>
      </c>
      <c r="M2867" s="192">
        <f t="shared" si="132"/>
        <v>25</v>
      </c>
      <c r="N2867" s="193">
        <f t="shared" si="133"/>
        <v>1.3570512820512821</v>
      </c>
      <c r="O2867" s="194">
        <f t="shared" si="134"/>
        <v>5.4282051282051283E-2</v>
      </c>
    </row>
    <row r="2868" spans="1:15" ht="12.75" customHeight="1">
      <c r="A2868" s="188" t="s">
        <v>620</v>
      </c>
      <c r="B2868" s="188" t="s">
        <v>3787</v>
      </c>
      <c r="C2868" s="188" t="s">
        <v>659</v>
      </c>
      <c r="D2868" s="188" t="s">
        <v>4462</v>
      </c>
      <c r="E2868" s="189">
        <v>39219</v>
      </c>
      <c r="F2868" s="190">
        <v>0</v>
      </c>
      <c r="G2868" s="190">
        <v>84.22</v>
      </c>
      <c r="H2868" s="191">
        <v>1500.24</v>
      </c>
      <c r="I2868" s="191">
        <v>592.20000000000005</v>
      </c>
      <c r="J2868" s="188" t="s">
        <v>624</v>
      </c>
      <c r="K2868" s="188" t="s">
        <v>1344</v>
      </c>
      <c r="L2868" s="188" t="s">
        <v>918</v>
      </c>
      <c r="M2868" s="192">
        <f t="shared" si="132"/>
        <v>21</v>
      </c>
      <c r="N2868" s="193">
        <f t="shared" si="133"/>
        <v>1.1399999999999999</v>
      </c>
      <c r="O2868" s="194">
        <f t="shared" si="134"/>
        <v>5.4285714285714284E-2</v>
      </c>
    </row>
    <row r="2869" spans="1:15" ht="12.75" customHeight="1">
      <c r="A2869" s="188" t="s">
        <v>620</v>
      </c>
      <c r="B2869" s="188" t="s">
        <v>3787</v>
      </c>
      <c r="C2869" s="188" t="s">
        <v>659</v>
      </c>
      <c r="D2869" s="188" t="s">
        <v>4463</v>
      </c>
      <c r="E2869" s="189">
        <v>39366</v>
      </c>
      <c r="F2869" s="190">
        <v>0</v>
      </c>
      <c r="G2869" s="190">
        <v>33.79</v>
      </c>
      <c r="H2869" s="191">
        <v>860</v>
      </c>
      <c r="I2869" s="191">
        <v>237.6</v>
      </c>
      <c r="J2869" s="188" t="s">
        <v>624</v>
      </c>
      <c r="K2869" s="188" t="s">
        <v>257</v>
      </c>
      <c r="L2869" s="188" t="s">
        <v>1162</v>
      </c>
      <c r="M2869" s="192">
        <f t="shared" si="132"/>
        <v>30</v>
      </c>
      <c r="N2869" s="193">
        <f t="shared" si="133"/>
        <v>1.6287878787878789</v>
      </c>
      <c r="O2869" s="194">
        <f t="shared" si="134"/>
        <v>5.4292929292929296E-2</v>
      </c>
    </row>
    <row r="2870" spans="1:15" ht="12.75" customHeight="1">
      <c r="A2870" s="188" t="s">
        <v>620</v>
      </c>
      <c r="B2870" s="188" t="s">
        <v>3787</v>
      </c>
      <c r="C2870" s="188" t="s">
        <v>659</v>
      </c>
      <c r="D2870" s="188" t="s">
        <v>4464</v>
      </c>
      <c r="E2870" s="189">
        <v>39303</v>
      </c>
      <c r="F2870" s="190">
        <v>0</v>
      </c>
      <c r="G2870" s="190">
        <v>89.6</v>
      </c>
      <c r="H2870" s="191">
        <v>1902.18</v>
      </c>
      <c r="I2870" s="191">
        <v>630</v>
      </c>
      <c r="J2870" s="188" t="s">
        <v>624</v>
      </c>
      <c r="K2870" s="188" t="s">
        <v>427</v>
      </c>
      <c r="L2870" s="188" t="s">
        <v>754</v>
      </c>
      <c r="M2870" s="192">
        <f t="shared" si="132"/>
        <v>25</v>
      </c>
      <c r="N2870" s="193">
        <f t="shared" si="133"/>
        <v>1.3587</v>
      </c>
      <c r="O2870" s="194">
        <f t="shared" si="134"/>
        <v>5.4348E-2</v>
      </c>
    </row>
    <row r="2871" spans="1:15" ht="12.75" customHeight="1">
      <c r="A2871" s="188" t="s">
        <v>620</v>
      </c>
      <c r="B2871" s="188" t="s">
        <v>3787</v>
      </c>
      <c r="C2871" s="188" t="s">
        <v>659</v>
      </c>
      <c r="D2871" s="188" t="s">
        <v>4465</v>
      </c>
      <c r="E2871" s="189">
        <v>39219</v>
      </c>
      <c r="F2871" s="190">
        <v>0</v>
      </c>
      <c r="G2871" s="190">
        <v>72.959999999999994</v>
      </c>
      <c r="H2871" s="191">
        <v>1550.4</v>
      </c>
      <c r="I2871" s="191">
        <v>513</v>
      </c>
      <c r="J2871" s="188" t="s">
        <v>624</v>
      </c>
      <c r="K2871" s="188" t="s">
        <v>427</v>
      </c>
      <c r="L2871" s="188" t="s">
        <v>2347</v>
      </c>
      <c r="M2871" s="192">
        <f t="shared" si="132"/>
        <v>25</v>
      </c>
      <c r="N2871" s="193">
        <f t="shared" si="133"/>
        <v>1.36</v>
      </c>
      <c r="O2871" s="194">
        <f t="shared" si="134"/>
        <v>5.4400000000000004E-2</v>
      </c>
    </row>
    <row r="2872" spans="1:15" ht="12.75" customHeight="1">
      <c r="A2872" s="188" t="s">
        <v>620</v>
      </c>
      <c r="B2872" s="188" t="s">
        <v>3787</v>
      </c>
      <c r="C2872" s="188" t="s">
        <v>659</v>
      </c>
      <c r="D2872" s="188" t="s">
        <v>4466</v>
      </c>
      <c r="E2872" s="189">
        <v>39590</v>
      </c>
      <c r="F2872" s="190">
        <v>0</v>
      </c>
      <c r="G2872" s="190">
        <v>106.24</v>
      </c>
      <c r="H2872" s="191">
        <v>1904</v>
      </c>
      <c r="I2872" s="191">
        <v>747</v>
      </c>
      <c r="J2872" s="188" t="s">
        <v>624</v>
      </c>
      <c r="K2872" s="188" t="s">
        <v>1344</v>
      </c>
      <c r="L2872" s="188" t="s">
        <v>1298</v>
      </c>
      <c r="M2872" s="192">
        <f t="shared" si="132"/>
        <v>21</v>
      </c>
      <c r="N2872" s="193">
        <f t="shared" si="133"/>
        <v>1.146987951807229</v>
      </c>
      <c r="O2872" s="194">
        <f t="shared" si="134"/>
        <v>5.4618473895582331E-2</v>
      </c>
    </row>
    <row r="2873" spans="1:15" ht="12.75" customHeight="1">
      <c r="A2873" s="188" t="s">
        <v>620</v>
      </c>
      <c r="B2873" s="188" t="s">
        <v>3787</v>
      </c>
      <c r="C2873" s="188" t="s">
        <v>659</v>
      </c>
      <c r="D2873" s="188" t="s">
        <v>4467</v>
      </c>
      <c r="E2873" s="189">
        <v>39447</v>
      </c>
      <c r="F2873" s="190">
        <v>0</v>
      </c>
      <c r="G2873" s="190">
        <v>128.06</v>
      </c>
      <c r="H2873" s="191">
        <v>2301</v>
      </c>
      <c r="I2873" s="191">
        <v>900.45</v>
      </c>
      <c r="J2873" s="188" t="s">
        <v>624</v>
      </c>
      <c r="K2873" s="188" t="s">
        <v>1344</v>
      </c>
      <c r="L2873" s="188" t="s">
        <v>1985</v>
      </c>
      <c r="M2873" s="192">
        <f t="shared" si="132"/>
        <v>21</v>
      </c>
      <c r="N2873" s="193">
        <f t="shared" si="133"/>
        <v>1.1499250374812593</v>
      </c>
      <c r="O2873" s="194">
        <f t="shared" si="134"/>
        <v>5.4758335118155206E-2</v>
      </c>
    </row>
    <row r="2874" spans="1:15" ht="12.75" customHeight="1">
      <c r="A2874" s="188" t="s">
        <v>620</v>
      </c>
      <c r="B2874" s="188" t="s">
        <v>3787</v>
      </c>
      <c r="C2874" s="188" t="s">
        <v>659</v>
      </c>
      <c r="D2874" s="188" t="s">
        <v>4468</v>
      </c>
      <c r="E2874" s="189">
        <v>39513</v>
      </c>
      <c r="F2874" s="190">
        <v>0</v>
      </c>
      <c r="G2874" s="190">
        <v>80.319999999999993</v>
      </c>
      <c r="H2874" s="191">
        <v>2063</v>
      </c>
      <c r="I2874" s="191">
        <v>564.75</v>
      </c>
      <c r="J2874" s="188" t="s">
        <v>624</v>
      </c>
      <c r="K2874" s="188" t="s">
        <v>257</v>
      </c>
      <c r="L2874" s="188" t="s">
        <v>856</v>
      </c>
      <c r="M2874" s="192">
        <f t="shared" si="132"/>
        <v>30</v>
      </c>
      <c r="N2874" s="193">
        <f t="shared" si="133"/>
        <v>1.6438247011952192</v>
      </c>
      <c r="O2874" s="194">
        <f t="shared" si="134"/>
        <v>5.4794156706507308E-2</v>
      </c>
    </row>
    <row r="2875" spans="1:15" ht="12.75" customHeight="1">
      <c r="A2875" s="188" t="s">
        <v>620</v>
      </c>
      <c r="B2875" s="188" t="s">
        <v>3787</v>
      </c>
      <c r="C2875" s="188" t="s">
        <v>659</v>
      </c>
      <c r="D2875" s="188" t="s">
        <v>4469</v>
      </c>
      <c r="E2875" s="189">
        <v>39353</v>
      </c>
      <c r="F2875" s="190">
        <v>0</v>
      </c>
      <c r="G2875" s="190">
        <v>87.81</v>
      </c>
      <c r="H2875" s="191">
        <v>1880.05</v>
      </c>
      <c r="I2875" s="191">
        <v>617.4</v>
      </c>
      <c r="J2875" s="188" t="s">
        <v>624</v>
      </c>
      <c r="K2875" s="188" t="s">
        <v>427</v>
      </c>
      <c r="L2875" s="188" t="s">
        <v>1668</v>
      </c>
      <c r="M2875" s="192">
        <f t="shared" si="132"/>
        <v>25</v>
      </c>
      <c r="N2875" s="193">
        <f t="shared" si="133"/>
        <v>1.3702988338192419</v>
      </c>
      <c r="O2875" s="194">
        <f t="shared" si="134"/>
        <v>5.4811953352769678E-2</v>
      </c>
    </row>
    <row r="2876" spans="1:15" ht="12.75" customHeight="1">
      <c r="A2876" s="188" t="s">
        <v>620</v>
      </c>
      <c r="B2876" s="188" t="s">
        <v>3787</v>
      </c>
      <c r="C2876" s="188" t="s">
        <v>659</v>
      </c>
      <c r="D2876" s="188" t="s">
        <v>4470</v>
      </c>
      <c r="E2876" s="189">
        <v>39317</v>
      </c>
      <c r="F2876" s="190">
        <v>0</v>
      </c>
      <c r="G2876" s="190">
        <v>138.24</v>
      </c>
      <c r="H2876" s="191">
        <v>3554.93</v>
      </c>
      <c r="I2876" s="191">
        <v>972</v>
      </c>
      <c r="J2876" s="188" t="s">
        <v>624</v>
      </c>
      <c r="K2876" s="188" t="s">
        <v>257</v>
      </c>
      <c r="L2876" s="188" t="s">
        <v>494</v>
      </c>
      <c r="M2876" s="192">
        <f t="shared" si="132"/>
        <v>30</v>
      </c>
      <c r="N2876" s="193">
        <f t="shared" si="133"/>
        <v>1.6458009259259259</v>
      </c>
      <c r="O2876" s="194">
        <f t="shared" si="134"/>
        <v>5.486003086419753E-2</v>
      </c>
    </row>
    <row r="2877" spans="1:15" ht="12.75" customHeight="1">
      <c r="A2877" s="188" t="s">
        <v>620</v>
      </c>
      <c r="B2877" s="188" t="s">
        <v>3787</v>
      </c>
      <c r="C2877" s="188" t="s">
        <v>659</v>
      </c>
      <c r="D2877" s="188" t="s">
        <v>4471</v>
      </c>
      <c r="E2877" s="189">
        <v>39366</v>
      </c>
      <c r="F2877" s="190">
        <v>0</v>
      </c>
      <c r="G2877" s="190">
        <v>43.97</v>
      </c>
      <c r="H2877" s="191">
        <v>791.97</v>
      </c>
      <c r="I2877" s="191">
        <v>309.14999999999998</v>
      </c>
      <c r="J2877" s="188" t="s">
        <v>624</v>
      </c>
      <c r="K2877" s="188" t="s">
        <v>1344</v>
      </c>
      <c r="L2877" s="188" t="s">
        <v>4472</v>
      </c>
      <c r="M2877" s="192">
        <f t="shared" si="132"/>
        <v>21</v>
      </c>
      <c r="N2877" s="193">
        <f t="shared" si="133"/>
        <v>1.1527947598253276</v>
      </c>
      <c r="O2877" s="194">
        <f t="shared" si="134"/>
        <v>5.4894988563110841E-2</v>
      </c>
    </row>
    <row r="2878" spans="1:15" ht="12.75" customHeight="1">
      <c r="A2878" s="188" t="s">
        <v>620</v>
      </c>
      <c r="B2878" s="188" t="s">
        <v>3787</v>
      </c>
      <c r="C2878" s="188" t="s">
        <v>659</v>
      </c>
      <c r="D2878" s="188" t="s">
        <v>4473</v>
      </c>
      <c r="E2878" s="189">
        <v>39415</v>
      </c>
      <c r="F2878" s="190">
        <v>0</v>
      </c>
      <c r="G2878" s="190">
        <v>95.3</v>
      </c>
      <c r="H2878" s="191">
        <v>2046</v>
      </c>
      <c r="I2878" s="191">
        <v>670.05</v>
      </c>
      <c r="J2878" s="188" t="s">
        <v>624</v>
      </c>
      <c r="K2878" s="188" t="s">
        <v>427</v>
      </c>
      <c r="L2878" s="188" t="s">
        <v>3129</v>
      </c>
      <c r="M2878" s="192">
        <f t="shared" si="132"/>
        <v>25</v>
      </c>
      <c r="N2878" s="193">
        <f t="shared" si="133"/>
        <v>1.3740765614506381</v>
      </c>
      <c r="O2878" s="194">
        <f t="shared" si="134"/>
        <v>5.496306245802552E-2</v>
      </c>
    </row>
    <row r="2879" spans="1:15" ht="12.75" customHeight="1">
      <c r="A2879" s="188" t="s">
        <v>620</v>
      </c>
      <c r="B2879" s="188" t="s">
        <v>3787</v>
      </c>
      <c r="C2879" s="188" t="s">
        <v>659</v>
      </c>
      <c r="D2879" s="188" t="s">
        <v>4474</v>
      </c>
      <c r="E2879" s="189">
        <v>39611</v>
      </c>
      <c r="F2879" s="190">
        <v>0</v>
      </c>
      <c r="G2879" s="190">
        <v>90.94</v>
      </c>
      <c r="H2879" s="191">
        <v>2346</v>
      </c>
      <c r="I2879" s="191">
        <v>639.45000000000005</v>
      </c>
      <c r="J2879" s="188" t="s">
        <v>624</v>
      </c>
      <c r="K2879" s="188" t="s">
        <v>257</v>
      </c>
      <c r="L2879" s="188" t="s">
        <v>3068</v>
      </c>
      <c r="M2879" s="192">
        <f t="shared" si="132"/>
        <v>30</v>
      </c>
      <c r="N2879" s="193">
        <f t="shared" si="133"/>
        <v>1.6509500351864883</v>
      </c>
      <c r="O2879" s="194">
        <f t="shared" si="134"/>
        <v>5.503166783954961E-2</v>
      </c>
    </row>
    <row r="2880" spans="1:15" ht="12.75" customHeight="1">
      <c r="A2880" s="188" t="s">
        <v>620</v>
      </c>
      <c r="B2880" s="188" t="s">
        <v>3787</v>
      </c>
      <c r="C2880" s="188" t="s">
        <v>659</v>
      </c>
      <c r="D2880" s="188" t="s">
        <v>4475</v>
      </c>
      <c r="E2880" s="189">
        <v>39520</v>
      </c>
      <c r="F2880" s="190">
        <v>0</v>
      </c>
      <c r="G2880" s="190">
        <v>23.04</v>
      </c>
      <c r="H2880" s="191">
        <v>498</v>
      </c>
      <c r="I2880" s="191">
        <v>162</v>
      </c>
      <c r="J2880" s="188" t="s">
        <v>624</v>
      </c>
      <c r="K2880" s="188" t="s">
        <v>427</v>
      </c>
      <c r="L2880" s="188" t="s">
        <v>3362</v>
      </c>
      <c r="M2880" s="192">
        <f t="shared" si="132"/>
        <v>25</v>
      </c>
      <c r="N2880" s="193">
        <f t="shared" si="133"/>
        <v>1.3833333333333333</v>
      </c>
      <c r="O2880" s="194">
        <f t="shared" si="134"/>
        <v>5.5333333333333332E-2</v>
      </c>
    </row>
    <row r="2881" spans="1:15" ht="12.75" customHeight="1">
      <c r="A2881" s="188" t="s">
        <v>620</v>
      </c>
      <c r="B2881" s="188" t="s">
        <v>3787</v>
      </c>
      <c r="C2881" s="188" t="s">
        <v>659</v>
      </c>
      <c r="D2881" s="188" t="s">
        <v>4476</v>
      </c>
      <c r="E2881" s="189">
        <v>39339</v>
      </c>
      <c r="F2881" s="190">
        <v>0</v>
      </c>
      <c r="G2881" s="190">
        <v>83.2</v>
      </c>
      <c r="H2881" s="191">
        <v>1799.98</v>
      </c>
      <c r="I2881" s="191">
        <v>585</v>
      </c>
      <c r="J2881" s="188" t="s">
        <v>624</v>
      </c>
      <c r="K2881" s="188" t="s">
        <v>427</v>
      </c>
      <c r="L2881" s="188" t="s">
        <v>699</v>
      </c>
      <c r="M2881" s="192">
        <f t="shared" si="132"/>
        <v>25</v>
      </c>
      <c r="N2881" s="193">
        <f t="shared" si="133"/>
        <v>1.3846000000000001</v>
      </c>
      <c r="O2881" s="194">
        <f t="shared" si="134"/>
        <v>5.5384000000000003E-2</v>
      </c>
    </row>
    <row r="2882" spans="1:15" ht="12.75" customHeight="1">
      <c r="A2882" s="188" t="s">
        <v>620</v>
      </c>
      <c r="B2882" s="188" t="s">
        <v>3787</v>
      </c>
      <c r="C2882" s="188" t="s">
        <v>659</v>
      </c>
      <c r="D2882" s="188" t="s">
        <v>4477</v>
      </c>
      <c r="E2882" s="189">
        <v>39568</v>
      </c>
      <c r="F2882" s="190">
        <v>0</v>
      </c>
      <c r="G2882" s="190">
        <v>43.52</v>
      </c>
      <c r="H2882" s="191">
        <v>1130</v>
      </c>
      <c r="I2882" s="191">
        <v>306</v>
      </c>
      <c r="J2882" s="188" t="s">
        <v>624</v>
      </c>
      <c r="K2882" s="188" t="s">
        <v>257</v>
      </c>
      <c r="L2882" s="188" t="s">
        <v>1611</v>
      </c>
      <c r="M2882" s="192">
        <f t="shared" ref="M2882:M2945" si="135">K2882-J2882</f>
        <v>30</v>
      </c>
      <c r="N2882" s="193">
        <f t="shared" ref="N2882:N2945" si="136">H2882/L2882</f>
        <v>1.661764705882353</v>
      </c>
      <c r="O2882" s="194">
        <f t="shared" ref="O2882:O2945" si="137">N2882/M2882</f>
        <v>5.5392156862745102E-2</v>
      </c>
    </row>
    <row r="2883" spans="1:15" ht="12.75" customHeight="1">
      <c r="A2883" s="188" t="s">
        <v>620</v>
      </c>
      <c r="B2883" s="188" t="s">
        <v>3787</v>
      </c>
      <c r="C2883" s="188" t="s">
        <v>659</v>
      </c>
      <c r="D2883" s="188" t="s">
        <v>4478</v>
      </c>
      <c r="E2883" s="189">
        <v>39541</v>
      </c>
      <c r="F2883" s="190">
        <v>0</v>
      </c>
      <c r="G2883" s="190">
        <v>94.98</v>
      </c>
      <c r="H2883" s="191">
        <v>2055.27</v>
      </c>
      <c r="I2883" s="191">
        <v>667.8</v>
      </c>
      <c r="J2883" s="188" t="s">
        <v>624</v>
      </c>
      <c r="K2883" s="188" t="s">
        <v>427</v>
      </c>
      <c r="L2883" s="188" t="s">
        <v>4197</v>
      </c>
      <c r="M2883" s="192">
        <f t="shared" si="135"/>
        <v>25</v>
      </c>
      <c r="N2883" s="193">
        <f t="shared" si="136"/>
        <v>1.3849528301886793</v>
      </c>
      <c r="O2883" s="194">
        <f t="shared" si="137"/>
        <v>5.5398113207547173E-2</v>
      </c>
    </row>
    <row r="2884" spans="1:15" ht="12.75" customHeight="1">
      <c r="A2884" s="188" t="s">
        <v>620</v>
      </c>
      <c r="B2884" s="188" t="s">
        <v>3787</v>
      </c>
      <c r="C2884" s="188" t="s">
        <v>659</v>
      </c>
      <c r="D2884" s="188" t="s">
        <v>4479</v>
      </c>
      <c r="E2884" s="189">
        <v>39447</v>
      </c>
      <c r="F2884" s="190">
        <v>0</v>
      </c>
      <c r="G2884" s="190">
        <v>82.43</v>
      </c>
      <c r="H2884" s="191">
        <v>1788.59</v>
      </c>
      <c r="I2884" s="191">
        <v>579.6</v>
      </c>
      <c r="J2884" s="188" t="s">
        <v>624</v>
      </c>
      <c r="K2884" s="188" t="s">
        <v>427</v>
      </c>
      <c r="L2884" s="188" t="s">
        <v>2088</v>
      </c>
      <c r="M2884" s="192">
        <f t="shared" si="135"/>
        <v>25</v>
      </c>
      <c r="N2884" s="193">
        <f t="shared" si="136"/>
        <v>1.3886568322981365</v>
      </c>
      <c r="O2884" s="194">
        <f t="shared" si="137"/>
        <v>5.5546273291925463E-2</v>
      </c>
    </row>
    <row r="2885" spans="1:15" ht="12.75" customHeight="1">
      <c r="A2885" s="188" t="s">
        <v>620</v>
      </c>
      <c r="B2885" s="188" t="s">
        <v>3787</v>
      </c>
      <c r="C2885" s="188" t="s">
        <v>659</v>
      </c>
      <c r="D2885" s="188" t="s">
        <v>4480</v>
      </c>
      <c r="E2885" s="189">
        <v>39359</v>
      </c>
      <c r="F2885" s="190">
        <v>0</v>
      </c>
      <c r="G2885" s="190">
        <v>7.68</v>
      </c>
      <c r="H2885" s="191">
        <v>200</v>
      </c>
      <c r="I2885" s="191">
        <v>54</v>
      </c>
      <c r="J2885" s="188" t="s">
        <v>624</v>
      </c>
      <c r="K2885" s="188" t="s">
        <v>257</v>
      </c>
      <c r="L2885" s="188" t="s">
        <v>1371</v>
      </c>
      <c r="M2885" s="192">
        <f t="shared" si="135"/>
        <v>30</v>
      </c>
      <c r="N2885" s="193">
        <f t="shared" si="136"/>
        <v>1.6666666666666667</v>
      </c>
      <c r="O2885" s="194">
        <f t="shared" si="137"/>
        <v>5.5555555555555559E-2</v>
      </c>
    </row>
    <row r="2886" spans="1:15" ht="12.75" customHeight="1">
      <c r="A2886" s="188" t="s">
        <v>620</v>
      </c>
      <c r="B2886" s="188" t="s">
        <v>3787</v>
      </c>
      <c r="C2886" s="188" t="s">
        <v>659</v>
      </c>
      <c r="D2886" s="188" t="s">
        <v>4481</v>
      </c>
      <c r="E2886" s="189">
        <v>39447</v>
      </c>
      <c r="F2886" s="190">
        <v>0</v>
      </c>
      <c r="G2886" s="190">
        <v>107.52</v>
      </c>
      <c r="H2886" s="191">
        <v>1960</v>
      </c>
      <c r="I2886" s="191">
        <v>756</v>
      </c>
      <c r="J2886" s="188" t="s">
        <v>624</v>
      </c>
      <c r="K2886" s="188" t="s">
        <v>1344</v>
      </c>
      <c r="L2886" s="188" t="s">
        <v>2325</v>
      </c>
      <c r="M2886" s="192">
        <f t="shared" si="135"/>
        <v>21</v>
      </c>
      <c r="N2886" s="193">
        <f t="shared" si="136"/>
        <v>1.1666666666666667</v>
      </c>
      <c r="O2886" s="194">
        <f t="shared" si="137"/>
        <v>5.5555555555555559E-2</v>
      </c>
    </row>
    <row r="2887" spans="1:15" ht="12.75" customHeight="1">
      <c r="A2887" s="188" t="s">
        <v>620</v>
      </c>
      <c r="B2887" s="188" t="s">
        <v>3787</v>
      </c>
      <c r="C2887" s="188" t="s">
        <v>659</v>
      </c>
      <c r="D2887" s="188" t="s">
        <v>4482</v>
      </c>
      <c r="E2887" s="189">
        <v>39513</v>
      </c>
      <c r="F2887" s="190">
        <v>0</v>
      </c>
      <c r="G2887" s="190">
        <v>106.43</v>
      </c>
      <c r="H2887" s="191">
        <v>1942</v>
      </c>
      <c r="I2887" s="191">
        <v>748.35</v>
      </c>
      <c r="J2887" s="188" t="s">
        <v>624</v>
      </c>
      <c r="K2887" s="188" t="s">
        <v>1344</v>
      </c>
      <c r="L2887" s="188" t="s">
        <v>2112</v>
      </c>
      <c r="M2887" s="192">
        <f t="shared" si="135"/>
        <v>21</v>
      </c>
      <c r="N2887" s="193">
        <f t="shared" si="136"/>
        <v>1.1677690920024053</v>
      </c>
      <c r="O2887" s="194">
        <f t="shared" si="137"/>
        <v>5.5608052000114538E-2</v>
      </c>
    </row>
    <row r="2888" spans="1:15" ht="12.75" customHeight="1">
      <c r="A2888" s="188" t="s">
        <v>620</v>
      </c>
      <c r="B2888" s="188" t="s">
        <v>3787</v>
      </c>
      <c r="C2888" s="188" t="s">
        <v>659</v>
      </c>
      <c r="D2888" s="188" t="s">
        <v>4483</v>
      </c>
      <c r="E2888" s="189">
        <v>39380</v>
      </c>
      <c r="F2888" s="190">
        <v>0</v>
      </c>
      <c r="G2888" s="190">
        <v>48</v>
      </c>
      <c r="H2888" s="191">
        <v>876</v>
      </c>
      <c r="I2888" s="191">
        <v>337.5</v>
      </c>
      <c r="J2888" s="188" t="s">
        <v>624</v>
      </c>
      <c r="K2888" s="188" t="s">
        <v>1344</v>
      </c>
      <c r="L2888" s="188" t="s">
        <v>1058</v>
      </c>
      <c r="M2888" s="192">
        <f t="shared" si="135"/>
        <v>21</v>
      </c>
      <c r="N2888" s="193">
        <f t="shared" si="136"/>
        <v>1.1679999999999999</v>
      </c>
      <c r="O2888" s="194">
        <f t="shared" si="137"/>
        <v>5.5619047619047617E-2</v>
      </c>
    </row>
    <row r="2889" spans="1:15" ht="12.75" customHeight="1">
      <c r="A2889" s="188" t="s">
        <v>620</v>
      </c>
      <c r="B2889" s="188" t="s">
        <v>3787</v>
      </c>
      <c r="C2889" s="188" t="s">
        <v>659</v>
      </c>
      <c r="D2889" s="188" t="s">
        <v>4484</v>
      </c>
      <c r="E2889" s="189">
        <v>39534</v>
      </c>
      <c r="F2889" s="190">
        <v>0</v>
      </c>
      <c r="G2889" s="190">
        <v>96.38</v>
      </c>
      <c r="H2889" s="191">
        <v>1760</v>
      </c>
      <c r="I2889" s="191">
        <v>677.7</v>
      </c>
      <c r="J2889" s="188" t="s">
        <v>624</v>
      </c>
      <c r="K2889" s="188" t="s">
        <v>1344</v>
      </c>
      <c r="L2889" s="188" t="s">
        <v>4074</v>
      </c>
      <c r="M2889" s="192">
        <f t="shared" si="135"/>
        <v>21</v>
      </c>
      <c r="N2889" s="193">
        <f t="shared" si="136"/>
        <v>1.1686586985391767</v>
      </c>
      <c r="O2889" s="194">
        <f t="shared" si="137"/>
        <v>5.5650414216151273E-2</v>
      </c>
    </row>
    <row r="2890" spans="1:15" ht="12.75" customHeight="1">
      <c r="A2890" s="188" t="s">
        <v>620</v>
      </c>
      <c r="B2890" s="188" t="s">
        <v>3787</v>
      </c>
      <c r="C2890" s="188" t="s">
        <v>659</v>
      </c>
      <c r="D2890" s="188" t="s">
        <v>4485</v>
      </c>
      <c r="E2890" s="189">
        <v>39429</v>
      </c>
      <c r="F2890" s="190">
        <v>0</v>
      </c>
      <c r="G2890" s="190">
        <v>95.74</v>
      </c>
      <c r="H2890" s="191">
        <v>2082</v>
      </c>
      <c r="I2890" s="191">
        <v>673.2</v>
      </c>
      <c r="J2890" s="188" t="s">
        <v>624</v>
      </c>
      <c r="K2890" s="188" t="s">
        <v>427</v>
      </c>
      <c r="L2890" s="188" t="s">
        <v>3052</v>
      </c>
      <c r="M2890" s="192">
        <f t="shared" si="135"/>
        <v>25</v>
      </c>
      <c r="N2890" s="193">
        <f t="shared" si="136"/>
        <v>1.391711229946524</v>
      </c>
      <c r="O2890" s="194">
        <f t="shared" si="137"/>
        <v>5.5668449197860959E-2</v>
      </c>
    </row>
    <row r="2891" spans="1:15" ht="12.75" customHeight="1">
      <c r="A2891" s="188" t="s">
        <v>620</v>
      </c>
      <c r="B2891" s="188" t="s">
        <v>3787</v>
      </c>
      <c r="C2891" s="188" t="s">
        <v>659</v>
      </c>
      <c r="D2891" s="188" t="s">
        <v>4486</v>
      </c>
      <c r="E2891" s="189">
        <v>39527</v>
      </c>
      <c r="F2891" s="190">
        <v>0</v>
      </c>
      <c r="G2891" s="190">
        <v>20.67</v>
      </c>
      <c r="H2891" s="191">
        <v>450</v>
      </c>
      <c r="I2891" s="191">
        <v>145.35</v>
      </c>
      <c r="J2891" s="188" t="s">
        <v>624</v>
      </c>
      <c r="K2891" s="188" t="s">
        <v>427</v>
      </c>
      <c r="L2891" s="188" t="s">
        <v>4487</v>
      </c>
      <c r="M2891" s="192">
        <f t="shared" si="135"/>
        <v>25</v>
      </c>
      <c r="N2891" s="193">
        <f t="shared" si="136"/>
        <v>1.3931888544891642</v>
      </c>
      <c r="O2891" s="194">
        <f t="shared" si="137"/>
        <v>5.5727554179566569E-2</v>
      </c>
    </row>
    <row r="2892" spans="1:15" ht="12.75" customHeight="1">
      <c r="A2892" s="188" t="s">
        <v>620</v>
      </c>
      <c r="B2892" s="188" t="s">
        <v>3787</v>
      </c>
      <c r="C2892" s="188" t="s">
        <v>659</v>
      </c>
      <c r="D2892" s="188" t="s">
        <v>4488</v>
      </c>
      <c r="E2892" s="189">
        <v>39422</v>
      </c>
      <c r="F2892" s="190">
        <v>0</v>
      </c>
      <c r="G2892" s="190">
        <v>95.36</v>
      </c>
      <c r="H2892" s="191">
        <v>1581</v>
      </c>
      <c r="I2892" s="191">
        <v>670.5</v>
      </c>
      <c r="J2892" s="188" t="s">
        <v>624</v>
      </c>
      <c r="K2892" s="188" t="s">
        <v>667</v>
      </c>
      <c r="L2892" s="188" t="s">
        <v>2546</v>
      </c>
      <c r="M2892" s="192">
        <f t="shared" si="135"/>
        <v>19</v>
      </c>
      <c r="N2892" s="193">
        <f t="shared" si="136"/>
        <v>1.0610738255033556</v>
      </c>
      <c r="O2892" s="194">
        <f t="shared" si="137"/>
        <v>5.5845990815966084E-2</v>
      </c>
    </row>
    <row r="2893" spans="1:15" ht="12.75" customHeight="1">
      <c r="A2893" s="188" t="s">
        <v>620</v>
      </c>
      <c r="B2893" s="188" t="s">
        <v>3787</v>
      </c>
      <c r="C2893" s="188" t="s">
        <v>659</v>
      </c>
      <c r="D2893" s="188" t="s">
        <v>4489</v>
      </c>
      <c r="E2893" s="189">
        <v>39387</v>
      </c>
      <c r="F2893" s="190">
        <v>0</v>
      </c>
      <c r="G2893" s="190">
        <v>35.26</v>
      </c>
      <c r="H2893" s="191">
        <v>770</v>
      </c>
      <c r="I2893" s="191">
        <v>247.95</v>
      </c>
      <c r="J2893" s="188" t="s">
        <v>624</v>
      </c>
      <c r="K2893" s="188" t="s">
        <v>427</v>
      </c>
      <c r="L2893" s="188" t="s">
        <v>4490</v>
      </c>
      <c r="M2893" s="192">
        <f t="shared" si="135"/>
        <v>25</v>
      </c>
      <c r="N2893" s="193">
        <f t="shared" si="136"/>
        <v>1.3974591651542649</v>
      </c>
      <c r="O2893" s="194">
        <f t="shared" si="137"/>
        <v>5.5898366606170598E-2</v>
      </c>
    </row>
    <row r="2894" spans="1:15" ht="12.75" customHeight="1">
      <c r="A2894" s="188" t="s">
        <v>620</v>
      </c>
      <c r="B2894" s="188" t="s">
        <v>3787</v>
      </c>
      <c r="C2894" s="188" t="s">
        <v>659</v>
      </c>
      <c r="D2894" s="188" t="s">
        <v>4491</v>
      </c>
      <c r="E2894" s="189">
        <v>39527</v>
      </c>
      <c r="F2894" s="190">
        <v>0</v>
      </c>
      <c r="G2894" s="190">
        <v>125.76</v>
      </c>
      <c r="H2894" s="191">
        <v>2089</v>
      </c>
      <c r="I2894" s="191">
        <v>884.25</v>
      </c>
      <c r="J2894" s="188" t="s">
        <v>624</v>
      </c>
      <c r="K2894" s="188" t="s">
        <v>667</v>
      </c>
      <c r="L2894" s="188" t="s">
        <v>4492</v>
      </c>
      <c r="M2894" s="192">
        <f t="shared" si="135"/>
        <v>19</v>
      </c>
      <c r="N2894" s="193">
        <f t="shared" si="136"/>
        <v>1.0631043256997454</v>
      </c>
      <c r="O2894" s="194">
        <f t="shared" si="137"/>
        <v>5.5952859247355026E-2</v>
      </c>
    </row>
    <row r="2895" spans="1:15" ht="12.75" customHeight="1">
      <c r="A2895" s="188" t="s">
        <v>620</v>
      </c>
      <c r="B2895" s="188" t="s">
        <v>3787</v>
      </c>
      <c r="C2895" s="188" t="s">
        <v>659</v>
      </c>
      <c r="D2895" s="188" t="s">
        <v>4493</v>
      </c>
      <c r="E2895" s="189">
        <v>39471</v>
      </c>
      <c r="F2895" s="190">
        <v>0</v>
      </c>
      <c r="G2895" s="190">
        <v>88.7</v>
      </c>
      <c r="H2895" s="191">
        <v>1943.1</v>
      </c>
      <c r="I2895" s="191">
        <v>623.70000000000005</v>
      </c>
      <c r="J2895" s="188" t="s">
        <v>624</v>
      </c>
      <c r="K2895" s="188" t="s">
        <v>427</v>
      </c>
      <c r="L2895" s="188" t="s">
        <v>943</v>
      </c>
      <c r="M2895" s="192">
        <f t="shared" si="135"/>
        <v>25</v>
      </c>
      <c r="N2895" s="193">
        <f t="shared" si="136"/>
        <v>1.4019480519480518</v>
      </c>
      <c r="O2895" s="194">
        <f t="shared" si="137"/>
        <v>5.6077922077922074E-2</v>
      </c>
    </row>
    <row r="2896" spans="1:15" ht="12.75" customHeight="1">
      <c r="A2896" s="188" t="s">
        <v>620</v>
      </c>
      <c r="B2896" s="188" t="s">
        <v>3787</v>
      </c>
      <c r="C2896" s="188" t="s">
        <v>659</v>
      </c>
      <c r="D2896" s="188" t="s">
        <v>4494</v>
      </c>
      <c r="E2896" s="189">
        <v>39226</v>
      </c>
      <c r="F2896" s="190">
        <v>0</v>
      </c>
      <c r="G2896" s="190">
        <v>110.21</v>
      </c>
      <c r="H2896" s="191">
        <v>2901.57</v>
      </c>
      <c r="I2896" s="191">
        <v>774.9</v>
      </c>
      <c r="J2896" s="188" t="s">
        <v>624</v>
      </c>
      <c r="K2896" s="188" t="s">
        <v>257</v>
      </c>
      <c r="L2896" s="188" t="s">
        <v>2570</v>
      </c>
      <c r="M2896" s="192">
        <f t="shared" si="135"/>
        <v>30</v>
      </c>
      <c r="N2896" s="193">
        <f t="shared" si="136"/>
        <v>1.6850000000000001</v>
      </c>
      <c r="O2896" s="194">
        <f t="shared" si="137"/>
        <v>5.616666666666667E-2</v>
      </c>
    </row>
    <row r="2897" spans="1:15" ht="12.75" customHeight="1">
      <c r="A2897" s="188" t="s">
        <v>620</v>
      </c>
      <c r="B2897" s="188" t="s">
        <v>3787</v>
      </c>
      <c r="C2897" s="188" t="s">
        <v>659</v>
      </c>
      <c r="D2897" s="188" t="s">
        <v>4495</v>
      </c>
      <c r="E2897" s="189">
        <v>39576</v>
      </c>
      <c r="F2897" s="190">
        <v>0</v>
      </c>
      <c r="G2897" s="190">
        <v>114.69</v>
      </c>
      <c r="H2897" s="191">
        <v>2518</v>
      </c>
      <c r="I2897" s="191">
        <v>806.4</v>
      </c>
      <c r="J2897" s="188" t="s">
        <v>624</v>
      </c>
      <c r="K2897" s="188" t="s">
        <v>427</v>
      </c>
      <c r="L2897" s="188" t="s">
        <v>3394</v>
      </c>
      <c r="M2897" s="192">
        <f t="shared" si="135"/>
        <v>25</v>
      </c>
      <c r="N2897" s="193">
        <f t="shared" si="136"/>
        <v>1.4051339285714286</v>
      </c>
      <c r="O2897" s="194">
        <f t="shared" si="137"/>
        <v>5.6205357142857147E-2</v>
      </c>
    </row>
    <row r="2898" spans="1:15" ht="12.75" customHeight="1">
      <c r="A2898" s="188" t="s">
        <v>620</v>
      </c>
      <c r="B2898" s="188" t="s">
        <v>3787</v>
      </c>
      <c r="C2898" s="188" t="s">
        <v>659</v>
      </c>
      <c r="D2898" s="188" t="s">
        <v>4496</v>
      </c>
      <c r="E2898" s="189">
        <v>39583</v>
      </c>
      <c r="F2898" s="190">
        <v>0</v>
      </c>
      <c r="G2898" s="190">
        <v>61.44</v>
      </c>
      <c r="H2898" s="191">
        <v>1350</v>
      </c>
      <c r="I2898" s="191">
        <v>432</v>
      </c>
      <c r="J2898" s="188" t="s">
        <v>624</v>
      </c>
      <c r="K2898" s="188" t="s">
        <v>427</v>
      </c>
      <c r="L2898" s="188" t="s">
        <v>1146</v>
      </c>
      <c r="M2898" s="192">
        <f t="shared" si="135"/>
        <v>25</v>
      </c>
      <c r="N2898" s="193">
        <f t="shared" si="136"/>
        <v>1.40625</v>
      </c>
      <c r="O2898" s="194">
        <f t="shared" si="137"/>
        <v>5.6250000000000001E-2</v>
      </c>
    </row>
    <row r="2899" spans="1:15" ht="12.75" customHeight="1">
      <c r="A2899" s="188" t="s">
        <v>620</v>
      </c>
      <c r="B2899" s="188" t="s">
        <v>3787</v>
      </c>
      <c r="C2899" s="188" t="s">
        <v>659</v>
      </c>
      <c r="D2899" s="188" t="s">
        <v>4497</v>
      </c>
      <c r="E2899" s="189">
        <v>39447</v>
      </c>
      <c r="F2899" s="190">
        <v>0</v>
      </c>
      <c r="G2899" s="190">
        <v>92.42</v>
      </c>
      <c r="H2899" s="191">
        <v>2031.99</v>
      </c>
      <c r="I2899" s="191">
        <v>649.79999999999995</v>
      </c>
      <c r="J2899" s="188" t="s">
        <v>624</v>
      </c>
      <c r="K2899" s="188" t="s">
        <v>427</v>
      </c>
      <c r="L2899" s="188" t="s">
        <v>2352</v>
      </c>
      <c r="M2899" s="192">
        <f t="shared" si="135"/>
        <v>25</v>
      </c>
      <c r="N2899" s="193">
        <f t="shared" si="136"/>
        <v>1.4071952908587257</v>
      </c>
      <c r="O2899" s="194">
        <f t="shared" si="137"/>
        <v>5.6287811634349032E-2</v>
      </c>
    </row>
    <row r="2900" spans="1:15" ht="12.75" customHeight="1">
      <c r="A2900" s="188" t="s">
        <v>620</v>
      </c>
      <c r="B2900" s="188" t="s">
        <v>3787</v>
      </c>
      <c r="C2900" s="188" t="s">
        <v>659</v>
      </c>
      <c r="D2900" s="188" t="s">
        <v>4498</v>
      </c>
      <c r="E2900" s="189">
        <v>39447</v>
      </c>
      <c r="F2900" s="190">
        <v>0</v>
      </c>
      <c r="G2900" s="190">
        <v>78.400000000000006</v>
      </c>
      <c r="H2900" s="191">
        <v>1449</v>
      </c>
      <c r="I2900" s="191">
        <v>551.25</v>
      </c>
      <c r="J2900" s="188" t="s">
        <v>624</v>
      </c>
      <c r="K2900" s="188" t="s">
        <v>1344</v>
      </c>
      <c r="L2900" s="188" t="s">
        <v>1653</v>
      </c>
      <c r="M2900" s="192">
        <f t="shared" si="135"/>
        <v>21</v>
      </c>
      <c r="N2900" s="193">
        <f t="shared" si="136"/>
        <v>1.1828571428571428</v>
      </c>
      <c r="O2900" s="194">
        <f t="shared" si="137"/>
        <v>5.6326530612244893E-2</v>
      </c>
    </row>
    <row r="2901" spans="1:15" ht="12.75" customHeight="1">
      <c r="A2901" s="188" t="s">
        <v>620</v>
      </c>
      <c r="B2901" s="188" t="s">
        <v>3787</v>
      </c>
      <c r="C2901" s="188" t="s">
        <v>659</v>
      </c>
      <c r="D2901" s="188" t="s">
        <v>4499</v>
      </c>
      <c r="E2901" s="189">
        <v>39387</v>
      </c>
      <c r="F2901" s="190">
        <v>0</v>
      </c>
      <c r="G2901" s="190">
        <v>68.739999999999995</v>
      </c>
      <c r="H2901" s="191">
        <v>1694.02</v>
      </c>
      <c r="I2901" s="191">
        <v>483.3</v>
      </c>
      <c r="J2901" s="188" t="s">
        <v>624</v>
      </c>
      <c r="K2901" s="188" t="s">
        <v>1357</v>
      </c>
      <c r="L2901" s="188" t="s">
        <v>1440</v>
      </c>
      <c r="M2901" s="192">
        <f t="shared" si="135"/>
        <v>28</v>
      </c>
      <c r="N2901" s="193">
        <f t="shared" si="136"/>
        <v>1.5772998137802607</v>
      </c>
      <c r="O2901" s="194">
        <f t="shared" si="137"/>
        <v>5.6332136206437886E-2</v>
      </c>
    </row>
    <row r="2902" spans="1:15" ht="12.75" customHeight="1">
      <c r="A2902" s="188" t="s">
        <v>620</v>
      </c>
      <c r="B2902" s="188" t="s">
        <v>3787</v>
      </c>
      <c r="C2902" s="188" t="s">
        <v>659</v>
      </c>
      <c r="D2902" s="188" t="s">
        <v>4500</v>
      </c>
      <c r="E2902" s="189">
        <v>39534</v>
      </c>
      <c r="F2902" s="190">
        <v>0</v>
      </c>
      <c r="G2902" s="190">
        <v>51.2</v>
      </c>
      <c r="H2902" s="191">
        <v>1352</v>
      </c>
      <c r="I2902" s="191">
        <v>360</v>
      </c>
      <c r="J2902" s="188" t="s">
        <v>624</v>
      </c>
      <c r="K2902" s="188" t="s">
        <v>257</v>
      </c>
      <c r="L2902" s="188" t="s">
        <v>752</v>
      </c>
      <c r="M2902" s="192">
        <f t="shared" si="135"/>
        <v>30</v>
      </c>
      <c r="N2902" s="193">
        <f t="shared" si="136"/>
        <v>1.69</v>
      </c>
      <c r="O2902" s="194">
        <f t="shared" si="137"/>
        <v>5.6333333333333332E-2</v>
      </c>
    </row>
    <row r="2903" spans="1:15" ht="12.75" customHeight="1">
      <c r="A2903" s="188" t="s">
        <v>620</v>
      </c>
      <c r="B2903" s="188" t="s">
        <v>3787</v>
      </c>
      <c r="C2903" s="188" t="s">
        <v>659</v>
      </c>
      <c r="D2903" s="188" t="s">
        <v>4501</v>
      </c>
      <c r="E2903" s="189">
        <v>39583</v>
      </c>
      <c r="F2903" s="190">
        <v>0</v>
      </c>
      <c r="G2903" s="190">
        <v>16.7</v>
      </c>
      <c r="H2903" s="191">
        <v>250</v>
      </c>
      <c r="I2903" s="191">
        <v>117.45</v>
      </c>
      <c r="J2903" s="188" t="s">
        <v>635</v>
      </c>
      <c r="K2903" s="188" t="s">
        <v>427</v>
      </c>
      <c r="L2903" s="188" t="s">
        <v>3280</v>
      </c>
      <c r="M2903" s="192">
        <f t="shared" si="135"/>
        <v>17</v>
      </c>
      <c r="N2903" s="193">
        <f t="shared" si="136"/>
        <v>0.95785440613026818</v>
      </c>
      <c r="O2903" s="194">
        <f t="shared" si="137"/>
        <v>5.6344376831192249E-2</v>
      </c>
    </row>
    <row r="2904" spans="1:15" ht="12.75" customHeight="1">
      <c r="A2904" s="188" t="s">
        <v>620</v>
      </c>
      <c r="B2904" s="188" t="s">
        <v>3787</v>
      </c>
      <c r="C2904" s="188" t="s">
        <v>659</v>
      </c>
      <c r="D2904" s="188" t="s">
        <v>4502</v>
      </c>
      <c r="E2904" s="189">
        <v>39359</v>
      </c>
      <c r="F2904" s="190">
        <v>0</v>
      </c>
      <c r="G2904" s="190">
        <v>25.09</v>
      </c>
      <c r="H2904" s="191">
        <v>553</v>
      </c>
      <c r="I2904" s="191">
        <v>176.4</v>
      </c>
      <c r="J2904" s="188" t="s">
        <v>624</v>
      </c>
      <c r="K2904" s="188" t="s">
        <v>427</v>
      </c>
      <c r="L2904" s="188" t="s">
        <v>1127</v>
      </c>
      <c r="M2904" s="192">
        <f t="shared" si="135"/>
        <v>25</v>
      </c>
      <c r="N2904" s="193">
        <f t="shared" si="136"/>
        <v>1.4107142857142858</v>
      </c>
      <c r="O2904" s="194">
        <f t="shared" si="137"/>
        <v>5.6428571428571432E-2</v>
      </c>
    </row>
    <row r="2905" spans="1:15" ht="12.75" customHeight="1">
      <c r="A2905" s="188" t="s">
        <v>620</v>
      </c>
      <c r="B2905" s="188" t="s">
        <v>3787</v>
      </c>
      <c r="C2905" s="188" t="s">
        <v>659</v>
      </c>
      <c r="D2905" s="188" t="s">
        <v>4503</v>
      </c>
      <c r="E2905" s="189">
        <v>39331</v>
      </c>
      <c r="F2905" s="190">
        <v>0</v>
      </c>
      <c r="G2905" s="190">
        <v>86.4</v>
      </c>
      <c r="H2905" s="191">
        <v>1449.9</v>
      </c>
      <c r="I2905" s="191">
        <v>607.5</v>
      </c>
      <c r="J2905" s="188" t="s">
        <v>624</v>
      </c>
      <c r="K2905" s="188" t="s">
        <v>667</v>
      </c>
      <c r="L2905" s="188" t="s">
        <v>707</v>
      </c>
      <c r="M2905" s="192">
        <f t="shared" si="135"/>
        <v>19</v>
      </c>
      <c r="N2905" s="193">
        <f t="shared" si="136"/>
        <v>1.0740000000000001</v>
      </c>
      <c r="O2905" s="194">
        <f t="shared" si="137"/>
        <v>5.6526315789473688E-2</v>
      </c>
    </row>
    <row r="2906" spans="1:15" ht="12.75" customHeight="1">
      <c r="A2906" s="188" t="s">
        <v>620</v>
      </c>
      <c r="B2906" s="188" t="s">
        <v>3787</v>
      </c>
      <c r="C2906" s="188" t="s">
        <v>659</v>
      </c>
      <c r="D2906" s="188" t="s">
        <v>4504</v>
      </c>
      <c r="E2906" s="189">
        <v>39597</v>
      </c>
      <c r="F2906" s="190">
        <v>0</v>
      </c>
      <c r="G2906" s="190">
        <v>60.48</v>
      </c>
      <c r="H2906" s="191">
        <v>1336.65</v>
      </c>
      <c r="I2906" s="191">
        <v>425.25</v>
      </c>
      <c r="J2906" s="188" t="s">
        <v>624</v>
      </c>
      <c r="K2906" s="188" t="s">
        <v>427</v>
      </c>
      <c r="L2906" s="188" t="s">
        <v>1483</v>
      </c>
      <c r="M2906" s="192">
        <f t="shared" si="135"/>
        <v>25</v>
      </c>
      <c r="N2906" s="193">
        <f t="shared" si="136"/>
        <v>1.4144444444444446</v>
      </c>
      <c r="O2906" s="194">
        <f t="shared" si="137"/>
        <v>5.6577777777777782E-2</v>
      </c>
    </row>
    <row r="2907" spans="1:15" ht="12.75" customHeight="1">
      <c r="A2907" s="188" t="s">
        <v>620</v>
      </c>
      <c r="B2907" s="188" t="s">
        <v>3787</v>
      </c>
      <c r="C2907" s="188" t="s">
        <v>659</v>
      </c>
      <c r="D2907" s="188" t="s">
        <v>4505</v>
      </c>
      <c r="E2907" s="189">
        <v>39247</v>
      </c>
      <c r="F2907" s="190">
        <v>0</v>
      </c>
      <c r="G2907" s="190">
        <v>67.709999999999994</v>
      </c>
      <c r="H2907" s="191">
        <v>1498.97</v>
      </c>
      <c r="I2907" s="191">
        <v>476.1</v>
      </c>
      <c r="J2907" s="188" t="s">
        <v>624</v>
      </c>
      <c r="K2907" s="188" t="s">
        <v>427</v>
      </c>
      <c r="L2907" s="188" t="s">
        <v>862</v>
      </c>
      <c r="M2907" s="192">
        <f t="shared" si="135"/>
        <v>25</v>
      </c>
      <c r="N2907" s="193">
        <f t="shared" si="136"/>
        <v>1.4167958412098298</v>
      </c>
      <c r="O2907" s="194">
        <f t="shared" si="137"/>
        <v>5.6671833648393191E-2</v>
      </c>
    </row>
    <row r="2908" spans="1:15" ht="12.75" customHeight="1">
      <c r="A2908" s="188" t="s">
        <v>620</v>
      </c>
      <c r="B2908" s="188" t="s">
        <v>3787</v>
      </c>
      <c r="C2908" s="188" t="s">
        <v>659</v>
      </c>
      <c r="D2908" s="188" t="s">
        <v>4506</v>
      </c>
      <c r="E2908" s="189">
        <v>39562</v>
      </c>
      <c r="F2908" s="190">
        <v>0</v>
      </c>
      <c r="G2908" s="190">
        <v>84.86</v>
      </c>
      <c r="H2908" s="191">
        <v>2256.29</v>
      </c>
      <c r="I2908" s="191">
        <v>596.70000000000005</v>
      </c>
      <c r="J2908" s="188" t="s">
        <v>624</v>
      </c>
      <c r="K2908" s="188" t="s">
        <v>257</v>
      </c>
      <c r="L2908" s="188" t="s">
        <v>4507</v>
      </c>
      <c r="M2908" s="192">
        <f t="shared" si="135"/>
        <v>30</v>
      </c>
      <c r="N2908" s="193">
        <f t="shared" si="136"/>
        <v>1.70157616892911</v>
      </c>
      <c r="O2908" s="194">
        <f t="shared" si="137"/>
        <v>5.6719205630970333E-2</v>
      </c>
    </row>
    <row r="2909" spans="1:15" ht="12.75" customHeight="1">
      <c r="A2909" s="188" t="s">
        <v>620</v>
      </c>
      <c r="B2909" s="188" t="s">
        <v>3787</v>
      </c>
      <c r="C2909" s="188" t="s">
        <v>659</v>
      </c>
      <c r="D2909" s="188" t="s">
        <v>4508</v>
      </c>
      <c r="E2909" s="189">
        <v>39380</v>
      </c>
      <c r="F2909" s="190">
        <v>0</v>
      </c>
      <c r="G2909" s="190">
        <v>64</v>
      </c>
      <c r="H2909" s="191">
        <v>1419.25</v>
      </c>
      <c r="I2909" s="191">
        <v>450</v>
      </c>
      <c r="J2909" s="188" t="s">
        <v>624</v>
      </c>
      <c r="K2909" s="188" t="s">
        <v>427</v>
      </c>
      <c r="L2909" s="188" t="s">
        <v>636</v>
      </c>
      <c r="M2909" s="192">
        <f t="shared" si="135"/>
        <v>25</v>
      </c>
      <c r="N2909" s="193">
        <f t="shared" si="136"/>
        <v>1.4192499999999999</v>
      </c>
      <c r="O2909" s="194">
        <f t="shared" si="137"/>
        <v>5.6769999999999994E-2</v>
      </c>
    </row>
    <row r="2910" spans="1:15" ht="12.75" customHeight="1">
      <c r="A2910" s="188" t="s">
        <v>620</v>
      </c>
      <c r="B2910" s="188" t="s">
        <v>3787</v>
      </c>
      <c r="C2910" s="188" t="s">
        <v>659</v>
      </c>
      <c r="D2910" s="188" t="s">
        <v>4509</v>
      </c>
      <c r="E2910" s="189">
        <v>39436</v>
      </c>
      <c r="F2910" s="190">
        <v>0</v>
      </c>
      <c r="G2910" s="190">
        <v>19.2</v>
      </c>
      <c r="H2910" s="191">
        <v>426</v>
      </c>
      <c r="I2910" s="191">
        <v>135</v>
      </c>
      <c r="J2910" s="188" t="s">
        <v>624</v>
      </c>
      <c r="K2910" s="188" t="s">
        <v>427</v>
      </c>
      <c r="L2910" s="188" t="s">
        <v>1315</v>
      </c>
      <c r="M2910" s="192">
        <f t="shared" si="135"/>
        <v>25</v>
      </c>
      <c r="N2910" s="193">
        <f t="shared" si="136"/>
        <v>1.42</v>
      </c>
      <c r="O2910" s="194">
        <f t="shared" si="137"/>
        <v>5.6799999999999996E-2</v>
      </c>
    </row>
    <row r="2911" spans="1:15" ht="12.75" customHeight="1">
      <c r="A2911" s="188" t="s">
        <v>620</v>
      </c>
      <c r="B2911" s="188" t="s">
        <v>3787</v>
      </c>
      <c r="C2911" s="188" t="s">
        <v>659</v>
      </c>
      <c r="D2911" s="188" t="s">
        <v>4510</v>
      </c>
      <c r="E2911" s="189">
        <v>39269</v>
      </c>
      <c r="F2911" s="190">
        <v>0</v>
      </c>
      <c r="G2911" s="190">
        <v>35.200000000000003</v>
      </c>
      <c r="H2911" s="191">
        <v>938.03</v>
      </c>
      <c r="I2911" s="191">
        <v>247.5</v>
      </c>
      <c r="J2911" s="188" t="s">
        <v>624</v>
      </c>
      <c r="K2911" s="188" t="s">
        <v>257</v>
      </c>
      <c r="L2911" s="188" t="s">
        <v>1873</v>
      </c>
      <c r="M2911" s="192">
        <f t="shared" si="135"/>
        <v>30</v>
      </c>
      <c r="N2911" s="193">
        <f t="shared" si="136"/>
        <v>1.7055090909090909</v>
      </c>
      <c r="O2911" s="194">
        <f t="shared" si="137"/>
        <v>5.6850303030303029E-2</v>
      </c>
    </row>
    <row r="2912" spans="1:15" ht="12.75" customHeight="1">
      <c r="A2912" s="188" t="s">
        <v>620</v>
      </c>
      <c r="B2912" s="188" t="s">
        <v>3787</v>
      </c>
      <c r="C2912" s="188" t="s">
        <v>659</v>
      </c>
      <c r="D2912" s="188" t="s">
        <v>4511</v>
      </c>
      <c r="E2912" s="189">
        <v>39339</v>
      </c>
      <c r="F2912" s="190">
        <v>0</v>
      </c>
      <c r="G2912" s="190">
        <v>81.09</v>
      </c>
      <c r="H2912" s="191">
        <v>1801.29</v>
      </c>
      <c r="I2912" s="191">
        <v>570.15</v>
      </c>
      <c r="J2912" s="188" t="s">
        <v>624</v>
      </c>
      <c r="K2912" s="188" t="s">
        <v>427</v>
      </c>
      <c r="L2912" s="188" t="s">
        <v>4512</v>
      </c>
      <c r="M2912" s="192">
        <f t="shared" si="135"/>
        <v>25</v>
      </c>
      <c r="N2912" s="193">
        <f t="shared" si="136"/>
        <v>1.4216969218626676</v>
      </c>
      <c r="O2912" s="194">
        <f t="shared" si="137"/>
        <v>5.6867876874506701E-2</v>
      </c>
    </row>
    <row r="2913" spans="1:15" ht="12.75" customHeight="1">
      <c r="A2913" s="188" t="s">
        <v>620</v>
      </c>
      <c r="B2913" s="188" t="s">
        <v>3787</v>
      </c>
      <c r="C2913" s="188" t="s">
        <v>659</v>
      </c>
      <c r="D2913" s="188" t="s">
        <v>4513</v>
      </c>
      <c r="E2913" s="189">
        <v>39447</v>
      </c>
      <c r="F2913" s="190">
        <v>0</v>
      </c>
      <c r="G2913" s="190">
        <v>38.4</v>
      </c>
      <c r="H2913" s="191">
        <v>1024</v>
      </c>
      <c r="I2913" s="191">
        <v>270</v>
      </c>
      <c r="J2913" s="188" t="s">
        <v>624</v>
      </c>
      <c r="K2913" s="188" t="s">
        <v>257</v>
      </c>
      <c r="L2913" s="188" t="s">
        <v>677</v>
      </c>
      <c r="M2913" s="192">
        <f t="shared" si="135"/>
        <v>30</v>
      </c>
      <c r="N2913" s="193">
        <f t="shared" si="136"/>
        <v>1.7066666666666668</v>
      </c>
      <c r="O2913" s="194">
        <f t="shared" si="137"/>
        <v>5.6888888888888892E-2</v>
      </c>
    </row>
    <row r="2914" spans="1:15" ht="12.75" customHeight="1">
      <c r="A2914" s="188" t="s">
        <v>620</v>
      </c>
      <c r="B2914" s="188" t="s">
        <v>3787</v>
      </c>
      <c r="C2914" s="188" t="s">
        <v>659</v>
      </c>
      <c r="D2914" s="188" t="s">
        <v>4514</v>
      </c>
      <c r="E2914" s="189">
        <v>39541</v>
      </c>
      <c r="F2914" s="190">
        <v>0</v>
      </c>
      <c r="G2914" s="190">
        <v>69.5</v>
      </c>
      <c r="H2914" s="191">
        <v>1547</v>
      </c>
      <c r="I2914" s="191">
        <v>488.7</v>
      </c>
      <c r="J2914" s="188" t="s">
        <v>624</v>
      </c>
      <c r="K2914" s="188" t="s">
        <v>427</v>
      </c>
      <c r="L2914" s="188" t="s">
        <v>2812</v>
      </c>
      <c r="M2914" s="192">
        <f t="shared" si="135"/>
        <v>25</v>
      </c>
      <c r="N2914" s="193">
        <f t="shared" si="136"/>
        <v>1.4244935543278086</v>
      </c>
      <c r="O2914" s="194">
        <f t="shared" si="137"/>
        <v>5.6979742173112344E-2</v>
      </c>
    </row>
    <row r="2915" spans="1:15" ht="12.75" customHeight="1">
      <c r="A2915" s="188" t="s">
        <v>620</v>
      </c>
      <c r="B2915" s="188" t="s">
        <v>3787</v>
      </c>
      <c r="C2915" s="188" t="s">
        <v>659</v>
      </c>
      <c r="D2915" s="188" t="s">
        <v>4515</v>
      </c>
      <c r="E2915" s="189">
        <v>39534</v>
      </c>
      <c r="F2915" s="190">
        <v>0</v>
      </c>
      <c r="G2915" s="190">
        <v>11.52</v>
      </c>
      <c r="H2915" s="191">
        <v>195</v>
      </c>
      <c r="I2915" s="191">
        <v>81</v>
      </c>
      <c r="J2915" s="188" t="s">
        <v>624</v>
      </c>
      <c r="K2915" s="188" t="s">
        <v>667</v>
      </c>
      <c r="L2915" s="188" t="s">
        <v>302</v>
      </c>
      <c r="M2915" s="192">
        <f t="shared" si="135"/>
        <v>19</v>
      </c>
      <c r="N2915" s="193">
        <f t="shared" si="136"/>
        <v>1.0833333333333333</v>
      </c>
      <c r="O2915" s="194">
        <f t="shared" si="137"/>
        <v>5.701754385964912E-2</v>
      </c>
    </row>
    <row r="2916" spans="1:15" ht="12.75" customHeight="1">
      <c r="A2916" s="188" t="s">
        <v>620</v>
      </c>
      <c r="B2916" s="188" t="s">
        <v>3787</v>
      </c>
      <c r="C2916" s="188" t="s">
        <v>659</v>
      </c>
      <c r="D2916" s="188" t="s">
        <v>4516</v>
      </c>
      <c r="E2916" s="189">
        <v>39583</v>
      </c>
      <c r="F2916" s="190">
        <v>0</v>
      </c>
      <c r="G2916" s="190">
        <v>69.12</v>
      </c>
      <c r="H2916" s="191">
        <v>1539.52</v>
      </c>
      <c r="I2916" s="191">
        <v>486</v>
      </c>
      <c r="J2916" s="188" t="s">
        <v>624</v>
      </c>
      <c r="K2916" s="188" t="s">
        <v>427</v>
      </c>
      <c r="L2916" s="188" t="s">
        <v>817</v>
      </c>
      <c r="M2916" s="192">
        <f t="shared" si="135"/>
        <v>25</v>
      </c>
      <c r="N2916" s="193">
        <f t="shared" si="136"/>
        <v>1.4254814814814816</v>
      </c>
      <c r="O2916" s="194">
        <f t="shared" si="137"/>
        <v>5.7019259259259263E-2</v>
      </c>
    </row>
    <row r="2917" spans="1:15" ht="12.75" customHeight="1">
      <c r="A2917" s="188" t="s">
        <v>620</v>
      </c>
      <c r="B2917" s="188" t="s">
        <v>3787</v>
      </c>
      <c r="C2917" s="188" t="s">
        <v>659</v>
      </c>
      <c r="D2917" s="188" t="s">
        <v>4517</v>
      </c>
      <c r="E2917" s="189">
        <v>39353</v>
      </c>
      <c r="F2917" s="190">
        <v>0</v>
      </c>
      <c r="G2917" s="190">
        <v>51.2</v>
      </c>
      <c r="H2917" s="191">
        <v>867</v>
      </c>
      <c r="I2917" s="191">
        <v>360</v>
      </c>
      <c r="J2917" s="188" t="s">
        <v>624</v>
      </c>
      <c r="K2917" s="188" t="s">
        <v>667</v>
      </c>
      <c r="L2917" s="188" t="s">
        <v>752</v>
      </c>
      <c r="M2917" s="192">
        <f t="shared" si="135"/>
        <v>19</v>
      </c>
      <c r="N2917" s="193">
        <f t="shared" si="136"/>
        <v>1.08375</v>
      </c>
      <c r="O2917" s="194">
        <f t="shared" si="137"/>
        <v>5.7039473684210529E-2</v>
      </c>
    </row>
    <row r="2918" spans="1:15" ht="12.75" customHeight="1">
      <c r="A2918" s="188" t="s">
        <v>620</v>
      </c>
      <c r="B2918" s="188" t="s">
        <v>3787</v>
      </c>
      <c r="C2918" s="188" t="s">
        <v>659</v>
      </c>
      <c r="D2918" s="188" t="s">
        <v>4518</v>
      </c>
      <c r="E2918" s="189">
        <v>39590</v>
      </c>
      <c r="F2918" s="190">
        <v>0</v>
      </c>
      <c r="G2918" s="190">
        <v>95.04</v>
      </c>
      <c r="H2918" s="191">
        <v>2117.81</v>
      </c>
      <c r="I2918" s="191">
        <v>668.25</v>
      </c>
      <c r="J2918" s="188" t="s">
        <v>624</v>
      </c>
      <c r="K2918" s="188" t="s">
        <v>427</v>
      </c>
      <c r="L2918" s="188" t="s">
        <v>1699</v>
      </c>
      <c r="M2918" s="192">
        <f t="shared" si="135"/>
        <v>25</v>
      </c>
      <c r="N2918" s="193">
        <f t="shared" si="136"/>
        <v>1.4261346801346801</v>
      </c>
      <c r="O2918" s="194">
        <f t="shared" si="137"/>
        <v>5.7045387205387203E-2</v>
      </c>
    </row>
    <row r="2919" spans="1:15" ht="12.75" customHeight="1">
      <c r="A2919" s="188" t="s">
        <v>620</v>
      </c>
      <c r="B2919" s="188" t="s">
        <v>3787</v>
      </c>
      <c r="C2919" s="188" t="s">
        <v>659</v>
      </c>
      <c r="D2919" s="188" t="s">
        <v>4519</v>
      </c>
      <c r="E2919" s="189">
        <v>39534</v>
      </c>
      <c r="F2919" s="190">
        <v>0</v>
      </c>
      <c r="G2919" s="190">
        <v>65.540000000000006</v>
      </c>
      <c r="H2919" s="191">
        <v>1227</v>
      </c>
      <c r="I2919" s="191">
        <v>460.8</v>
      </c>
      <c r="J2919" s="188" t="s">
        <v>624</v>
      </c>
      <c r="K2919" s="188" t="s">
        <v>1344</v>
      </c>
      <c r="L2919" s="188" t="s">
        <v>507</v>
      </c>
      <c r="M2919" s="192">
        <f t="shared" si="135"/>
        <v>21</v>
      </c>
      <c r="N2919" s="193">
        <f t="shared" si="136"/>
        <v>1.1982421875</v>
      </c>
      <c r="O2919" s="194">
        <f t="shared" si="137"/>
        <v>5.7059151785714288E-2</v>
      </c>
    </row>
    <row r="2920" spans="1:15" ht="12.75" customHeight="1">
      <c r="A2920" s="188" t="s">
        <v>620</v>
      </c>
      <c r="B2920" s="188" t="s">
        <v>3787</v>
      </c>
      <c r="C2920" s="188" t="s">
        <v>659</v>
      </c>
      <c r="D2920" s="188" t="s">
        <v>4520</v>
      </c>
      <c r="E2920" s="189">
        <v>39492</v>
      </c>
      <c r="F2920" s="190">
        <v>0</v>
      </c>
      <c r="G2920" s="190">
        <v>98.88</v>
      </c>
      <c r="H2920" s="191">
        <v>2205</v>
      </c>
      <c r="I2920" s="191">
        <v>695.25</v>
      </c>
      <c r="J2920" s="188" t="s">
        <v>624</v>
      </c>
      <c r="K2920" s="188" t="s">
        <v>427</v>
      </c>
      <c r="L2920" s="188" t="s">
        <v>3331</v>
      </c>
      <c r="M2920" s="192">
        <f t="shared" si="135"/>
        <v>25</v>
      </c>
      <c r="N2920" s="193">
        <f t="shared" si="136"/>
        <v>1.4271844660194175</v>
      </c>
      <c r="O2920" s="194">
        <f t="shared" si="137"/>
        <v>5.7087378640776704E-2</v>
      </c>
    </row>
    <row r="2921" spans="1:15" ht="12.75" customHeight="1">
      <c r="A2921" s="188" t="s">
        <v>620</v>
      </c>
      <c r="B2921" s="188" t="s">
        <v>3787</v>
      </c>
      <c r="C2921" s="188" t="s">
        <v>659</v>
      </c>
      <c r="D2921" s="188" t="s">
        <v>4521</v>
      </c>
      <c r="E2921" s="189">
        <v>39590</v>
      </c>
      <c r="F2921" s="190">
        <v>0</v>
      </c>
      <c r="G2921" s="190">
        <v>57.41</v>
      </c>
      <c r="H2921" s="191">
        <v>1372.8</v>
      </c>
      <c r="I2921" s="191">
        <v>403.65</v>
      </c>
      <c r="J2921" s="188" t="s">
        <v>624</v>
      </c>
      <c r="K2921" s="188" t="s">
        <v>427</v>
      </c>
      <c r="L2921" s="188" t="s">
        <v>1146</v>
      </c>
      <c r="M2921" s="192">
        <f t="shared" si="135"/>
        <v>25</v>
      </c>
      <c r="N2921" s="193">
        <f t="shared" si="136"/>
        <v>1.43</v>
      </c>
      <c r="O2921" s="194">
        <f t="shared" si="137"/>
        <v>5.7200000000000001E-2</v>
      </c>
    </row>
    <row r="2922" spans="1:15" ht="12.75" customHeight="1">
      <c r="A2922" s="188" t="s">
        <v>620</v>
      </c>
      <c r="B2922" s="188" t="s">
        <v>3787</v>
      </c>
      <c r="C2922" s="188" t="s">
        <v>659</v>
      </c>
      <c r="D2922" s="188" t="s">
        <v>4522</v>
      </c>
      <c r="E2922" s="189">
        <v>39499</v>
      </c>
      <c r="F2922" s="190">
        <v>0</v>
      </c>
      <c r="G2922" s="190">
        <v>8</v>
      </c>
      <c r="H2922" s="191">
        <v>179</v>
      </c>
      <c r="I2922" s="191">
        <v>56.25</v>
      </c>
      <c r="J2922" s="188" t="s">
        <v>624</v>
      </c>
      <c r="K2922" s="188" t="s">
        <v>427</v>
      </c>
      <c r="L2922" s="188" t="s">
        <v>4523</v>
      </c>
      <c r="M2922" s="192">
        <f t="shared" si="135"/>
        <v>25</v>
      </c>
      <c r="N2922" s="193">
        <f t="shared" si="136"/>
        <v>1.4319999999999999</v>
      </c>
      <c r="O2922" s="194">
        <f t="shared" si="137"/>
        <v>5.7279999999999998E-2</v>
      </c>
    </row>
    <row r="2923" spans="1:15" ht="12.75" customHeight="1">
      <c r="A2923" s="188" t="s">
        <v>620</v>
      </c>
      <c r="B2923" s="188" t="s">
        <v>3787</v>
      </c>
      <c r="C2923" s="188" t="s">
        <v>659</v>
      </c>
      <c r="D2923" s="188" t="s">
        <v>4524</v>
      </c>
      <c r="E2923" s="189">
        <v>39541</v>
      </c>
      <c r="F2923" s="190">
        <v>0</v>
      </c>
      <c r="G2923" s="190">
        <v>76.86</v>
      </c>
      <c r="H2923" s="191">
        <v>1445</v>
      </c>
      <c r="I2923" s="191">
        <v>540.45000000000005</v>
      </c>
      <c r="J2923" s="188" t="s">
        <v>624</v>
      </c>
      <c r="K2923" s="188" t="s">
        <v>1344</v>
      </c>
      <c r="L2923" s="188" t="s">
        <v>3647</v>
      </c>
      <c r="M2923" s="192">
        <f t="shared" si="135"/>
        <v>21</v>
      </c>
      <c r="N2923" s="193">
        <f t="shared" si="136"/>
        <v>1.2031640299750208</v>
      </c>
      <c r="O2923" s="194">
        <f t="shared" si="137"/>
        <v>5.729352523690575E-2</v>
      </c>
    </row>
    <row r="2924" spans="1:15" ht="12.75" customHeight="1">
      <c r="A2924" s="188" t="s">
        <v>620</v>
      </c>
      <c r="B2924" s="188" t="s">
        <v>3787</v>
      </c>
      <c r="C2924" s="188" t="s">
        <v>659</v>
      </c>
      <c r="D2924" s="188" t="s">
        <v>4525</v>
      </c>
      <c r="E2924" s="189">
        <v>39534</v>
      </c>
      <c r="F2924" s="190">
        <v>0</v>
      </c>
      <c r="G2924" s="190">
        <v>65.28</v>
      </c>
      <c r="H2924" s="191">
        <v>1466</v>
      </c>
      <c r="I2924" s="191">
        <v>459</v>
      </c>
      <c r="J2924" s="188" t="s">
        <v>624</v>
      </c>
      <c r="K2924" s="188" t="s">
        <v>427</v>
      </c>
      <c r="L2924" s="188" t="s">
        <v>658</v>
      </c>
      <c r="M2924" s="192">
        <f t="shared" si="135"/>
        <v>25</v>
      </c>
      <c r="N2924" s="193">
        <f t="shared" si="136"/>
        <v>1.4372549019607843</v>
      </c>
      <c r="O2924" s="194">
        <f t="shared" si="137"/>
        <v>5.7490196078431373E-2</v>
      </c>
    </row>
    <row r="2925" spans="1:15" ht="12.75" customHeight="1">
      <c r="A2925" s="188" t="s">
        <v>620</v>
      </c>
      <c r="B2925" s="188" t="s">
        <v>3787</v>
      </c>
      <c r="C2925" s="188" t="s">
        <v>659</v>
      </c>
      <c r="D2925" s="188" t="s">
        <v>4526</v>
      </c>
      <c r="E2925" s="189">
        <v>39447</v>
      </c>
      <c r="F2925" s="190">
        <v>0</v>
      </c>
      <c r="G2925" s="190">
        <v>93.44</v>
      </c>
      <c r="H2925" s="191">
        <v>1764</v>
      </c>
      <c r="I2925" s="191">
        <v>657</v>
      </c>
      <c r="J2925" s="188" t="s">
        <v>624</v>
      </c>
      <c r="K2925" s="188" t="s">
        <v>1344</v>
      </c>
      <c r="L2925" s="188" t="s">
        <v>1386</v>
      </c>
      <c r="M2925" s="192">
        <f t="shared" si="135"/>
        <v>21</v>
      </c>
      <c r="N2925" s="193">
        <f t="shared" si="136"/>
        <v>1.2082191780821918</v>
      </c>
      <c r="O2925" s="194">
        <f t="shared" si="137"/>
        <v>5.7534246575342465E-2</v>
      </c>
    </row>
    <row r="2926" spans="1:15" ht="12.75" customHeight="1">
      <c r="A2926" s="188" t="s">
        <v>620</v>
      </c>
      <c r="B2926" s="188" t="s">
        <v>3787</v>
      </c>
      <c r="C2926" s="188" t="s">
        <v>659</v>
      </c>
      <c r="D2926" s="188" t="s">
        <v>4527</v>
      </c>
      <c r="E2926" s="189">
        <v>39527</v>
      </c>
      <c r="F2926" s="190">
        <v>0</v>
      </c>
      <c r="G2926" s="190">
        <v>64</v>
      </c>
      <c r="H2926" s="191">
        <v>1095</v>
      </c>
      <c r="I2926" s="191">
        <v>450</v>
      </c>
      <c r="J2926" s="188" t="s">
        <v>639</v>
      </c>
      <c r="K2926" s="188" t="s">
        <v>257</v>
      </c>
      <c r="L2926" s="188" t="s">
        <v>636</v>
      </c>
      <c r="M2926" s="192">
        <f t="shared" si="135"/>
        <v>19</v>
      </c>
      <c r="N2926" s="193">
        <f t="shared" si="136"/>
        <v>1.095</v>
      </c>
      <c r="O2926" s="194">
        <f t="shared" si="137"/>
        <v>5.7631578947368423E-2</v>
      </c>
    </row>
    <row r="2927" spans="1:15" ht="12.75" customHeight="1">
      <c r="A2927" s="188" t="s">
        <v>620</v>
      </c>
      <c r="B2927" s="188" t="s">
        <v>3787</v>
      </c>
      <c r="C2927" s="188" t="s">
        <v>659</v>
      </c>
      <c r="D2927" s="188" t="s">
        <v>4528</v>
      </c>
      <c r="E2927" s="189">
        <v>39401</v>
      </c>
      <c r="F2927" s="190">
        <v>0</v>
      </c>
      <c r="G2927" s="190">
        <v>58.75</v>
      </c>
      <c r="H2927" s="191">
        <v>1588.5</v>
      </c>
      <c r="I2927" s="191">
        <v>413.1</v>
      </c>
      <c r="J2927" s="188" t="s">
        <v>624</v>
      </c>
      <c r="K2927" s="188" t="s">
        <v>257</v>
      </c>
      <c r="L2927" s="188" t="s">
        <v>4529</v>
      </c>
      <c r="M2927" s="192">
        <f t="shared" si="135"/>
        <v>30</v>
      </c>
      <c r="N2927" s="193">
        <f t="shared" si="136"/>
        <v>1.7303921568627452</v>
      </c>
      <c r="O2927" s="194">
        <f t="shared" si="137"/>
        <v>5.7679738562091507E-2</v>
      </c>
    </row>
    <row r="2928" spans="1:15" ht="12.75" customHeight="1">
      <c r="A2928" s="188" t="s">
        <v>620</v>
      </c>
      <c r="B2928" s="188" t="s">
        <v>3787</v>
      </c>
      <c r="C2928" s="188" t="s">
        <v>659</v>
      </c>
      <c r="D2928" s="188" t="s">
        <v>4530</v>
      </c>
      <c r="E2928" s="189">
        <v>39289</v>
      </c>
      <c r="F2928" s="190">
        <v>0</v>
      </c>
      <c r="G2928" s="190">
        <v>43.26</v>
      </c>
      <c r="H2928" s="191">
        <v>976.01</v>
      </c>
      <c r="I2928" s="191">
        <v>304.2</v>
      </c>
      <c r="J2928" s="188" t="s">
        <v>624</v>
      </c>
      <c r="K2928" s="188" t="s">
        <v>427</v>
      </c>
      <c r="L2928" s="188" t="s">
        <v>1374</v>
      </c>
      <c r="M2928" s="192">
        <f t="shared" si="135"/>
        <v>25</v>
      </c>
      <c r="N2928" s="193">
        <f t="shared" si="136"/>
        <v>1.4438017751479291</v>
      </c>
      <c r="O2928" s="194">
        <f t="shared" si="137"/>
        <v>5.7752071005917165E-2</v>
      </c>
    </row>
    <row r="2929" spans="1:15" ht="12.75" customHeight="1">
      <c r="A2929" s="188" t="s">
        <v>620</v>
      </c>
      <c r="B2929" s="188" t="s">
        <v>3787</v>
      </c>
      <c r="C2929" s="188" t="s">
        <v>659</v>
      </c>
      <c r="D2929" s="188" t="s">
        <v>4531</v>
      </c>
      <c r="E2929" s="189">
        <v>39331</v>
      </c>
      <c r="F2929" s="190">
        <v>0</v>
      </c>
      <c r="G2929" s="190">
        <v>53.76</v>
      </c>
      <c r="H2929" s="191">
        <v>1214.05</v>
      </c>
      <c r="I2929" s="191">
        <v>378</v>
      </c>
      <c r="J2929" s="188" t="s">
        <v>624</v>
      </c>
      <c r="K2929" s="188" t="s">
        <v>427</v>
      </c>
      <c r="L2929" s="188" t="s">
        <v>906</v>
      </c>
      <c r="M2929" s="192">
        <f t="shared" si="135"/>
        <v>25</v>
      </c>
      <c r="N2929" s="193">
        <f t="shared" si="136"/>
        <v>1.445297619047619</v>
      </c>
      <c r="O2929" s="194">
        <f t="shared" si="137"/>
        <v>5.7811904761904759E-2</v>
      </c>
    </row>
    <row r="2930" spans="1:15" ht="12.75" customHeight="1">
      <c r="A2930" s="188" t="s">
        <v>620</v>
      </c>
      <c r="B2930" s="188" t="s">
        <v>3787</v>
      </c>
      <c r="C2930" s="188" t="s">
        <v>659</v>
      </c>
      <c r="D2930" s="188" t="s">
        <v>4532</v>
      </c>
      <c r="E2930" s="189">
        <v>39507</v>
      </c>
      <c r="F2930" s="190">
        <v>0</v>
      </c>
      <c r="G2930" s="190">
        <v>72.45</v>
      </c>
      <c r="H2930" s="191">
        <v>1640</v>
      </c>
      <c r="I2930" s="191">
        <v>509.4</v>
      </c>
      <c r="J2930" s="188" t="s">
        <v>624</v>
      </c>
      <c r="K2930" s="188" t="s">
        <v>427</v>
      </c>
      <c r="L2930" s="188" t="s">
        <v>2446</v>
      </c>
      <c r="M2930" s="192">
        <f t="shared" si="135"/>
        <v>25</v>
      </c>
      <c r="N2930" s="193">
        <f t="shared" si="136"/>
        <v>1.4487632508833923</v>
      </c>
      <c r="O2930" s="194">
        <f t="shared" si="137"/>
        <v>5.7950530035335693E-2</v>
      </c>
    </row>
    <row r="2931" spans="1:15" ht="12.75" customHeight="1">
      <c r="A2931" s="188" t="s">
        <v>620</v>
      </c>
      <c r="B2931" s="188" t="s">
        <v>3787</v>
      </c>
      <c r="C2931" s="188" t="s">
        <v>659</v>
      </c>
      <c r="D2931" s="188" t="s">
        <v>4533</v>
      </c>
      <c r="E2931" s="189">
        <v>39254</v>
      </c>
      <c r="F2931" s="190">
        <v>0</v>
      </c>
      <c r="G2931" s="190">
        <v>41.47</v>
      </c>
      <c r="H2931" s="191">
        <v>939.02</v>
      </c>
      <c r="I2931" s="191">
        <v>291.60000000000002</v>
      </c>
      <c r="J2931" s="188" t="s">
        <v>624</v>
      </c>
      <c r="K2931" s="188" t="s">
        <v>427</v>
      </c>
      <c r="L2931" s="188" t="s">
        <v>355</v>
      </c>
      <c r="M2931" s="192">
        <f t="shared" si="135"/>
        <v>25</v>
      </c>
      <c r="N2931" s="193">
        <f t="shared" si="136"/>
        <v>1.4491049382716048</v>
      </c>
      <c r="O2931" s="194">
        <f t="shared" si="137"/>
        <v>5.7964197530864195E-2</v>
      </c>
    </row>
    <row r="2932" spans="1:15" ht="12.75" customHeight="1">
      <c r="A2932" s="188" t="s">
        <v>620</v>
      </c>
      <c r="B2932" s="188" t="s">
        <v>3787</v>
      </c>
      <c r="C2932" s="188" t="s">
        <v>659</v>
      </c>
      <c r="D2932" s="188" t="s">
        <v>4534</v>
      </c>
      <c r="E2932" s="189">
        <v>39507</v>
      </c>
      <c r="F2932" s="190">
        <v>0</v>
      </c>
      <c r="G2932" s="190">
        <v>64</v>
      </c>
      <c r="H2932" s="191">
        <v>1450</v>
      </c>
      <c r="I2932" s="191">
        <v>450</v>
      </c>
      <c r="J2932" s="188" t="s">
        <v>624</v>
      </c>
      <c r="K2932" s="188" t="s">
        <v>427</v>
      </c>
      <c r="L2932" s="188" t="s">
        <v>636</v>
      </c>
      <c r="M2932" s="192">
        <f t="shared" si="135"/>
        <v>25</v>
      </c>
      <c r="N2932" s="193">
        <f t="shared" si="136"/>
        <v>1.45</v>
      </c>
      <c r="O2932" s="194">
        <f t="shared" si="137"/>
        <v>5.7999999999999996E-2</v>
      </c>
    </row>
    <row r="2933" spans="1:15" ht="12.75" customHeight="1">
      <c r="A2933" s="188" t="s">
        <v>620</v>
      </c>
      <c r="B2933" s="188" t="s">
        <v>3787</v>
      </c>
      <c r="C2933" s="188" t="s">
        <v>659</v>
      </c>
      <c r="D2933" s="188" t="s">
        <v>4535</v>
      </c>
      <c r="E2933" s="189">
        <v>39534</v>
      </c>
      <c r="F2933" s="190">
        <v>0</v>
      </c>
      <c r="G2933" s="190">
        <v>128</v>
      </c>
      <c r="H2933" s="191">
        <v>2903</v>
      </c>
      <c r="I2933" s="191">
        <v>900</v>
      </c>
      <c r="J2933" s="188" t="s">
        <v>624</v>
      </c>
      <c r="K2933" s="188" t="s">
        <v>427</v>
      </c>
      <c r="L2933" s="188" t="s">
        <v>756</v>
      </c>
      <c r="M2933" s="192">
        <f t="shared" si="135"/>
        <v>25</v>
      </c>
      <c r="N2933" s="193">
        <f t="shared" si="136"/>
        <v>1.4515</v>
      </c>
      <c r="O2933" s="194">
        <f t="shared" si="137"/>
        <v>5.806E-2</v>
      </c>
    </row>
    <row r="2934" spans="1:15" ht="12.75" customHeight="1">
      <c r="A2934" s="188" t="s">
        <v>620</v>
      </c>
      <c r="B2934" s="188" t="s">
        <v>3787</v>
      </c>
      <c r="C2934" s="188" t="s">
        <v>659</v>
      </c>
      <c r="D2934" s="188" t="s">
        <v>4535</v>
      </c>
      <c r="E2934" s="189">
        <v>39583</v>
      </c>
      <c r="F2934" s="190">
        <v>0</v>
      </c>
      <c r="G2934" s="190">
        <v>-128</v>
      </c>
      <c r="H2934" s="191">
        <v>2903</v>
      </c>
      <c r="I2934" s="191">
        <v>900</v>
      </c>
      <c r="J2934" s="188" t="s">
        <v>624</v>
      </c>
      <c r="K2934" s="188" t="s">
        <v>427</v>
      </c>
      <c r="L2934" s="188" t="s">
        <v>756</v>
      </c>
      <c r="M2934" s="192">
        <f t="shared" si="135"/>
        <v>25</v>
      </c>
      <c r="N2934" s="193">
        <f t="shared" si="136"/>
        <v>1.4515</v>
      </c>
      <c r="O2934" s="194">
        <f t="shared" si="137"/>
        <v>5.806E-2</v>
      </c>
    </row>
    <row r="2935" spans="1:15" ht="12.75" customHeight="1">
      <c r="A2935" s="188" t="s">
        <v>620</v>
      </c>
      <c r="B2935" s="188" t="s">
        <v>3787</v>
      </c>
      <c r="C2935" s="188" t="s">
        <v>659</v>
      </c>
      <c r="D2935" s="188" t="s">
        <v>4536</v>
      </c>
      <c r="E2935" s="189">
        <v>39240</v>
      </c>
      <c r="F2935" s="190">
        <v>0</v>
      </c>
      <c r="G2935" s="190">
        <v>16.64</v>
      </c>
      <c r="H2935" s="191">
        <v>377.99</v>
      </c>
      <c r="I2935" s="191">
        <v>117</v>
      </c>
      <c r="J2935" s="188" t="s">
        <v>624</v>
      </c>
      <c r="K2935" s="188" t="s">
        <v>427</v>
      </c>
      <c r="L2935" s="188" t="s">
        <v>4537</v>
      </c>
      <c r="M2935" s="192">
        <f t="shared" si="135"/>
        <v>25</v>
      </c>
      <c r="N2935" s="193">
        <f t="shared" si="136"/>
        <v>1.4538076923076924</v>
      </c>
      <c r="O2935" s="194">
        <f t="shared" si="137"/>
        <v>5.8152307692307698E-2</v>
      </c>
    </row>
    <row r="2936" spans="1:15" ht="12.75" customHeight="1">
      <c r="A2936" s="188" t="s">
        <v>620</v>
      </c>
      <c r="B2936" s="188" t="s">
        <v>3787</v>
      </c>
      <c r="C2936" s="188" t="s">
        <v>659</v>
      </c>
      <c r="D2936" s="188" t="s">
        <v>4538</v>
      </c>
      <c r="E2936" s="189">
        <v>39261</v>
      </c>
      <c r="F2936" s="190">
        <v>0</v>
      </c>
      <c r="G2936" s="190">
        <v>14.08</v>
      </c>
      <c r="H2936" s="191">
        <v>319.99</v>
      </c>
      <c r="I2936" s="191">
        <v>99</v>
      </c>
      <c r="J2936" s="188" t="s">
        <v>624</v>
      </c>
      <c r="K2936" s="188" t="s">
        <v>427</v>
      </c>
      <c r="L2936" s="188" t="s">
        <v>2851</v>
      </c>
      <c r="M2936" s="192">
        <f t="shared" si="135"/>
        <v>25</v>
      </c>
      <c r="N2936" s="193">
        <f t="shared" si="136"/>
        <v>1.4545000000000001</v>
      </c>
      <c r="O2936" s="194">
        <f t="shared" si="137"/>
        <v>5.8180000000000003E-2</v>
      </c>
    </row>
    <row r="2937" spans="1:15" ht="12.75" customHeight="1">
      <c r="A2937" s="188" t="s">
        <v>620</v>
      </c>
      <c r="B2937" s="188" t="s">
        <v>3787</v>
      </c>
      <c r="C2937" s="188" t="s">
        <v>659</v>
      </c>
      <c r="D2937" s="188" t="s">
        <v>4539</v>
      </c>
      <c r="E2937" s="189">
        <v>39568</v>
      </c>
      <c r="F2937" s="190">
        <v>0</v>
      </c>
      <c r="G2937" s="190">
        <v>79.099999999999994</v>
      </c>
      <c r="H2937" s="191">
        <v>1800</v>
      </c>
      <c r="I2937" s="191">
        <v>556.20000000000005</v>
      </c>
      <c r="J2937" s="188" t="s">
        <v>624</v>
      </c>
      <c r="K2937" s="188" t="s">
        <v>427</v>
      </c>
      <c r="L2937" s="188" t="s">
        <v>2354</v>
      </c>
      <c r="M2937" s="192">
        <f t="shared" si="135"/>
        <v>25</v>
      </c>
      <c r="N2937" s="193">
        <f t="shared" si="136"/>
        <v>1.4563106796116505</v>
      </c>
      <c r="O2937" s="194">
        <f t="shared" si="137"/>
        <v>5.8252427184466021E-2</v>
      </c>
    </row>
    <row r="2938" spans="1:15" ht="12.75" customHeight="1">
      <c r="A2938" s="188" t="s">
        <v>620</v>
      </c>
      <c r="B2938" s="188" t="s">
        <v>3787</v>
      </c>
      <c r="C2938" s="188" t="s">
        <v>659</v>
      </c>
      <c r="D2938" s="188" t="s">
        <v>4540</v>
      </c>
      <c r="E2938" s="189">
        <v>39520</v>
      </c>
      <c r="F2938" s="190">
        <v>0</v>
      </c>
      <c r="G2938" s="190">
        <v>106.94</v>
      </c>
      <c r="H2938" s="191">
        <v>2433.88</v>
      </c>
      <c r="I2938" s="191">
        <v>751.95</v>
      </c>
      <c r="J2938" s="188" t="s">
        <v>624</v>
      </c>
      <c r="K2938" s="188" t="s">
        <v>427</v>
      </c>
      <c r="L2938" s="188" t="s">
        <v>2878</v>
      </c>
      <c r="M2938" s="192">
        <f t="shared" si="135"/>
        <v>25</v>
      </c>
      <c r="N2938" s="193">
        <f t="shared" si="136"/>
        <v>1.4565409934171156</v>
      </c>
      <c r="O2938" s="194">
        <f t="shared" si="137"/>
        <v>5.8261639736684627E-2</v>
      </c>
    </row>
    <row r="2939" spans="1:15" ht="12.75" customHeight="1">
      <c r="A2939" s="188" t="s">
        <v>620</v>
      </c>
      <c r="B2939" s="188" t="s">
        <v>3787</v>
      </c>
      <c r="C2939" s="188" t="s">
        <v>659</v>
      </c>
      <c r="D2939" s="188" t="s">
        <v>4541</v>
      </c>
      <c r="E2939" s="189">
        <v>39447</v>
      </c>
      <c r="F2939" s="190">
        <v>0</v>
      </c>
      <c r="G2939" s="190">
        <v>50.18</v>
      </c>
      <c r="H2939" s="191">
        <v>960</v>
      </c>
      <c r="I2939" s="191">
        <v>352.8</v>
      </c>
      <c r="J2939" s="188" t="s">
        <v>624</v>
      </c>
      <c r="K2939" s="188" t="s">
        <v>1344</v>
      </c>
      <c r="L2939" s="188" t="s">
        <v>713</v>
      </c>
      <c r="M2939" s="192">
        <f t="shared" si="135"/>
        <v>21</v>
      </c>
      <c r="N2939" s="193">
        <f t="shared" si="136"/>
        <v>1.2244897959183674</v>
      </c>
      <c r="O2939" s="194">
        <f t="shared" si="137"/>
        <v>5.830903790087464E-2</v>
      </c>
    </row>
    <row r="2940" spans="1:15" ht="12.75" customHeight="1">
      <c r="A2940" s="188" t="s">
        <v>620</v>
      </c>
      <c r="B2940" s="188" t="s">
        <v>3787</v>
      </c>
      <c r="C2940" s="188" t="s">
        <v>659</v>
      </c>
      <c r="D2940" s="188" t="s">
        <v>4542</v>
      </c>
      <c r="E2940" s="189">
        <v>39485</v>
      </c>
      <c r="F2940" s="190">
        <v>0</v>
      </c>
      <c r="G2940" s="190">
        <v>64</v>
      </c>
      <c r="H2940" s="191">
        <v>1225</v>
      </c>
      <c r="I2940" s="191">
        <v>450</v>
      </c>
      <c r="J2940" s="188" t="s">
        <v>624</v>
      </c>
      <c r="K2940" s="188" t="s">
        <v>1344</v>
      </c>
      <c r="L2940" s="188" t="s">
        <v>636</v>
      </c>
      <c r="M2940" s="192">
        <f t="shared" si="135"/>
        <v>21</v>
      </c>
      <c r="N2940" s="193">
        <f t="shared" si="136"/>
        <v>1.2250000000000001</v>
      </c>
      <c r="O2940" s="194">
        <f t="shared" si="137"/>
        <v>5.8333333333333334E-2</v>
      </c>
    </row>
    <row r="2941" spans="1:15" ht="12.75" customHeight="1">
      <c r="A2941" s="188" t="s">
        <v>620</v>
      </c>
      <c r="B2941" s="188" t="s">
        <v>3787</v>
      </c>
      <c r="C2941" s="188" t="s">
        <v>659</v>
      </c>
      <c r="D2941" s="188" t="s">
        <v>4543</v>
      </c>
      <c r="E2941" s="189">
        <v>39555</v>
      </c>
      <c r="F2941" s="190">
        <v>0</v>
      </c>
      <c r="G2941" s="190">
        <v>38.4</v>
      </c>
      <c r="H2941" s="191">
        <v>1050</v>
      </c>
      <c r="I2941" s="191">
        <v>270</v>
      </c>
      <c r="J2941" s="188" t="s">
        <v>624</v>
      </c>
      <c r="K2941" s="188" t="s">
        <v>257</v>
      </c>
      <c r="L2941" s="188" t="s">
        <v>677</v>
      </c>
      <c r="M2941" s="192">
        <f t="shared" si="135"/>
        <v>30</v>
      </c>
      <c r="N2941" s="193">
        <f t="shared" si="136"/>
        <v>1.75</v>
      </c>
      <c r="O2941" s="194">
        <f t="shared" si="137"/>
        <v>5.8333333333333334E-2</v>
      </c>
    </row>
    <row r="2942" spans="1:15" ht="12.75" customHeight="1">
      <c r="A2942" s="188" t="s">
        <v>620</v>
      </c>
      <c r="B2942" s="188" t="s">
        <v>3787</v>
      </c>
      <c r="C2942" s="188" t="s">
        <v>659</v>
      </c>
      <c r="D2942" s="188" t="s">
        <v>4544</v>
      </c>
      <c r="E2942" s="189">
        <v>39352</v>
      </c>
      <c r="F2942" s="190">
        <v>0</v>
      </c>
      <c r="G2942" s="190">
        <v>84.8</v>
      </c>
      <c r="H2942" s="191">
        <v>1623.75</v>
      </c>
      <c r="I2942" s="191">
        <v>596.25</v>
      </c>
      <c r="J2942" s="188" t="s">
        <v>624</v>
      </c>
      <c r="K2942" s="188" t="s">
        <v>1344</v>
      </c>
      <c r="L2942" s="188" t="s">
        <v>1691</v>
      </c>
      <c r="M2942" s="192">
        <f t="shared" si="135"/>
        <v>21</v>
      </c>
      <c r="N2942" s="193">
        <f t="shared" si="136"/>
        <v>1.2254716981132074</v>
      </c>
      <c r="O2942" s="194">
        <f t="shared" si="137"/>
        <v>5.8355795148247971E-2</v>
      </c>
    </row>
    <row r="2943" spans="1:15" ht="12.75" customHeight="1">
      <c r="A2943" s="188" t="s">
        <v>620</v>
      </c>
      <c r="B2943" s="188" t="s">
        <v>3787</v>
      </c>
      <c r="C2943" s="188" t="s">
        <v>659</v>
      </c>
      <c r="D2943" s="188" t="s">
        <v>4545</v>
      </c>
      <c r="E2943" s="189">
        <v>39447</v>
      </c>
      <c r="F2943" s="190">
        <v>0</v>
      </c>
      <c r="G2943" s="190">
        <v>64</v>
      </c>
      <c r="H2943" s="191">
        <v>1460</v>
      </c>
      <c r="I2943" s="191">
        <v>450</v>
      </c>
      <c r="J2943" s="188" t="s">
        <v>624</v>
      </c>
      <c r="K2943" s="188" t="s">
        <v>427</v>
      </c>
      <c r="L2943" s="188" t="s">
        <v>636</v>
      </c>
      <c r="M2943" s="192">
        <f t="shared" si="135"/>
        <v>25</v>
      </c>
      <c r="N2943" s="193">
        <f t="shared" si="136"/>
        <v>1.46</v>
      </c>
      <c r="O2943" s="194">
        <f t="shared" si="137"/>
        <v>5.8400000000000001E-2</v>
      </c>
    </row>
    <row r="2944" spans="1:15" ht="12.75" customHeight="1">
      <c r="A2944" s="188" t="s">
        <v>620</v>
      </c>
      <c r="B2944" s="188" t="s">
        <v>3787</v>
      </c>
      <c r="C2944" s="188" t="s">
        <v>659</v>
      </c>
      <c r="D2944" s="188" t="s">
        <v>4546</v>
      </c>
      <c r="E2944" s="189">
        <v>39576</v>
      </c>
      <c r="F2944" s="190">
        <v>0</v>
      </c>
      <c r="G2944" s="190">
        <v>40.83</v>
      </c>
      <c r="H2944" s="191">
        <v>1193.06</v>
      </c>
      <c r="I2944" s="191">
        <v>287.10000000000002</v>
      </c>
      <c r="J2944" s="188" t="s">
        <v>624</v>
      </c>
      <c r="K2944" s="188" t="s">
        <v>508</v>
      </c>
      <c r="L2944" s="188" t="s">
        <v>4547</v>
      </c>
      <c r="M2944" s="192">
        <f t="shared" si="135"/>
        <v>32</v>
      </c>
      <c r="N2944" s="193">
        <f t="shared" si="136"/>
        <v>1.8699999999999999</v>
      </c>
      <c r="O2944" s="194">
        <f t="shared" si="137"/>
        <v>5.8437499999999996E-2</v>
      </c>
    </row>
    <row r="2945" spans="1:15" ht="12.75" customHeight="1">
      <c r="A2945" s="188" t="s">
        <v>620</v>
      </c>
      <c r="B2945" s="188" t="s">
        <v>3787</v>
      </c>
      <c r="C2945" s="188" t="s">
        <v>659</v>
      </c>
      <c r="D2945" s="188" t="s">
        <v>4548</v>
      </c>
      <c r="E2945" s="189">
        <v>39353</v>
      </c>
      <c r="F2945" s="190">
        <v>0</v>
      </c>
      <c r="G2945" s="190">
        <v>96.96</v>
      </c>
      <c r="H2945" s="191">
        <v>2221.9</v>
      </c>
      <c r="I2945" s="191">
        <v>681.75</v>
      </c>
      <c r="J2945" s="188" t="s">
        <v>624</v>
      </c>
      <c r="K2945" s="188" t="s">
        <v>427</v>
      </c>
      <c r="L2945" s="188" t="s">
        <v>1422</v>
      </c>
      <c r="M2945" s="192">
        <f t="shared" si="135"/>
        <v>25</v>
      </c>
      <c r="N2945" s="193">
        <f t="shared" si="136"/>
        <v>1.4666006600660066</v>
      </c>
      <c r="O2945" s="194">
        <f t="shared" si="137"/>
        <v>5.8664026402640262E-2</v>
      </c>
    </row>
    <row r="2946" spans="1:15" ht="12.75" customHeight="1">
      <c r="A2946" s="188" t="s">
        <v>620</v>
      </c>
      <c r="B2946" s="188" t="s">
        <v>3787</v>
      </c>
      <c r="C2946" s="188" t="s">
        <v>659</v>
      </c>
      <c r="D2946" s="188" t="s">
        <v>4549</v>
      </c>
      <c r="E2946" s="189">
        <v>39269</v>
      </c>
      <c r="F2946" s="190">
        <v>0</v>
      </c>
      <c r="G2946" s="190">
        <v>87.04</v>
      </c>
      <c r="H2946" s="191">
        <v>1994.98</v>
      </c>
      <c r="I2946" s="191">
        <v>612</v>
      </c>
      <c r="J2946" s="188" t="s">
        <v>624</v>
      </c>
      <c r="K2946" s="188" t="s">
        <v>427</v>
      </c>
      <c r="L2946" s="188" t="s">
        <v>774</v>
      </c>
      <c r="M2946" s="192">
        <f t="shared" ref="M2946:M3009" si="138">K2946-J2946</f>
        <v>25</v>
      </c>
      <c r="N2946" s="193">
        <f t="shared" ref="N2946:N3009" si="139">H2946/L2946</f>
        <v>1.4668970588235295</v>
      </c>
      <c r="O2946" s="194">
        <f t="shared" ref="O2946:O3009" si="140">N2946/M2946</f>
        <v>5.8675882352941182E-2</v>
      </c>
    </row>
    <row r="2947" spans="1:15" ht="12.75" customHeight="1">
      <c r="A2947" s="188" t="s">
        <v>620</v>
      </c>
      <c r="B2947" s="188" t="s">
        <v>3787</v>
      </c>
      <c r="C2947" s="188" t="s">
        <v>659</v>
      </c>
      <c r="D2947" s="188" t="s">
        <v>4550</v>
      </c>
      <c r="E2947" s="189">
        <v>39604</v>
      </c>
      <c r="F2947" s="190">
        <v>0</v>
      </c>
      <c r="G2947" s="190">
        <v>59.9</v>
      </c>
      <c r="H2947" s="191">
        <v>1375</v>
      </c>
      <c r="I2947" s="191">
        <v>421.2</v>
      </c>
      <c r="J2947" s="188" t="s">
        <v>624</v>
      </c>
      <c r="K2947" s="188" t="s">
        <v>427</v>
      </c>
      <c r="L2947" s="188" t="s">
        <v>1618</v>
      </c>
      <c r="M2947" s="192">
        <f t="shared" si="138"/>
        <v>25</v>
      </c>
      <c r="N2947" s="193">
        <f t="shared" si="139"/>
        <v>1.4690170940170941</v>
      </c>
      <c r="O2947" s="194">
        <f t="shared" si="140"/>
        <v>5.8760683760683767E-2</v>
      </c>
    </row>
    <row r="2948" spans="1:15" ht="12.75" customHeight="1">
      <c r="A2948" s="188" t="s">
        <v>620</v>
      </c>
      <c r="B2948" s="188" t="s">
        <v>3787</v>
      </c>
      <c r="C2948" s="188" t="s">
        <v>659</v>
      </c>
      <c r="D2948" s="188" t="s">
        <v>4551</v>
      </c>
      <c r="E2948" s="189">
        <v>39583</v>
      </c>
      <c r="F2948" s="190">
        <v>0</v>
      </c>
      <c r="G2948" s="190">
        <v>86.78</v>
      </c>
      <c r="H2948" s="191">
        <v>1992</v>
      </c>
      <c r="I2948" s="191">
        <v>610.20000000000005</v>
      </c>
      <c r="J2948" s="188" t="s">
        <v>624</v>
      </c>
      <c r="K2948" s="188" t="s">
        <v>427</v>
      </c>
      <c r="L2948" s="188" t="s">
        <v>4552</v>
      </c>
      <c r="M2948" s="192">
        <f t="shared" si="138"/>
        <v>25</v>
      </c>
      <c r="N2948" s="193">
        <f t="shared" si="139"/>
        <v>1.4690265486725664</v>
      </c>
      <c r="O2948" s="194">
        <f t="shared" si="140"/>
        <v>5.8761061946902657E-2</v>
      </c>
    </row>
    <row r="2949" spans="1:15" ht="12.75" customHeight="1">
      <c r="A2949" s="188" t="s">
        <v>620</v>
      </c>
      <c r="B2949" s="188" t="s">
        <v>3787</v>
      </c>
      <c r="C2949" s="188" t="s">
        <v>659</v>
      </c>
      <c r="D2949" s="188" t="s">
        <v>4553</v>
      </c>
      <c r="E2949" s="189">
        <v>39499</v>
      </c>
      <c r="F2949" s="190">
        <v>0</v>
      </c>
      <c r="G2949" s="190">
        <v>51.84</v>
      </c>
      <c r="H2949" s="191">
        <v>1190</v>
      </c>
      <c r="I2949" s="191">
        <v>364.5</v>
      </c>
      <c r="J2949" s="188" t="s">
        <v>624</v>
      </c>
      <c r="K2949" s="188" t="s">
        <v>427</v>
      </c>
      <c r="L2949" s="188" t="s">
        <v>1883</v>
      </c>
      <c r="M2949" s="192">
        <f t="shared" si="138"/>
        <v>25</v>
      </c>
      <c r="N2949" s="193">
        <f t="shared" si="139"/>
        <v>1.4691358024691359</v>
      </c>
      <c r="O2949" s="194">
        <f t="shared" si="140"/>
        <v>5.8765432098765433E-2</v>
      </c>
    </row>
    <row r="2950" spans="1:15" ht="12.75" customHeight="1">
      <c r="A2950" s="188" t="s">
        <v>620</v>
      </c>
      <c r="B2950" s="188" t="s">
        <v>3787</v>
      </c>
      <c r="C2950" s="188" t="s">
        <v>659</v>
      </c>
      <c r="D2950" s="188" t="s">
        <v>4554</v>
      </c>
      <c r="E2950" s="189">
        <v>39478</v>
      </c>
      <c r="F2950" s="190">
        <v>0</v>
      </c>
      <c r="G2950" s="190">
        <v>84.16</v>
      </c>
      <c r="H2950" s="191">
        <v>1935</v>
      </c>
      <c r="I2950" s="191">
        <v>591.75</v>
      </c>
      <c r="J2950" s="188" t="s">
        <v>624</v>
      </c>
      <c r="K2950" s="188" t="s">
        <v>427</v>
      </c>
      <c r="L2950" s="188" t="s">
        <v>4555</v>
      </c>
      <c r="M2950" s="192">
        <f t="shared" si="138"/>
        <v>25</v>
      </c>
      <c r="N2950" s="193">
        <f t="shared" si="139"/>
        <v>1.4714828897338403</v>
      </c>
      <c r="O2950" s="194">
        <f t="shared" si="140"/>
        <v>5.8859315589353617E-2</v>
      </c>
    </row>
    <row r="2951" spans="1:15" ht="12.75" customHeight="1">
      <c r="A2951" s="188" t="s">
        <v>620</v>
      </c>
      <c r="B2951" s="188" t="s">
        <v>3787</v>
      </c>
      <c r="C2951" s="188" t="s">
        <v>659</v>
      </c>
      <c r="D2951" s="188" t="s">
        <v>4556</v>
      </c>
      <c r="E2951" s="189">
        <v>39395</v>
      </c>
      <c r="F2951" s="190">
        <v>0</v>
      </c>
      <c r="G2951" s="190">
        <v>51.52</v>
      </c>
      <c r="H2951" s="191">
        <v>1184.96</v>
      </c>
      <c r="I2951" s="191">
        <v>362.25</v>
      </c>
      <c r="J2951" s="188" t="s">
        <v>624</v>
      </c>
      <c r="K2951" s="188" t="s">
        <v>427</v>
      </c>
      <c r="L2951" s="188" t="s">
        <v>2002</v>
      </c>
      <c r="M2951" s="192">
        <f t="shared" si="138"/>
        <v>25</v>
      </c>
      <c r="N2951" s="193">
        <f t="shared" si="139"/>
        <v>1.472</v>
      </c>
      <c r="O2951" s="194">
        <f t="shared" si="140"/>
        <v>5.8880000000000002E-2</v>
      </c>
    </row>
    <row r="2952" spans="1:15" ht="12.75" customHeight="1">
      <c r="A2952" s="188" t="s">
        <v>620</v>
      </c>
      <c r="B2952" s="188" t="s">
        <v>3787</v>
      </c>
      <c r="C2952" s="188" t="s">
        <v>659</v>
      </c>
      <c r="D2952" s="188" t="s">
        <v>4557</v>
      </c>
      <c r="E2952" s="189">
        <v>39429</v>
      </c>
      <c r="F2952" s="190">
        <v>0</v>
      </c>
      <c r="G2952" s="190">
        <v>58.37</v>
      </c>
      <c r="H2952" s="191">
        <v>1343</v>
      </c>
      <c r="I2952" s="191">
        <v>410.4</v>
      </c>
      <c r="J2952" s="188" t="s">
        <v>624</v>
      </c>
      <c r="K2952" s="188" t="s">
        <v>427</v>
      </c>
      <c r="L2952" s="188" t="s">
        <v>1808</v>
      </c>
      <c r="M2952" s="192">
        <f t="shared" si="138"/>
        <v>25</v>
      </c>
      <c r="N2952" s="193">
        <f t="shared" si="139"/>
        <v>1.4725877192982457</v>
      </c>
      <c r="O2952" s="194">
        <f t="shared" si="140"/>
        <v>5.8903508771929826E-2</v>
      </c>
    </row>
    <row r="2953" spans="1:15" ht="12.75" customHeight="1">
      <c r="A2953" s="188" t="s">
        <v>620</v>
      </c>
      <c r="B2953" s="188" t="s">
        <v>3787</v>
      </c>
      <c r="C2953" s="188" t="s">
        <v>659</v>
      </c>
      <c r="D2953" s="188" t="s">
        <v>4558</v>
      </c>
      <c r="E2953" s="189">
        <v>39303</v>
      </c>
      <c r="F2953" s="190">
        <v>0</v>
      </c>
      <c r="G2953" s="190">
        <v>25.6</v>
      </c>
      <c r="H2953" s="191">
        <v>590</v>
      </c>
      <c r="I2953" s="191">
        <v>180</v>
      </c>
      <c r="J2953" s="188" t="s">
        <v>624</v>
      </c>
      <c r="K2953" s="188" t="s">
        <v>427</v>
      </c>
      <c r="L2953" s="188" t="s">
        <v>910</v>
      </c>
      <c r="M2953" s="192">
        <f t="shared" si="138"/>
        <v>25</v>
      </c>
      <c r="N2953" s="193">
        <f t="shared" si="139"/>
        <v>1.4750000000000001</v>
      </c>
      <c r="O2953" s="194">
        <f t="shared" si="140"/>
        <v>5.9000000000000004E-2</v>
      </c>
    </row>
    <row r="2954" spans="1:15" ht="12.75" customHeight="1">
      <c r="A2954" s="188" t="s">
        <v>620</v>
      </c>
      <c r="B2954" s="188" t="s">
        <v>3787</v>
      </c>
      <c r="C2954" s="188" t="s">
        <v>659</v>
      </c>
      <c r="D2954" s="188" t="s">
        <v>4559</v>
      </c>
      <c r="E2954" s="189">
        <v>39447</v>
      </c>
      <c r="F2954" s="190">
        <v>0</v>
      </c>
      <c r="G2954" s="190">
        <v>113.86</v>
      </c>
      <c r="H2954" s="191">
        <v>2205</v>
      </c>
      <c r="I2954" s="191">
        <v>800.55</v>
      </c>
      <c r="J2954" s="188" t="s">
        <v>624</v>
      </c>
      <c r="K2954" s="188" t="s">
        <v>1344</v>
      </c>
      <c r="L2954" s="188" t="s">
        <v>2524</v>
      </c>
      <c r="M2954" s="192">
        <f t="shared" si="138"/>
        <v>21</v>
      </c>
      <c r="N2954" s="193">
        <f t="shared" si="139"/>
        <v>1.239460370994941</v>
      </c>
      <c r="O2954" s="194">
        <f t="shared" si="140"/>
        <v>5.9021922428330521E-2</v>
      </c>
    </row>
    <row r="2955" spans="1:15" ht="12.75" customHeight="1">
      <c r="A2955" s="188" t="s">
        <v>620</v>
      </c>
      <c r="B2955" s="188" t="s">
        <v>3787</v>
      </c>
      <c r="C2955" s="188" t="s">
        <v>659</v>
      </c>
      <c r="D2955" s="188" t="s">
        <v>4560</v>
      </c>
      <c r="E2955" s="189">
        <v>39447</v>
      </c>
      <c r="F2955" s="190">
        <v>0</v>
      </c>
      <c r="G2955" s="190">
        <v>36.61</v>
      </c>
      <c r="H2955" s="191">
        <v>845</v>
      </c>
      <c r="I2955" s="191">
        <v>257.39999999999998</v>
      </c>
      <c r="J2955" s="188" t="s">
        <v>624</v>
      </c>
      <c r="K2955" s="188" t="s">
        <v>427</v>
      </c>
      <c r="L2955" s="188" t="s">
        <v>841</v>
      </c>
      <c r="M2955" s="192">
        <f t="shared" si="138"/>
        <v>25</v>
      </c>
      <c r="N2955" s="193">
        <f t="shared" si="139"/>
        <v>1.4772727272727273</v>
      </c>
      <c r="O2955" s="194">
        <f t="shared" si="140"/>
        <v>5.909090909090909E-2</v>
      </c>
    </row>
    <row r="2956" spans="1:15" ht="12.75" customHeight="1">
      <c r="A2956" s="188" t="s">
        <v>620</v>
      </c>
      <c r="B2956" s="188" t="s">
        <v>3787</v>
      </c>
      <c r="C2956" s="188" t="s">
        <v>659</v>
      </c>
      <c r="D2956" s="188" t="s">
        <v>4561</v>
      </c>
      <c r="E2956" s="189">
        <v>39464</v>
      </c>
      <c r="F2956" s="190">
        <v>0</v>
      </c>
      <c r="G2956" s="190">
        <v>57.6</v>
      </c>
      <c r="H2956" s="191">
        <v>1330</v>
      </c>
      <c r="I2956" s="191">
        <v>405</v>
      </c>
      <c r="J2956" s="188" t="s">
        <v>624</v>
      </c>
      <c r="K2956" s="188" t="s">
        <v>427</v>
      </c>
      <c r="L2956" s="188" t="s">
        <v>740</v>
      </c>
      <c r="M2956" s="192">
        <f t="shared" si="138"/>
        <v>25</v>
      </c>
      <c r="N2956" s="193">
        <f t="shared" si="139"/>
        <v>1.4777777777777779</v>
      </c>
      <c r="O2956" s="194">
        <f t="shared" si="140"/>
        <v>5.9111111111111114E-2</v>
      </c>
    </row>
    <row r="2957" spans="1:15" ht="12.75" customHeight="1">
      <c r="A2957" s="188" t="s">
        <v>620</v>
      </c>
      <c r="B2957" s="188" t="s">
        <v>3787</v>
      </c>
      <c r="C2957" s="188" t="s">
        <v>659</v>
      </c>
      <c r="D2957" s="188" t="s">
        <v>4562</v>
      </c>
      <c r="E2957" s="189">
        <v>39359</v>
      </c>
      <c r="F2957" s="190">
        <v>0</v>
      </c>
      <c r="G2957" s="190">
        <v>45.12</v>
      </c>
      <c r="H2957" s="191">
        <v>1042</v>
      </c>
      <c r="I2957" s="191">
        <v>317.25</v>
      </c>
      <c r="J2957" s="188" t="s">
        <v>624</v>
      </c>
      <c r="K2957" s="188" t="s">
        <v>427</v>
      </c>
      <c r="L2957" s="188" t="s">
        <v>435</v>
      </c>
      <c r="M2957" s="192">
        <f t="shared" si="138"/>
        <v>25</v>
      </c>
      <c r="N2957" s="193">
        <f t="shared" si="139"/>
        <v>1.478014184397163</v>
      </c>
      <c r="O2957" s="194">
        <f t="shared" si="140"/>
        <v>5.9120567375886522E-2</v>
      </c>
    </row>
    <row r="2958" spans="1:15" ht="12.75" customHeight="1">
      <c r="A2958" s="188" t="s">
        <v>620</v>
      </c>
      <c r="B2958" s="188" t="s">
        <v>3787</v>
      </c>
      <c r="C2958" s="188" t="s">
        <v>659</v>
      </c>
      <c r="D2958" s="188" t="s">
        <v>4563</v>
      </c>
      <c r="E2958" s="189">
        <v>39576</v>
      </c>
      <c r="F2958" s="190">
        <v>0</v>
      </c>
      <c r="G2958" s="190">
        <v>32</v>
      </c>
      <c r="H2958" s="191">
        <v>415</v>
      </c>
      <c r="I2958" s="191">
        <v>225</v>
      </c>
      <c r="J2958" s="188" t="s">
        <v>639</v>
      </c>
      <c r="K2958" s="188" t="s">
        <v>427</v>
      </c>
      <c r="L2958" s="188" t="s">
        <v>858</v>
      </c>
      <c r="M2958" s="192">
        <f t="shared" si="138"/>
        <v>14</v>
      </c>
      <c r="N2958" s="193">
        <f t="shared" si="139"/>
        <v>0.83</v>
      </c>
      <c r="O2958" s="194">
        <f t="shared" si="140"/>
        <v>5.9285714285714282E-2</v>
      </c>
    </row>
    <row r="2959" spans="1:15" ht="12.75" customHeight="1">
      <c r="A2959" s="188" t="s">
        <v>620</v>
      </c>
      <c r="B2959" s="188" t="s">
        <v>3787</v>
      </c>
      <c r="C2959" s="188" t="s">
        <v>659</v>
      </c>
      <c r="D2959" s="188" t="s">
        <v>4564</v>
      </c>
      <c r="E2959" s="189">
        <v>39639</v>
      </c>
      <c r="F2959" s="190">
        <v>0</v>
      </c>
      <c r="G2959" s="190">
        <v>54.34</v>
      </c>
      <c r="H2959" s="191">
        <v>1060</v>
      </c>
      <c r="I2959" s="191">
        <v>382.05</v>
      </c>
      <c r="J2959" s="188" t="s">
        <v>624</v>
      </c>
      <c r="K2959" s="188" t="s">
        <v>1344</v>
      </c>
      <c r="L2959" s="188" t="s">
        <v>4565</v>
      </c>
      <c r="M2959" s="192">
        <f t="shared" si="138"/>
        <v>21</v>
      </c>
      <c r="N2959" s="193">
        <f t="shared" si="139"/>
        <v>1.248527679623086</v>
      </c>
      <c r="O2959" s="194">
        <f t="shared" si="140"/>
        <v>5.9453699029670758E-2</v>
      </c>
    </row>
    <row r="2960" spans="1:15" ht="12.75" customHeight="1">
      <c r="A2960" s="188" t="s">
        <v>620</v>
      </c>
      <c r="B2960" s="188" t="s">
        <v>3787</v>
      </c>
      <c r="C2960" s="188" t="s">
        <v>659</v>
      </c>
      <c r="D2960" s="188" t="s">
        <v>4566</v>
      </c>
      <c r="E2960" s="189">
        <v>39471</v>
      </c>
      <c r="F2960" s="190">
        <v>0</v>
      </c>
      <c r="G2960" s="190">
        <v>59.2</v>
      </c>
      <c r="H2960" s="191">
        <v>1375</v>
      </c>
      <c r="I2960" s="191">
        <v>416.25</v>
      </c>
      <c r="J2960" s="188" t="s">
        <v>624</v>
      </c>
      <c r="K2960" s="188" t="s">
        <v>427</v>
      </c>
      <c r="L2960" s="188" t="s">
        <v>3583</v>
      </c>
      <c r="M2960" s="192">
        <f t="shared" si="138"/>
        <v>25</v>
      </c>
      <c r="N2960" s="193">
        <f t="shared" si="139"/>
        <v>1.4864864864864864</v>
      </c>
      <c r="O2960" s="194">
        <f t="shared" si="140"/>
        <v>5.9459459459459456E-2</v>
      </c>
    </row>
    <row r="2961" spans="1:15" ht="12.75" customHeight="1">
      <c r="A2961" s="188" t="s">
        <v>620</v>
      </c>
      <c r="B2961" s="188" t="s">
        <v>3787</v>
      </c>
      <c r="C2961" s="188" t="s">
        <v>659</v>
      </c>
      <c r="D2961" s="188" t="s">
        <v>4567</v>
      </c>
      <c r="E2961" s="189">
        <v>39380</v>
      </c>
      <c r="F2961" s="190">
        <v>0</v>
      </c>
      <c r="G2961" s="190">
        <v>124.8</v>
      </c>
      <c r="H2961" s="191">
        <v>2899.5</v>
      </c>
      <c r="I2961" s="191">
        <v>877.5</v>
      </c>
      <c r="J2961" s="188" t="s">
        <v>624</v>
      </c>
      <c r="K2961" s="188" t="s">
        <v>427</v>
      </c>
      <c r="L2961" s="188" t="s">
        <v>950</v>
      </c>
      <c r="M2961" s="192">
        <f t="shared" si="138"/>
        <v>25</v>
      </c>
      <c r="N2961" s="193">
        <f t="shared" si="139"/>
        <v>1.486923076923077</v>
      </c>
      <c r="O2961" s="194">
        <f t="shared" si="140"/>
        <v>5.947692307692308E-2</v>
      </c>
    </row>
    <row r="2962" spans="1:15" ht="12.75" customHeight="1">
      <c r="A2962" s="188" t="s">
        <v>620</v>
      </c>
      <c r="B2962" s="188" t="s">
        <v>3787</v>
      </c>
      <c r="C2962" s="188" t="s">
        <v>659</v>
      </c>
      <c r="D2962" s="188" t="s">
        <v>4568</v>
      </c>
      <c r="E2962" s="189">
        <v>39324</v>
      </c>
      <c r="F2962" s="190">
        <v>0</v>
      </c>
      <c r="G2962" s="190">
        <v>90.69</v>
      </c>
      <c r="H2962" s="191">
        <v>2110.0500000000002</v>
      </c>
      <c r="I2962" s="191">
        <v>637.65</v>
      </c>
      <c r="J2962" s="188" t="s">
        <v>624</v>
      </c>
      <c r="K2962" s="188" t="s">
        <v>427</v>
      </c>
      <c r="L2962" s="188" t="s">
        <v>4569</v>
      </c>
      <c r="M2962" s="192">
        <f t="shared" si="138"/>
        <v>25</v>
      </c>
      <c r="N2962" s="193">
        <f t="shared" si="139"/>
        <v>1.4890966831333805</v>
      </c>
      <c r="O2962" s="194">
        <f t="shared" si="140"/>
        <v>5.9563867325335224E-2</v>
      </c>
    </row>
    <row r="2963" spans="1:15" ht="12.75" customHeight="1">
      <c r="A2963" s="188" t="s">
        <v>620</v>
      </c>
      <c r="B2963" s="188" t="s">
        <v>3787</v>
      </c>
      <c r="C2963" s="188" t="s">
        <v>659</v>
      </c>
      <c r="D2963" s="188" t="s">
        <v>4570</v>
      </c>
      <c r="E2963" s="189">
        <v>39212</v>
      </c>
      <c r="F2963" s="190">
        <v>0</v>
      </c>
      <c r="G2963" s="190">
        <v>107.71</v>
      </c>
      <c r="H2963" s="191">
        <v>2507.67</v>
      </c>
      <c r="I2963" s="191">
        <v>757.35</v>
      </c>
      <c r="J2963" s="188" t="s">
        <v>624</v>
      </c>
      <c r="K2963" s="188" t="s">
        <v>427</v>
      </c>
      <c r="L2963" s="188" t="s">
        <v>1144</v>
      </c>
      <c r="M2963" s="192">
        <f t="shared" si="138"/>
        <v>25</v>
      </c>
      <c r="N2963" s="193">
        <f t="shared" si="139"/>
        <v>1.49</v>
      </c>
      <c r="O2963" s="194">
        <f t="shared" si="140"/>
        <v>5.96E-2</v>
      </c>
    </row>
    <row r="2964" spans="1:15" ht="12.75" customHeight="1">
      <c r="A2964" s="188" t="s">
        <v>620</v>
      </c>
      <c r="B2964" s="188" t="s">
        <v>3787</v>
      </c>
      <c r="C2964" s="188" t="s">
        <v>659</v>
      </c>
      <c r="D2964" s="188" t="s">
        <v>4571</v>
      </c>
      <c r="E2964" s="189">
        <v>39443</v>
      </c>
      <c r="F2964" s="190">
        <v>0</v>
      </c>
      <c r="G2964" s="190">
        <v>50.24</v>
      </c>
      <c r="H2964" s="191">
        <v>1170</v>
      </c>
      <c r="I2964" s="191">
        <v>353.25</v>
      </c>
      <c r="J2964" s="188" t="s">
        <v>624</v>
      </c>
      <c r="K2964" s="188" t="s">
        <v>427</v>
      </c>
      <c r="L2964" s="188" t="s">
        <v>3360</v>
      </c>
      <c r="M2964" s="192">
        <f t="shared" si="138"/>
        <v>25</v>
      </c>
      <c r="N2964" s="193">
        <f t="shared" si="139"/>
        <v>1.4904458598726114</v>
      </c>
      <c r="O2964" s="194">
        <f t="shared" si="140"/>
        <v>5.9617834394904451E-2</v>
      </c>
    </row>
    <row r="2965" spans="1:15" ht="12.75" customHeight="1">
      <c r="A2965" s="188" t="s">
        <v>620</v>
      </c>
      <c r="B2965" s="188" t="s">
        <v>3787</v>
      </c>
      <c r="C2965" s="188" t="s">
        <v>659</v>
      </c>
      <c r="D2965" s="188" t="s">
        <v>4572</v>
      </c>
      <c r="E2965" s="189">
        <v>39513</v>
      </c>
      <c r="F2965" s="190">
        <v>0</v>
      </c>
      <c r="G2965" s="190">
        <v>32.770000000000003</v>
      </c>
      <c r="H2965" s="191">
        <v>765</v>
      </c>
      <c r="I2965" s="191">
        <v>230.4</v>
      </c>
      <c r="J2965" s="188" t="s">
        <v>624</v>
      </c>
      <c r="K2965" s="188" t="s">
        <v>427</v>
      </c>
      <c r="L2965" s="188" t="s">
        <v>3403</v>
      </c>
      <c r="M2965" s="192">
        <f t="shared" si="138"/>
        <v>25</v>
      </c>
      <c r="N2965" s="193">
        <f t="shared" si="139"/>
        <v>1.494140625</v>
      </c>
      <c r="O2965" s="194">
        <f t="shared" si="140"/>
        <v>5.9765625000000003E-2</v>
      </c>
    </row>
    <row r="2966" spans="1:15" ht="12.75" customHeight="1">
      <c r="A2966" s="188" t="s">
        <v>620</v>
      </c>
      <c r="B2966" s="188" t="s">
        <v>3787</v>
      </c>
      <c r="C2966" s="188" t="s">
        <v>659</v>
      </c>
      <c r="D2966" s="188" t="s">
        <v>4573</v>
      </c>
      <c r="E2966" s="189">
        <v>39282</v>
      </c>
      <c r="F2966" s="190">
        <v>0</v>
      </c>
      <c r="G2966" s="190">
        <v>62.21</v>
      </c>
      <c r="H2966" s="191">
        <v>1454.01</v>
      </c>
      <c r="I2966" s="191">
        <v>437.4</v>
      </c>
      <c r="J2966" s="188" t="s">
        <v>624</v>
      </c>
      <c r="K2966" s="188" t="s">
        <v>427</v>
      </c>
      <c r="L2966" s="188" t="s">
        <v>365</v>
      </c>
      <c r="M2966" s="192">
        <f t="shared" si="138"/>
        <v>25</v>
      </c>
      <c r="N2966" s="193">
        <f t="shared" si="139"/>
        <v>1.495895061728395</v>
      </c>
      <c r="O2966" s="194">
        <f t="shared" si="140"/>
        <v>5.98358024691358E-2</v>
      </c>
    </row>
    <row r="2967" spans="1:15" ht="12.75" customHeight="1">
      <c r="A2967" s="188" t="s">
        <v>620</v>
      </c>
      <c r="B2967" s="188" t="s">
        <v>3787</v>
      </c>
      <c r="C2967" s="188" t="s">
        <v>659</v>
      </c>
      <c r="D2967" s="188" t="s">
        <v>4574</v>
      </c>
      <c r="E2967" s="189">
        <v>39485</v>
      </c>
      <c r="F2967" s="190">
        <v>0</v>
      </c>
      <c r="G2967" s="190">
        <v>70.400000000000006</v>
      </c>
      <c r="H2967" s="191">
        <v>1648</v>
      </c>
      <c r="I2967" s="191">
        <v>495</v>
      </c>
      <c r="J2967" s="188" t="s">
        <v>624</v>
      </c>
      <c r="K2967" s="188" t="s">
        <v>427</v>
      </c>
      <c r="L2967" s="188" t="s">
        <v>557</v>
      </c>
      <c r="M2967" s="192">
        <f t="shared" si="138"/>
        <v>25</v>
      </c>
      <c r="N2967" s="193">
        <f t="shared" si="139"/>
        <v>1.4981818181818183</v>
      </c>
      <c r="O2967" s="194">
        <f t="shared" si="140"/>
        <v>5.9927272727272732E-2</v>
      </c>
    </row>
    <row r="2968" spans="1:15" ht="12.75" customHeight="1">
      <c r="A2968" s="188" t="s">
        <v>620</v>
      </c>
      <c r="B2968" s="188" t="s">
        <v>3787</v>
      </c>
      <c r="C2968" s="188" t="s">
        <v>659</v>
      </c>
      <c r="D2968" s="188" t="s">
        <v>4575</v>
      </c>
      <c r="E2968" s="189">
        <v>39310</v>
      </c>
      <c r="F2968" s="190">
        <v>0</v>
      </c>
      <c r="G2968" s="190">
        <v>102.4</v>
      </c>
      <c r="H2968" s="191">
        <v>2014.08</v>
      </c>
      <c r="I2968" s="191">
        <v>720</v>
      </c>
      <c r="J2968" s="188" t="s">
        <v>624</v>
      </c>
      <c r="K2968" s="188" t="s">
        <v>1344</v>
      </c>
      <c r="L2968" s="188" t="s">
        <v>625</v>
      </c>
      <c r="M2968" s="192">
        <f t="shared" si="138"/>
        <v>21</v>
      </c>
      <c r="N2968" s="193">
        <f t="shared" si="139"/>
        <v>1.2587999999999999</v>
      </c>
      <c r="O2968" s="194">
        <f t="shared" si="140"/>
        <v>5.9942857142857138E-2</v>
      </c>
    </row>
    <row r="2969" spans="1:15" ht="12.75" customHeight="1">
      <c r="A2969" s="188" t="s">
        <v>620</v>
      </c>
      <c r="B2969" s="188" t="s">
        <v>3787</v>
      </c>
      <c r="C2969" s="188" t="s">
        <v>659</v>
      </c>
      <c r="D2969" s="188" t="s">
        <v>4576</v>
      </c>
      <c r="E2969" s="189">
        <v>39387</v>
      </c>
      <c r="F2969" s="190">
        <v>0</v>
      </c>
      <c r="G2969" s="190">
        <v>106.69</v>
      </c>
      <c r="H2969" s="191">
        <v>1900</v>
      </c>
      <c r="I2969" s="191">
        <v>750.15</v>
      </c>
      <c r="J2969" s="188" t="s">
        <v>624</v>
      </c>
      <c r="K2969" s="188" t="s">
        <v>667</v>
      </c>
      <c r="L2969" s="188" t="s">
        <v>3909</v>
      </c>
      <c r="M2969" s="192">
        <f t="shared" si="138"/>
        <v>19</v>
      </c>
      <c r="N2969" s="193">
        <f t="shared" si="139"/>
        <v>1.1397720455908817</v>
      </c>
      <c r="O2969" s="194">
        <f t="shared" si="140"/>
        <v>5.9988002399520089E-2</v>
      </c>
    </row>
    <row r="2970" spans="1:15" ht="12.75" customHeight="1">
      <c r="A2970" s="188" t="s">
        <v>620</v>
      </c>
      <c r="B2970" s="188" t="s">
        <v>3787</v>
      </c>
      <c r="C2970" s="188" t="s">
        <v>659</v>
      </c>
      <c r="D2970" s="188" t="s">
        <v>4577</v>
      </c>
      <c r="E2970" s="189">
        <v>39219</v>
      </c>
      <c r="F2970" s="190">
        <v>0</v>
      </c>
      <c r="G2970" s="190">
        <v>43.01</v>
      </c>
      <c r="H2970" s="191">
        <v>1008</v>
      </c>
      <c r="I2970" s="191">
        <v>302.39999999999998</v>
      </c>
      <c r="J2970" s="188" t="s">
        <v>624</v>
      </c>
      <c r="K2970" s="188" t="s">
        <v>427</v>
      </c>
      <c r="L2970" s="188" t="s">
        <v>2957</v>
      </c>
      <c r="M2970" s="192">
        <f t="shared" si="138"/>
        <v>25</v>
      </c>
      <c r="N2970" s="193">
        <f t="shared" si="139"/>
        <v>1.5</v>
      </c>
      <c r="O2970" s="194">
        <f t="shared" si="140"/>
        <v>0.06</v>
      </c>
    </row>
    <row r="2971" spans="1:15" ht="12.75" customHeight="1">
      <c r="A2971" s="188" t="s">
        <v>620</v>
      </c>
      <c r="B2971" s="188" t="s">
        <v>3787</v>
      </c>
      <c r="C2971" s="188" t="s">
        <v>659</v>
      </c>
      <c r="D2971" s="188" t="s">
        <v>4578</v>
      </c>
      <c r="E2971" s="189">
        <v>39282</v>
      </c>
      <c r="F2971" s="190">
        <v>0</v>
      </c>
      <c r="G2971" s="190">
        <v>33.28</v>
      </c>
      <c r="H2971" s="191">
        <v>780</v>
      </c>
      <c r="I2971" s="191">
        <v>234</v>
      </c>
      <c r="J2971" s="188" t="s">
        <v>624</v>
      </c>
      <c r="K2971" s="188" t="s">
        <v>427</v>
      </c>
      <c r="L2971" s="188" t="s">
        <v>4109</v>
      </c>
      <c r="M2971" s="192">
        <f t="shared" si="138"/>
        <v>25</v>
      </c>
      <c r="N2971" s="193">
        <f t="shared" si="139"/>
        <v>1.5</v>
      </c>
      <c r="O2971" s="194">
        <f t="shared" si="140"/>
        <v>0.06</v>
      </c>
    </row>
    <row r="2972" spans="1:15" ht="12.75" customHeight="1">
      <c r="A2972" s="188" t="s">
        <v>620</v>
      </c>
      <c r="B2972" s="188" t="s">
        <v>3787</v>
      </c>
      <c r="C2972" s="188" t="s">
        <v>659</v>
      </c>
      <c r="D2972" s="188" t="s">
        <v>4579</v>
      </c>
      <c r="E2972" s="189">
        <v>39353</v>
      </c>
      <c r="F2972" s="190">
        <v>0</v>
      </c>
      <c r="G2972" s="190">
        <v>6.4</v>
      </c>
      <c r="H2972" s="191">
        <v>150</v>
      </c>
      <c r="I2972" s="191">
        <v>45</v>
      </c>
      <c r="J2972" s="188" t="s">
        <v>624</v>
      </c>
      <c r="K2972" s="188" t="s">
        <v>427</v>
      </c>
      <c r="L2972" s="188" t="s">
        <v>3372</v>
      </c>
      <c r="M2972" s="192">
        <f t="shared" si="138"/>
        <v>25</v>
      </c>
      <c r="N2972" s="193">
        <f t="shared" si="139"/>
        <v>1.5</v>
      </c>
      <c r="O2972" s="194">
        <f t="shared" si="140"/>
        <v>0.06</v>
      </c>
    </row>
    <row r="2973" spans="1:15" ht="12.75" customHeight="1">
      <c r="A2973" s="188" t="s">
        <v>620</v>
      </c>
      <c r="B2973" s="188" t="s">
        <v>3787</v>
      </c>
      <c r="C2973" s="188" t="s">
        <v>659</v>
      </c>
      <c r="D2973" s="188" t="s">
        <v>4580</v>
      </c>
      <c r="E2973" s="189">
        <v>39407</v>
      </c>
      <c r="F2973" s="190">
        <v>0</v>
      </c>
      <c r="G2973" s="190">
        <v>83.2</v>
      </c>
      <c r="H2973" s="191">
        <v>1950</v>
      </c>
      <c r="I2973" s="191">
        <v>585</v>
      </c>
      <c r="J2973" s="188" t="s">
        <v>624</v>
      </c>
      <c r="K2973" s="188" t="s">
        <v>427</v>
      </c>
      <c r="L2973" s="188" t="s">
        <v>699</v>
      </c>
      <c r="M2973" s="192">
        <f t="shared" si="138"/>
        <v>25</v>
      </c>
      <c r="N2973" s="193">
        <f t="shared" si="139"/>
        <v>1.5</v>
      </c>
      <c r="O2973" s="194">
        <f t="shared" si="140"/>
        <v>0.06</v>
      </c>
    </row>
    <row r="2974" spans="1:15" ht="12.75" customHeight="1">
      <c r="A2974" s="188" t="s">
        <v>620</v>
      </c>
      <c r="B2974" s="188" t="s">
        <v>3787</v>
      </c>
      <c r="C2974" s="188" t="s">
        <v>659</v>
      </c>
      <c r="D2974" s="188" t="s">
        <v>4581</v>
      </c>
      <c r="E2974" s="189">
        <v>39447</v>
      </c>
      <c r="F2974" s="190">
        <v>0</v>
      </c>
      <c r="G2974" s="190">
        <v>153.09</v>
      </c>
      <c r="H2974" s="191">
        <v>3588</v>
      </c>
      <c r="I2974" s="191">
        <v>1076.4000000000001</v>
      </c>
      <c r="J2974" s="188" t="s">
        <v>624</v>
      </c>
      <c r="K2974" s="188" t="s">
        <v>427</v>
      </c>
      <c r="L2974" s="188" t="s">
        <v>1763</v>
      </c>
      <c r="M2974" s="192">
        <f t="shared" si="138"/>
        <v>25</v>
      </c>
      <c r="N2974" s="193">
        <f t="shared" si="139"/>
        <v>1.5</v>
      </c>
      <c r="O2974" s="194">
        <f t="shared" si="140"/>
        <v>0.06</v>
      </c>
    </row>
    <row r="2975" spans="1:15" ht="12.75" customHeight="1">
      <c r="A2975" s="188" t="s">
        <v>620</v>
      </c>
      <c r="B2975" s="188" t="s">
        <v>3787</v>
      </c>
      <c r="C2975" s="188" t="s">
        <v>659</v>
      </c>
      <c r="D2975" s="188" t="s">
        <v>4582</v>
      </c>
      <c r="E2975" s="189">
        <v>39520</v>
      </c>
      <c r="F2975" s="190">
        <v>0</v>
      </c>
      <c r="G2975" s="190">
        <v>9.6</v>
      </c>
      <c r="H2975" s="191">
        <v>225</v>
      </c>
      <c r="I2975" s="191">
        <v>67.5</v>
      </c>
      <c r="J2975" s="188" t="s">
        <v>624</v>
      </c>
      <c r="K2975" s="188" t="s">
        <v>427</v>
      </c>
      <c r="L2975" s="188" t="s">
        <v>3950</v>
      </c>
      <c r="M2975" s="192">
        <f t="shared" si="138"/>
        <v>25</v>
      </c>
      <c r="N2975" s="193">
        <f t="shared" si="139"/>
        <v>1.5</v>
      </c>
      <c r="O2975" s="194">
        <f t="shared" si="140"/>
        <v>0.06</v>
      </c>
    </row>
    <row r="2976" spans="1:15" ht="12.75" customHeight="1">
      <c r="A2976" s="188" t="s">
        <v>620</v>
      </c>
      <c r="B2976" s="188" t="s">
        <v>3787</v>
      </c>
      <c r="C2976" s="188" t="s">
        <v>659</v>
      </c>
      <c r="D2976" s="188" t="s">
        <v>4583</v>
      </c>
      <c r="E2976" s="189">
        <v>39436</v>
      </c>
      <c r="F2976" s="190">
        <v>0</v>
      </c>
      <c r="G2976" s="190">
        <v>14.34</v>
      </c>
      <c r="H2976" s="191">
        <v>512</v>
      </c>
      <c r="I2976" s="191">
        <v>100.8</v>
      </c>
      <c r="J2976" s="188" t="s">
        <v>624</v>
      </c>
      <c r="K2976" s="188" t="s">
        <v>338</v>
      </c>
      <c r="L2976" s="188" t="s">
        <v>4584</v>
      </c>
      <c r="M2976" s="192">
        <f t="shared" si="138"/>
        <v>38</v>
      </c>
      <c r="N2976" s="193">
        <f t="shared" si="139"/>
        <v>2.2857142857142856</v>
      </c>
      <c r="O2976" s="194">
        <f t="shared" si="140"/>
        <v>6.0150375939849621E-2</v>
      </c>
    </row>
    <row r="2977" spans="1:15" ht="12.75" customHeight="1">
      <c r="A2977" s="188" t="s">
        <v>620</v>
      </c>
      <c r="B2977" s="188" t="s">
        <v>3787</v>
      </c>
      <c r="C2977" s="188" t="s">
        <v>659</v>
      </c>
      <c r="D2977" s="188" t="s">
        <v>4585</v>
      </c>
      <c r="E2977" s="189">
        <v>39282</v>
      </c>
      <c r="F2977" s="190">
        <v>0</v>
      </c>
      <c r="G2977" s="190">
        <v>122.88</v>
      </c>
      <c r="H2977" s="191">
        <v>2888.06</v>
      </c>
      <c r="I2977" s="191">
        <v>864</v>
      </c>
      <c r="J2977" s="188" t="s">
        <v>624</v>
      </c>
      <c r="K2977" s="188" t="s">
        <v>427</v>
      </c>
      <c r="L2977" s="188" t="s">
        <v>640</v>
      </c>
      <c r="M2977" s="192">
        <f t="shared" si="138"/>
        <v>25</v>
      </c>
      <c r="N2977" s="193">
        <f t="shared" si="139"/>
        <v>1.5041979166666666</v>
      </c>
      <c r="O2977" s="194">
        <f t="shared" si="140"/>
        <v>6.0167916666666661E-2</v>
      </c>
    </row>
    <row r="2978" spans="1:15" ht="12.75" customHeight="1">
      <c r="A2978" s="188" t="s">
        <v>620</v>
      </c>
      <c r="B2978" s="188" t="s">
        <v>3787</v>
      </c>
      <c r="C2978" s="188" t="s">
        <v>659</v>
      </c>
      <c r="D2978" s="188" t="s">
        <v>4586</v>
      </c>
      <c r="E2978" s="189">
        <v>39289</v>
      </c>
      <c r="F2978" s="190">
        <v>0</v>
      </c>
      <c r="G2978" s="190">
        <v>32</v>
      </c>
      <c r="H2978" s="191">
        <v>752.4</v>
      </c>
      <c r="I2978" s="191">
        <v>225</v>
      </c>
      <c r="J2978" s="188" t="s">
        <v>624</v>
      </c>
      <c r="K2978" s="188" t="s">
        <v>427</v>
      </c>
      <c r="L2978" s="188" t="s">
        <v>858</v>
      </c>
      <c r="M2978" s="192">
        <f t="shared" si="138"/>
        <v>25</v>
      </c>
      <c r="N2978" s="193">
        <f t="shared" si="139"/>
        <v>1.5047999999999999</v>
      </c>
      <c r="O2978" s="194">
        <f t="shared" si="140"/>
        <v>6.0191999999999996E-2</v>
      </c>
    </row>
    <row r="2979" spans="1:15" ht="12.75" customHeight="1">
      <c r="A2979" s="188" t="s">
        <v>620</v>
      </c>
      <c r="B2979" s="188" t="s">
        <v>3787</v>
      </c>
      <c r="C2979" s="188" t="s">
        <v>659</v>
      </c>
      <c r="D2979" s="188" t="s">
        <v>4587</v>
      </c>
      <c r="E2979" s="189">
        <v>39296</v>
      </c>
      <c r="F2979" s="190">
        <v>0</v>
      </c>
      <c r="G2979" s="190">
        <v>104</v>
      </c>
      <c r="H2979" s="191">
        <v>2445.9499999999998</v>
      </c>
      <c r="I2979" s="191">
        <v>731.25</v>
      </c>
      <c r="J2979" s="188" t="s">
        <v>624</v>
      </c>
      <c r="K2979" s="188" t="s">
        <v>427</v>
      </c>
      <c r="L2979" s="188" t="s">
        <v>3112</v>
      </c>
      <c r="M2979" s="192">
        <f t="shared" si="138"/>
        <v>25</v>
      </c>
      <c r="N2979" s="193">
        <f t="shared" si="139"/>
        <v>1.5051999999999999</v>
      </c>
      <c r="O2979" s="194">
        <f t="shared" si="140"/>
        <v>6.0207999999999998E-2</v>
      </c>
    </row>
    <row r="2980" spans="1:15" ht="12.75" customHeight="1">
      <c r="A2980" s="188" t="s">
        <v>620</v>
      </c>
      <c r="B2980" s="188" t="s">
        <v>3787</v>
      </c>
      <c r="C2980" s="188" t="s">
        <v>659</v>
      </c>
      <c r="D2980" s="188" t="s">
        <v>4588</v>
      </c>
      <c r="E2980" s="189">
        <v>39576</v>
      </c>
      <c r="F2980" s="190">
        <v>0</v>
      </c>
      <c r="G2980" s="190">
        <v>55.68</v>
      </c>
      <c r="H2980" s="191">
        <v>1314.15</v>
      </c>
      <c r="I2980" s="191">
        <v>391.5</v>
      </c>
      <c r="J2980" s="188" t="s">
        <v>624</v>
      </c>
      <c r="K2980" s="188" t="s">
        <v>427</v>
      </c>
      <c r="L2980" s="188" t="s">
        <v>1979</v>
      </c>
      <c r="M2980" s="192">
        <f t="shared" si="138"/>
        <v>25</v>
      </c>
      <c r="N2980" s="193">
        <f t="shared" si="139"/>
        <v>1.5105172413793104</v>
      </c>
      <c r="O2980" s="194">
        <f t="shared" si="140"/>
        <v>6.0420689655172416E-2</v>
      </c>
    </row>
    <row r="2981" spans="1:15" ht="12.75" customHeight="1">
      <c r="A2981" s="188" t="s">
        <v>620</v>
      </c>
      <c r="B2981" s="188" t="s">
        <v>3787</v>
      </c>
      <c r="C2981" s="188" t="s">
        <v>659</v>
      </c>
      <c r="D2981" s="188" t="s">
        <v>4589</v>
      </c>
      <c r="E2981" s="189">
        <v>39611</v>
      </c>
      <c r="F2981" s="190">
        <v>0</v>
      </c>
      <c r="G2981" s="190">
        <v>128.58000000000001</v>
      </c>
      <c r="H2981" s="191">
        <v>2555</v>
      </c>
      <c r="I2981" s="191">
        <v>904.05</v>
      </c>
      <c r="J2981" s="188" t="s">
        <v>624</v>
      </c>
      <c r="K2981" s="188" t="s">
        <v>1344</v>
      </c>
      <c r="L2981" s="188" t="s">
        <v>2510</v>
      </c>
      <c r="M2981" s="192">
        <f t="shared" si="138"/>
        <v>21</v>
      </c>
      <c r="N2981" s="193">
        <f t="shared" si="139"/>
        <v>1.2717770034843205</v>
      </c>
      <c r="O2981" s="194">
        <f t="shared" si="140"/>
        <v>6.0560809689729551E-2</v>
      </c>
    </row>
    <row r="2982" spans="1:15" ht="12.75" customHeight="1">
      <c r="A2982" s="188" t="s">
        <v>620</v>
      </c>
      <c r="B2982" s="188" t="s">
        <v>3787</v>
      </c>
      <c r="C2982" s="188" t="s">
        <v>659</v>
      </c>
      <c r="D2982" s="188" t="s">
        <v>4590</v>
      </c>
      <c r="E2982" s="189">
        <v>39507</v>
      </c>
      <c r="F2982" s="190">
        <v>0</v>
      </c>
      <c r="G2982" s="190">
        <v>46.46</v>
      </c>
      <c r="H2982" s="191">
        <v>1100</v>
      </c>
      <c r="I2982" s="191">
        <v>326.7</v>
      </c>
      <c r="J2982" s="188" t="s">
        <v>624</v>
      </c>
      <c r="K2982" s="188" t="s">
        <v>427</v>
      </c>
      <c r="L2982" s="188" t="s">
        <v>4591</v>
      </c>
      <c r="M2982" s="192">
        <f t="shared" si="138"/>
        <v>25</v>
      </c>
      <c r="N2982" s="193">
        <f t="shared" si="139"/>
        <v>1.5151515151515151</v>
      </c>
      <c r="O2982" s="194">
        <f t="shared" si="140"/>
        <v>6.0606060606060608E-2</v>
      </c>
    </row>
    <row r="2983" spans="1:15" ht="12.75" customHeight="1">
      <c r="A2983" s="188" t="s">
        <v>620</v>
      </c>
      <c r="B2983" s="188" t="s">
        <v>3787</v>
      </c>
      <c r="C2983" s="188" t="s">
        <v>659</v>
      </c>
      <c r="D2983" s="188" t="s">
        <v>4592</v>
      </c>
      <c r="E2983" s="189">
        <v>39401</v>
      </c>
      <c r="F2983" s="190">
        <v>0</v>
      </c>
      <c r="G2983" s="190">
        <v>51.84</v>
      </c>
      <c r="H2983" s="191">
        <v>1231</v>
      </c>
      <c r="I2983" s="191">
        <v>364.5</v>
      </c>
      <c r="J2983" s="188" t="s">
        <v>624</v>
      </c>
      <c r="K2983" s="188" t="s">
        <v>427</v>
      </c>
      <c r="L2983" s="188" t="s">
        <v>1883</v>
      </c>
      <c r="M2983" s="192">
        <f t="shared" si="138"/>
        <v>25</v>
      </c>
      <c r="N2983" s="193">
        <f t="shared" si="139"/>
        <v>1.519753086419753</v>
      </c>
      <c r="O2983" s="194">
        <f t="shared" si="140"/>
        <v>6.0790123456790121E-2</v>
      </c>
    </row>
    <row r="2984" spans="1:15" ht="12.75" customHeight="1">
      <c r="A2984" s="188" t="s">
        <v>620</v>
      </c>
      <c r="B2984" s="188" t="s">
        <v>3787</v>
      </c>
      <c r="C2984" s="188" t="s">
        <v>659</v>
      </c>
      <c r="D2984" s="188" t="s">
        <v>4593</v>
      </c>
      <c r="E2984" s="189">
        <v>39407</v>
      </c>
      <c r="F2984" s="190">
        <v>0</v>
      </c>
      <c r="G2984" s="190">
        <v>95.3</v>
      </c>
      <c r="H2984" s="191">
        <v>2263.2800000000002</v>
      </c>
      <c r="I2984" s="191">
        <v>670.05</v>
      </c>
      <c r="J2984" s="188" t="s">
        <v>624</v>
      </c>
      <c r="K2984" s="188" t="s">
        <v>427</v>
      </c>
      <c r="L2984" s="188" t="s">
        <v>3129</v>
      </c>
      <c r="M2984" s="192">
        <f t="shared" si="138"/>
        <v>25</v>
      </c>
      <c r="N2984" s="193">
        <f t="shared" si="139"/>
        <v>1.5200000000000002</v>
      </c>
      <c r="O2984" s="194">
        <f t="shared" si="140"/>
        <v>6.0800000000000007E-2</v>
      </c>
    </row>
    <row r="2985" spans="1:15" ht="12.75" customHeight="1">
      <c r="A2985" s="188" t="s">
        <v>620</v>
      </c>
      <c r="B2985" s="188" t="s">
        <v>3787</v>
      </c>
      <c r="C2985" s="188" t="s">
        <v>659</v>
      </c>
      <c r="D2985" s="188" t="s">
        <v>4594</v>
      </c>
      <c r="E2985" s="189">
        <v>39520</v>
      </c>
      <c r="F2985" s="190">
        <v>0</v>
      </c>
      <c r="G2985" s="190">
        <v>16.96</v>
      </c>
      <c r="H2985" s="191">
        <v>404</v>
      </c>
      <c r="I2985" s="191">
        <v>119.25</v>
      </c>
      <c r="J2985" s="188" t="s">
        <v>624</v>
      </c>
      <c r="K2985" s="188" t="s">
        <v>427</v>
      </c>
      <c r="L2985" s="188" t="s">
        <v>4595</v>
      </c>
      <c r="M2985" s="192">
        <f t="shared" si="138"/>
        <v>25</v>
      </c>
      <c r="N2985" s="193">
        <f t="shared" si="139"/>
        <v>1.5245283018867926</v>
      </c>
      <c r="O2985" s="194">
        <f t="shared" si="140"/>
        <v>6.0981132075471706E-2</v>
      </c>
    </row>
    <row r="2986" spans="1:15" ht="12.75" customHeight="1">
      <c r="A2986" s="188" t="s">
        <v>620</v>
      </c>
      <c r="B2986" s="188" t="s">
        <v>3787</v>
      </c>
      <c r="C2986" s="188" t="s">
        <v>659</v>
      </c>
      <c r="D2986" s="188" t="s">
        <v>4596</v>
      </c>
      <c r="E2986" s="189">
        <v>39324</v>
      </c>
      <c r="F2986" s="190">
        <v>0</v>
      </c>
      <c r="G2986" s="190">
        <v>71.680000000000007</v>
      </c>
      <c r="H2986" s="191">
        <v>1709.01</v>
      </c>
      <c r="I2986" s="191">
        <v>504</v>
      </c>
      <c r="J2986" s="188" t="s">
        <v>624</v>
      </c>
      <c r="K2986" s="188" t="s">
        <v>427</v>
      </c>
      <c r="L2986" s="188" t="s">
        <v>825</v>
      </c>
      <c r="M2986" s="192">
        <f t="shared" si="138"/>
        <v>25</v>
      </c>
      <c r="N2986" s="193">
        <f t="shared" si="139"/>
        <v>1.5259017857142858</v>
      </c>
      <c r="O2986" s="194">
        <f t="shared" si="140"/>
        <v>6.1036071428571433E-2</v>
      </c>
    </row>
    <row r="2987" spans="1:15" ht="12.75" customHeight="1">
      <c r="A2987" s="188" t="s">
        <v>620</v>
      </c>
      <c r="B2987" s="188" t="s">
        <v>3787</v>
      </c>
      <c r="C2987" s="188" t="s">
        <v>659</v>
      </c>
      <c r="D2987" s="188" t="s">
        <v>4597</v>
      </c>
      <c r="E2987" s="189">
        <v>39395</v>
      </c>
      <c r="F2987" s="190">
        <v>0</v>
      </c>
      <c r="G2987" s="190">
        <v>83.84</v>
      </c>
      <c r="H2987" s="191">
        <v>2000</v>
      </c>
      <c r="I2987" s="191">
        <v>589.5</v>
      </c>
      <c r="J2987" s="188" t="s">
        <v>624</v>
      </c>
      <c r="K2987" s="188" t="s">
        <v>427</v>
      </c>
      <c r="L2987" s="188" t="s">
        <v>837</v>
      </c>
      <c r="M2987" s="192">
        <f t="shared" si="138"/>
        <v>25</v>
      </c>
      <c r="N2987" s="193">
        <f t="shared" si="139"/>
        <v>1.5267175572519085</v>
      </c>
      <c r="O2987" s="194">
        <f t="shared" si="140"/>
        <v>6.106870229007634E-2</v>
      </c>
    </row>
    <row r="2988" spans="1:15" ht="12.75" customHeight="1">
      <c r="A2988" s="188" t="s">
        <v>620</v>
      </c>
      <c r="B2988" s="188" t="s">
        <v>3787</v>
      </c>
      <c r="C2988" s="188" t="s">
        <v>659</v>
      </c>
      <c r="D2988" s="188" t="s">
        <v>4598</v>
      </c>
      <c r="E2988" s="189">
        <v>39583</v>
      </c>
      <c r="F2988" s="190">
        <v>0</v>
      </c>
      <c r="G2988" s="190">
        <v>85.89</v>
      </c>
      <c r="H2988" s="191">
        <v>2052</v>
      </c>
      <c r="I2988" s="191">
        <v>603.9</v>
      </c>
      <c r="J2988" s="188" t="s">
        <v>624</v>
      </c>
      <c r="K2988" s="188" t="s">
        <v>427</v>
      </c>
      <c r="L2988" s="188" t="s">
        <v>914</v>
      </c>
      <c r="M2988" s="192">
        <f t="shared" si="138"/>
        <v>25</v>
      </c>
      <c r="N2988" s="193">
        <f t="shared" si="139"/>
        <v>1.5290611028315946</v>
      </c>
      <c r="O2988" s="194">
        <f t="shared" si="140"/>
        <v>6.1162444113263784E-2</v>
      </c>
    </row>
    <row r="2989" spans="1:15" ht="12.75" customHeight="1">
      <c r="A2989" s="188" t="s">
        <v>620</v>
      </c>
      <c r="B2989" s="188" t="s">
        <v>3787</v>
      </c>
      <c r="C2989" s="188" t="s">
        <v>659</v>
      </c>
      <c r="D2989" s="188" t="s">
        <v>4599</v>
      </c>
      <c r="E2989" s="189">
        <v>39576</v>
      </c>
      <c r="F2989" s="190">
        <v>0</v>
      </c>
      <c r="G2989" s="190">
        <v>93.38</v>
      </c>
      <c r="H2989" s="191">
        <v>2231.4</v>
      </c>
      <c r="I2989" s="191">
        <v>656.55</v>
      </c>
      <c r="J2989" s="188" t="s">
        <v>624</v>
      </c>
      <c r="K2989" s="188" t="s">
        <v>427</v>
      </c>
      <c r="L2989" s="188" t="s">
        <v>684</v>
      </c>
      <c r="M2989" s="192">
        <f t="shared" si="138"/>
        <v>25</v>
      </c>
      <c r="N2989" s="193">
        <f t="shared" si="139"/>
        <v>1.5294037011651818</v>
      </c>
      <c r="O2989" s="194">
        <f t="shared" si="140"/>
        <v>6.1176148046607273E-2</v>
      </c>
    </row>
    <row r="2990" spans="1:15" ht="12.75" customHeight="1">
      <c r="A2990" s="188" t="s">
        <v>620</v>
      </c>
      <c r="B2990" s="188" t="s">
        <v>3787</v>
      </c>
      <c r="C2990" s="188" t="s">
        <v>659</v>
      </c>
      <c r="D2990" s="188" t="s">
        <v>4600</v>
      </c>
      <c r="E2990" s="189">
        <v>39289</v>
      </c>
      <c r="F2990" s="190">
        <v>0</v>
      </c>
      <c r="G2990" s="190">
        <v>7.3</v>
      </c>
      <c r="H2990" s="191">
        <v>174.42</v>
      </c>
      <c r="I2990" s="191">
        <v>51.3</v>
      </c>
      <c r="J2990" s="188" t="s">
        <v>624</v>
      </c>
      <c r="K2990" s="188" t="s">
        <v>427</v>
      </c>
      <c r="L2990" s="188" t="s">
        <v>407</v>
      </c>
      <c r="M2990" s="192">
        <f t="shared" si="138"/>
        <v>25</v>
      </c>
      <c r="N2990" s="193">
        <f t="shared" si="139"/>
        <v>1.5299999999999998</v>
      </c>
      <c r="O2990" s="194">
        <f t="shared" si="140"/>
        <v>6.1199999999999991E-2</v>
      </c>
    </row>
    <row r="2991" spans="1:15" ht="12.75" customHeight="1">
      <c r="A2991" s="188" t="s">
        <v>620</v>
      </c>
      <c r="B2991" s="188" t="s">
        <v>3787</v>
      </c>
      <c r="C2991" s="188" t="s">
        <v>659</v>
      </c>
      <c r="D2991" s="188" t="s">
        <v>4601</v>
      </c>
      <c r="E2991" s="189">
        <v>39520</v>
      </c>
      <c r="F2991" s="190">
        <v>0</v>
      </c>
      <c r="G2991" s="190">
        <v>76.48</v>
      </c>
      <c r="H2991" s="191">
        <v>1390</v>
      </c>
      <c r="I2991" s="191">
        <v>537.75</v>
      </c>
      <c r="J2991" s="188" t="s">
        <v>624</v>
      </c>
      <c r="K2991" s="188" t="s">
        <v>667</v>
      </c>
      <c r="L2991" s="188" t="s">
        <v>4602</v>
      </c>
      <c r="M2991" s="192">
        <f t="shared" si="138"/>
        <v>19</v>
      </c>
      <c r="N2991" s="193">
        <f t="shared" si="139"/>
        <v>1.1631799163179917</v>
      </c>
      <c r="O2991" s="194">
        <f t="shared" si="140"/>
        <v>6.1219995595683772E-2</v>
      </c>
    </row>
    <row r="2992" spans="1:15" ht="12.75" customHeight="1">
      <c r="A2992" s="188" t="s">
        <v>620</v>
      </c>
      <c r="B2992" s="188" t="s">
        <v>3787</v>
      </c>
      <c r="C2992" s="188" t="s">
        <v>659</v>
      </c>
      <c r="D2992" s="188" t="s">
        <v>4603</v>
      </c>
      <c r="E2992" s="189">
        <v>39317</v>
      </c>
      <c r="F2992" s="190">
        <v>0</v>
      </c>
      <c r="G2992" s="190">
        <v>85.89</v>
      </c>
      <c r="H2992" s="191">
        <v>2054.0700000000002</v>
      </c>
      <c r="I2992" s="191">
        <v>603.9</v>
      </c>
      <c r="J2992" s="188" t="s">
        <v>624</v>
      </c>
      <c r="K2992" s="188" t="s">
        <v>427</v>
      </c>
      <c r="L2992" s="188" t="s">
        <v>914</v>
      </c>
      <c r="M2992" s="192">
        <f t="shared" si="138"/>
        <v>25</v>
      </c>
      <c r="N2992" s="193">
        <f t="shared" si="139"/>
        <v>1.5306035767511179</v>
      </c>
      <c r="O2992" s="194">
        <f t="shared" si="140"/>
        <v>6.1224143070044715E-2</v>
      </c>
    </row>
    <row r="2993" spans="1:15" ht="12.75" customHeight="1">
      <c r="A2993" s="188" t="s">
        <v>620</v>
      </c>
      <c r="B2993" s="188" t="s">
        <v>3787</v>
      </c>
      <c r="C2993" s="188" t="s">
        <v>659</v>
      </c>
      <c r="D2993" s="188" t="s">
        <v>4604</v>
      </c>
      <c r="E2993" s="189">
        <v>39317</v>
      </c>
      <c r="F2993" s="190">
        <v>0</v>
      </c>
      <c r="G2993" s="190">
        <v>71.040000000000006</v>
      </c>
      <c r="H2993" s="191">
        <v>1698.97</v>
      </c>
      <c r="I2993" s="191">
        <v>499.5</v>
      </c>
      <c r="J2993" s="188" t="s">
        <v>624</v>
      </c>
      <c r="K2993" s="188" t="s">
        <v>427</v>
      </c>
      <c r="L2993" s="188" t="s">
        <v>923</v>
      </c>
      <c r="M2993" s="192">
        <f t="shared" si="138"/>
        <v>25</v>
      </c>
      <c r="N2993" s="193">
        <f t="shared" si="139"/>
        <v>1.5306036036036037</v>
      </c>
      <c r="O2993" s="194">
        <f t="shared" si="140"/>
        <v>6.1224144144144149E-2</v>
      </c>
    </row>
    <row r="2994" spans="1:15" ht="12.75" customHeight="1">
      <c r="A2994" s="188" t="s">
        <v>620</v>
      </c>
      <c r="B2994" s="188" t="s">
        <v>3787</v>
      </c>
      <c r="C2994" s="188" t="s">
        <v>659</v>
      </c>
      <c r="D2994" s="188" t="s">
        <v>4605</v>
      </c>
      <c r="E2994" s="189">
        <v>39429</v>
      </c>
      <c r="F2994" s="190">
        <v>0</v>
      </c>
      <c r="G2994" s="190">
        <v>100.03</v>
      </c>
      <c r="H2994" s="191">
        <v>2394.6999999999998</v>
      </c>
      <c r="I2994" s="191">
        <v>703.35</v>
      </c>
      <c r="J2994" s="188" t="s">
        <v>624</v>
      </c>
      <c r="K2994" s="188" t="s">
        <v>427</v>
      </c>
      <c r="L2994" s="188" t="s">
        <v>2762</v>
      </c>
      <c r="M2994" s="192">
        <f t="shared" si="138"/>
        <v>25</v>
      </c>
      <c r="N2994" s="193">
        <f t="shared" si="139"/>
        <v>1.5321177223288547</v>
      </c>
      <c r="O2994" s="194">
        <f t="shared" si="140"/>
        <v>6.128470889315419E-2</v>
      </c>
    </row>
    <row r="2995" spans="1:15" ht="12.75" customHeight="1">
      <c r="A2995" s="188" t="s">
        <v>620</v>
      </c>
      <c r="B2995" s="188" t="s">
        <v>3787</v>
      </c>
      <c r="C2995" s="188" t="s">
        <v>659</v>
      </c>
      <c r="D2995" s="188" t="s">
        <v>4606</v>
      </c>
      <c r="E2995" s="189">
        <v>39240</v>
      </c>
      <c r="F2995" s="190">
        <v>0</v>
      </c>
      <c r="G2995" s="190">
        <v>77.180000000000007</v>
      </c>
      <c r="H2995" s="191">
        <v>1849.88</v>
      </c>
      <c r="I2995" s="191">
        <v>542.70000000000005</v>
      </c>
      <c r="J2995" s="188" t="s">
        <v>624</v>
      </c>
      <c r="K2995" s="188" t="s">
        <v>427</v>
      </c>
      <c r="L2995" s="188" t="s">
        <v>2597</v>
      </c>
      <c r="M2995" s="192">
        <f t="shared" si="138"/>
        <v>25</v>
      </c>
      <c r="N2995" s="193">
        <f t="shared" si="139"/>
        <v>1.5338971807628525</v>
      </c>
      <c r="O2995" s="194">
        <f t="shared" si="140"/>
        <v>6.1355887230514099E-2</v>
      </c>
    </row>
    <row r="2996" spans="1:15" ht="12.75" customHeight="1">
      <c r="A2996" s="188" t="s">
        <v>620</v>
      </c>
      <c r="B2996" s="188" t="s">
        <v>3787</v>
      </c>
      <c r="C2996" s="188" t="s">
        <v>659</v>
      </c>
      <c r="D2996" s="188" t="s">
        <v>4607</v>
      </c>
      <c r="E2996" s="189">
        <v>39429</v>
      </c>
      <c r="F2996" s="190">
        <v>0</v>
      </c>
      <c r="G2996" s="190">
        <v>123.78</v>
      </c>
      <c r="H2996" s="191">
        <v>2967.2</v>
      </c>
      <c r="I2996" s="191">
        <v>870.3</v>
      </c>
      <c r="J2996" s="188" t="s">
        <v>624</v>
      </c>
      <c r="K2996" s="188" t="s">
        <v>427</v>
      </c>
      <c r="L2996" s="188" t="s">
        <v>4608</v>
      </c>
      <c r="M2996" s="192">
        <f t="shared" si="138"/>
        <v>25</v>
      </c>
      <c r="N2996" s="193">
        <f t="shared" si="139"/>
        <v>1.5342295760082729</v>
      </c>
      <c r="O2996" s="194">
        <f t="shared" si="140"/>
        <v>6.136918304033092E-2</v>
      </c>
    </row>
    <row r="2997" spans="1:15" ht="12.75" customHeight="1">
      <c r="A2997" s="188" t="s">
        <v>620</v>
      </c>
      <c r="B2997" s="188" t="s">
        <v>3787</v>
      </c>
      <c r="C2997" s="188" t="s">
        <v>659</v>
      </c>
      <c r="D2997" s="188" t="s">
        <v>4609</v>
      </c>
      <c r="E2997" s="189">
        <v>39359</v>
      </c>
      <c r="F2997" s="190">
        <v>0</v>
      </c>
      <c r="G2997" s="190">
        <v>67.069999999999993</v>
      </c>
      <c r="H2997" s="191">
        <v>1608.78</v>
      </c>
      <c r="I2997" s="191">
        <v>471.6</v>
      </c>
      <c r="J2997" s="188" t="s">
        <v>624</v>
      </c>
      <c r="K2997" s="188" t="s">
        <v>427</v>
      </c>
      <c r="L2997" s="188" t="s">
        <v>1331</v>
      </c>
      <c r="M2997" s="192">
        <f t="shared" si="138"/>
        <v>25</v>
      </c>
      <c r="N2997" s="193">
        <f t="shared" si="139"/>
        <v>1.5350954198473281</v>
      </c>
      <c r="O2997" s="194">
        <f t="shared" si="140"/>
        <v>6.1403816793893125E-2</v>
      </c>
    </row>
    <row r="2998" spans="1:15" ht="12.75" customHeight="1">
      <c r="A2998" s="188" t="s">
        <v>620</v>
      </c>
      <c r="B2998" s="188" t="s">
        <v>3787</v>
      </c>
      <c r="C2998" s="188" t="s">
        <v>659</v>
      </c>
      <c r="D2998" s="188" t="s">
        <v>4610</v>
      </c>
      <c r="E2998" s="189">
        <v>39513</v>
      </c>
      <c r="F2998" s="190">
        <v>0</v>
      </c>
      <c r="G2998" s="190">
        <v>92.8</v>
      </c>
      <c r="H2998" s="191">
        <v>2225.9</v>
      </c>
      <c r="I2998" s="191">
        <v>652.5</v>
      </c>
      <c r="J2998" s="188" t="s">
        <v>624</v>
      </c>
      <c r="K2998" s="188" t="s">
        <v>427</v>
      </c>
      <c r="L2998" s="188" t="s">
        <v>920</v>
      </c>
      <c r="M2998" s="192">
        <f t="shared" si="138"/>
        <v>25</v>
      </c>
      <c r="N2998" s="193">
        <f t="shared" si="139"/>
        <v>1.5351034482758621</v>
      </c>
      <c r="O2998" s="194">
        <f t="shared" si="140"/>
        <v>6.1404137931034483E-2</v>
      </c>
    </row>
    <row r="2999" spans="1:15" ht="12.75" customHeight="1">
      <c r="A2999" s="188" t="s">
        <v>620</v>
      </c>
      <c r="B2999" s="188" t="s">
        <v>3787</v>
      </c>
      <c r="C2999" s="188" t="s">
        <v>659</v>
      </c>
      <c r="D2999" s="188" t="s">
        <v>4611</v>
      </c>
      <c r="E2999" s="189">
        <v>39478</v>
      </c>
      <c r="F2999" s="190">
        <v>0</v>
      </c>
      <c r="G2999" s="190">
        <v>86.4</v>
      </c>
      <c r="H2999" s="191">
        <v>2072.9</v>
      </c>
      <c r="I2999" s="191">
        <v>607.5</v>
      </c>
      <c r="J2999" s="188" t="s">
        <v>624</v>
      </c>
      <c r="K2999" s="188" t="s">
        <v>427</v>
      </c>
      <c r="L2999" s="188" t="s">
        <v>707</v>
      </c>
      <c r="M2999" s="192">
        <f t="shared" si="138"/>
        <v>25</v>
      </c>
      <c r="N2999" s="193">
        <f t="shared" si="139"/>
        <v>1.5354814814814814</v>
      </c>
      <c r="O2999" s="194">
        <f t="shared" si="140"/>
        <v>6.1419259259259257E-2</v>
      </c>
    </row>
    <row r="3000" spans="1:15" ht="12.75" customHeight="1">
      <c r="A3000" s="188" t="s">
        <v>620</v>
      </c>
      <c r="B3000" s="188" t="s">
        <v>3787</v>
      </c>
      <c r="C3000" s="188" t="s">
        <v>659</v>
      </c>
      <c r="D3000" s="188" t="s">
        <v>4612</v>
      </c>
      <c r="E3000" s="189">
        <v>39576</v>
      </c>
      <c r="F3000" s="190">
        <v>0</v>
      </c>
      <c r="G3000" s="190">
        <v>109.18</v>
      </c>
      <c r="H3000" s="191">
        <v>2619.6799999999998</v>
      </c>
      <c r="I3000" s="191">
        <v>767.7</v>
      </c>
      <c r="J3000" s="188" t="s">
        <v>624</v>
      </c>
      <c r="K3000" s="188" t="s">
        <v>427</v>
      </c>
      <c r="L3000" s="188" t="s">
        <v>2769</v>
      </c>
      <c r="M3000" s="192">
        <f t="shared" si="138"/>
        <v>25</v>
      </c>
      <c r="N3000" s="193">
        <f t="shared" si="139"/>
        <v>1.5355685814771394</v>
      </c>
      <c r="O3000" s="194">
        <f t="shared" si="140"/>
        <v>6.1422743259085574E-2</v>
      </c>
    </row>
    <row r="3001" spans="1:15" ht="12.75" customHeight="1">
      <c r="A3001" s="188" t="s">
        <v>620</v>
      </c>
      <c r="B3001" s="188" t="s">
        <v>3787</v>
      </c>
      <c r="C3001" s="188" t="s">
        <v>659</v>
      </c>
      <c r="D3001" s="188" t="s">
        <v>4613</v>
      </c>
      <c r="E3001" s="189">
        <v>39618</v>
      </c>
      <c r="F3001" s="190">
        <v>0</v>
      </c>
      <c r="G3001" s="190">
        <v>72.06</v>
      </c>
      <c r="H3001" s="191">
        <v>1729.8</v>
      </c>
      <c r="I3001" s="191">
        <v>506.7</v>
      </c>
      <c r="J3001" s="188" t="s">
        <v>624</v>
      </c>
      <c r="K3001" s="188" t="s">
        <v>427</v>
      </c>
      <c r="L3001" s="188" t="s">
        <v>4614</v>
      </c>
      <c r="M3001" s="192">
        <f t="shared" si="138"/>
        <v>25</v>
      </c>
      <c r="N3001" s="193">
        <f t="shared" si="139"/>
        <v>1.536234458259325</v>
      </c>
      <c r="O3001" s="194">
        <f t="shared" si="140"/>
        <v>6.1449378330372999E-2</v>
      </c>
    </row>
    <row r="3002" spans="1:15" ht="12.75" customHeight="1">
      <c r="A3002" s="188" t="s">
        <v>620</v>
      </c>
      <c r="B3002" s="188" t="s">
        <v>3787</v>
      </c>
      <c r="C3002" s="188" t="s">
        <v>659</v>
      </c>
      <c r="D3002" s="188" t="s">
        <v>4615</v>
      </c>
      <c r="E3002" s="189">
        <v>39401</v>
      </c>
      <c r="F3002" s="190">
        <v>0</v>
      </c>
      <c r="G3002" s="190">
        <v>48.64</v>
      </c>
      <c r="H3002" s="191">
        <v>1170</v>
      </c>
      <c r="I3002" s="191">
        <v>342</v>
      </c>
      <c r="J3002" s="188" t="s">
        <v>624</v>
      </c>
      <c r="K3002" s="188" t="s">
        <v>427</v>
      </c>
      <c r="L3002" s="188" t="s">
        <v>759</v>
      </c>
      <c r="M3002" s="192">
        <f t="shared" si="138"/>
        <v>25</v>
      </c>
      <c r="N3002" s="193">
        <f t="shared" si="139"/>
        <v>1.5394736842105263</v>
      </c>
      <c r="O3002" s="194">
        <f t="shared" si="140"/>
        <v>6.1578947368421053E-2</v>
      </c>
    </row>
    <row r="3003" spans="1:15" ht="12.75" customHeight="1">
      <c r="A3003" s="188" t="s">
        <v>620</v>
      </c>
      <c r="B3003" s="188" t="s">
        <v>3787</v>
      </c>
      <c r="C3003" s="188" t="s">
        <v>659</v>
      </c>
      <c r="D3003" s="188" t="s">
        <v>4616</v>
      </c>
      <c r="E3003" s="189">
        <v>39407</v>
      </c>
      <c r="F3003" s="190">
        <v>0</v>
      </c>
      <c r="G3003" s="190">
        <v>72</v>
      </c>
      <c r="H3003" s="191">
        <v>1734.3</v>
      </c>
      <c r="I3003" s="191">
        <v>506.25</v>
      </c>
      <c r="J3003" s="188" t="s">
        <v>624</v>
      </c>
      <c r="K3003" s="188" t="s">
        <v>427</v>
      </c>
      <c r="L3003" s="188" t="s">
        <v>1520</v>
      </c>
      <c r="M3003" s="192">
        <f t="shared" si="138"/>
        <v>25</v>
      </c>
      <c r="N3003" s="193">
        <f t="shared" si="139"/>
        <v>1.5415999999999999</v>
      </c>
      <c r="O3003" s="194">
        <f t="shared" si="140"/>
        <v>6.1663999999999997E-2</v>
      </c>
    </row>
    <row r="3004" spans="1:15" ht="12.75" customHeight="1">
      <c r="A3004" s="188" t="s">
        <v>620</v>
      </c>
      <c r="B3004" s="188" t="s">
        <v>3787</v>
      </c>
      <c r="C3004" s="188" t="s">
        <v>659</v>
      </c>
      <c r="D3004" s="188" t="s">
        <v>4617</v>
      </c>
      <c r="E3004" s="189">
        <v>39625</v>
      </c>
      <c r="F3004" s="190">
        <v>0</v>
      </c>
      <c r="G3004" s="190">
        <v>54.27</v>
      </c>
      <c r="H3004" s="191">
        <v>1308</v>
      </c>
      <c r="I3004" s="191">
        <v>381.6</v>
      </c>
      <c r="J3004" s="188" t="s">
        <v>624</v>
      </c>
      <c r="K3004" s="188" t="s">
        <v>427</v>
      </c>
      <c r="L3004" s="188" t="s">
        <v>799</v>
      </c>
      <c r="M3004" s="192">
        <f t="shared" si="138"/>
        <v>25</v>
      </c>
      <c r="N3004" s="193">
        <f t="shared" si="139"/>
        <v>1.5424528301886793</v>
      </c>
      <c r="O3004" s="194">
        <f t="shared" si="140"/>
        <v>6.1698113207547173E-2</v>
      </c>
    </row>
    <row r="3005" spans="1:15" ht="12.75" customHeight="1">
      <c r="A3005" s="188" t="s">
        <v>620</v>
      </c>
      <c r="B3005" s="188" t="s">
        <v>3787</v>
      </c>
      <c r="C3005" s="188" t="s">
        <v>659</v>
      </c>
      <c r="D3005" s="188" t="s">
        <v>4618</v>
      </c>
      <c r="E3005" s="189">
        <v>39436</v>
      </c>
      <c r="F3005" s="190">
        <v>0</v>
      </c>
      <c r="G3005" s="190">
        <v>79.489999999999995</v>
      </c>
      <c r="H3005" s="191">
        <v>1916.16</v>
      </c>
      <c r="I3005" s="191">
        <v>558.9</v>
      </c>
      <c r="J3005" s="188" t="s">
        <v>624</v>
      </c>
      <c r="K3005" s="188" t="s">
        <v>427</v>
      </c>
      <c r="L3005" s="188" t="s">
        <v>2144</v>
      </c>
      <c r="M3005" s="192">
        <f t="shared" si="138"/>
        <v>25</v>
      </c>
      <c r="N3005" s="193">
        <f t="shared" si="139"/>
        <v>1.5428019323671498</v>
      </c>
      <c r="O3005" s="194">
        <f t="shared" si="140"/>
        <v>6.1712077294685995E-2</v>
      </c>
    </row>
    <row r="3006" spans="1:15" ht="12.75" customHeight="1">
      <c r="A3006" s="188" t="s">
        <v>620</v>
      </c>
      <c r="B3006" s="188" t="s">
        <v>3787</v>
      </c>
      <c r="C3006" s="188" t="s">
        <v>659</v>
      </c>
      <c r="D3006" s="188" t="s">
        <v>4619</v>
      </c>
      <c r="E3006" s="189">
        <v>39478</v>
      </c>
      <c r="F3006" s="190">
        <v>0</v>
      </c>
      <c r="G3006" s="190">
        <v>5.38</v>
      </c>
      <c r="H3006" s="191">
        <v>98.63</v>
      </c>
      <c r="I3006" s="191">
        <v>37.799999999999997</v>
      </c>
      <c r="J3006" s="188" t="s">
        <v>639</v>
      </c>
      <c r="K3006" s="188" t="s">
        <v>257</v>
      </c>
      <c r="L3006" s="188" t="s">
        <v>4620</v>
      </c>
      <c r="M3006" s="192">
        <f t="shared" si="138"/>
        <v>19</v>
      </c>
      <c r="N3006" s="193">
        <f t="shared" si="139"/>
        <v>1.1741666666666666</v>
      </c>
      <c r="O3006" s="194">
        <f t="shared" si="140"/>
        <v>6.1798245614035081E-2</v>
      </c>
    </row>
    <row r="3007" spans="1:15" ht="12.75" customHeight="1">
      <c r="A3007" s="188" t="s">
        <v>620</v>
      </c>
      <c r="B3007" s="188" t="s">
        <v>3787</v>
      </c>
      <c r="C3007" s="188" t="s">
        <v>659</v>
      </c>
      <c r="D3007" s="188" t="s">
        <v>4621</v>
      </c>
      <c r="E3007" s="189">
        <v>39226</v>
      </c>
      <c r="F3007" s="190">
        <v>0</v>
      </c>
      <c r="G3007" s="190">
        <v>13.82</v>
      </c>
      <c r="H3007" s="191">
        <v>334</v>
      </c>
      <c r="I3007" s="191">
        <v>97.2</v>
      </c>
      <c r="J3007" s="188" t="s">
        <v>624</v>
      </c>
      <c r="K3007" s="188" t="s">
        <v>427</v>
      </c>
      <c r="L3007" s="188" t="s">
        <v>3027</v>
      </c>
      <c r="M3007" s="192">
        <f t="shared" si="138"/>
        <v>25</v>
      </c>
      <c r="N3007" s="193">
        <f t="shared" si="139"/>
        <v>1.5462962962962963</v>
      </c>
      <c r="O3007" s="194">
        <f t="shared" si="140"/>
        <v>6.1851851851851852E-2</v>
      </c>
    </row>
    <row r="3008" spans="1:15" ht="12.75" customHeight="1">
      <c r="A3008" s="188" t="s">
        <v>620</v>
      </c>
      <c r="B3008" s="188" t="s">
        <v>3787</v>
      </c>
      <c r="C3008" s="188" t="s">
        <v>659</v>
      </c>
      <c r="D3008" s="188" t="s">
        <v>4622</v>
      </c>
      <c r="E3008" s="189">
        <v>39380</v>
      </c>
      <c r="F3008" s="190">
        <v>0</v>
      </c>
      <c r="G3008" s="190">
        <v>80.64</v>
      </c>
      <c r="H3008" s="191">
        <v>1950</v>
      </c>
      <c r="I3008" s="191">
        <v>567</v>
      </c>
      <c r="J3008" s="188" t="s">
        <v>624</v>
      </c>
      <c r="K3008" s="188" t="s">
        <v>427</v>
      </c>
      <c r="L3008" s="188" t="s">
        <v>680</v>
      </c>
      <c r="M3008" s="192">
        <f t="shared" si="138"/>
        <v>25</v>
      </c>
      <c r="N3008" s="193">
        <f t="shared" si="139"/>
        <v>1.5476190476190477</v>
      </c>
      <c r="O3008" s="194">
        <f t="shared" si="140"/>
        <v>6.1904761904761907E-2</v>
      </c>
    </row>
    <row r="3009" spans="1:15" ht="12.75" customHeight="1">
      <c r="A3009" s="188" t="s">
        <v>620</v>
      </c>
      <c r="B3009" s="188" t="s">
        <v>3787</v>
      </c>
      <c r="C3009" s="188" t="s">
        <v>659</v>
      </c>
      <c r="D3009" s="188" t="s">
        <v>4623</v>
      </c>
      <c r="E3009" s="189">
        <v>39387</v>
      </c>
      <c r="F3009" s="190">
        <v>0</v>
      </c>
      <c r="G3009" s="190">
        <v>46.08</v>
      </c>
      <c r="H3009" s="191">
        <v>936</v>
      </c>
      <c r="I3009" s="191">
        <v>324</v>
      </c>
      <c r="J3009" s="188" t="s">
        <v>624</v>
      </c>
      <c r="K3009" s="188" t="s">
        <v>1344</v>
      </c>
      <c r="L3009" s="188" t="s">
        <v>313</v>
      </c>
      <c r="M3009" s="192">
        <f t="shared" si="138"/>
        <v>21</v>
      </c>
      <c r="N3009" s="193">
        <f t="shared" si="139"/>
        <v>1.3</v>
      </c>
      <c r="O3009" s="194">
        <f t="shared" si="140"/>
        <v>6.1904761904761907E-2</v>
      </c>
    </row>
    <row r="3010" spans="1:15" ht="12.75" customHeight="1">
      <c r="A3010" s="188" t="s">
        <v>620</v>
      </c>
      <c r="B3010" s="188" t="s">
        <v>3787</v>
      </c>
      <c r="C3010" s="188" t="s">
        <v>659</v>
      </c>
      <c r="D3010" s="188" t="s">
        <v>4624</v>
      </c>
      <c r="E3010" s="189">
        <v>39324</v>
      </c>
      <c r="F3010" s="190">
        <v>0</v>
      </c>
      <c r="G3010" s="190">
        <v>81.92</v>
      </c>
      <c r="H3010" s="191">
        <v>2382.98</v>
      </c>
      <c r="I3010" s="191">
        <v>576</v>
      </c>
      <c r="J3010" s="188" t="s">
        <v>624</v>
      </c>
      <c r="K3010" s="188" t="s">
        <v>257</v>
      </c>
      <c r="L3010" s="188" t="s">
        <v>994</v>
      </c>
      <c r="M3010" s="192">
        <f t="shared" ref="M3010:M3073" si="141">K3010-J3010</f>
        <v>30</v>
      </c>
      <c r="N3010" s="193">
        <f t="shared" ref="N3010:N3073" si="142">H3010/L3010</f>
        <v>1.861703125</v>
      </c>
      <c r="O3010" s="194">
        <f t="shared" ref="O3010:O3073" si="143">N3010/M3010</f>
        <v>6.2056770833333337E-2</v>
      </c>
    </row>
    <row r="3011" spans="1:15" ht="12.75" customHeight="1">
      <c r="A3011" s="188" t="s">
        <v>620</v>
      </c>
      <c r="B3011" s="188" t="s">
        <v>3787</v>
      </c>
      <c r="C3011" s="188" t="s">
        <v>659</v>
      </c>
      <c r="D3011" s="188" t="s">
        <v>4625</v>
      </c>
      <c r="E3011" s="189">
        <v>39555</v>
      </c>
      <c r="F3011" s="190">
        <v>0</v>
      </c>
      <c r="G3011" s="190">
        <v>64.510000000000005</v>
      </c>
      <c r="H3011" s="191">
        <v>1319</v>
      </c>
      <c r="I3011" s="191">
        <v>453.6</v>
      </c>
      <c r="J3011" s="188" t="s">
        <v>624</v>
      </c>
      <c r="K3011" s="188" t="s">
        <v>1344</v>
      </c>
      <c r="L3011" s="188" t="s">
        <v>736</v>
      </c>
      <c r="M3011" s="192">
        <f t="shared" si="141"/>
        <v>21</v>
      </c>
      <c r="N3011" s="193">
        <f t="shared" si="142"/>
        <v>1.308531746031746</v>
      </c>
      <c r="O3011" s="194">
        <f t="shared" si="143"/>
        <v>6.2311035525321239E-2</v>
      </c>
    </row>
    <row r="3012" spans="1:15" ht="12.75" customHeight="1">
      <c r="A3012" s="188" t="s">
        <v>620</v>
      </c>
      <c r="B3012" s="188" t="s">
        <v>3787</v>
      </c>
      <c r="C3012" s="188" t="s">
        <v>659</v>
      </c>
      <c r="D3012" s="188" t="s">
        <v>4626</v>
      </c>
      <c r="E3012" s="189">
        <v>39520</v>
      </c>
      <c r="F3012" s="190">
        <v>0</v>
      </c>
      <c r="G3012" s="190">
        <v>73.73</v>
      </c>
      <c r="H3012" s="191">
        <v>1800</v>
      </c>
      <c r="I3012" s="191">
        <v>518.4</v>
      </c>
      <c r="J3012" s="188" t="s">
        <v>624</v>
      </c>
      <c r="K3012" s="188" t="s">
        <v>427</v>
      </c>
      <c r="L3012" s="188" t="s">
        <v>952</v>
      </c>
      <c r="M3012" s="192">
        <f t="shared" si="141"/>
        <v>25</v>
      </c>
      <c r="N3012" s="193">
        <f t="shared" si="142"/>
        <v>1.5625</v>
      </c>
      <c r="O3012" s="194">
        <f t="shared" si="143"/>
        <v>6.25E-2</v>
      </c>
    </row>
    <row r="3013" spans="1:15" ht="12.75" customHeight="1">
      <c r="A3013" s="188" t="s">
        <v>620</v>
      </c>
      <c r="B3013" s="188" t="s">
        <v>3787</v>
      </c>
      <c r="C3013" s="188" t="s">
        <v>659</v>
      </c>
      <c r="D3013" s="188" t="s">
        <v>4627</v>
      </c>
      <c r="E3013" s="189">
        <v>39269</v>
      </c>
      <c r="F3013" s="190">
        <v>0</v>
      </c>
      <c r="G3013" s="190">
        <v>44.8</v>
      </c>
      <c r="H3013" s="191">
        <v>1095.01</v>
      </c>
      <c r="I3013" s="191">
        <v>315</v>
      </c>
      <c r="J3013" s="188" t="s">
        <v>624</v>
      </c>
      <c r="K3013" s="188" t="s">
        <v>427</v>
      </c>
      <c r="L3013" s="188" t="s">
        <v>1827</v>
      </c>
      <c r="M3013" s="192">
        <f t="shared" si="141"/>
        <v>25</v>
      </c>
      <c r="N3013" s="193">
        <f t="shared" si="142"/>
        <v>1.5643</v>
      </c>
      <c r="O3013" s="194">
        <f t="shared" si="143"/>
        <v>6.2572000000000003E-2</v>
      </c>
    </row>
    <row r="3014" spans="1:15" ht="12.75" customHeight="1">
      <c r="A3014" s="188" t="s">
        <v>620</v>
      </c>
      <c r="B3014" s="188" t="s">
        <v>3787</v>
      </c>
      <c r="C3014" s="188" t="s">
        <v>659</v>
      </c>
      <c r="D3014" s="188" t="s">
        <v>4628</v>
      </c>
      <c r="E3014" s="189">
        <v>39527</v>
      </c>
      <c r="F3014" s="190">
        <v>0</v>
      </c>
      <c r="G3014" s="190">
        <v>105.47</v>
      </c>
      <c r="H3014" s="191">
        <v>2580</v>
      </c>
      <c r="I3014" s="191">
        <v>741.6</v>
      </c>
      <c r="J3014" s="188" t="s">
        <v>624</v>
      </c>
      <c r="K3014" s="188" t="s">
        <v>427</v>
      </c>
      <c r="L3014" s="188" t="s">
        <v>1645</v>
      </c>
      <c r="M3014" s="192">
        <f t="shared" si="141"/>
        <v>25</v>
      </c>
      <c r="N3014" s="193">
        <f t="shared" si="142"/>
        <v>1.5655339805825244</v>
      </c>
      <c r="O3014" s="194">
        <f t="shared" si="143"/>
        <v>6.2621359223300976E-2</v>
      </c>
    </row>
    <row r="3015" spans="1:15" ht="12.75" customHeight="1">
      <c r="A3015" s="188" t="s">
        <v>620</v>
      </c>
      <c r="B3015" s="188" t="s">
        <v>3787</v>
      </c>
      <c r="C3015" s="188" t="s">
        <v>659</v>
      </c>
      <c r="D3015" s="188" t="s">
        <v>4629</v>
      </c>
      <c r="E3015" s="189">
        <v>39562</v>
      </c>
      <c r="F3015" s="190">
        <v>0</v>
      </c>
      <c r="G3015" s="190">
        <v>80.58</v>
      </c>
      <c r="H3015" s="191">
        <v>1982</v>
      </c>
      <c r="I3015" s="191">
        <v>566.54999999999995</v>
      </c>
      <c r="J3015" s="188" t="s">
        <v>624</v>
      </c>
      <c r="K3015" s="188" t="s">
        <v>427</v>
      </c>
      <c r="L3015" s="188" t="s">
        <v>4630</v>
      </c>
      <c r="M3015" s="192">
        <f t="shared" si="141"/>
        <v>25</v>
      </c>
      <c r="N3015" s="193">
        <f t="shared" si="142"/>
        <v>1.574265289912629</v>
      </c>
      <c r="O3015" s="194">
        <f t="shared" si="143"/>
        <v>6.297061159650516E-2</v>
      </c>
    </row>
    <row r="3016" spans="1:15" ht="12.75" customHeight="1">
      <c r="A3016" s="188" t="s">
        <v>620</v>
      </c>
      <c r="B3016" s="188" t="s">
        <v>3787</v>
      </c>
      <c r="C3016" s="188" t="s">
        <v>659</v>
      </c>
      <c r="D3016" s="188" t="s">
        <v>4631</v>
      </c>
      <c r="E3016" s="189">
        <v>39380</v>
      </c>
      <c r="F3016" s="190">
        <v>0</v>
      </c>
      <c r="G3016" s="190">
        <v>89.92</v>
      </c>
      <c r="H3016" s="191">
        <v>2214.84</v>
      </c>
      <c r="I3016" s="191">
        <v>632.25</v>
      </c>
      <c r="J3016" s="188" t="s">
        <v>624</v>
      </c>
      <c r="K3016" s="188" t="s">
        <v>427</v>
      </c>
      <c r="L3016" s="188" t="s">
        <v>2146</v>
      </c>
      <c r="M3016" s="192">
        <f t="shared" si="141"/>
        <v>25</v>
      </c>
      <c r="N3016" s="193">
        <f t="shared" si="142"/>
        <v>1.5763985765124555</v>
      </c>
      <c r="O3016" s="194">
        <f t="shared" si="143"/>
        <v>6.3055943060498221E-2</v>
      </c>
    </row>
    <row r="3017" spans="1:15" ht="12.75" customHeight="1">
      <c r="A3017" s="188" t="s">
        <v>620</v>
      </c>
      <c r="B3017" s="188" t="s">
        <v>3787</v>
      </c>
      <c r="C3017" s="188" t="s">
        <v>659</v>
      </c>
      <c r="D3017" s="188" t="s">
        <v>4632</v>
      </c>
      <c r="E3017" s="189">
        <v>39366</v>
      </c>
      <c r="F3017" s="190">
        <v>0</v>
      </c>
      <c r="G3017" s="190">
        <v>70.53</v>
      </c>
      <c r="H3017" s="191">
        <v>1737.5</v>
      </c>
      <c r="I3017" s="191">
        <v>495.9</v>
      </c>
      <c r="J3017" s="188" t="s">
        <v>624</v>
      </c>
      <c r="K3017" s="188" t="s">
        <v>427</v>
      </c>
      <c r="L3017" s="188" t="s">
        <v>2306</v>
      </c>
      <c r="M3017" s="192">
        <f t="shared" si="141"/>
        <v>25</v>
      </c>
      <c r="N3017" s="193">
        <f t="shared" si="142"/>
        <v>1.5766787658802177</v>
      </c>
      <c r="O3017" s="194">
        <f t="shared" si="143"/>
        <v>6.3067150635208707E-2</v>
      </c>
    </row>
    <row r="3018" spans="1:15" ht="12.75" customHeight="1">
      <c r="A3018" s="188" t="s">
        <v>620</v>
      </c>
      <c r="B3018" s="188" t="s">
        <v>3787</v>
      </c>
      <c r="C3018" s="188" t="s">
        <v>659</v>
      </c>
      <c r="D3018" s="188" t="s">
        <v>4633</v>
      </c>
      <c r="E3018" s="189">
        <v>39555</v>
      </c>
      <c r="F3018" s="190">
        <v>0</v>
      </c>
      <c r="G3018" s="190">
        <v>96</v>
      </c>
      <c r="H3018" s="191">
        <v>2365.0500000000002</v>
      </c>
      <c r="I3018" s="191">
        <v>675</v>
      </c>
      <c r="J3018" s="188" t="s">
        <v>624</v>
      </c>
      <c r="K3018" s="188" t="s">
        <v>427</v>
      </c>
      <c r="L3018" s="188" t="s">
        <v>746</v>
      </c>
      <c r="M3018" s="192">
        <f t="shared" si="141"/>
        <v>25</v>
      </c>
      <c r="N3018" s="193">
        <f t="shared" si="142"/>
        <v>1.5767000000000002</v>
      </c>
      <c r="O3018" s="194">
        <f t="shared" si="143"/>
        <v>6.3068000000000013E-2</v>
      </c>
    </row>
    <row r="3019" spans="1:15" ht="12.75" customHeight="1">
      <c r="A3019" s="188" t="s">
        <v>620</v>
      </c>
      <c r="B3019" s="188" t="s">
        <v>3787</v>
      </c>
      <c r="C3019" s="188" t="s">
        <v>659</v>
      </c>
      <c r="D3019" s="188" t="s">
        <v>4634</v>
      </c>
      <c r="E3019" s="189">
        <v>39387</v>
      </c>
      <c r="F3019" s="190">
        <v>0</v>
      </c>
      <c r="G3019" s="190">
        <v>101.12</v>
      </c>
      <c r="H3019" s="191">
        <v>2491.66</v>
      </c>
      <c r="I3019" s="191">
        <v>711</v>
      </c>
      <c r="J3019" s="188" t="s">
        <v>624</v>
      </c>
      <c r="K3019" s="188" t="s">
        <v>427</v>
      </c>
      <c r="L3019" s="188" t="s">
        <v>711</v>
      </c>
      <c r="M3019" s="192">
        <f t="shared" si="141"/>
        <v>25</v>
      </c>
      <c r="N3019" s="193">
        <f t="shared" si="142"/>
        <v>1.577</v>
      </c>
      <c r="O3019" s="194">
        <f t="shared" si="143"/>
        <v>6.3079999999999997E-2</v>
      </c>
    </row>
    <row r="3020" spans="1:15" ht="12.75" customHeight="1">
      <c r="A3020" s="188" t="s">
        <v>620</v>
      </c>
      <c r="B3020" s="188" t="s">
        <v>3787</v>
      </c>
      <c r="C3020" s="188" t="s">
        <v>659</v>
      </c>
      <c r="D3020" s="188" t="s">
        <v>4635</v>
      </c>
      <c r="E3020" s="189">
        <v>39212</v>
      </c>
      <c r="F3020" s="190">
        <v>0</v>
      </c>
      <c r="G3020" s="190">
        <v>91.84</v>
      </c>
      <c r="H3020" s="191">
        <v>2267.3000000000002</v>
      </c>
      <c r="I3020" s="191">
        <v>645.75</v>
      </c>
      <c r="J3020" s="188" t="s">
        <v>624</v>
      </c>
      <c r="K3020" s="188" t="s">
        <v>427</v>
      </c>
      <c r="L3020" s="188" t="s">
        <v>4636</v>
      </c>
      <c r="M3020" s="192">
        <f t="shared" si="141"/>
        <v>25</v>
      </c>
      <c r="N3020" s="193">
        <f t="shared" si="142"/>
        <v>1.58</v>
      </c>
      <c r="O3020" s="194">
        <f t="shared" si="143"/>
        <v>6.3200000000000006E-2</v>
      </c>
    </row>
    <row r="3021" spans="1:15" ht="12.75" customHeight="1">
      <c r="A3021" s="188" t="s">
        <v>620</v>
      </c>
      <c r="B3021" s="188" t="s">
        <v>3787</v>
      </c>
      <c r="C3021" s="188" t="s">
        <v>659</v>
      </c>
      <c r="D3021" s="188" t="s">
        <v>4637</v>
      </c>
      <c r="E3021" s="189">
        <v>39407</v>
      </c>
      <c r="F3021" s="190">
        <v>0</v>
      </c>
      <c r="G3021" s="190">
        <v>142.53</v>
      </c>
      <c r="H3021" s="191">
        <v>3523.43</v>
      </c>
      <c r="I3021" s="191">
        <v>1002.15</v>
      </c>
      <c r="J3021" s="188" t="s">
        <v>624</v>
      </c>
      <c r="K3021" s="188" t="s">
        <v>427</v>
      </c>
      <c r="L3021" s="188" t="s">
        <v>4638</v>
      </c>
      <c r="M3021" s="192">
        <f t="shared" si="141"/>
        <v>25</v>
      </c>
      <c r="N3021" s="193">
        <f t="shared" si="142"/>
        <v>1.5821418949259092</v>
      </c>
      <c r="O3021" s="194">
        <f t="shared" si="143"/>
        <v>6.3285675797036367E-2</v>
      </c>
    </row>
    <row r="3022" spans="1:15" ht="12.75" customHeight="1">
      <c r="A3022" s="188" t="s">
        <v>620</v>
      </c>
      <c r="B3022" s="188" t="s">
        <v>3787</v>
      </c>
      <c r="C3022" s="188" t="s">
        <v>659</v>
      </c>
      <c r="D3022" s="188" t="s">
        <v>4639</v>
      </c>
      <c r="E3022" s="189">
        <v>39443</v>
      </c>
      <c r="F3022" s="190">
        <v>0</v>
      </c>
      <c r="G3022" s="190">
        <v>42.43</v>
      </c>
      <c r="H3022" s="191">
        <v>881.5</v>
      </c>
      <c r="I3022" s="191">
        <v>298.35000000000002</v>
      </c>
      <c r="J3022" s="188" t="s">
        <v>624</v>
      </c>
      <c r="K3022" s="188" t="s">
        <v>1344</v>
      </c>
      <c r="L3022" s="188" t="s">
        <v>4640</v>
      </c>
      <c r="M3022" s="192">
        <f t="shared" si="141"/>
        <v>21</v>
      </c>
      <c r="N3022" s="193">
        <f t="shared" si="142"/>
        <v>1.3295625942684766</v>
      </c>
      <c r="O3022" s="194">
        <f t="shared" si="143"/>
        <v>6.3312504488975074E-2</v>
      </c>
    </row>
    <row r="3023" spans="1:15" ht="12.75" customHeight="1">
      <c r="A3023" s="188" t="s">
        <v>620</v>
      </c>
      <c r="B3023" s="188" t="s">
        <v>3787</v>
      </c>
      <c r="C3023" s="188" t="s">
        <v>659</v>
      </c>
      <c r="D3023" s="188" t="s">
        <v>4641</v>
      </c>
      <c r="E3023" s="189">
        <v>39534</v>
      </c>
      <c r="F3023" s="190">
        <v>0</v>
      </c>
      <c r="G3023" s="190">
        <v>69.89</v>
      </c>
      <c r="H3023" s="191">
        <v>1729</v>
      </c>
      <c r="I3023" s="191">
        <v>491.4</v>
      </c>
      <c r="J3023" s="188" t="s">
        <v>624</v>
      </c>
      <c r="K3023" s="188" t="s">
        <v>427</v>
      </c>
      <c r="L3023" s="188" t="s">
        <v>1686</v>
      </c>
      <c r="M3023" s="192">
        <f t="shared" si="141"/>
        <v>25</v>
      </c>
      <c r="N3023" s="193">
        <f t="shared" si="142"/>
        <v>1.5833333333333333</v>
      </c>
      <c r="O3023" s="194">
        <f t="shared" si="143"/>
        <v>6.3333333333333325E-2</v>
      </c>
    </row>
    <row r="3024" spans="1:15" ht="12.75" customHeight="1">
      <c r="A3024" s="188" t="s">
        <v>620</v>
      </c>
      <c r="B3024" s="188" t="s">
        <v>3787</v>
      </c>
      <c r="C3024" s="188" t="s">
        <v>659</v>
      </c>
      <c r="D3024" s="188" t="s">
        <v>4642</v>
      </c>
      <c r="E3024" s="189">
        <v>39310</v>
      </c>
      <c r="F3024" s="190">
        <v>0</v>
      </c>
      <c r="G3024" s="190">
        <v>75.010000000000005</v>
      </c>
      <c r="H3024" s="191">
        <v>1855.98</v>
      </c>
      <c r="I3024" s="191">
        <v>527.4</v>
      </c>
      <c r="J3024" s="188" t="s">
        <v>624</v>
      </c>
      <c r="K3024" s="188" t="s">
        <v>427</v>
      </c>
      <c r="L3024" s="188" t="s">
        <v>1738</v>
      </c>
      <c r="M3024" s="192">
        <f t="shared" si="141"/>
        <v>25</v>
      </c>
      <c r="N3024" s="193">
        <f t="shared" si="142"/>
        <v>1.5836006825938567</v>
      </c>
      <c r="O3024" s="194">
        <f t="shared" si="143"/>
        <v>6.3344027303754269E-2</v>
      </c>
    </row>
    <row r="3025" spans="1:15" ht="12.75" customHeight="1">
      <c r="A3025" s="188" t="s">
        <v>620</v>
      </c>
      <c r="B3025" s="188" t="s">
        <v>3787</v>
      </c>
      <c r="C3025" s="188" t="s">
        <v>659</v>
      </c>
      <c r="D3025" s="188" t="s">
        <v>4643</v>
      </c>
      <c r="E3025" s="189">
        <v>39275</v>
      </c>
      <c r="F3025" s="190">
        <v>0</v>
      </c>
      <c r="G3025" s="190">
        <v>89.6</v>
      </c>
      <c r="H3025" s="191">
        <v>2231.04</v>
      </c>
      <c r="I3025" s="191">
        <v>630</v>
      </c>
      <c r="J3025" s="188" t="s">
        <v>624</v>
      </c>
      <c r="K3025" s="188" t="s">
        <v>427</v>
      </c>
      <c r="L3025" s="188" t="s">
        <v>754</v>
      </c>
      <c r="M3025" s="192">
        <f t="shared" si="141"/>
        <v>25</v>
      </c>
      <c r="N3025" s="193">
        <f t="shared" si="142"/>
        <v>1.5935999999999999</v>
      </c>
      <c r="O3025" s="194">
        <f t="shared" si="143"/>
        <v>6.3743999999999995E-2</v>
      </c>
    </row>
    <row r="3026" spans="1:15" ht="12.75" customHeight="1">
      <c r="A3026" s="188" t="s">
        <v>620</v>
      </c>
      <c r="B3026" s="188" t="s">
        <v>3787</v>
      </c>
      <c r="C3026" s="188" t="s">
        <v>659</v>
      </c>
      <c r="D3026" s="188" t="s">
        <v>4644</v>
      </c>
      <c r="E3026" s="189">
        <v>39289</v>
      </c>
      <c r="F3026" s="190">
        <v>0</v>
      </c>
      <c r="G3026" s="190">
        <v>80.58</v>
      </c>
      <c r="H3026" s="191">
        <v>2012.01</v>
      </c>
      <c r="I3026" s="191">
        <v>566.54999999999995</v>
      </c>
      <c r="J3026" s="188" t="s">
        <v>624</v>
      </c>
      <c r="K3026" s="188" t="s">
        <v>427</v>
      </c>
      <c r="L3026" s="188" t="s">
        <v>4630</v>
      </c>
      <c r="M3026" s="192">
        <f t="shared" si="141"/>
        <v>25</v>
      </c>
      <c r="N3026" s="193">
        <f t="shared" si="142"/>
        <v>1.5981016679904687</v>
      </c>
      <c r="O3026" s="194">
        <f t="shared" si="143"/>
        <v>6.3924066719618755E-2</v>
      </c>
    </row>
    <row r="3027" spans="1:15" ht="12.75" customHeight="1">
      <c r="A3027" s="188" t="s">
        <v>620</v>
      </c>
      <c r="B3027" s="188" t="s">
        <v>3787</v>
      </c>
      <c r="C3027" s="188" t="s">
        <v>659</v>
      </c>
      <c r="D3027" s="188" t="s">
        <v>4645</v>
      </c>
      <c r="E3027" s="189">
        <v>39261</v>
      </c>
      <c r="F3027" s="190">
        <v>0</v>
      </c>
      <c r="G3027" s="190">
        <v>59.9</v>
      </c>
      <c r="H3027" s="191">
        <v>1496.01</v>
      </c>
      <c r="I3027" s="191">
        <v>421.2</v>
      </c>
      <c r="J3027" s="188" t="s">
        <v>624</v>
      </c>
      <c r="K3027" s="188" t="s">
        <v>427</v>
      </c>
      <c r="L3027" s="188" t="s">
        <v>1618</v>
      </c>
      <c r="M3027" s="192">
        <f t="shared" si="141"/>
        <v>25</v>
      </c>
      <c r="N3027" s="193">
        <f t="shared" si="142"/>
        <v>1.5983012820512821</v>
      </c>
      <c r="O3027" s="194">
        <f t="shared" si="143"/>
        <v>6.3932051282051289E-2</v>
      </c>
    </row>
    <row r="3028" spans="1:15" ht="12.75" customHeight="1">
      <c r="A3028" s="188" t="s">
        <v>620</v>
      </c>
      <c r="B3028" s="188" t="s">
        <v>3787</v>
      </c>
      <c r="C3028" s="188" t="s">
        <v>659</v>
      </c>
      <c r="D3028" s="188" t="s">
        <v>4646</v>
      </c>
      <c r="E3028" s="189">
        <v>39576</v>
      </c>
      <c r="F3028" s="190">
        <v>0</v>
      </c>
      <c r="G3028" s="190">
        <v>52.61</v>
      </c>
      <c r="H3028" s="191">
        <v>1314.06</v>
      </c>
      <c r="I3028" s="191">
        <v>369.9</v>
      </c>
      <c r="J3028" s="188" t="s">
        <v>624</v>
      </c>
      <c r="K3028" s="188" t="s">
        <v>427</v>
      </c>
      <c r="L3028" s="188" t="s">
        <v>3298</v>
      </c>
      <c r="M3028" s="192">
        <f t="shared" si="141"/>
        <v>25</v>
      </c>
      <c r="N3028" s="193">
        <f t="shared" si="142"/>
        <v>1.5986131386861313</v>
      </c>
      <c r="O3028" s="194">
        <f t="shared" si="143"/>
        <v>6.3944525547445258E-2</v>
      </c>
    </row>
    <row r="3029" spans="1:15" ht="12.75" customHeight="1">
      <c r="A3029" s="188" t="s">
        <v>620</v>
      </c>
      <c r="B3029" s="188" t="s">
        <v>3787</v>
      </c>
      <c r="C3029" s="188" t="s">
        <v>659</v>
      </c>
      <c r="D3029" s="188" t="s">
        <v>4647</v>
      </c>
      <c r="E3029" s="189">
        <v>39447</v>
      </c>
      <c r="F3029" s="190">
        <v>0</v>
      </c>
      <c r="G3029" s="190">
        <v>96</v>
      </c>
      <c r="H3029" s="191">
        <v>2398</v>
      </c>
      <c r="I3029" s="191">
        <v>675</v>
      </c>
      <c r="J3029" s="188" t="s">
        <v>624</v>
      </c>
      <c r="K3029" s="188" t="s">
        <v>427</v>
      </c>
      <c r="L3029" s="188" t="s">
        <v>746</v>
      </c>
      <c r="M3029" s="192">
        <f t="shared" si="141"/>
        <v>25</v>
      </c>
      <c r="N3029" s="193">
        <f t="shared" si="142"/>
        <v>1.5986666666666667</v>
      </c>
      <c r="O3029" s="194">
        <f t="shared" si="143"/>
        <v>6.3946666666666666E-2</v>
      </c>
    </row>
    <row r="3030" spans="1:15" ht="12.75" customHeight="1">
      <c r="A3030" s="188" t="s">
        <v>620</v>
      </c>
      <c r="B3030" s="188" t="s">
        <v>3787</v>
      </c>
      <c r="C3030" s="188" t="s">
        <v>659</v>
      </c>
      <c r="D3030" s="188" t="s">
        <v>4648</v>
      </c>
      <c r="E3030" s="189">
        <v>39359</v>
      </c>
      <c r="F3030" s="190">
        <v>0</v>
      </c>
      <c r="G3030" s="190">
        <v>115.33</v>
      </c>
      <c r="H3030" s="191">
        <v>2883.02</v>
      </c>
      <c r="I3030" s="191">
        <v>810.9</v>
      </c>
      <c r="J3030" s="188" t="s">
        <v>624</v>
      </c>
      <c r="K3030" s="188" t="s">
        <v>427</v>
      </c>
      <c r="L3030" s="188" t="s">
        <v>4649</v>
      </c>
      <c r="M3030" s="192">
        <f t="shared" si="141"/>
        <v>25</v>
      </c>
      <c r="N3030" s="193">
        <f t="shared" si="142"/>
        <v>1.5999001109877913</v>
      </c>
      <c r="O3030" s="194">
        <f t="shared" si="143"/>
        <v>6.3996004439511645E-2</v>
      </c>
    </row>
    <row r="3031" spans="1:15" ht="12.75" customHeight="1">
      <c r="A3031" s="188" t="s">
        <v>620</v>
      </c>
      <c r="B3031" s="188" t="s">
        <v>3787</v>
      </c>
      <c r="C3031" s="188" t="s">
        <v>659</v>
      </c>
      <c r="D3031" s="188" t="s">
        <v>4650</v>
      </c>
      <c r="E3031" s="189">
        <v>39520</v>
      </c>
      <c r="F3031" s="190">
        <v>0</v>
      </c>
      <c r="G3031" s="190">
        <v>80</v>
      </c>
      <c r="H3031" s="191">
        <v>2000</v>
      </c>
      <c r="I3031" s="191">
        <v>562.5</v>
      </c>
      <c r="J3031" s="188" t="s">
        <v>624</v>
      </c>
      <c r="K3031" s="188" t="s">
        <v>427</v>
      </c>
      <c r="L3031" s="188" t="s">
        <v>716</v>
      </c>
      <c r="M3031" s="192">
        <f t="shared" si="141"/>
        <v>25</v>
      </c>
      <c r="N3031" s="193">
        <f t="shared" si="142"/>
        <v>1.6</v>
      </c>
      <c r="O3031" s="194">
        <f t="shared" si="143"/>
        <v>6.4000000000000001E-2</v>
      </c>
    </row>
    <row r="3032" spans="1:15" ht="12.75" customHeight="1">
      <c r="A3032" s="188" t="s">
        <v>620</v>
      </c>
      <c r="B3032" s="188" t="s">
        <v>3787</v>
      </c>
      <c r="C3032" s="188" t="s">
        <v>659</v>
      </c>
      <c r="D3032" s="188" t="s">
        <v>4651</v>
      </c>
      <c r="E3032" s="189">
        <v>39247</v>
      </c>
      <c r="F3032" s="190">
        <v>0</v>
      </c>
      <c r="G3032" s="190">
        <v>167.68</v>
      </c>
      <c r="H3032" s="191">
        <v>4194.1000000000004</v>
      </c>
      <c r="I3032" s="191">
        <v>1179</v>
      </c>
      <c r="J3032" s="188" t="s">
        <v>624</v>
      </c>
      <c r="K3032" s="188" t="s">
        <v>427</v>
      </c>
      <c r="L3032" s="188" t="s">
        <v>4652</v>
      </c>
      <c r="M3032" s="192">
        <f t="shared" si="141"/>
        <v>25</v>
      </c>
      <c r="N3032" s="193">
        <f t="shared" si="142"/>
        <v>1.6008015267175575</v>
      </c>
      <c r="O3032" s="194">
        <f t="shared" si="143"/>
        <v>6.4032061068702295E-2</v>
      </c>
    </row>
    <row r="3033" spans="1:15" ht="12.75" customHeight="1">
      <c r="A3033" s="188" t="s">
        <v>620</v>
      </c>
      <c r="B3033" s="188" t="s">
        <v>3787</v>
      </c>
      <c r="C3033" s="188" t="s">
        <v>659</v>
      </c>
      <c r="D3033" s="188" t="s">
        <v>4653</v>
      </c>
      <c r="E3033" s="189">
        <v>39464</v>
      </c>
      <c r="F3033" s="190">
        <v>0</v>
      </c>
      <c r="G3033" s="190">
        <v>69.63</v>
      </c>
      <c r="H3033" s="191">
        <v>1742</v>
      </c>
      <c r="I3033" s="191">
        <v>489.6</v>
      </c>
      <c r="J3033" s="188" t="s">
        <v>624</v>
      </c>
      <c r="K3033" s="188" t="s">
        <v>427</v>
      </c>
      <c r="L3033" s="188" t="s">
        <v>2389</v>
      </c>
      <c r="M3033" s="192">
        <f t="shared" si="141"/>
        <v>25</v>
      </c>
      <c r="N3033" s="193">
        <f t="shared" si="142"/>
        <v>1.6011029411764706</v>
      </c>
      <c r="O3033" s="194">
        <f t="shared" si="143"/>
        <v>6.4044117647058821E-2</v>
      </c>
    </row>
    <row r="3034" spans="1:15" ht="12.75" customHeight="1">
      <c r="A3034" s="188" t="s">
        <v>620</v>
      </c>
      <c r="B3034" s="188" t="s">
        <v>3787</v>
      </c>
      <c r="C3034" s="188" t="s">
        <v>659</v>
      </c>
      <c r="D3034" s="188" t="s">
        <v>4654</v>
      </c>
      <c r="E3034" s="189">
        <v>39471</v>
      </c>
      <c r="F3034" s="190">
        <v>0</v>
      </c>
      <c r="G3034" s="190">
        <v>10.75</v>
      </c>
      <c r="H3034" s="191">
        <v>269</v>
      </c>
      <c r="I3034" s="191">
        <v>75.599999999999994</v>
      </c>
      <c r="J3034" s="188" t="s">
        <v>624</v>
      </c>
      <c r="K3034" s="188" t="s">
        <v>427</v>
      </c>
      <c r="L3034" s="188" t="s">
        <v>4388</v>
      </c>
      <c r="M3034" s="192">
        <f t="shared" si="141"/>
        <v>25</v>
      </c>
      <c r="N3034" s="193">
        <f t="shared" si="142"/>
        <v>1.6011904761904763</v>
      </c>
      <c r="O3034" s="194">
        <f t="shared" si="143"/>
        <v>6.4047619047619048E-2</v>
      </c>
    </row>
    <row r="3035" spans="1:15" ht="12.75" customHeight="1">
      <c r="A3035" s="188" t="s">
        <v>620</v>
      </c>
      <c r="B3035" s="188" t="s">
        <v>3787</v>
      </c>
      <c r="C3035" s="188" t="s">
        <v>659</v>
      </c>
      <c r="D3035" s="188" t="s">
        <v>4655</v>
      </c>
      <c r="E3035" s="189">
        <v>39269</v>
      </c>
      <c r="F3035" s="190">
        <v>0</v>
      </c>
      <c r="G3035" s="190">
        <v>109.25</v>
      </c>
      <c r="H3035" s="191">
        <v>2737</v>
      </c>
      <c r="I3035" s="191">
        <v>768.15</v>
      </c>
      <c r="J3035" s="188" t="s">
        <v>624</v>
      </c>
      <c r="K3035" s="188" t="s">
        <v>427</v>
      </c>
      <c r="L3035" s="188" t="s">
        <v>3235</v>
      </c>
      <c r="M3035" s="192">
        <f t="shared" si="141"/>
        <v>25</v>
      </c>
      <c r="N3035" s="193">
        <f t="shared" si="142"/>
        <v>1.6033977738722907</v>
      </c>
      <c r="O3035" s="194">
        <f t="shared" si="143"/>
        <v>6.4135910954891628E-2</v>
      </c>
    </row>
    <row r="3036" spans="1:15" ht="12.75" customHeight="1">
      <c r="A3036" s="188" t="s">
        <v>620</v>
      </c>
      <c r="B3036" s="188" t="s">
        <v>3787</v>
      </c>
      <c r="C3036" s="188" t="s">
        <v>659</v>
      </c>
      <c r="D3036" s="188" t="s">
        <v>4656</v>
      </c>
      <c r="E3036" s="189">
        <v>39604</v>
      </c>
      <c r="F3036" s="190">
        <v>0</v>
      </c>
      <c r="G3036" s="190">
        <v>50.43</v>
      </c>
      <c r="H3036" s="191">
        <v>1264</v>
      </c>
      <c r="I3036" s="191">
        <v>354.6</v>
      </c>
      <c r="J3036" s="188" t="s">
        <v>624</v>
      </c>
      <c r="K3036" s="188" t="s">
        <v>427</v>
      </c>
      <c r="L3036" s="188" t="s">
        <v>3081</v>
      </c>
      <c r="M3036" s="192">
        <f t="shared" si="141"/>
        <v>25</v>
      </c>
      <c r="N3036" s="193">
        <f t="shared" si="142"/>
        <v>1.6040609137055837</v>
      </c>
      <c r="O3036" s="194">
        <f t="shared" si="143"/>
        <v>6.4162436548223345E-2</v>
      </c>
    </row>
    <row r="3037" spans="1:15" ht="12.75" customHeight="1">
      <c r="A3037" s="188" t="s">
        <v>620</v>
      </c>
      <c r="B3037" s="188" t="s">
        <v>3787</v>
      </c>
      <c r="C3037" s="188" t="s">
        <v>659</v>
      </c>
      <c r="D3037" s="188" t="s">
        <v>4657</v>
      </c>
      <c r="E3037" s="189">
        <v>39576</v>
      </c>
      <c r="F3037" s="190">
        <v>0</v>
      </c>
      <c r="G3037" s="190">
        <v>106.24</v>
      </c>
      <c r="H3037" s="191">
        <v>2663</v>
      </c>
      <c r="I3037" s="191">
        <v>747</v>
      </c>
      <c r="J3037" s="188" t="s">
        <v>624</v>
      </c>
      <c r="K3037" s="188" t="s">
        <v>427</v>
      </c>
      <c r="L3037" s="188" t="s">
        <v>1298</v>
      </c>
      <c r="M3037" s="192">
        <f t="shared" si="141"/>
        <v>25</v>
      </c>
      <c r="N3037" s="193">
        <f t="shared" si="142"/>
        <v>1.6042168674698796</v>
      </c>
      <c r="O3037" s="194">
        <f t="shared" si="143"/>
        <v>6.4168674698795183E-2</v>
      </c>
    </row>
    <row r="3038" spans="1:15" ht="12.75" customHeight="1">
      <c r="A3038" s="188" t="s">
        <v>620</v>
      </c>
      <c r="B3038" s="188" t="s">
        <v>3787</v>
      </c>
      <c r="C3038" s="188" t="s">
        <v>659</v>
      </c>
      <c r="D3038" s="188" t="s">
        <v>4658</v>
      </c>
      <c r="E3038" s="189">
        <v>39317</v>
      </c>
      <c r="F3038" s="190">
        <v>0</v>
      </c>
      <c r="G3038" s="190">
        <v>97.6</v>
      </c>
      <c r="H3038" s="191">
        <v>2447.9299999999998</v>
      </c>
      <c r="I3038" s="191">
        <v>686.25</v>
      </c>
      <c r="J3038" s="188" t="s">
        <v>624</v>
      </c>
      <c r="K3038" s="188" t="s">
        <v>427</v>
      </c>
      <c r="L3038" s="188" t="s">
        <v>1533</v>
      </c>
      <c r="M3038" s="192">
        <f t="shared" si="141"/>
        <v>25</v>
      </c>
      <c r="N3038" s="193">
        <f t="shared" si="142"/>
        <v>1.6052</v>
      </c>
      <c r="O3038" s="194">
        <f t="shared" si="143"/>
        <v>6.4208000000000001E-2</v>
      </c>
    </row>
    <row r="3039" spans="1:15" ht="12.75" customHeight="1">
      <c r="A3039" s="188" t="s">
        <v>620</v>
      </c>
      <c r="B3039" s="188" t="s">
        <v>3787</v>
      </c>
      <c r="C3039" s="188" t="s">
        <v>659</v>
      </c>
      <c r="D3039" s="188" t="s">
        <v>4659</v>
      </c>
      <c r="E3039" s="189">
        <v>39395</v>
      </c>
      <c r="F3039" s="190">
        <v>0</v>
      </c>
      <c r="G3039" s="190">
        <v>73.790000000000006</v>
      </c>
      <c r="H3039" s="191">
        <v>2221.5500000000002</v>
      </c>
      <c r="I3039" s="191">
        <v>518.85</v>
      </c>
      <c r="J3039" s="188" t="s">
        <v>624</v>
      </c>
      <c r="K3039" s="188" t="s">
        <v>257</v>
      </c>
      <c r="L3039" s="188" t="s">
        <v>4660</v>
      </c>
      <c r="M3039" s="192">
        <f t="shared" si="141"/>
        <v>30</v>
      </c>
      <c r="N3039" s="193">
        <f t="shared" si="142"/>
        <v>1.9267562879444928</v>
      </c>
      <c r="O3039" s="194">
        <f t="shared" si="143"/>
        <v>6.4225209598149757E-2</v>
      </c>
    </row>
    <row r="3040" spans="1:15" ht="12.75" customHeight="1">
      <c r="A3040" s="188" t="s">
        <v>620</v>
      </c>
      <c r="B3040" s="188" t="s">
        <v>3787</v>
      </c>
      <c r="C3040" s="188" t="s">
        <v>659</v>
      </c>
      <c r="D3040" s="188" t="s">
        <v>4661</v>
      </c>
      <c r="E3040" s="189">
        <v>39447</v>
      </c>
      <c r="F3040" s="190">
        <v>0</v>
      </c>
      <c r="G3040" s="190">
        <v>102.4</v>
      </c>
      <c r="H3040" s="191">
        <v>3094</v>
      </c>
      <c r="I3040" s="191">
        <v>720</v>
      </c>
      <c r="J3040" s="188" t="s">
        <v>624</v>
      </c>
      <c r="K3040" s="188" t="s">
        <v>257</v>
      </c>
      <c r="L3040" s="188" t="s">
        <v>625</v>
      </c>
      <c r="M3040" s="192">
        <f t="shared" si="141"/>
        <v>30</v>
      </c>
      <c r="N3040" s="193">
        <f t="shared" si="142"/>
        <v>1.9337500000000001</v>
      </c>
      <c r="O3040" s="194">
        <f t="shared" si="143"/>
        <v>6.445833333333334E-2</v>
      </c>
    </row>
    <row r="3041" spans="1:15" ht="12.75" customHeight="1">
      <c r="A3041" s="188" t="s">
        <v>620</v>
      </c>
      <c r="B3041" s="188" t="s">
        <v>3787</v>
      </c>
      <c r="C3041" s="188" t="s">
        <v>659</v>
      </c>
      <c r="D3041" s="188" t="s">
        <v>4662</v>
      </c>
      <c r="E3041" s="189">
        <v>39597</v>
      </c>
      <c r="F3041" s="190">
        <v>0</v>
      </c>
      <c r="G3041" s="190">
        <v>59.52</v>
      </c>
      <c r="H3041" s="191">
        <v>1500</v>
      </c>
      <c r="I3041" s="191">
        <v>418.5</v>
      </c>
      <c r="J3041" s="188" t="s">
        <v>624</v>
      </c>
      <c r="K3041" s="188" t="s">
        <v>427</v>
      </c>
      <c r="L3041" s="188" t="s">
        <v>2422</v>
      </c>
      <c r="M3041" s="192">
        <f t="shared" si="141"/>
        <v>25</v>
      </c>
      <c r="N3041" s="193">
        <f t="shared" si="142"/>
        <v>1.6129032258064515</v>
      </c>
      <c r="O3041" s="194">
        <f t="shared" si="143"/>
        <v>6.4516129032258063E-2</v>
      </c>
    </row>
    <row r="3042" spans="1:15" ht="12.75" customHeight="1">
      <c r="A3042" s="188" t="s">
        <v>620</v>
      </c>
      <c r="B3042" s="188" t="s">
        <v>3787</v>
      </c>
      <c r="C3042" s="188" t="s">
        <v>659</v>
      </c>
      <c r="D3042" s="188" t="s">
        <v>4663</v>
      </c>
      <c r="E3042" s="189">
        <v>39447</v>
      </c>
      <c r="F3042" s="190">
        <v>0</v>
      </c>
      <c r="G3042" s="190">
        <v>140.80000000000001</v>
      </c>
      <c r="H3042" s="191">
        <v>3549.05</v>
      </c>
      <c r="I3042" s="191">
        <v>990</v>
      </c>
      <c r="J3042" s="188" t="s">
        <v>624</v>
      </c>
      <c r="K3042" s="188" t="s">
        <v>427</v>
      </c>
      <c r="L3042" s="188" t="s">
        <v>938</v>
      </c>
      <c r="M3042" s="192">
        <f t="shared" si="141"/>
        <v>25</v>
      </c>
      <c r="N3042" s="193">
        <f t="shared" si="142"/>
        <v>1.6132045454545456</v>
      </c>
      <c r="O3042" s="194">
        <f t="shared" si="143"/>
        <v>6.4528181818181818E-2</v>
      </c>
    </row>
    <row r="3043" spans="1:15" ht="12.75" customHeight="1">
      <c r="A3043" s="188" t="s">
        <v>620</v>
      </c>
      <c r="B3043" s="188" t="s">
        <v>3787</v>
      </c>
      <c r="C3043" s="188" t="s">
        <v>659</v>
      </c>
      <c r="D3043" s="188" t="s">
        <v>4664</v>
      </c>
      <c r="E3043" s="189">
        <v>39366</v>
      </c>
      <c r="F3043" s="190">
        <v>0</v>
      </c>
      <c r="G3043" s="190">
        <v>89.09</v>
      </c>
      <c r="H3043" s="191">
        <v>2248</v>
      </c>
      <c r="I3043" s="191">
        <v>626.4</v>
      </c>
      <c r="J3043" s="188" t="s">
        <v>624</v>
      </c>
      <c r="K3043" s="188" t="s">
        <v>427</v>
      </c>
      <c r="L3043" s="188" t="s">
        <v>2728</v>
      </c>
      <c r="M3043" s="192">
        <f t="shared" si="141"/>
        <v>25</v>
      </c>
      <c r="N3043" s="193">
        <f t="shared" si="142"/>
        <v>1.6149425287356323</v>
      </c>
      <c r="O3043" s="194">
        <f t="shared" si="143"/>
        <v>6.4597701149425285E-2</v>
      </c>
    </row>
    <row r="3044" spans="1:15" ht="12.75" customHeight="1">
      <c r="A3044" s="188" t="s">
        <v>620</v>
      </c>
      <c r="B3044" s="188" t="s">
        <v>3787</v>
      </c>
      <c r="C3044" s="188" t="s">
        <v>659</v>
      </c>
      <c r="D3044" s="188" t="s">
        <v>4665</v>
      </c>
      <c r="E3044" s="189">
        <v>39352</v>
      </c>
      <c r="F3044" s="190">
        <v>0</v>
      </c>
      <c r="G3044" s="190">
        <v>3.33</v>
      </c>
      <c r="H3044" s="191">
        <v>84</v>
      </c>
      <c r="I3044" s="191">
        <v>23.4</v>
      </c>
      <c r="J3044" s="188" t="s">
        <v>624</v>
      </c>
      <c r="K3044" s="188" t="s">
        <v>427</v>
      </c>
      <c r="L3044" s="188" t="s">
        <v>487</v>
      </c>
      <c r="M3044" s="192">
        <f t="shared" si="141"/>
        <v>25</v>
      </c>
      <c r="N3044" s="193">
        <f t="shared" si="142"/>
        <v>1.6153846153846154</v>
      </c>
      <c r="O3044" s="194">
        <f t="shared" si="143"/>
        <v>6.4615384615384616E-2</v>
      </c>
    </row>
    <row r="3045" spans="1:15" ht="12.75" customHeight="1">
      <c r="A3045" s="188" t="s">
        <v>620</v>
      </c>
      <c r="B3045" s="188" t="s">
        <v>3787</v>
      </c>
      <c r="C3045" s="188" t="s">
        <v>659</v>
      </c>
      <c r="D3045" s="188" t="s">
        <v>4666</v>
      </c>
      <c r="E3045" s="189">
        <v>39447</v>
      </c>
      <c r="F3045" s="190">
        <v>0</v>
      </c>
      <c r="G3045" s="190">
        <v>92.8</v>
      </c>
      <c r="H3045" s="191">
        <v>2812</v>
      </c>
      <c r="I3045" s="191">
        <v>652.5</v>
      </c>
      <c r="J3045" s="188" t="s">
        <v>624</v>
      </c>
      <c r="K3045" s="188" t="s">
        <v>257</v>
      </c>
      <c r="L3045" s="188" t="s">
        <v>920</v>
      </c>
      <c r="M3045" s="192">
        <f t="shared" si="141"/>
        <v>30</v>
      </c>
      <c r="N3045" s="193">
        <f t="shared" si="142"/>
        <v>1.9393103448275861</v>
      </c>
      <c r="O3045" s="194">
        <f t="shared" si="143"/>
        <v>6.4643678160919538E-2</v>
      </c>
    </row>
    <row r="3046" spans="1:15" ht="12.75" customHeight="1">
      <c r="A3046" s="188" t="s">
        <v>620</v>
      </c>
      <c r="B3046" s="188" t="s">
        <v>3787</v>
      </c>
      <c r="C3046" s="188" t="s">
        <v>659</v>
      </c>
      <c r="D3046" s="188" t="s">
        <v>4667</v>
      </c>
      <c r="E3046" s="189">
        <v>39219</v>
      </c>
      <c r="F3046" s="190">
        <v>0</v>
      </c>
      <c r="G3046" s="190">
        <v>96</v>
      </c>
      <c r="H3046" s="191">
        <v>2427</v>
      </c>
      <c r="I3046" s="191">
        <v>675</v>
      </c>
      <c r="J3046" s="188" t="s">
        <v>624</v>
      </c>
      <c r="K3046" s="188" t="s">
        <v>427</v>
      </c>
      <c r="L3046" s="188" t="s">
        <v>746</v>
      </c>
      <c r="M3046" s="192">
        <f t="shared" si="141"/>
        <v>25</v>
      </c>
      <c r="N3046" s="193">
        <f t="shared" si="142"/>
        <v>1.6180000000000001</v>
      </c>
      <c r="O3046" s="194">
        <f t="shared" si="143"/>
        <v>6.472E-2</v>
      </c>
    </row>
    <row r="3047" spans="1:15" ht="12.75" customHeight="1">
      <c r="A3047" s="188" t="s">
        <v>620</v>
      </c>
      <c r="B3047" s="188" t="s">
        <v>3787</v>
      </c>
      <c r="C3047" s="188" t="s">
        <v>659</v>
      </c>
      <c r="D3047" s="188" t="s">
        <v>4668</v>
      </c>
      <c r="E3047" s="189">
        <v>39366</v>
      </c>
      <c r="F3047" s="190">
        <v>0</v>
      </c>
      <c r="G3047" s="190">
        <v>70.91</v>
      </c>
      <c r="H3047" s="191">
        <v>1793.74</v>
      </c>
      <c r="I3047" s="191">
        <v>498.6</v>
      </c>
      <c r="J3047" s="188" t="s">
        <v>624</v>
      </c>
      <c r="K3047" s="188" t="s">
        <v>427</v>
      </c>
      <c r="L3047" s="188" t="s">
        <v>964</v>
      </c>
      <c r="M3047" s="192">
        <f t="shared" si="141"/>
        <v>25</v>
      </c>
      <c r="N3047" s="193">
        <f t="shared" si="142"/>
        <v>1.618898916967509</v>
      </c>
      <c r="O3047" s="194">
        <f t="shared" si="143"/>
        <v>6.4755956678700363E-2</v>
      </c>
    </row>
    <row r="3048" spans="1:15" ht="12.75" customHeight="1">
      <c r="A3048" s="188" t="s">
        <v>620</v>
      </c>
      <c r="B3048" s="188" t="s">
        <v>3787</v>
      </c>
      <c r="C3048" s="188" t="s">
        <v>659</v>
      </c>
      <c r="D3048" s="188" t="s">
        <v>4669</v>
      </c>
      <c r="E3048" s="189">
        <v>39269</v>
      </c>
      <c r="F3048" s="190">
        <v>0</v>
      </c>
      <c r="G3048" s="190">
        <v>87.04</v>
      </c>
      <c r="H3048" s="191">
        <v>2201.98</v>
      </c>
      <c r="I3048" s="191">
        <v>612</v>
      </c>
      <c r="J3048" s="188" t="s">
        <v>624</v>
      </c>
      <c r="K3048" s="188" t="s">
        <v>427</v>
      </c>
      <c r="L3048" s="188" t="s">
        <v>774</v>
      </c>
      <c r="M3048" s="192">
        <f t="shared" si="141"/>
        <v>25</v>
      </c>
      <c r="N3048" s="193">
        <f t="shared" si="142"/>
        <v>1.6191029411764706</v>
      </c>
      <c r="O3048" s="194">
        <f t="shared" si="143"/>
        <v>6.4764117647058819E-2</v>
      </c>
    </row>
    <row r="3049" spans="1:15" ht="12.75" customHeight="1">
      <c r="A3049" s="188" t="s">
        <v>620</v>
      </c>
      <c r="B3049" s="188" t="s">
        <v>3787</v>
      </c>
      <c r="C3049" s="188" t="s">
        <v>659</v>
      </c>
      <c r="D3049" s="188" t="s">
        <v>4670</v>
      </c>
      <c r="E3049" s="189">
        <v>39345</v>
      </c>
      <c r="F3049" s="190">
        <v>0</v>
      </c>
      <c r="G3049" s="190">
        <v>59.84</v>
      </c>
      <c r="H3049" s="191">
        <v>1514.05</v>
      </c>
      <c r="I3049" s="191">
        <v>420.75</v>
      </c>
      <c r="J3049" s="188" t="s">
        <v>624</v>
      </c>
      <c r="K3049" s="188" t="s">
        <v>427</v>
      </c>
      <c r="L3049" s="188" t="s">
        <v>4671</v>
      </c>
      <c r="M3049" s="192">
        <f t="shared" si="141"/>
        <v>25</v>
      </c>
      <c r="N3049" s="193">
        <f t="shared" si="142"/>
        <v>1.6193048128342244</v>
      </c>
      <c r="O3049" s="194">
        <f t="shared" si="143"/>
        <v>6.4772192513368979E-2</v>
      </c>
    </row>
    <row r="3050" spans="1:15" ht="12.75" customHeight="1">
      <c r="A3050" s="188" t="s">
        <v>620</v>
      </c>
      <c r="B3050" s="188" t="s">
        <v>3787</v>
      </c>
      <c r="C3050" s="188" t="s">
        <v>659</v>
      </c>
      <c r="D3050" s="188" t="s">
        <v>4672</v>
      </c>
      <c r="E3050" s="189">
        <v>39359</v>
      </c>
      <c r="F3050" s="190">
        <v>0</v>
      </c>
      <c r="G3050" s="190">
        <v>40.19</v>
      </c>
      <c r="H3050" s="191">
        <v>1017.99</v>
      </c>
      <c r="I3050" s="191">
        <v>282.60000000000002</v>
      </c>
      <c r="J3050" s="188" t="s">
        <v>624</v>
      </c>
      <c r="K3050" s="188" t="s">
        <v>427</v>
      </c>
      <c r="L3050" s="188" t="s">
        <v>4673</v>
      </c>
      <c r="M3050" s="192">
        <f t="shared" si="141"/>
        <v>25</v>
      </c>
      <c r="N3050" s="193">
        <f t="shared" si="142"/>
        <v>1.6210031847133759</v>
      </c>
      <c r="O3050" s="194">
        <f t="shared" si="143"/>
        <v>6.4840127388535035E-2</v>
      </c>
    </row>
    <row r="3051" spans="1:15" ht="12.75" customHeight="1">
      <c r="A3051" s="188" t="s">
        <v>620</v>
      </c>
      <c r="B3051" s="188" t="s">
        <v>3787</v>
      </c>
      <c r="C3051" s="188" t="s">
        <v>659</v>
      </c>
      <c r="D3051" s="188" t="s">
        <v>4674</v>
      </c>
      <c r="E3051" s="189">
        <v>39407</v>
      </c>
      <c r="F3051" s="190">
        <v>0</v>
      </c>
      <c r="G3051" s="190">
        <v>115.2</v>
      </c>
      <c r="H3051" s="191">
        <v>2459</v>
      </c>
      <c r="I3051" s="191">
        <v>810</v>
      </c>
      <c r="J3051" s="188" t="s">
        <v>624</v>
      </c>
      <c r="K3051" s="188" t="s">
        <v>1344</v>
      </c>
      <c r="L3051" s="188" t="s">
        <v>718</v>
      </c>
      <c r="M3051" s="192">
        <f t="shared" si="141"/>
        <v>21</v>
      </c>
      <c r="N3051" s="193">
        <f t="shared" si="142"/>
        <v>1.3661111111111111</v>
      </c>
      <c r="O3051" s="194">
        <f t="shared" si="143"/>
        <v>6.5052910052910057E-2</v>
      </c>
    </row>
    <row r="3052" spans="1:15" ht="12.75" customHeight="1">
      <c r="A3052" s="188" t="s">
        <v>620</v>
      </c>
      <c r="B3052" s="188" t="s">
        <v>3787</v>
      </c>
      <c r="C3052" s="188" t="s">
        <v>659</v>
      </c>
      <c r="D3052" s="188" t="s">
        <v>4675</v>
      </c>
      <c r="E3052" s="189">
        <v>39310</v>
      </c>
      <c r="F3052" s="190">
        <v>0</v>
      </c>
      <c r="G3052" s="190">
        <v>51.97</v>
      </c>
      <c r="H3052" s="191">
        <v>1323.97</v>
      </c>
      <c r="I3052" s="191">
        <v>365.4</v>
      </c>
      <c r="J3052" s="188" t="s">
        <v>624</v>
      </c>
      <c r="K3052" s="188" t="s">
        <v>427</v>
      </c>
      <c r="L3052" s="188" t="s">
        <v>3471</v>
      </c>
      <c r="M3052" s="192">
        <f t="shared" si="141"/>
        <v>25</v>
      </c>
      <c r="N3052" s="193">
        <f t="shared" si="142"/>
        <v>1.6305049261083744</v>
      </c>
      <c r="O3052" s="194">
        <f t="shared" si="143"/>
        <v>6.5220197044334974E-2</v>
      </c>
    </row>
    <row r="3053" spans="1:15" ht="12.75" customHeight="1">
      <c r="A3053" s="188" t="s">
        <v>620</v>
      </c>
      <c r="B3053" s="188" t="s">
        <v>3787</v>
      </c>
      <c r="C3053" s="188" t="s">
        <v>659</v>
      </c>
      <c r="D3053" s="188" t="s">
        <v>4676</v>
      </c>
      <c r="E3053" s="189">
        <v>39471</v>
      </c>
      <c r="F3053" s="190">
        <v>0</v>
      </c>
      <c r="G3053" s="190">
        <v>78.08</v>
      </c>
      <c r="H3053" s="191">
        <v>1678</v>
      </c>
      <c r="I3053" s="191">
        <v>549</v>
      </c>
      <c r="J3053" s="188" t="s">
        <v>624</v>
      </c>
      <c r="K3053" s="188" t="s">
        <v>1344</v>
      </c>
      <c r="L3053" s="188" t="s">
        <v>689</v>
      </c>
      <c r="M3053" s="192">
        <f t="shared" si="141"/>
        <v>21</v>
      </c>
      <c r="N3053" s="193">
        <f t="shared" si="142"/>
        <v>1.3754098360655738</v>
      </c>
      <c r="O3053" s="194">
        <f t="shared" si="143"/>
        <v>6.5495706479313034E-2</v>
      </c>
    </row>
    <row r="3054" spans="1:15" ht="12.75" customHeight="1">
      <c r="A3054" s="188" t="s">
        <v>620</v>
      </c>
      <c r="B3054" s="188" t="s">
        <v>3787</v>
      </c>
      <c r="C3054" s="188" t="s">
        <v>659</v>
      </c>
      <c r="D3054" s="188" t="s">
        <v>4677</v>
      </c>
      <c r="E3054" s="189">
        <v>39625</v>
      </c>
      <c r="F3054" s="190">
        <v>0</v>
      </c>
      <c r="G3054" s="190">
        <v>36.86</v>
      </c>
      <c r="H3054" s="191">
        <v>1132.47</v>
      </c>
      <c r="I3054" s="191">
        <v>259.2</v>
      </c>
      <c r="J3054" s="188" t="s">
        <v>624</v>
      </c>
      <c r="K3054" s="188" t="s">
        <v>257</v>
      </c>
      <c r="L3054" s="188" t="s">
        <v>3017</v>
      </c>
      <c r="M3054" s="192">
        <f t="shared" si="141"/>
        <v>30</v>
      </c>
      <c r="N3054" s="193">
        <f t="shared" si="142"/>
        <v>1.96609375</v>
      </c>
      <c r="O3054" s="194">
        <f t="shared" si="143"/>
        <v>6.5536458333333339E-2</v>
      </c>
    </row>
    <row r="3055" spans="1:15" ht="12.75" customHeight="1">
      <c r="A3055" s="188" t="s">
        <v>620</v>
      </c>
      <c r="B3055" s="188" t="s">
        <v>3787</v>
      </c>
      <c r="C3055" s="188" t="s">
        <v>659</v>
      </c>
      <c r="D3055" s="188" t="s">
        <v>4678</v>
      </c>
      <c r="E3055" s="189">
        <v>39583</v>
      </c>
      <c r="F3055" s="190">
        <v>0</v>
      </c>
      <c r="G3055" s="190">
        <v>6.27</v>
      </c>
      <c r="H3055" s="191">
        <v>161</v>
      </c>
      <c r="I3055" s="191">
        <v>44.1</v>
      </c>
      <c r="J3055" s="188" t="s">
        <v>624</v>
      </c>
      <c r="K3055" s="188" t="s">
        <v>427</v>
      </c>
      <c r="L3055" s="188" t="s">
        <v>4679</v>
      </c>
      <c r="M3055" s="192">
        <f t="shared" si="141"/>
        <v>25</v>
      </c>
      <c r="N3055" s="193">
        <f t="shared" si="142"/>
        <v>1.6428571428571428</v>
      </c>
      <c r="O3055" s="194">
        <f t="shared" si="143"/>
        <v>6.5714285714285711E-2</v>
      </c>
    </row>
    <row r="3056" spans="1:15" ht="12.75" customHeight="1">
      <c r="A3056" s="188" t="s">
        <v>620</v>
      </c>
      <c r="B3056" s="188" t="s">
        <v>3787</v>
      </c>
      <c r="C3056" s="188" t="s">
        <v>659</v>
      </c>
      <c r="D3056" s="188" t="s">
        <v>4680</v>
      </c>
      <c r="E3056" s="189">
        <v>39324</v>
      </c>
      <c r="F3056" s="190">
        <v>0</v>
      </c>
      <c r="G3056" s="190">
        <v>84.99</v>
      </c>
      <c r="H3056" s="191">
        <v>1833.97</v>
      </c>
      <c r="I3056" s="191">
        <v>597.6</v>
      </c>
      <c r="J3056" s="188" t="s">
        <v>624</v>
      </c>
      <c r="K3056" s="188" t="s">
        <v>1344</v>
      </c>
      <c r="L3056" s="188" t="s">
        <v>2984</v>
      </c>
      <c r="M3056" s="192">
        <f t="shared" si="141"/>
        <v>21</v>
      </c>
      <c r="N3056" s="193">
        <f t="shared" si="142"/>
        <v>1.3810015060240963</v>
      </c>
      <c r="O3056" s="194">
        <f t="shared" si="143"/>
        <v>6.5761976477337919E-2</v>
      </c>
    </row>
    <row r="3057" spans="1:15" ht="12.75" customHeight="1">
      <c r="A3057" s="188" t="s">
        <v>620</v>
      </c>
      <c r="B3057" s="188" t="s">
        <v>3787</v>
      </c>
      <c r="C3057" s="188" t="s">
        <v>659</v>
      </c>
      <c r="D3057" s="188" t="s">
        <v>4681</v>
      </c>
      <c r="E3057" s="189">
        <v>39269</v>
      </c>
      <c r="F3057" s="190">
        <v>0</v>
      </c>
      <c r="G3057" s="190">
        <v>96.64</v>
      </c>
      <c r="H3057" s="191">
        <v>2483.04</v>
      </c>
      <c r="I3057" s="191">
        <v>679.5</v>
      </c>
      <c r="J3057" s="188" t="s">
        <v>624</v>
      </c>
      <c r="K3057" s="188" t="s">
        <v>427</v>
      </c>
      <c r="L3057" s="188" t="s">
        <v>2506</v>
      </c>
      <c r="M3057" s="192">
        <f t="shared" si="141"/>
        <v>25</v>
      </c>
      <c r="N3057" s="193">
        <f t="shared" si="142"/>
        <v>1.6443973509933774</v>
      </c>
      <c r="O3057" s="194">
        <f t="shared" si="143"/>
        <v>6.5775894039735092E-2</v>
      </c>
    </row>
    <row r="3058" spans="1:15" ht="12.75" customHeight="1">
      <c r="A3058" s="188" t="s">
        <v>620</v>
      </c>
      <c r="B3058" s="188" t="s">
        <v>3787</v>
      </c>
      <c r="C3058" s="188" t="s">
        <v>659</v>
      </c>
      <c r="D3058" s="188" t="s">
        <v>4682</v>
      </c>
      <c r="E3058" s="189">
        <v>39618</v>
      </c>
      <c r="F3058" s="190">
        <v>0</v>
      </c>
      <c r="G3058" s="190">
        <v>156.93</v>
      </c>
      <c r="H3058" s="191">
        <v>3065</v>
      </c>
      <c r="I3058" s="191">
        <v>1103.4000000000001</v>
      </c>
      <c r="J3058" s="188" t="s">
        <v>624</v>
      </c>
      <c r="K3058" s="188" t="s">
        <v>667</v>
      </c>
      <c r="L3058" s="188" t="s">
        <v>4683</v>
      </c>
      <c r="M3058" s="192">
        <f t="shared" si="141"/>
        <v>19</v>
      </c>
      <c r="N3058" s="193">
        <f t="shared" si="142"/>
        <v>1.25</v>
      </c>
      <c r="O3058" s="194">
        <f t="shared" si="143"/>
        <v>6.5789473684210523E-2</v>
      </c>
    </row>
    <row r="3059" spans="1:15" ht="12.75" customHeight="1">
      <c r="A3059" s="188" t="s">
        <v>620</v>
      </c>
      <c r="B3059" s="188" t="s">
        <v>3787</v>
      </c>
      <c r="C3059" s="188" t="s">
        <v>659</v>
      </c>
      <c r="D3059" s="188" t="s">
        <v>4684</v>
      </c>
      <c r="E3059" s="189">
        <v>39261</v>
      </c>
      <c r="F3059" s="190">
        <v>0</v>
      </c>
      <c r="G3059" s="190">
        <v>69.06</v>
      </c>
      <c r="H3059" s="191">
        <v>995.05</v>
      </c>
      <c r="I3059" s="191">
        <v>485.55</v>
      </c>
      <c r="J3059" s="188" t="s">
        <v>639</v>
      </c>
      <c r="K3059" s="188" t="s">
        <v>427</v>
      </c>
      <c r="L3059" s="188" t="s">
        <v>4685</v>
      </c>
      <c r="M3059" s="192">
        <f t="shared" si="141"/>
        <v>14</v>
      </c>
      <c r="N3059" s="193">
        <f t="shared" si="142"/>
        <v>0.9221964782205746</v>
      </c>
      <c r="O3059" s="194">
        <f t="shared" si="143"/>
        <v>6.5871177015755331E-2</v>
      </c>
    </row>
    <row r="3060" spans="1:15" ht="12.75" customHeight="1">
      <c r="A3060" s="188" t="s">
        <v>620</v>
      </c>
      <c r="B3060" s="188" t="s">
        <v>3787</v>
      </c>
      <c r="C3060" s="188" t="s">
        <v>659</v>
      </c>
      <c r="D3060" s="188" t="s">
        <v>4686</v>
      </c>
      <c r="E3060" s="189">
        <v>39247</v>
      </c>
      <c r="F3060" s="190">
        <v>0</v>
      </c>
      <c r="G3060" s="190">
        <v>92.16</v>
      </c>
      <c r="H3060" s="191">
        <v>2374.42</v>
      </c>
      <c r="I3060" s="191">
        <v>648</v>
      </c>
      <c r="J3060" s="188" t="s">
        <v>624</v>
      </c>
      <c r="K3060" s="188" t="s">
        <v>427</v>
      </c>
      <c r="L3060" s="188" t="s">
        <v>682</v>
      </c>
      <c r="M3060" s="192">
        <f t="shared" si="141"/>
        <v>25</v>
      </c>
      <c r="N3060" s="193">
        <f t="shared" si="142"/>
        <v>1.6489027777777778</v>
      </c>
      <c r="O3060" s="194">
        <f t="shared" si="143"/>
        <v>6.5956111111111118E-2</v>
      </c>
    </row>
    <row r="3061" spans="1:15" ht="12.75" customHeight="1">
      <c r="A3061" s="188" t="s">
        <v>620</v>
      </c>
      <c r="B3061" s="188" t="s">
        <v>3787</v>
      </c>
      <c r="C3061" s="188" t="s">
        <v>659</v>
      </c>
      <c r="D3061" s="188" t="s">
        <v>4687</v>
      </c>
      <c r="E3061" s="189">
        <v>39353</v>
      </c>
      <c r="F3061" s="190">
        <v>0</v>
      </c>
      <c r="G3061" s="190">
        <v>102.4</v>
      </c>
      <c r="H3061" s="191">
        <v>2640</v>
      </c>
      <c r="I3061" s="191">
        <v>720</v>
      </c>
      <c r="J3061" s="188" t="s">
        <v>624</v>
      </c>
      <c r="K3061" s="188" t="s">
        <v>427</v>
      </c>
      <c r="L3061" s="188" t="s">
        <v>625</v>
      </c>
      <c r="M3061" s="192">
        <f t="shared" si="141"/>
        <v>25</v>
      </c>
      <c r="N3061" s="193">
        <f t="shared" si="142"/>
        <v>1.65</v>
      </c>
      <c r="O3061" s="194">
        <f t="shared" si="143"/>
        <v>6.6000000000000003E-2</v>
      </c>
    </row>
    <row r="3062" spans="1:15" ht="12.75" customHeight="1">
      <c r="A3062" s="188" t="s">
        <v>620</v>
      </c>
      <c r="B3062" s="188" t="s">
        <v>3787</v>
      </c>
      <c r="C3062" s="188" t="s">
        <v>659</v>
      </c>
      <c r="D3062" s="188" t="s">
        <v>4688</v>
      </c>
      <c r="E3062" s="189">
        <v>39261</v>
      </c>
      <c r="F3062" s="190">
        <v>0</v>
      </c>
      <c r="G3062" s="190">
        <v>83.52</v>
      </c>
      <c r="H3062" s="191">
        <v>2165</v>
      </c>
      <c r="I3062" s="191">
        <v>587.25</v>
      </c>
      <c r="J3062" s="188" t="s">
        <v>624</v>
      </c>
      <c r="K3062" s="188" t="s">
        <v>427</v>
      </c>
      <c r="L3062" s="188" t="s">
        <v>1950</v>
      </c>
      <c r="M3062" s="192">
        <f t="shared" si="141"/>
        <v>25</v>
      </c>
      <c r="N3062" s="193">
        <f t="shared" si="142"/>
        <v>1.6590038314176245</v>
      </c>
      <c r="O3062" s="194">
        <f t="shared" si="143"/>
        <v>6.6360153256704982E-2</v>
      </c>
    </row>
    <row r="3063" spans="1:15" ht="12.75" customHeight="1">
      <c r="A3063" s="188" t="s">
        <v>620</v>
      </c>
      <c r="B3063" s="188" t="s">
        <v>3787</v>
      </c>
      <c r="C3063" s="188" t="s">
        <v>659</v>
      </c>
      <c r="D3063" s="188" t="s">
        <v>4689</v>
      </c>
      <c r="E3063" s="189">
        <v>39464</v>
      </c>
      <c r="F3063" s="190">
        <v>0</v>
      </c>
      <c r="G3063" s="190">
        <v>33.79</v>
      </c>
      <c r="H3063" s="191">
        <v>876</v>
      </c>
      <c r="I3063" s="191">
        <v>237.6</v>
      </c>
      <c r="J3063" s="188" t="s">
        <v>624</v>
      </c>
      <c r="K3063" s="188" t="s">
        <v>427</v>
      </c>
      <c r="L3063" s="188" t="s">
        <v>1162</v>
      </c>
      <c r="M3063" s="192">
        <f t="shared" si="141"/>
        <v>25</v>
      </c>
      <c r="N3063" s="193">
        <f t="shared" si="142"/>
        <v>1.6590909090909092</v>
      </c>
      <c r="O3063" s="194">
        <f t="shared" si="143"/>
        <v>6.6363636363636361E-2</v>
      </c>
    </row>
    <row r="3064" spans="1:15" ht="12.75" customHeight="1">
      <c r="A3064" s="188" t="s">
        <v>620</v>
      </c>
      <c r="B3064" s="188" t="s">
        <v>3787</v>
      </c>
      <c r="C3064" s="188" t="s">
        <v>659</v>
      </c>
      <c r="D3064" s="188" t="s">
        <v>4690</v>
      </c>
      <c r="E3064" s="189">
        <v>39447</v>
      </c>
      <c r="F3064" s="190">
        <v>0</v>
      </c>
      <c r="G3064" s="190">
        <v>79.099999999999994</v>
      </c>
      <c r="H3064" s="191">
        <v>2051</v>
      </c>
      <c r="I3064" s="191">
        <v>556.20000000000005</v>
      </c>
      <c r="J3064" s="188" t="s">
        <v>624</v>
      </c>
      <c r="K3064" s="188" t="s">
        <v>427</v>
      </c>
      <c r="L3064" s="188" t="s">
        <v>2354</v>
      </c>
      <c r="M3064" s="192">
        <f t="shared" si="141"/>
        <v>25</v>
      </c>
      <c r="N3064" s="193">
        <f t="shared" si="142"/>
        <v>1.6593851132686084</v>
      </c>
      <c r="O3064" s="194">
        <f t="shared" si="143"/>
        <v>6.6375404530744336E-2</v>
      </c>
    </row>
    <row r="3065" spans="1:15" ht="12.75" customHeight="1">
      <c r="A3065" s="188" t="s">
        <v>620</v>
      </c>
      <c r="B3065" s="188" t="s">
        <v>3787</v>
      </c>
      <c r="C3065" s="188" t="s">
        <v>659</v>
      </c>
      <c r="D3065" s="188" t="s">
        <v>4691</v>
      </c>
      <c r="E3065" s="189">
        <v>39447</v>
      </c>
      <c r="F3065" s="190">
        <v>0</v>
      </c>
      <c r="G3065" s="190">
        <v>38.909999999999997</v>
      </c>
      <c r="H3065" s="191">
        <v>1009</v>
      </c>
      <c r="I3065" s="191">
        <v>273.60000000000002</v>
      </c>
      <c r="J3065" s="188" t="s">
        <v>624</v>
      </c>
      <c r="K3065" s="188" t="s">
        <v>427</v>
      </c>
      <c r="L3065" s="188" t="s">
        <v>2047</v>
      </c>
      <c r="M3065" s="192">
        <f t="shared" si="141"/>
        <v>25</v>
      </c>
      <c r="N3065" s="193">
        <f t="shared" si="142"/>
        <v>1.6595394736842106</v>
      </c>
      <c r="O3065" s="194">
        <f t="shared" si="143"/>
        <v>6.638157894736843E-2</v>
      </c>
    </row>
    <row r="3066" spans="1:15" ht="12.75" customHeight="1">
      <c r="A3066" s="188" t="s">
        <v>620</v>
      </c>
      <c r="B3066" s="188" t="s">
        <v>3787</v>
      </c>
      <c r="C3066" s="188" t="s">
        <v>659</v>
      </c>
      <c r="D3066" s="188" t="s">
        <v>4692</v>
      </c>
      <c r="E3066" s="189">
        <v>39639</v>
      </c>
      <c r="F3066" s="190">
        <v>0</v>
      </c>
      <c r="G3066" s="190">
        <v>87.04</v>
      </c>
      <c r="H3066" s="191">
        <v>2257</v>
      </c>
      <c r="I3066" s="191">
        <v>612</v>
      </c>
      <c r="J3066" s="188" t="s">
        <v>624</v>
      </c>
      <c r="K3066" s="188" t="s">
        <v>427</v>
      </c>
      <c r="L3066" s="188" t="s">
        <v>774</v>
      </c>
      <c r="M3066" s="192">
        <f t="shared" si="141"/>
        <v>25</v>
      </c>
      <c r="N3066" s="193">
        <f t="shared" si="142"/>
        <v>1.6595588235294119</v>
      </c>
      <c r="O3066" s="194">
        <f t="shared" si="143"/>
        <v>6.6382352941176476E-2</v>
      </c>
    </row>
    <row r="3067" spans="1:15" ht="12.75" customHeight="1">
      <c r="A3067" s="188" t="s">
        <v>620</v>
      </c>
      <c r="B3067" s="188" t="s">
        <v>3787</v>
      </c>
      <c r="C3067" s="188" t="s">
        <v>659</v>
      </c>
      <c r="D3067" s="188" t="s">
        <v>4693</v>
      </c>
      <c r="E3067" s="189">
        <v>39422</v>
      </c>
      <c r="F3067" s="190">
        <v>0</v>
      </c>
      <c r="G3067" s="190">
        <v>68.48</v>
      </c>
      <c r="H3067" s="191">
        <v>1776</v>
      </c>
      <c r="I3067" s="191">
        <v>481.5</v>
      </c>
      <c r="J3067" s="188" t="s">
        <v>624</v>
      </c>
      <c r="K3067" s="188" t="s">
        <v>427</v>
      </c>
      <c r="L3067" s="188" t="s">
        <v>2955</v>
      </c>
      <c r="M3067" s="192">
        <f t="shared" si="141"/>
        <v>25</v>
      </c>
      <c r="N3067" s="193">
        <f t="shared" si="142"/>
        <v>1.6598130841121495</v>
      </c>
      <c r="O3067" s="194">
        <f t="shared" si="143"/>
        <v>6.6392523364485978E-2</v>
      </c>
    </row>
    <row r="3068" spans="1:15" ht="12.75" customHeight="1">
      <c r="A3068" s="188" t="s">
        <v>620</v>
      </c>
      <c r="B3068" s="188" t="s">
        <v>3787</v>
      </c>
      <c r="C3068" s="188" t="s">
        <v>659</v>
      </c>
      <c r="D3068" s="188" t="s">
        <v>4694</v>
      </c>
      <c r="E3068" s="189">
        <v>39401</v>
      </c>
      <c r="F3068" s="190">
        <v>0</v>
      </c>
      <c r="G3068" s="190">
        <v>111.36</v>
      </c>
      <c r="H3068" s="191">
        <v>2197</v>
      </c>
      <c r="I3068" s="191">
        <v>783</v>
      </c>
      <c r="J3068" s="188" t="s">
        <v>639</v>
      </c>
      <c r="K3068" s="188" t="s">
        <v>257</v>
      </c>
      <c r="L3068" s="188" t="s">
        <v>4695</v>
      </c>
      <c r="M3068" s="192">
        <f t="shared" si="141"/>
        <v>19</v>
      </c>
      <c r="N3068" s="193">
        <f t="shared" si="142"/>
        <v>1.2626436781609196</v>
      </c>
      <c r="O3068" s="194">
        <f t="shared" si="143"/>
        <v>6.645493042952208E-2</v>
      </c>
    </row>
    <row r="3069" spans="1:15" ht="12.75" customHeight="1">
      <c r="A3069" s="188" t="s">
        <v>620</v>
      </c>
      <c r="B3069" s="188" t="s">
        <v>3787</v>
      </c>
      <c r="C3069" s="188" t="s">
        <v>659</v>
      </c>
      <c r="D3069" s="188" t="s">
        <v>4696</v>
      </c>
      <c r="E3069" s="189">
        <v>39478</v>
      </c>
      <c r="F3069" s="190">
        <v>0</v>
      </c>
      <c r="G3069" s="190">
        <v>94.72</v>
      </c>
      <c r="H3069" s="191">
        <v>2465</v>
      </c>
      <c r="I3069" s="191">
        <v>666</v>
      </c>
      <c r="J3069" s="188" t="s">
        <v>624</v>
      </c>
      <c r="K3069" s="188" t="s">
        <v>427</v>
      </c>
      <c r="L3069" s="188" t="s">
        <v>1479</v>
      </c>
      <c r="M3069" s="192">
        <f t="shared" si="141"/>
        <v>25</v>
      </c>
      <c r="N3069" s="193">
        <f t="shared" si="142"/>
        <v>1.6655405405405406</v>
      </c>
      <c r="O3069" s="194">
        <f t="shared" si="143"/>
        <v>6.6621621621621621E-2</v>
      </c>
    </row>
    <row r="3070" spans="1:15" ht="12.75" customHeight="1">
      <c r="A3070" s="188" t="s">
        <v>620</v>
      </c>
      <c r="B3070" s="188" t="s">
        <v>3787</v>
      </c>
      <c r="C3070" s="188" t="s">
        <v>659</v>
      </c>
      <c r="D3070" s="188" t="s">
        <v>4697</v>
      </c>
      <c r="E3070" s="189">
        <v>39310</v>
      </c>
      <c r="F3070" s="190">
        <v>0</v>
      </c>
      <c r="G3070" s="190">
        <v>118.02</v>
      </c>
      <c r="H3070" s="191">
        <v>3087.04</v>
      </c>
      <c r="I3070" s="191">
        <v>829.8</v>
      </c>
      <c r="J3070" s="188" t="s">
        <v>624</v>
      </c>
      <c r="K3070" s="188" t="s">
        <v>427</v>
      </c>
      <c r="L3070" s="188" t="s">
        <v>2788</v>
      </c>
      <c r="M3070" s="192">
        <f t="shared" si="141"/>
        <v>25</v>
      </c>
      <c r="N3070" s="193">
        <f t="shared" si="142"/>
        <v>1.6740997830802602</v>
      </c>
      <c r="O3070" s="194">
        <f t="shared" si="143"/>
        <v>6.6963991323210403E-2</v>
      </c>
    </row>
    <row r="3071" spans="1:15" ht="12.75" customHeight="1">
      <c r="A3071" s="188" t="s">
        <v>620</v>
      </c>
      <c r="B3071" s="188" t="s">
        <v>3787</v>
      </c>
      <c r="C3071" s="188" t="s">
        <v>659</v>
      </c>
      <c r="D3071" s="188" t="s">
        <v>4698</v>
      </c>
      <c r="E3071" s="189">
        <v>39478</v>
      </c>
      <c r="F3071" s="190">
        <v>0</v>
      </c>
      <c r="G3071" s="190">
        <v>102.85</v>
      </c>
      <c r="H3071" s="191">
        <v>2262</v>
      </c>
      <c r="I3071" s="191">
        <v>723.15</v>
      </c>
      <c r="J3071" s="188" t="s">
        <v>624</v>
      </c>
      <c r="K3071" s="188" t="s">
        <v>1344</v>
      </c>
      <c r="L3071" s="188" t="s">
        <v>2620</v>
      </c>
      <c r="M3071" s="192">
        <f t="shared" si="141"/>
        <v>21</v>
      </c>
      <c r="N3071" s="193">
        <f t="shared" si="142"/>
        <v>1.4075917859365277</v>
      </c>
      <c r="O3071" s="194">
        <f t="shared" si="143"/>
        <v>6.7028180282691793E-2</v>
      </c>
    </row>
    <row r="3072" spans="1:15" ht="12.75" customHeight="1">
      <c r="A3072" s="188" t="s">
        <v>620</v>
      </c>
      <c r="B3072" s="188" t="s">
        <v>3787</v>
      </c>
      <c r="C3072" s="188" t="s">
        <v>659</v>
      </c>
      <c r="D3072" s="188" t="s">
        <v>4699</v>
      </c>
      <c r="E3072" s="189">
        <v>39499</v>
      </c>
      <c r="F3072" s="190">
        <v>0</v>
      </c>
      <c r="G3072" s="190">
        <v>78.27</v>
      </c>
      <c r="H3072" s="191">
        <v>2051</v>
      </c>
      <c r="I3072" s="191">
        <v>550.35</v>
      </c>
      <c r="J3072" s="188" t="s">
        <v>624</v>
      </c>
      <c r="K3072" s="188" t="s">
        <v>427</v>
      </c>
      <c r="L3072" s="188" t="s">
        <v>4700</v>
      </c>
      <c r="M3072" s="192">
        <f t="shared" si="141"/>
        <v>25</v>
      </c>
      <c r="N3072" s="193">
        <f t="shared" si="142"/>
        <v>1.6770237121831562</v>
      </c>
      <c r="O3072" s="194">
        <f t="shared" si="143"/>
        <v>6.708094848732625E-2</v>
      </c>
    </row>
    <row r="3073" spans="1:15" ht="12.75" customHeight="1">
      <c r="A3073" s="188" t="s">
        <v>620</v>
      </c>
      <c r="B3073" s="188" t="s">
        <v>3787</v>
      </c>
      <c r="C3073" s="188" t="s">
        <v>659</v>
      </c>
      <c r="D3073" s="188" t="s">
        <v>4701</v>
      </c>
      <c r="E3073" s="189">
        <v>39401</v>
      </c>
      <c r="F3073" s="190">
        <v>0</v>
      </c>
      <c r="G3073" s="190">
        <v>106.24</v>
      </c>
      <c r="H3073" s="191">
        <v>2784.9</v>
      </c>
      <c r="I3073" s="191">
        <v>747</v>
      </c>
      <c r="J3073" s="188" t="s">
        <v>624</v>
      </c>
      <c r="K3073" s="188" t="s">
        <v>427</v>
      </c>
      <c r="L3073" s="188" t="s">
        <v>1298</v>
      </c>
      <c r="M3073" s="192">
        <f t="shared" si="141"/>
        <v>25</v>
      </c>
      <c r="N3073" s="193">
        <f t="shared" si="142"/>
        <v>1.6776506024096387</v>
      </c>
      <c r="O3073" s="194">
        <f t="shared" si="143"/>
        <v>6.7106024096385553E-2</v>
      </c>
    </row>
    <row r="3074" spans="1:15" ht="12.75" customHeight="1">
      <c r="A3074" s="188" t="s">
        <v>620</v>
      </c>
      <c r="B3074" s="188" t="s">
        <v>3787</v>
      </c>
      <c r="C3074" s="188" t="s">
        <v>659</v>
      </c>
      <c r="D3074" s="188" t="s">
        <v>4702</v>
      </c>
      <c r="E3074" s="189">
        <v>39492</v>
      </c>
      <c r="F3074" s="190">
        <v>0</v>
      </c>
      <c r="G3074" s="190">
        <v>74.88</v>
      </c>
      <c r="H3074" s="191">
        <v>1971</v>
      </c>
      <c r="I3074" s="191">
        <v>526.5</v>
      </c>
      <c r="J3074" s="188" t="s">
        <v>624</v>
      </c>
      <c r="K3074" s="188" t="s">
        <v>427</v>
      </c>
      <c r="L3074" s="188" t="s">
        <v>1261</v>
      </c>
      <c r="M3074" s="192">
        <f t="shared" ref="M3074:M3137" si="144">K3074-J3074</f>
        <v>25</v>
      </c>
      <c r="N3074" s="193">
        <f t="shared" ref="N3074:N3137" si="145">H3074/L3074</f>
        <v>1.6846153846153846</v>
      </c>
      <c r="O3074" s="194">
        <f t="shared" ref="O3074:O3137" si="146">N3074/M3074</f>
        <v>6.738461538461539E-2</v>
      </c>
    </row>
    <row r="3075" spans="1:15" ht="12.75" customHeight="1">
      <c r="A3075" s="188" t="s">
        <v>620</v>
      </c>
      <c r="B3075" s="188" t="s">
        <v>3787</v>
      </c>
      <c r="C3075" s="188" t="s">
        <v>659</v>
      </c>
      <c r="D3075" s="188" t="s">
        <v>4703</v>
      </c>
      <c r="E3075" s="189">
        <v>39296</v>
      </c>
      <c r="F3075" s="190">
        <v>0</v>
      </c>
      <c r="G3075" s="190">
        <v>8.19</v>
      </c>
      <c r="H3075" s="191">
        <v>216</v>
      </c>
      <c r="I3075" s="191">
        <v>57.6</v>
      </c>
      <c r="J3075" s="188" t="s">
        <v>624</v>
      </c>
      <c r="K3075" s="188" t="s">
        <v>427</v>
      </c>
      <c r="L3075" s="188" t="s">
        <v>3430</v>
      </c>
      <c r="M3075" s="192">
        <f t="shared" si="144"/>
        <v>25</v>
      </c>
      <c r="N3075" s="193">
        <f t="shared" si="145"/>
        <v>1.6875</v>
      </c>
      <c r="O3075" s="194">
        <f t="shared" si="146"/>
        <v>6.7500000000000004E-2</v>
      </c>
    </row>
    <row r="3076" spans="1:15" ht="12.75" customHeight="1">
      <c r="A3076" s="188" t="s">
        <v>620</v>
      </c>
      <c r="B3076" s="188" t="s">
        <v>3787</v>
      </c>
      <c r="C3076" s="188" t="s">
        <v>659</v>
      </c>
      <c r="D3076" s="188" t="s">
        <v>4704</v>
      </c>
      <c r="E3076" s="189">
        <v>39576</v>
      </c>
      <c r="F3076" s="190">
        <v>0</v>
      </c>
      <c r="G3076" s="190">
        <v>68.86</v>
      </c>
      <c r="H3076" s="191">
        <v>1090</v>
      </c>
      <c r="I3076" s="191">
        <v>484.2</v>
      </c>
      <c r="J3076" s="188" t="s">
        <v>503</v>
      </c>
      <c r="K3076" s="188" t="s">
        <v>344</v>
      </c>
      <c r="L3076" s="188" t="s">
        <v>4705</v>
      </c>
      <c r="M3076" s="192">
        <f t="shared" si="144"/>
        <v>15</v>
      </c>
      <c r="N3076" s="193">
        <f t="shared" si="145"/>
        <v>1.013011152416357</v>
      </c>
      <c r="O3076" s="194">
        <f t="shared" si="146"/>
        <v>6.7534076827757125E-2</v>
      </c>
    </row>
    <row r="3077" spans="1:15" ht="12.75" customHeight="1">
      <c r="A3077" s="188" t="s">
        <v>620</v>
      </c>
      <c r="B3077" s="188" t="s">
        <v>3787</v>
      </c>
      <c r="C3077" s="188" t="s">
        <v>659</v>
      </c>
      <c r="D3077" s="188" t="s">
        <v>4706</v>
      </c>
      <c r="E3077" s="189">
        <v>39534</v>
      </c>
      <c r="F3077" s="190">
        <v>0</v>
      </c>
      <c r="G3077" s="190">
        <v>126.4</v>
      </c>
      <c r="H3077" s="191">
        <v>1872</v>
      </c>
      <c r="I3077" s="191">
        <v>888.75</v>
      </c>
      <c r="J3077" s="188" t="s">
        <v>639</v>
      </c>
      <c r="K3077" s="188" t="s">
        <v>427</v>
      </c>
      <c r="L3077" s="188" t="s">
        <v>2417</v>
      </c>
      <c r="M3077" s="192">
        <f t="shared" si="144"/>
        <v>14</v>
      </c>
      <c r="N3077" s="193">
        <f t="shared" si="145"/>
        <v>0.94784810126582275</v>
      </c>
      <c r="O3077" s="194">
        <f t="shared" si="146"/>
        <v>6.7703435804701631E-2</v>
      </c>
    </row>
    <row r="3078" spans="1:15" ht="12.75" customHeight="1">
      <c r="A3078" s="188" t="s">
        <v>620</v>
      </c>
      <c r="B3078" s="188" t="s">
        <v>3787</v>
      </c>
      <c r="C3078" s="188" t="s">
        <v>659</v>
      </c>
      <c r="D3078" s="188" t="s">
        <v>4707</v>
      </c>
      <c r="E3078" s="189">
        <v>39568</v>
      </c>
      <c r="F3078" s="190">
        <v>0</v>
      </c>
      <c r="G3078" s="190">
        <v>39.94</v>
      </c>
      <c r="H3078" s="191">
        <v>1395</v>
      </c>
      <c r="I3078" s="191">
        <v>280.8</v>
      </c>
      <c r="J3078" s="188" t="s">
        <v>624</v>
      </c>
      <c r="K3078" s="188" t="s">
        <v>4708</v>
      </c>
      <c r="L3078" s="188" t="s">
        <v>1897</v>
      </c>
      <c r="M3078" s="192">
        <f t="shared" si="144"/>
        <v>33</v>
      </c>
      <c r="N3078" s="193">
        <f t="shared" si="145"/>
        <v>2.2355769230769229</v>
      </c>
      <c r="O3078" s="194">
        <f t="shared" si="146"/>
        <v>6.7744755244755234E-2</v>
      </c>
    </row>
    <row r="3079" spans="1:15" ht="12.75" customHeight="1">
      <c r="A3079" s="188" t="s">
        <v>620</v>
      </c>
      <c r="B3079" s="188" t="s">
        <v>3787</v>
      </c>
      <c r="C3079" s="188" t="s">
        <v>659</v>
      </c>
      <c r="D3079" s="188" t="s">
        <v>4709</v>
      </c>
      <c r="E3079" s="189">
        <v>39471</v>
      </c>
      <c r="F3079" s="190">
        <v>0</v>
      </c>
      <c r="G3079" s="190">
        <v>88</v>
      </c>
      <c r="H3079" s="191">
        <v>2332.5500000000002</v>
      </c>
      <c r="I3079" s="191">
        <v>618.75</v>
      </c>
      <c r="J3079" s="188" t="s">
        <v>624</v>
      </c>
      <c r="K3079" s="188" t="s">
        <v>427</v>
      </c>
      <c r="L3079" s="188" t="s">
        <v>1271</v>
      </c>
      <c r="M3079" s="192">
        <f t="shared" si="144"/>
        <v>25</v>
      </c>
      <c r="N3079" s="193">
        <f t="shared" si="145"/>
        <v>1.6964000000000001</v>
      </c>
      <c r="O3079" s="194">
        <f t="shared" si="146"/>
        <v>6.7856E-2</v>
      </c>
    </row>
    <row r="3080" spans="1:15" ht="12.75" customHeight="1">
      <c r="A3080" s="188" t="s">
        <v>620</v>
      </c>
      <c r="B3080" s="188" t="s">
        <v>3787</v>
      </c>
      <c r="C3080" s="188" t="s">
        <v>659</v>
      </c>
      <c r="D3080" s="188" t="s">
        <v>4710</v>
      </c>
      <c r="E3080" s="189">
        <v>39422</v>
      </c>
      <c r="F3080" s="190">
        <v>0</v>
      </c>
      <c r="G3080" s="190">
        <v>66.05</v>
      </c>
      <c r="H3080" s="191">
        <v>1755</v>
      </c>
      <c r="I3080" s="191">
        <v>464.4</v>
      </c>
      <c r="J3080" s="188" t="s">
        <v>624</v>
      </c>
      <c r="K3080" s="188" t="s">
        <v>427</v>
      </c>
      <c r="L3080" s="188" t="s">
        <v>908</v>
      </c>
      <c r="M3080" s="192">
        <f t="shared" si="144"/>
        <v>25</v>
      </c>
      <c r="N3080" s="193">
        <f t="shared" si="145"/>
        <v>1.7005813953488371</v>
      </c>
      <c r="O3080" s="194">
        <f t="shared" si="146"/>
        <v>6.8023255813953479E-2</v>
      </c>
    </row>
    <row r="3081" spans="1:15" ht="12.75" customHeight="1">
      <c r="A3081" s="188" t="s">
        <v>620</v>
      </c>
      <c r="B3081" s="188" t="s">
        <v>3787</v>
      </c>
      <c r="C3081" s="188" t="s">
        <v>659</v>
      </c>
      <c r="D3081" s="188" t="s">
        <v>4711</v>
      </c>
      <c r="E3081" s="189">
        <v>39447</v>
      </c>
      <c r="F3081" s="190">
        <v>0</v>
      </c>
      <c r="G3081" s="190">
        <v>92.8</v>
      </c>
      <c r="H3081" s="191">
        <v>2468</v>
      </c>
      <c r="I3081" s="191">
        <v>652.5</v>
      </c>
      <c r="J3081" s="188" t="s">
        <v>624</v>
      </c>
      <c r="K3081" s="188" t="s">
        <v>427</v>
      </c>
      <c r="L3081" s="188" t="s">
        <v>920</v>
      </c>
      <c r="M3081" s="192">
        <f t="shared" si="144"/>
        <v>25</v>
      </c>
      <c r="N3081" s="193">
        <f t="shared" si="145"/>
        <v>1.7020689655172414</v>
      </c>
      <c r="O3081" s="194">
        <f t="shared" si="146"/>
        <v>6.808275862068966E-2</v>
      </c>
    </row>
    <row r="3082" spans="1:15" ht="12.75" customHeight="1">
      <c r="A3082" s="188" t="s">
        <v>620</v>
      </c>
      <c r="B3082" s="188" t="s">
        <v>3787</v>
      </c>
      <c r="C3082" s="188" t="s">
        <v>659</v>
      </c>
      <c r="D3082" s="188" t="s">
        <v>4712</v>
      </c>
      <c r="E3082" s="189">
        <v>39507</v>
      </c>
      <c r="F3082" s="190">
        <v>0</v>
      </c>
      <c r="G3082" s="190">
        <v>40.96</v>
      </c>
      <c r="H3082" s="191">
        <v>1093</v>
      </c>
      <c r="I3082" s="191">
        <v>288</v>
      </c>
      <c r="J3082" s="188" t="s">
        <v>624</v>
      </c>
      <c r="K3082" s="188" t="s">
        <v>427</v>
      </c>
      <c r="L3082" s="188" t="s">
        <v>1849</v>
      </c>
      <c r="M3082" s="192">
        <f t="shared" si="144"/>
        <v>25</v>
      </c>
      <c r="N3082" s="193">
        <f t="shared" si="145"/>
        <v>1.7078125</v>
      </c>
      <c r="O3082" s="194">
        <f t="shared" si="146"/>
        <v>6.8312499999999998E-2</v>
      </c>
    </row>
    <row r="3083" spans="1:15" ht="12.75" customHeight="1">
      <c r="A3083" s="188" t="s">
        <v>620</v>
      </c>
      <c r="B3083" s="188" t="s">
        <v>3787</v>
      </c>
      <c r="C3083" s="188" t="s">
        <v>659</v>
      </c>
      <c r="D3083" s="188" t="s">
        <v>4713</v>
      </c>
      <c r="E3083" s="189">
        <v>39447</v>
      </c>
      <c r="F3083" s="190">
        <v>0</v>
      </c>
      <c r="G3083" s="190">
        <v>102.4</v>
      </c>
      <c r="H3083" s="191">
        <v>2736</v>
      </c>
      <c r="I3083" s="191">
        <v>720</v>
      </c>
      <c r="J3083" s="188" t="s">
        <v>624</v>
      </c>
      <c r="K3083" s="188" t="s">
        <v>427</v>
      </c>
      <c r="L3083" s="188" t="s">
        <v>625</v>
      </c>
      <c r="M3083" s="192">
        <f t="shared" si="144"/>
        <v>25</v>
      </c>
      <c r="N3083" s="193">
        <f t="shared" si="145"/>
        <v>1.71</v>
      </c>
      <c r="O3083" s="194">
        <f t="shared" si="146"/>
        <v>6.8400000000000002E-2</v>
      </c>
    </row>
    <row r="3084" spans="1:15" ht="12.75" customHeight="1">
      <c r="A3084" s="188" t="s">
        <v>620</v>
      </c>
      <c r="B3084" s="188" t="s">
        <v>3787</v>
      </c>
      <c r="C3084" s="188" t="s">
        <v>659</v>
      </c>
      <c r="D3084" s="188" t="s">
        <v>4714</v>
      </c>
      <c r="E3084" s="189">
        <v>39527</v>
      </c>
      <c r="F3084" s="190">
        <v>0</v>
      </c>
      <c r="G3084" s="190">
        <v>80.64</v>
      </c>
      <c r="H3084" s="191">
        <v>2155.14</v>
      </c>
      <c r="I3084" s="191">
        <v>567</v>
      </c>
      <c r="J3084" s="188" t="s">
        <v>624</v>
      </c>
      <c r="K3084" s="188" t="s">
        <v>427</v>
      </c>
      <c r="L3084" s="188" t="s">
        <v>680</v>
      </c>
      <c r="M3084" s="192">
        <f t="shared" si="144"/>
        <v>25</v>
      </c>
      <c r="N3084" s="193">
        <f t="shared" si="145"/>
        <v>1.7104285714285714</v>
      </c>
      <c r="O3084" s="194">
        <f t="shared" si="146"/>
        <v>6.8417142857142857E-2</v>
      </c>
    </row>
    <row r="3085" spans="1:15" ht="12.75" customHeight="1">
      <c r="A3085" s="188" t="s">
        <v>620</v>
      </c>
      <c r="B3085" s="188" t="s">
        <v>3787</v>
      </c>
      <c r="C3085" s="188" t="s">
        <v>659</v>
      </c>
      <c r="D3085" s="188" t="s">
        <v>4715</v>
      </c>
      <c r="E3085" s="189">
        <v>39555</v>
      </c>
      <c r="F3085" s="190">
        <v>0</v>
      </c>
      <c r="G3085" s="190">
        <v>91.2</v>
      </c>
      <c r="H3085" s="191">
        <v>2447</v>
      </c>
      <c r="I3085" s="191">
        <v>641.25</v>
      </c>
      <c r="J3085" s="188" t="s">
        <v>624</v>
      </c>
      <c r="K3085" s="188" t="s">
        <v>427</v>
      </c>
      <c r="L3085" s="188" t="s">
        <v>2123</v>
      </c>
      <c r="M3085" s="192">
        <f t="shared" si="144"/>
        <v>25</v>
      </c>
      <c r="N3085" s="193">
        <f t="shared" si="145"/>
        <v>1.7171929824561403</v>
      </c>
      <c r="O3085" s="194">
        <f t="shared" si="146"/>
        <v>6.8687719298245617E-2</v>
      </c>
    </row>
    <row r="3086" spans="1:15" ht="12.75" customHeight="1">
      <c r="A3086" s="188" t="s">
        <v>620</v>
      </c>
      <c r="B3086" s="188" t="s">
        <v>3787</v>
      </c>
      <c r="C3086" s="188" t="s">
        <v>659</v>
      </c>
      <c r="D3086" s="188" t="s">
        <v>4716</v>
      </c>
      <c r="E3086" s="189">
        <v>39590</v>
      </c>
      <c r="F3086" s="190">
        <v>0</v>
      </c>
      <c r="G3086" s="190">
        <v>73.41</v>
      </c>
      <c r="H3086" s="191">
        <v>1970</v>
      </c>
      <c r="I3086" s="191">
        <v>516.15</v>
      </c>
      <c r="J3086" s="188" t="s">
        <v>624</v>
      </c>
      <c r="K3086" s="188" t="s">
        <v>427</v>
      </c>
      <c r="L3086" s="188" t="s">
        <v>1038</v>
      </c>
      <c r="M3086" s="192">
        <f t="shared" si="144"/>
        <v>25</v>
      </c>
      <c r="N3086" s="193">
        <f t="shared" si="145"/>
        <v>1.7175239755884917</v>
      </c>
      <c r="O3086" s="194">
        <f t="shared" si="146"/>
        <v>6.8700959023539662E-2</v>
      </c>
    </row>
    <row r="3087" spans="1:15" ht="12.75" customHeight="1">
      <c r="A3087" s="188" t="s">
        <v>620</v>
      </c>
      <c r="B3087" s="188" t="s">
        <v>3787</v>
      </c>
      <c r="C3087" s="188" t="s">
        <v>659</v>
      </c>
      <c r="D3087" s="188" t="s">
        <v>4717</v>
      </c>
      <c r="E3087" s="189">
        <v>39212</v>
      </c>
      <c r="F3087" s="190">
        <v>0</v>
      </c>
      <c r="G3087" s="190">
        <v>59.9</v>
      </c>
      <c r="H3087" s="191">
        <v>1609.92</v>
      </c>
      <c r="I3087" s="191">
        <v>421.2</v>
      </c>
      <c r="J3087" s="188" t="s">
        <v>624</v>
      </c>
      <c r="K3087" s="188" t="s">
        <v>427</v>
      </c>
      <c r="L3087" s="188" t="s">
        <v>1618</v>
      </c>
      <c r="M3087" s="192">
        <f t="shared" si="144"/>
        <v>25</v>
      </c>
      <c r="N3087" s="193">
        <f t="shared" si="145"/>
        <v>1.72</v>
      </c>
      <c r="O3087" s="194">
        <f t="shared" si="146"/>
        <v>6.88E-2</v>
      </c>
    </row>
    <row r="3088" spans="1:15" ht="12.75" customHeight="1">
      <c r="A3088" s="188" t="s">
        <v>620</v>
      </c>
      <c r="B3088" s="188" t="s">
        <v>3787</v>
      </c>
      <c r="C3088" s="188" t="s">
        <v>659</v>
      </c>
      <c r="D3088" s="188" t="s">
        <v>4718</v>
      </c>
      <c r="E3088" s="189">
        <v>39464</v>
      </c>
      <c r="F3088" s="190">
        <v>0</v>
      </c>
      <c r="G3088" s="190">
        <v>74.239999999999995</v>
      </c>
      <c r="H3088" s="191">
        <v>1688</v>
      </c>
      <c r="I3088" s="191">
        <v>522</v>
      </c>
      <c r="J3088" s="188" t="s">
        <v>624</v>
      </c>
      <c r="K3088" s="188" t="s">
        <v>1344</v>
      </c>
      <c r="L3088" s="188" t="s">
        <v>1001</v>
      </c>
      <c r="M3088" s="192">
        <f t="shared" si="144"/>
        <v>21</v>
      </c>
      <c r="N3088" s="193">
        <f t="shared" si="145"/>
        <v>1.4551724137931035</v>
      </c>
      <c r="O3088" s="194">
        <f t="shared" si="146"/>
        <v>6.9293924466338266E-2</v>
      </c>
    </row>
    <row r="3089" spans="1:15" ht="12.75" customHeight="1">
      <c r="A3089" s="188" t="s">
        <v>620</v>
      </c>
      <c r="B3089" s="188" t="s">
        <v>3787</v>
      </c>
      <c r="C3089" s="188" t="s">
        <v>659</v>
      </c>
      <c r="D3089" s="188" t="s">
        <v>4719</v>
      </c>
      <c r="E3089" s="189">
        <v>39247</v>
      </c>
      <c r="F3089" s="190">
        <v>0</v>
      </c>
      <c r="G3089" s="190">
        <v>15.42</v>
      </c>
      <c r="H3089" s="191">
        <v>417.99</v>
      </c>
      <c r="I3089" s="191">
        <v>108.45</v>
      </c>
      <c r="J3089" s="188" t="s">
        <v>624</v>
      </c>
      <c r="K3089" s="188" t="s">
        <v>427</v>
      </c>
      <c r="L3089" s="188" t="s">
        <v>4720</v>
      </c>
      <c r="M3089" s="192">
        <f t="shared" si="144"/>
        <v>25</v>
      </c>
      <c r="N3089" s="193">
        <f t="shared" si="145"/>
        <v>1.7343983402489627</v>
      </c>
      <c r="O3089" s="194">
        <f t="shared" si="146"/>
        <v>6.9375933609958501E-2</v>
      </c>
    </row>
    <row r="3090" spans="1:15" ht="12.75" customHeight="1">
      <c r="A3090" s="188" t="s">
        <v>620</v>
      </c>
      <c r="B3090" s="188" t="s">
        <v>3787</v>
      </c>
      <c r="C3090" s="188" t="s">
        <v>659</v>
      </c>
      <c r="D3090" s="188" t="s">
        <v>4721</v>
      </c>
      <c r="E3090" s="189">
        <v>39310</v>
      </c>
      <c r="F3090" s="190">
        <v>0</v>
      </c>
      <c r="G3090" s="190">
        <v>89.6</v>
      </c>
      <c r="H3090" s="191">
        <v>2043.02</v>
      </c>
      <c r="I3090" s="191">
        <v>630</v>
      </c>
      <c r="J3090" s="188" t="s">
        <v>624</v>
      </c>
      <c r="K3090" s="188" t="s">
        <v>1344</v>
      </c>
      <c r="L3090" s="188" t="s">
        <v>754</v>
      </c>
      <c r="M3090" s="192">
        <f t="shared" si="144"/>
        <v>21</v>
      </c>
      <c r="N3090" s="193">
        <f t="shared" si="145"/>
        <v>1.4593</v>
      </c>
      <c r="O3090" s="194">
        <f t="shared" si="146"/>
        <v>6.9490476190476186E-2</v>
      </c>
    </row>
    <row r="3091" spans="1:15" ht="12.75" customHeight="1">
      <c r="A3091" s="188" t="s">
        <v>620</v>
      </c>
      <c r="B3091" s="188" t="s">
        <v>3787</v>
      </c>
      <c r="C3091" s="188" t="s">
        <v>659</v>
      </c>
      <c r="D3091" s="188" t="s">
        <v>4722</v>
      </c>
      <c r="E3091" s="189">
        <v>39422</v>
      </c>
      <c r="F3091" s="190">
        <v>0</v>
      </c>
      <c r="G3091" s="190">
        <v>128</v>
      </c>
      <c r="H3091" s="191">
        <v>2920</v>
      </c>
      <c r="I3091" s="191">
        <v>900</v>
      </c>
      <c r="J3091" s="188" t="s">
        <v>624</v>
      </c>
      <c r="K3091" s="188" t="s">
        <v>1344</v>
      </c>
      <c r="L3091" s="188" t="s">
        <v>756</v>
      </c>
      <c r="M3091" s="192">
        <f t="shared" si="144"/>
        <v>21</v>
      </c>
      <c r="N3091" s="193">
        <f t="shared" si="145"/>
        <v>1.46</v>
      </c>
      <c r="O3091" s="194">
        <f t="shared" si="146"/>
        <v>6.9523809523809516E-2</v>
      </c>
    </row>
    <row r="3092" spans="1:15" ht="12.75" customHeight="1">
      <c r="A3092" s="188" t="s">
        <v>620</v>
      </c>
      <c r="B3092" s="188" t="s">
        <v>3787</v>
      </c>
      <c r="C3092" s="188" t="s">
        <v>659</v>
      </c>
      <c r="D3092" s="188" t="s">
        <v>4723</v>
      </c>
      <c r="E3092" s="189">
        <v>39317</v>
      </c>
      <c r="F3092" s="190">
        <v>0</v>
      </c>
      <c r="G3092" s="190">
        <v>57.34</v>
      </c>
      <c r="H3092" s="191">
        <v>1561.91</v>
      </c>
      <c r="I3092" s="191">
        <v>403.2</v>
      </c>
      <c r="J3092" s="188" t="s">
        <v>624</v>
      </c>
      <c r="K3092" s="188" t="s">
        <v>427</v>
      </c>
      <c r="L3092" s="188" t="s">
        <v>654</v>
      </c>
      <c r="M3092" s="192">
        <f t="shared" si="144"/>
        <v>25</v>
      </c>
      <c r="N3092" s="193">
        <f t="shared" si="145"/>
        <v>1.7432031250000002</v>
      </c>
      <c r="O3092" s="194">
        <f t="shared" si="146"/>
        <v>6.9728125000000002E-2</v>
      </c>
    </row>
    <row r="3093" spans="1:15" ht="12.75" customHeight="1">
      <c r="A3093" s="188" t="s">
        <v>620</v>
      </c>
      <c r="B3093" s="188" t="s">
        <v>3787</v>
      </c>
      <c r="C3093" s="188" t="s">
        <v>659</v>
      </c>
      <c r="D3093" s="188" t="s">
        <v>4724</v>
      </c>
      <c r="E3093" s="189">
        <v>39527</v>
      </c>
      <c r="F3093" s="190">
        <v>0</v>
      </c>
      <c r="G3093" s="190">
        <v>124.93</v>
      </c>
      <c r="H3093" s="191">
        <v>3410</v>
      </c>
      <c r="I3093" s="191">
        <v>878.4</v>
      </c>
      <c r="J3093" s="188" t="s">
        <v>624</v>
      </c>
      <c r="K3093" s="188" t="s">
        <v>427</v>
      </c>
      <c r="L3093" s="188" t="s">
        <v>2883</v>
      </c>
      <c r="M3093" s="192">
        <f t="shared" si="144"/>
        <v>25</v>
      </c>
      <c r="N3093" s="193">
        <f t="shared" si="145"/>
        <v>1.7469262295081966</v>
      </c>
      <c r="O3093" s="194">
        <f t="shared" si="146"/>
        <v>6.987704918032786E-2</v>
      </c>
    </row>
    <row r="3094" spans="1:15" ht="12.75" customHeight="1">
      <c r="A3094" s="188" t="s">
        <v>620</v>
      </c>
      <c r="B3094" s="188" t="s">
        <v>3787</v>
      </c>
      <c r="C3094" s="188" t="s">
        <v>659</v>
      </c>
      <c r="D3094" s="188" t="s">
        <v>4725</v>
      </c>
      <c r="E3094" s="189">
        <v>39359</v>
      </c>
      <c r="F3094" s="190">
        <v>0</v>
      </c>
      <c r="G3094" s="190">
        <v>67.2</v>
      </c>
      <c r="H3094" s="191">
        <v>2202</v>
      </c>
      <c r="I3094" s="191">
        <v>472.5</v>
      </c>
      <c r="J3094" s="188" t="s">
        <v>624</v>
      </c>
      <c r="K3094" s="188" t="s">
        <v>257</v>
      </c>
      <c r="L3094" s="188" t="s">
        <v>1139</v>
      </c>
      <c r="M3094" s="192">
        <f t="shared" si="144"/>
        <v>30</v>
      </c>
      <c r="N3094" s="193">
        <f t="shared" si="145"/>
        <v>2.097142857142857</v>
      </c>
      <c r="O3094" s="194">
        <f t="shared" si="146"/>
        <v>6.99047619047619E-2</v>
      </c>
    </row>
    <row r="3095" spans="1:15" ht="12.75" customHeight="1">
      <c r="A3095" s="188" t="s">
        <v>620</v>
      </c>
      <c r="B3095" s="188" t="s">
        <v>3787</v>
      </c>
      <c r="C3095" s="188" t="s">
        <v>659</v>
      </c>
      <c r="D3095" s="188" t="s">
        <v>4726</v>
      </c>
      <c r="E3095" s="189">
        <v>39415</v>
      </c>
      <c r="F3095" s="190">
        <v>0</v>
      </c>
      <c r="G3095" s="190">
        <v>73.540000000000006</v>
      </c>
      <c r="H3095" s="191">
        <v>2010.75</v>
      </c>
      <c r="I3095" s="191">
        <v>517.04999999999995</v>
      </c>
      <c r="J3095" s="188" t="s">
        <v>624</v>
      </c>
      <c r="K3095" s="188" t="s">
        <v>427</v>
      </c>
      <c r="L3095" s="188" t="s">
        <v>1708</v>
      </c>
      <c r="M3095" s="192">
        <f t="shared" si="144"/>
        <v>25</v>
      </c>
      <c r="N3095" s="193">
        <f t="shared" si="145"/>
        <v>1.75</v>
      </c>
      <c r="O3095" s="194">
        <f t="shared" si="146"/>
        <v>7.0000000000000007E-2</v>
      </c>
    </row>
    <row r="3096" spans="1:15" ht="12.75" customHeight="1">
      <c r="A3096" s="188" t="s">
        <v>620</v>
      </c>
      <c r="B3096" s="188" t="s">
        <v>3787</v>
      </c>
      <c r="C3096" s="188" t="s">
        <v>659</v>
      </c>
      <c r="D3096" s="188" t="s">
        <v>4727</v>
      </c>
      <c r="E3096" s="189">
        <v>39303</v>
      </c>
      <c r="F3096" s="190">
        <v>0</v>
      </c>
      <c r="G3096" s="190">
        <v>89.6</v>
      </c>
      <c r="H3096" s="191">
        <v>2458.96</v>
      </c>
      <c r="I3096" s="191">
        <v>630</v>
      </c>
      <c r="J3096" s="188" t="s">
        <v>624</v>
      </c>
      <c r="K3096" s="188" t="s">
        <v>427</v>
      </c>
      <c r="L3096" s="188" t="s">
        <v>754</v>
      </c>
      <c r="M3096" s="192">
        <f t="shared" si="144"/>
        <v>25</v>
      </c>
      <c r="N3096" s="193">
        <f t="shared" si="145"/>
        <v>1.7564</v>
      </c>
      <c r="O3096" s="194">
        <f t="shared" si="146"/>
        <v>7.0255999999999999E-2</v>
      </c>
    </row>
    <row r="3097" spans="1:15" ht="12.75" customHeight="1">
      <c r="A3097" s="188" t="s">
        <v>620</v>
      </c>
      <c r="B3097" s="188" t="s">
        <v>3787</v>
      </c>
      <c r="C3097" s="188" t="s">
        <v>659</v>
      </c>
      <c r="D3097" s="188" t="s">
        <v>4728</v>
      </c>
      <c r="E3097" s="189">
        <v>39429</v>
      </c>
      <c r="F3097" s="190">
        <v>0</v>
      </c>
      <c r="G3097" s="190">
        <v>99.84</v>
      </c>
      <c r="H3097" s="191">
        <v>2748</v>
      </c>
      <c r="I3097" s="191">
        <v>702</v>
      </c>
      <c r="J3097" s="188" t="s">
        <v>624</v>
      </c>
      <c r="K3097" s="188" t="s">
        <v>427</v>
      </c>
      <c r="L3097" s="188" t="s">
        <v>797</v>
      </c>
      <c r="M3097" s="192">
        <f t="shared" si="144"/>
        <v>25</v>
      </c>
      <c r="N3097" s="193">
        <f t="shared" si="145"/>
        <v>1.7615384615384615</v>
      </c>
      <c r="O3097" s="194">
        <f t="shared" si="146"/>
        <v>7.0461538461538464E-2</v>
      </c>
    </row>
    <row r="3098" spans="1:15" ht="12.75" customHeight="1">
      <c r="A3098" s="188" t="s">
        <v>620</v>
      </c>
      <c r="B3098" s="188" t="s">
        <v>3787</v>
      </c>
      <c r="C3098" s="188" t="s">
        <v>659</v>
      </c>
      <c r="D3098" s="188" t="s">
        <v>4729</v>
      </c>
      <c r="E3098" s="189">
        <v>39576</v>
      </c>
      <c r="F3098" s="190">
        <v>0</v>
      </c>
      <c r="G3098" s="190">
        <v>9.7899999999999991</v>
      </c>
      <c r="H3098" s="191">
        <v>270</v>
      </c>
      <c r="I3098" s="191">
        <v>68.849999999999994</v>
      </c>
      <c r="J3098" s="188" t="s">
        <v>624</v>
      </c>
      <c r="K3098" s="188" t="s">
        <v>427</v>
      </c>
      <c r="L3098" s="188" t="s">
        <v>540</v>
      </c>
      <c r="M3098" s="192">
        <f t="shared" si="144"/>
        <v>25</v>
      </c>
      <c r="N3098" s="193">
        <f t="shared" si="145"/>
        <v>1.7647058823529411</v>
      </c>
      <c r="O3098" s="194">
        <f t="shared" si="146"/>
        <v>7.0588235294117646E-2</v>
      </c>
    </row>
    <row r="3099" spans="1:15" ht="12.75" customHeight="1">
      <c r="A3099" s="188" t="s">
        <v>620</v>
      </c>
      <c r="B3099" s="188" t="s">
        <v>3787</v>
      </c>
      <c r="C3099" s="188" t="s">
        <v>659</v>
      </c>
      <c r="D3099" s="188" t="s">
        <v>4730</v>
      </c>
      <c r="E3099" s="189">
        <v>39395</v>
      </c>
      <c r="F3099" s="190">
        <v>0</v>
      </c>
      <c r="G3099" s="190">
        <v>67.2</v>
      </c>
      <c r="H3099" s="191">
        <v>1855</v>
      </c>
      <c r="I3099" s="191">
        <v>472.5</v>
      </c>
      <c r="J3099" s="188" t="s">
        <v>624</v>
      </c>
      <c r="K3099" s="188" t="s">
        <v>427</v>
      </c>
      <c r="L3099" s="188" t="s">
        <v>1139</v>
      </c>
      <c r="M3099" s="192">
        <f t="shared" si="144"/>
        <v>25</v>
      </c>
      <c r="N3099" s="193">
        <f t="shared" si="145"/>
        <v>1.7666666666666666</v>
      </c>
      <c r="O3099" s="194">
        <f t="shared" si="146"/>
        <v>7.0666666666666669E-2</v>
      </c>
    </row>
    <row r="3100" spans="1:15" ht="12.75" customHeight="1">
      <c r="A3100" s="188" t="s">
        <v>620</v>
      </c>
      <c r="B3100" s="188" t="s">
        <v>3787</v>
      </c>
      <c r="C3100" s="188" t="s">
        <v>659</v>
      </c>
      <c r="D3100" s="188" t="s">
        <v>4731</v>
      </c>
      <c r="E3100" s="189">
        <v>39282</v>
      </c>
      <c r="F3100" s="190">
        <v>0</v>
      </c>
      <c r="G3100" s="190">
        <v>82.94</v>
      </c>
      <c r="H3100" s="191">
        <v>2293.0100000000002</v>
      </c>
      <c r="I3100" s="191">
        <v>583.20000000000005</v>
      </c>
      <c r="J3100" s="188" t="s">
        <v>624</v>
      </c>
      <c r="K3100" s="188" t="s">
        <v>427</v>
      </c>
      <c r="L3100" s="188" t="s">
        <v>1319</v>
      </c>
      <c r="M3100" s="192">
        <f t="shared" si="144"/>
        <v>25</v>
      </c>
      <c r="N3100" s="193">
        <f t="shared" si="145"/>
        <v>1.7692978395061729</v>
      </c>
      <c r="O3100" s="194">
        <f t="shared" si="146"/>
        <v>7.0771913580246912E-2</v>
      </c>
    </row>
    <row r="3101" spans="1:15" ht="12.75" customHeight="1">
      <c r="A3101" s="188" t="s">
        <v>620</v>
      </c>
      <c r="B3101" s="188" t="s">
        <v>3787</v>
      </c>
      <c r="C3101" s="188" t="s">
        <v>659</v>
      </c>
      <c r="D3101" s="188" t="s">
        <v>4732</v>
      </c>
      <c r="E3101" s="189">
        <v>39507</v>
      </c>
      <c r="F3101" s="190">
        <v>0</v>
      </c>
      <c r="G3101" s="190">
        <v>84.48</v>
      </c>
      <c r="H3101" s="191">
        <v>2336</v>
      </c>
      <c r="I3101" s="191">
        <v>594</v>
      </c>
      <c r="J3101" s="188" t="s">
        <v>624</v>
      </c>
      <c r="K3101" s="188" t="s">
        <v>427</v>
      </c>
      <c r="L3101" s="188" t="s">
        <v>1050</v>
      </c>
      <c r="M3101" s="192">
        <f t="shared" si="144"/>
        <v>25</v>
      </c>
      <c r="N3101" s="193">
        <f t="shared" si="145"/>
        <v>1.7696969696969698</v>
      </c>
      <c r="O3101" s="194">
        <f t="shared" si="146"/>
        <v>7.0787878787878789E-2</v>
      </c>
    </row>
    <row r="3102" spans="1:15" ht="12.75" customHeight="1">
      <c r="A3102" s="188" t="s">
        <v>620</v>
      </c>
      <c r="B3102" s="188" t="s">
        <v>3787</v>
      </c>
      <c r="C3102" s="188" t="s">
        <v>659</v>
      </c>
      <c r="D3102" s="188" t="s">
        <v>4733</v>
      </c>
      <c r="E3102" s="189">
        <v>39447</v>
      </c>
      <c r="F3102" s="190">
        <v>0</v>
      </c>
      <c r="G3102" s="190">
        <v>124.8</v>
      </c>
      <c r="H3102" s="191">
        <v>3451</v>
      </c>
      <c r="I3102" s="191">
        <v>877.5</v>
      </c>
      <c r="J3102" s="188" t="s">
        <v>624</v>
      </c>
      <c r="K3102" s="188" t="s">
        <v>427</v>
      </c>
      <c r="L3102" s="188" t="s">
        <v>950</v>
      </c>
      <c r="M3102" s="192">
        <f t="shared" si="144"/>
        <v>25</v>
      </c>
      <c r="N3102" s="193">
        <f t="shared" si="145"/>
        <v>1.7697435897435898</v>
      </c>
      <c r="O3102" s="194">
        <f t="shared" si="146"/>
        <v>7.0789743589743589E-2</v>
      </c>
    </row>
    <row r="3103" spans="1:15" ht="12.75" customHeight="1">
      <c r="A3103" s="188" t="s">
        <v>620</v>
      </c>
      <c r="B3103" s="188" t="s">
        <v>3787</v>
      </c>
      <c r="C3103" s="188" t="s">
        <v>659</v>
      </c>
      <c r="D3103" s="188" t="s">
        <v>4734</v>
      </c>
      <c r="E3103" s="189">
        <v>39359</v>
      </c>
      <c r="F3103" s="190">
        <v>0</v>
      </c>
      <c r="G3103" s="190">
        <v>106.56</v>
      </c>
      <c r="H3103" s="191">
        <v>2950</v>
      </c>
      <c r="I3103" s="191">
        <v>749.25</v>
      </c>
      <c r="J3103" s="188" t="s">
        <v>624</v>
      </c>
      <c r="K3103" s="188" t="s">
        <v>427</v>
      </c>
      <c r="L3103" s="188" t="s">
        <v>321</v>
      </c>
      <c r="M3103" s="192">
        <f t="shared" si="144"/>
        <v>25</v>
      </c>
      <c r="N3103" s="193">
        <f t="shared" si="145"/>
        <v>1.7717717717717718</v>
      </c>
      <c r="O3103" s="194">
        <f t="shared" si="146"/>
        <v>7.0870870870870878E-2</v>
      </c>
    </row>
    <row r="3104" spans="1:15" ht="12.75" customHeight="1">
      <c r="A3104" s="188" t="s">
        <v>620</v>
      </c>
      <c r="B3104" s="188" t="s">
        <v>3787</v>
      </c>
      <c r="C3104" s="188" t="s">
        <v>659</v>
      </c>
      <c r="D3104" s="188" t="s">
        <v>4735</v>
      </c>
      <c r="E3104" s="189">
        <v>39447</v>
      </c>
      <c r="F3104" s="190">
        <v>0</v>
      </c>
      <c r="G3104" s="190">
        <v>99.58</v>
      </c>
      <c r="H3104" s="191">
        <v>2757.23</v>
      </c>
      <c r="I3104" s="191">
        <v>700.2</v>
      </c>
      <c r="J3104" s="188" t="s">
        <v>624</v>
      </c>
      <c r="K3104" s="188" t="s">
        <v>427</v>
      </c>
      <c r="L3104" s="188" t="s">
        <v>2951</v>
      </c>
      <c r="M3104" s="192">
        <f t="shared" si="144"/>
        <v>25</v>
      </c>
      <c r="N3104" s="193">
        <f t="shared" si="145"/>
        <v>1.7719987146529563</v>
      </c>
      <c r="O3104" s="194">
        <f t="shared" si="146"/>
        <v>7.0879948586118249E-2</v>
      </c>
    </row>
    <row r="3105" spans="1:15" ht="12.75" customHeight="1">
      <c r="A3105" s="188" t="s">
        <v>620</v>
      </c>
      <c r="B3105" s="188" t="s">
        <v>3787</v>
      </c>
      <c r="C3105" s="188" t="s">
        <v>659</v>
      </c>
      <c r="D3105" s="188" t="s">
        <v>4736</v>
      </c>
      <c r="E3105" s="189">
        <v>39387</v>
      </c>
      <c r="F3105" s="190">
        <v>0</v>
      </c>
      <c r="G3105" s="190">
        <v>49.6</v>
      </c>
      <c r="H3105" s="191">
        <v>1375</v>
      </c>
      <c r="I3105" s="191">
        <v>348.75</v>
      </c>
      <c r="J3105" s="188" t="s">
        <v>624</v>
      </c>
      <c r="K3105" s="188" t="s">
        <v>427</v>
      </c>
      <c r="L3105" s="188" t="s">
        <v>4090</v>
      </c>
      <c r="M3105" s="192">
        <f t="shared" si="144"/>
        <v>25</v>
      </c>
      <c r="N3105" s="193">
        <f t="shared" si="145"/>
        <v>1.7741935483870968</v>
      </c>
      <c r="O3105" s="194">
        <f t="shared" si="146"/>
        <v>7.0967741935483872E-2</v>
      </c>
    </row>
    <row r="3106" spans="1:15" ht="12.75" customHeight="1">
      <c r="A3106" s="188" t="s">
        <v>620</v>
      </c>
      <c r="B3106" s="188" t="s">
        <v>3787</v>
      </c>
      <c r="C3106" s="188" t="s">
        <v>659</v>
      </c>
      <c r="D3106" s="188" t="s">
        <v>4737</v>
      </c>
      <c r="E3106" s="189">
        <v>39324</v>
      </c>
      <c r="F3106" s="190">
        <v>0</v>
      </c>
      <c r="G3106" s="190">
        <v>117.76</v>
      </c>
      <c r="H3106" s="191">
        <v>3268.94</v>
      </c>
      <c r="I3106" s="191">
        <v>828</v>
      </c>
      <c r="J3106" s="188" t="s">
        <v>624</v>
      </c>
      <c r="K3106" s="188" t="s">
        <v>427</v>
      </c>
      <c r="L3106" s="188" t="s">
        <v>2069</v>
      </c>
      <c r="M3106" s="192">
        <f t="shared" si="144"/>
        <v>25</v>
      </c>
      <c r="N3106" s="193">
        <f t="shared" si="145"/>
        <v>1.7765978260869566</v>
      </c>
      <c r="O3106" s="194">
        <f t="shared" si="146"/>
        <v>7.1063913043478269E-2</v>
      </c>
    </row>
    <row r="3107" spans="1:15" ht="12.75" customHeight="1">
      <c r="A3107" s="188" t="s">
        <v>620</v>
      </c>
      <c r="B3107" s="188" t="s">
        <v>3787</v>
      </c>
      <c r="C3107" s="188" t="s">
        <v>659</v>
      </c>
      <c r="D3107" s="188" t="s">
        <v>4738</v>
      </c>
      <c r="E3107" s="189">
        <v>39541</v>
      </c>
      <c r="F3107" s="190">
        <v>0</v>
      </c>
      <c r="G3107" s="190">
        <v>80</v>
      </c>
      <c r="H3107" s="191">
        <v>2228</v>
      </c>
      <c r="I3107" s="191">
        <v>562.5</v>
      </c>
      <c r="J3107" s="188" t="s">
        <v>624</v>
      </c>
      <c r="K3107" s="188" t="s">
        <v>427</v>
      </c>
      <c r="L3107" s="188" t="s">
        <v>716</v>
      </c>
      <c r="M3107" s="192">
        <f t="shared" si="144"/>
        <v>25</v>
      </c>
      <c r="N3107" s="193">
        <f t="shared" si="145"/>
        <v>1.7824</v>
      </c>
      <c r="O3107" s="194">
        <f t="shared" si="146"/>
        <v>7.1295999999999998E-2</v>
      </c>
    </row>
    <row r="3108" spans="1:15" ht="12.75" customHeight="1">
      <c r="A3108" s="188" t="s">
        <v>620</v>
      </c>
      <c r="B3108" s="188" t="s">
        <v>3787</v>
      </c>
      <c r="C3108" s="188" t="s">
        <v>659</v>
      </c>
      <c r="D3108" s="188" t="s">
        <v>4739</v>
      </c>
      <c r="E3108" s="189">
        <v>39548</v>
      </c>
      <c r="F3108" s="190">
        <v>0</v>
      </c>
      <c r="G3108" s="190">
        <v>81.92</v>
      </c>
      <c r="H3108" s="191">
        <v>2300</v>
      </c>
      <c r="I3108" s="191">
        <v>576</v>
      </c>
      <c r="J3108" s="188" t="s">
        <v>624</v>
      </c>
      <c r="K3108" s="188" t="s">
        <v>427</v>
      </c>
      <c r="L3108" s="188" t="s">
        <v>994</v>
      </c>
      <c r="M3108" s="192">
        <f t="shared" si="144"/>
        <v>25</v>
      </c>
      <c r="N3108" s="193">
        <f t="shared" si="145"/>
        <v>1.796875</v>
      </c>
      <c r="O3108" s="194">
        <f t="shared" si="146"/>
        <v>7.1874999999999994E-2</v>
      </c>
    </row>
    <row r="3109" spans="1:15" ht="12.75" customHeight="1">
      <c r="A3109" s="188" t="s">
        <v>620</v>
      </c>
      <c r="B3109" s="188" t="s">
        <v>3787</v>
      </c>
      <c r="C3109" s="188" t="s">
        <v>659</v>
      </c>
      <c r="D3109" s="188" t="s">
        <v>4740</v>
      </c>
      <c r="E3109" s="189">
        <v>39443</v>
      </c>
      <c r="F3109" s="190">
        <v>0</v>
      </c>
      <c r="G3109" s="190">
        <v>101.95</v>
      </c>
      <c r="H3109" s="191">
        <v>2874</v>
      </c>
      <c r="I3109" s="191">
        <v>716.85</v>
      </c>
      <c r="J3109" s="188" t="s">
        <v>624</v>
      </c>
      <c r="K3109" s="188" t="s">
        <v>427</v>
      </c>
      <c r="L3109" s="188" t="s">
        <v>295</v>
      </c>
      <c r="M3109" s="192">
        <f t="shared" si="144"/>
        <v>25</v>
      </c>
      <c r="N3109" s="193">
        <f t="shared" si="145"/>
        <v>1.8041431261770244</v>
      </c>
      <c r="O3109" s="194">
        <f t="shared" si="146"/>
        <v>7.2165725047080978E-2</v>
      </c>
    </row>
    <row r="3110" spans="1:15" ht="12.75" customHeight="1">
      <c r="A3110" s="188" t="s">
        <v>620</v>
      </c>
      <c r="B3110" s="188" t="s">
        <v>3787</v>
      </c>
      <c r="C3110" s="188" t="s">
        <v>659</v>
      </c>
      <c r="D3110" s="188" t="s">
        <v>4741</v>
      </c>
      <c r="E3110" s="189">
        <v>39541</v>
      </c>
      <c r="F3110" s="190">
        <v>0</v>
      </c>
      <c r="G3110" s="190">
        <v>92.16</v>
      </c>
      <c r="H3110" s="191">
        <v>2598</v>
      </c>
      <c r="I3110" s="191">
        <v>648</v>
      </c>
      <c r="J3110" s="188" t="s">
        <v>624</v>
      </c>
      <c r="K3110" s="188" t="s">
        <v>427</v>
      </c>
      <c r="L3110" s="188" t="s">
        <v>682</v>
      </c>
      <c r="M3110" s="192">
        <f t="shared" si="144"/>
        <v>25</v>
      </c>
      <c r="N3110" s="193">
        <f t="shared" si="145"/>
        <v>1.8041666666666667</v>
      </c>
      <c r="O3110" s="194">
        <f t="shared" si="146"/>
        <v>7.2166666666666671E-2</v>
      </c>
    </row>
    <row r="3111" spans="1:15" ht="12.75" customHeight="1">
      <c r="A3111" s="188" t="s">
        <v>620</v>
      </c>
      <c r="B3111" s="188" t="s">
        <v>3787</v>
      </c>
      <c r="C3111" s="188" t="s">
        <v>659</v>
      </c>
      <c r="D3111" s="188" t="s">
        <v>4742</v>
      </c>
      <c r="E3111" s="189">
        <v>39541</v>
      </c>
      <c r="F3111" s="190">
        <v>0</v>
      </c>
      <c r="G3111" s="190">
        <v>89.6</v>
      </c>
      <c r="H3111" s="191">
        <v>2125</v>
      </c>
      <c r="I3111" s="191">
        <v>630</v>
      </c>
      <c r="J3111" s="188" t="s">
        <v>879</v>
      </c>
      <c r="K3111" s="188" t="s">
        <v>338</v>
      </c>
      <c r="L3111" s="188" t="s">
        <v>754</v>
      </c>
      <c r="M3111" s="192">
        <f t="shared" si="144"/>
        <v>21</v>
      </c>
      <c r="N3111" s="193">
        <f t="shared" si="145"/>
        <v>1.5178571428571428</v>
      </c>
      <c r="O3111" s="194">
        <f t="shared" si="146"/>
        <v>7.2278911564625847E-2</v>
      </c>
    </row>
    <row r="3112" spans="1:15" ht="12.75" customHeight="1">
      <c r="A3112" s="188" t="s">
        <v>620</v>
      </c>
      <c r="B3112" s="188" t="s">
        <v>3787</v>
      </c>
      <c r="C3112" s="188" t="s">
        <v>659</v>
      </c>
      <c r="D3112" s="188" t="s">
        <v>4743</v>
      </c>
      <c r="E3112" s="189">
        <v>39345</v>
      </c>
      <c r="F3112" s="190">
        <v>0</v>
      </c>
      <c r="G3112" s="190">
        <v>127.04</v>
      </c>
      <c r="H3112" s="191">
        <v>3588.09</v>
      </c>
      <c r="I3112" s="191">
        <v>893.25</v>
      </c>
      <c r="J3112" s="188" t="s">
        <v>624</v>
      </c>
      <c r="K3112" s="188" t="s">
        <v>427</v>
      </c>
      <c r="L3112" s="188" t="s">
        <v>980</v>
      </c>
      <c r="M3112" s="192">
        <f t="shared" si="144"/>
        <v>25</v>
      </c>
      <c r="N3112" s="193">
        <f t="shared" si="145"/>
        <v>1.8076020151133503</v>
      </c>
      <c r="O3112" s="194">
        <f t="shared" si="146"/>
        <v>7.2304080604534013E-2</v>
      </c>
    </row>
    <row r="3113" spans="1:15" ht="12.75" customHeight="1">
      <c r="A3113" s="188" t="s">
        <v>620</v>
      </c>
      <c r="B3113" s="188" t="s">
        <v>3787</v>
      </c>
      <c r="C3113" s="188" t="s">
        <v>659</v>
      </c>
      <c r="D3113" s="188" t="s">
        <v>4744</v>
      </c>
      <c r="E3113" s="189">
        <v>39269</v>
      </c>
      <c r="F3113" s="190">
        <v>0</v>
      </c>
      <c r="G3113" s="190">
        <v>96</v>
      </c>
      <c r="H3113" s="191">
        <v>2065.0500000000002</v>
      </c>
      <c r="I3113" s="191">
        <v>675</v>
      </c>
      <c r="J3113" s="188" t="s">
        <v>624</v>
      </c>
      <c r="K3113" s="188" t="s">
        <v>667</v>
      </c>
      <c r="L3113" s="188" t="s">
        <v>746</v>
      </c>
      <c r="M3113" s="192">
        <f t="shared" si="144"/>
        <v>19</v>
      </c>
      <c r="N3113" s="193">
        <f t="shared" si="145"/>
        <v>1.3767</v>
      </c>
      <c r="O3113" s="194">
        <f t="shared" si="146"/>
        <v>7.245789473684211E-2</v>
      </c>
    </row>
    <row r="3114" spans="1:15" ht="12.75" customHeight="1">
      <c r="A3114" s="188" t="s">
        <v>620</v>
      </c>
      <c r="B3114" s="188" t="s">
        <v>3787</v>
      </c>
      <c r="C3114" s="188" t="s">
        <v>659</v>
      </c>
      <c r="D3114" s="188" t="s">
        <v>4745</v>
      </c>
      <c r="E3114" s="189">
        <v>39507</v>
      </c>
      <c r="F3114" s="190">
        <v>0</v>
      </c>
      <c r="G3114" s="190">
        <v>49.54</v>
      </c>
      <c r="H3114" s="191">
        <v>1409</v>
      </c>
      <c r="I3114" s="191">
        <v>348.3</v>
      </c>
      <c r="J3114" s="188" t="s">
        <v>624</v>
      </c>
      <c r="K3114" s="188" t="s">
        <v>427</v>
      </c>
      <c r="L3114" s="188" t="s">
        <v>1634</v>
      </c>
      <c r="M3114" s="192">
        <f t="shared" si="144"/>
        <v>25</v>
      </c>
      <c r="N3114" s="193">
        <f t="shared" si="145"/>
        <v>1.8204134366925064</v>
      </c>
      <c r="O3114" s="194">
        <f t="shared" si="146"/>
        <v>7.2816537467700254E-2</v>
      </c>
    </row>
    <row r="3115" spans="1:15" ht="12.75" customHeight="1">
      <c r="A3115" s="188" t="s">
        <v>620</v>
      </c>
      <c r="B3115" s="188" t="s">
        <v>3787</v>
      </c>
      <c r="C3115" s="188" t="s">
        <v>659</v>
      </c>
      <c r="D3115" s="188" t="s">
        <v>4746</v>
      </c>
      <c r="E3115" s="189">
        <v>39447</v>
      </c>
      <c r="F3115" s="190">
        <v>0</v>
      </c>
      <c r="G3115" s="190">
        <v>67.2</v>
      </c>
      <c r="H3115" s="191">
        <v>1912</v>
      </c>
      <c r="I3115" s="191">
        <v>472.5</v>
      </c>
      <c r="J3115" s="188" t="s">
        <v>624</v>
      </c>
      <c r="K3115" s="188" t="s">
        <v>427</v>
      </c>
      <c r="L3115" s="188" t="s">
        <v>1139</v>
      </c>
      <c r="M3115" s="192">
        <f t="shared" si="144"/>
        <v>25</v>
      </c>
      <c r="N3115" s="193">
        <f t="shared" si="145"/>
        <v>1.8209523809523809</v>
      </c>
      <c r="O3115" s="194">
        <f t="shared" si="146"/>
        <v>7.283809523809523E-2</v>
      </c>
    </row>
    <row r="3116" spans="1:15" ht="12.75" customHeight="1">
      <c r="A3116" s="188" t="s">
        <v>620</v>
      </c>
      <c r="B3116" s="188" t="s">
        <v>3787</v>
      </c>
      <c r="C3116" s="188" t="s">
        <v>659</v>
      </c>
      <c r="D3116" s="188" t="s">
        <v>4747</v>
      </c>
      <c r="E3116" s="189">
        <v>39534</v>
      </c>
      <c r="F3116" s="190">
        <v>0</v>
      </c>
      <c r="G3116" s="190">
        <v>116.93</v>
      </c>
      <c r="H3116" s="191">
        <v>3333</v>
      </c>
      <c r="I3116" s="191">
        <v>822.15</v>
      </c>
      <c r="J3116" s="188" t="s">
        <v>624</v>
      </c>
      <c r="K3116" s="188" t="s">
        <v>427</v>
      </c>
      <c r="L3116" s="188" t="s">
        <v>4748</v>
      </c>
      <c r="M3116" s="192">
        <f t="shared" si="144"/>
        <v>25</v>
      </c>
      <c r="N3116" s="193">
        <f t="shared" si="145"/>
        <v>1.8243021346469623</v>
      </c>
      <c r="O3116" s="194">
        <f t="shared" si="146"/>
        <v>7.2972085385878488E-2</v>
      </c>
    </row>
    <row r="3117" spans="1:15" ht="12.75" customHeight="1">
      <c r="A3117" s="188" t="s">
        <v>620</v>
      </c>
      <c r="B3117" s="188" t="s">
        <v>3787</v>
      </c>
      <c r="C3117" s="188" t="s">
        <v>659</v>
      </c>
      <c r="D3117" s="188" t="s">
        <v>4749</v>
      </c>
      <c r="E3117" s="189">
        <v>39520</v>
      </c>
      <c r="F3117" s="190">
        <v>0</v>
      </c>
      <c r="G3117" s="190">
        <v>51.2</v>
      </c>
      <c r="H3117" s="191">
        <v>1460</v>
      </c>
      <c r="I3117" s="191">
        <v>360</v>
      </c>
      <c r="J3117" s="188" t="s">
        <v>624</v>
      </c>
      <c r="K3117" s="188" t="s">
        <v>427</v>
      </c>
      <c r="L3117" s="188" t="s">
        <v>752</v>
      </c>
      <c r="M3117" s="192">
        <f t="shared" si="144"/>
        <v>25</v>
      </c>
      <c r="N3117" s="193">
        <f t="shared" si="145"/>
        <v>1.825</v>
      </c>
      <c r="O3117" s="194">
        <f t="shared" si="146"/>
        <v>7.2999999999999995E-2</v>
      </c>
    </row>
    <row r="3118" spans="1:15" ht="12.75" customHeight="1">
      <c r="A3118" s="188" t="s">
        <v>620</v>
      </c>
      <c r="B3118" s="188" t="s">
        <v>3787</v>
      </c>
      <c r="C3118" s="188" t="s">
        <v>659</v>
      </c>
      <c r="D3118" s="188" t="s">
        <v>4750</v>
      </c>
      <c r="E3118" s="189">
        <v>39352</v>
      </c>
      <c r="F3118" s="190">
        <v>0</v>
      </c>
      <c r="G3118" s="190">
        <v>81.47</v>
      </c>
      <c r="H3118" s="191">
        <v>1957</v>
      </c>
      <c r="I3118" s="191">
        <v>572.85</v>
      </c>
      <c r="J3118" s="188" t="s">
        <v>624</v>
      </c>
      <c r="K3118" s="188" t="s">
        <v>1344</v>
      </c>
      <c r="L3118" s="188" t="s">
        <v>4751</v>
      </c>
      <c r="M3118" s="192">
        <f t="shared" si="144"/>
        <v>21</v>
      </c>
      <c r="N3118" s="193">
        <f t="shared" si="145"/>
        <v>1.5373134328358209</v>
      </c>
      <c r="O3118" s="194">
        <f t="shared" si="146"/>
        <v>7.3205401563610523E-2</v>
      </c>
    </row>
    <row r="3119" spans="1:15" ht="12.75" customHeight="1">
      <c r="A3119" s="188" t="s">
        <v>620</v>
      </c>
      <c r="B3119" s="188" t="s">
        <v>3787</v>
      </c>
      <c r="C3119" s="188" t="s">
        <v>659</v>
      </c>
      <c r="D3119" s="188" t="s">
        <v>4752</v>
      </c>
      <c r="E3119" s="189">
        <v>39471</v>
      </c>
      <c r="F3119" s="190">
        <v>0</v>
      </c>
      <c r="G3119" s="190">
        <v>80</v>
      </c>
      <c r="H3119" s="191">
        <v>2298</v>
      </c>
      <c r="I3119" s="191">
        <v>562.5</v>
      </c>
      <c r="J3119" s="188" t="s">
        <v>624</v>
      </c>
      <c r="K3119" s="188" t="s">
        <v>427</v>
      </c>
      <c r="L3119" s="188" t="s">
        <v>716</v>
      </c>
      <c r="M3119" s="192">
        <f t="shared" si="144"/>
        <v>25</v>
      </c>
      <c r="N3119" s="193">
        <f t="shared" si="145"/>
        <v>1.8384</v>
      </c>
      <c r="O3119" s="194">
        <f t="shared" si="146"/>
        <v>7.3536000000000004E-2</v>
      </c>
    </row>
    <row r="3120" spans="1:15" ht="12.75" customHeight="1">
      <c r="A3120" s="188" t="s">
        <v>620</v>
      </c>
      <c r="B3120" s="188" t="s">
        <v>3787</v>
      </c>
      <c r="C3120" s="188" t="s">
        <v>659</v>
      </c>
      <c r="D3120" s="188" t="s">
        <v>4753</v>
      </c>
      <c r="E3120" s="189">
        <v>39254</v>
      </c>
      <c r="F3120" s="190">
        <v>0</v>
      </c>
      <c r="G3120" s="190">
        <v>118.66</v>
      </c>
      <c r="H3120" s="191">
        <v>2047.93</v>
      </c>
      <c r="I3120" s="191">
        <v>834.3</v>
      </c>
      <c r="J3120" s="188" t="s">
        <v>639</v>
      </c>
      <c r="K3120" s="188" t="s">
        <v>4754</v>
      </c>
      <c r="L3120" s="188" t="s">
        <v>4755</v>
      </c>
      <c r="M3120" s="192">
        <f t="shared" si="144"/>
        <v>15</v>
      </c>
      <c r="N3120" s="193">
        <f t="shared" si="145"/>
        <v>1.1046008629989212</v>
      </c>
      <c r="O3120" s="194">
        <f t="shared" si="146"/>
        <v>7.3640057533261416E-2</v>
      </c>
    </row>
    <row r="3121" spans="1:15" ht="12.75" customHeight="1">
      <c r="A3121" s="188" t="s">
        <v>620</v>
      </c>
      <c r="B3121" s="188" t="s">
        <v>3787</v>
      </c>
      <c r="C3121" s="188" t="s">
        <v>659</v>
      </c>
      <c r="D3121" s="188" t="s">
        <v>4756</v>
      </c>
      <c r="E3121" s="189">
        <v>39429</v>
      </c>
      <c r="F3121" s="190">
        <v>0</v>
      </c>
      <c r="G3121" s="190">
        <v>99.84</v>
      </c>
      <c r="H3121" s="191">
        <v>2876</v>
      </c>
      <c r="I3121" s="191">
        <v>702</v>
      </c>
      <c r="J3121" s="188" t="s">
        <v>624</v>
      </c>
      <c r="K3121" s="188" t="s">
        <v>427</v>
      </c>
      <c r="L3121" s="188" t="s">
        <v>797</v>
      </c>
      <c r="M3121" s="192">
        <f t="shared" si="144"/>
        <v>25</v>
      </c>
      <c r="N3121" s="193">
        <f t="shared" si="145"/>
        <v>1.8435897435897435</v>
      </c>
      <c r="O3121" s="194">
        <f t="shared" si="146"/>
        <v>7.3743589743589744E-2</v>
      </c>
    </row>
    <row r="3122" spans="1:15" ht="12.75" customHeight="1">
      <c r="A3122" s="188" t="s">
        <v>620</v>
      </c>
      <c r="B3122" s="188" t="s">
        <v>3787</v>
      </c>
      <c r="C3122" s="188" t="s">
        <v>659</v>
      </c>
      <c r="D3122" s="188" t="s">
        <v>4757</v>
      </c>
      <c r="E3122" s="189">
        <v>39597</v>
      </c>
      <c r="F3122" s="190">
        <v>0</v>
      </c>
      <c r="G3122" s="190">
        <v>73.86</v>
      </c>
      <c r="H3122" s="191">
        <v>2129.7399999999998</v>
      </c>
      <c r="I3122" s="191">
        <v>519.29999999999995</v>
      </c>
      <c r="J3122" s="188" t="s">
        <v>624</v>
      </c>
      <c r="K3122" s="188" t="s">
        <v>427</v>
      </c>
      <c r="L3122" s="188" t="s">
        <v>4758</v>
      </c>
      <c r="M3122" s="192">
        <f t="shared" si="144"/>
        <v>25</v>
      </c>
      <c r="N3122" s="193">
        <f t="shared" si="145"/>
        <v>1.8455285961871748</v>
      </c>
      <c r="O3122" s="194">
        <f t="shared" si="146"/>
        <v>7.3821143847486989E-2</v>
      </c>
    </row>
    <row r="3123" spans="1:15" ht="12.75" customHeight="1">
      <c r="A3123" s="188" t="s">
        <v>620</v>
      </c>
      <c r="B3123" s="188" t="s">
        <v>3787</v>
      </c>
      <c r="C3123" s="188" t="s">
        <v>659</v>
      </c>
      <c r="D3123" s="188" t="s">
        <v>4759</v>
      </c>
      <c r="E3123" s="189">
        <v>39339</v>
      </c>
      <c r="F3123" s="190">
        <v>0</v>
      </c>
      <c r="G3123" s="190">
        <v>62.98</v>
      </c>
      <c r="H3123" s="191">
        <v>1820.01</v>
      </c>
      <c r="I3123" s="191">
        <v>442.8</v>
      </c>
      <c r="J3123" s="188" t="s">
        <v>624</v>
      </c>
      <c r="K3123" s="188" t="s">
        <v>427</v>
      </c>
      <c r="L3123" s="188" t="s">
        <v>4760</v>
      </c>
      <c r="M3123" s="192">
        <f t="shared" si="144"/>
        <v>25</v>
      </c>
      <c r="N3123" s="193">
        <f t="shared" si="145"/>
        <v>1.8496036585365854</v>
      </c>
      <c r="O3123" s="194">
        <f t="shared" si="146"/>
        <v>7.3984146341463414E-2</v>
      </c>
    </row>
    <row r="3124" spans="1:15" ht="12.75" customHeight="1">
      <c r="A3124" s="188" t="s">
        <v>620</v>
      </c>
      <c r="B3124" s="188" t="s">
        <v>3787</v>
      </c>
      <c r="C3124" s="188" t="s">
        <v>659</v>
      </c>
      <c r="D3124" s="188" t="s">
        <v>4761</v>
      </c>
      <c r="E3124" s="189">
        <v>39485</v>
      </c>
      <c r="F3124" s="190">
        <v>0</v>
      </c>
      <c r="G3124" s="190">
        <v>102.4</v>
      </c>
      <c r="H3124" s="191">
        <v>2250</v>
      </c>
      <c r="I3124" s="191">
        <v>720</v>
      </c>
      <c r="J3124" s="188" t="s">
        <v>624</v>
      </c>
      <c r="K3124" s="188" t="s">
        <v>667</v>
      </c>
      <c r="L3124" s="188" t="s">
        <v>625</v>
      </c>
      <c r="M3124" s="192">
        <f t="shared" si="144"/>
        <v>19</v>
      </c>
      <c r="N3124" s="193">
        <f t="shared" si="145"/>
        <v>1.40625</v>
      </c>
      <c r="O3124" s="194">
        <f t="shared" si="146"/>
        <v>7.4013157894736836E-2</v>
      </c>
    </row>
    <row r="3125" spans="1:15" ht="12.75" customHeight="1">
      <c r="A3125" s="188" t="s">
        <v>620</v>
      </c>
      <c r="B3125" s="188" t="s">
        <v>3787</v>
      </c>
      <c r="C3125" s="188" t="s">
        <v>659</v>
      </c>
      <c r="D3125" s="188" t="s">
        <v>4762</v>
      </c>
      <c r="E3125" s="189">
        <v>39289</v>
      </c>
      <c r="F3125" s="190">
        <v>0</v>
      </c>
      <c r="G3125" s="190">
        <v>104.32</v>
      </c>
      <c r="H3125" s="191">
        <v>2571</v>
      </c>
      <c r="I3125" s="191">
        <v>733.5</v>
      </c>
      <c r="J3125" s="188" t="s">
        <v>624</v>
      </c>
      <c r="K3125" s="188" t="s">
        <v>1344</v>
      </c>
      <c r="L3125" s="188" t="s">
        <v>2867</v>
      </c>
      <c r="M3125" s="192">
        <f t="shared" si="144"/>
        <v>21</v>
      </c>
      <c r="N3125" s="193">
        <f t="shared" si="145"/>
        <v>1.5773006134969325</v>
      </c>
      <c r="O3125" s="194">
        <f t="shared" si="146"/>
        <v>7.5109553023663456E-2</v>
      </c>
    </row>
    <row r="3126" spans="1:15" ht="12.75" customHeight="1">
      <c r="A3126" s="188" t="s">
        <v>620</v>
      </c>
      <c r="B3126" s="188" t="s">
        <v>3787</v>
      </c>
      <c r="C3126" s="188" t="s">
        <v>659</v>
      </c>
      <c r="D3126" s="188" t="s">
        <v>4763</v>
      </c>
      <c r="E3126" s="189">
        <v>39380</v>
      </c>
      <c r="F3126" s="190">
        <v>0</v>
      </c>
      <c r="G3126" s="190">
        <v>97.22</v>
      </c>
      <c r="H3126" s="191">
        <v>2852.99</v>
      </c>
      <c r="I3126" s="191">
        <v>683.55</v>
      </c>
      <c r="J3126" s="188" t="s">
        <v>624</v>
      </c>
      <c r="K3126" s="188" t="s">
        <v>427</v>
      </c>
      <c r="L3126" s="188" t="s">
        <v>4764</v>
      </c>
      <c r="M3126" s="192">
        <f t="shared" si="144"/>
        <v>25</v>
      </c>
      <c r="N3126" s="193">
        <f t="shared" si="145"/>
        <v>1.8782027649769584</v>
      </c>
      <c r="O3126" s="194">
        <f t="shared" si="146"/>
        <v>7.512811059907834E-2</v>
      </c>
    </row>
    <row r="3127" spans="1:15" ht="12.75" customHeight="1">
      <c r="A3127" s="188" t="s">
        <v>620</v>
      </c>
      <c r="B3127" s="188" t="s">
        <v>3787</v>
      </c>
      <c r="C3127" s="188" t="s">
        <v>659</v>
      </c>
      <c r="D3127" s="188" t="s">
        <v>4765</v>
      </c>
      <c r="E3127" s="189">
        <v>39359</v>
      </c>
      <c r="F3127" s="190">
        <v>0</v>
      </c>
      <c r="G3127" s="190">
        <v>14.34</v>
      </c>
      <c r="H3127" s="191">
        <v>320</v>
      </c>
      <c r="I3127" s="191">
        <v>100.8</v>
      </c>
      <c r="J3127" s="188" t="s">
        <v>639</v>
      </c>
      <c r="K3127" s="188" t="s">
        <v>257</v>
      </c>
      <c r="L3127" s="188" t="s">
        <v>4584</v>
      </c>
      <c r="M3127" s="192">
        <f t="shared" si="144"/>
        <v>19</v>
      </c>
      <c r="N3127" s="193">
        <f t="shared" si="145"/>
        <v>1.4285714285714286</v>
      </c>
      <c r="O3127" s="194">
        <f t="shared" si="146"/>
        <v>7.5187969924812026E-2</v>
      </c>
    </row>
    <row r="3128" spans="1:15" ht="12.75" customHeight="1">
      <c r="A3128" s="188" t="s">
        <v>620</v>
      </c>
      <c r="B3128" s="188" t="s">
        <v>3787</v>
      </c>
      <c r="C3128" s="188" t="s">
        <v>659</v>
      </c>
      <c r="D3128" s="188" t="s">
        <v>4766</v>
      </c>
      <c r="E3128" s="189">
        <v>39447</v>
      </c>
      <c r="F3128" s="190">
        <v>0</v>
      </c>
      <c r="G3128" s="190">
        <v>64</v>
      </c>
      <c r="H3128" s="191">
        <v>1883</v>
      </c>
      <c r="I3128" s="191">
        <v>450</v>
      </c>
      <c r="J3128" s="188" t="s">
        <v>624</v>
      </c>
      <c r="K3128" s="188" t="s">
        <v>427</v>
      </c>
      <c r="L3128" s="188" t="s">
        <v>636</v>
      </c>
      <c r="M3128" s="192">
        <f t="shared" si="144"/>
        <v>25</v>
      </c>
      <c r="N3128" s="193">
        <f t="shared" si="145"/>
        <v>1.883</v>
      </c>
      <c r="O3128" s="194">
        <f t="shared" si="146"/>
        <v>7.5319999999999998E-2</v>
      </c>
    </row>
    <row r="3129" spans="1:15" ht="12.75" customHeight="1">
      <c r="A3129" s="188" t="s">
        <v>620</v>
      </c>
      <c r="B3129" s="188" t="s">
        <v>3787</v>
      </c>
      <c r="C3129" s="188" t="s">
        <v>659</v>
      </c>
      <c r="D3129" s="188" t="s">
        <v>4767</v>
      </c>
      <c r="E3129" s="189">
        <v>39485</v>
      </c>
      <c r="F3129" s="190">
        <v>0</v>
      </c>
      <c r="G3129" s="190">
        <v>59.39</v>
      </c>
      <c r="H3129" s="191">
        <v>1610</v>
      </c>
      <c r="I3129" s="191">
        <v>417.6</v>
      </c>
      <c r="J3129" s="188" t="s">
        <v>503</v>
      </c>
      <c r="K3129" s="188" t="s">
        <v>257</v>
      </c>
      <c r="L3129" s="188" t="s">
        <v>4373</v>
      </c>
      <c r="M3129" s="192">
        <f t="shared" si="144"/>
        <v>23</v>
      </c>
      <c r="N3129" s="193">
        <f t="shared" si="145"/>
        <v>1.7349137931034482</v>
      </c>
      <c r="O3129" s="194">
        <f t="shared" si="146"/>
        <v>7.5431034482758619E-2</v>
      </c>
    </row>
    <row r="3130" spans="1:15" ht="12.75" customHeight="1">
      <c r="A3130" s="188" t="s">
        <v>620</v>
      </c>
      <c r="B3130" s="188" t="s">
        <v>3787</v>
      </c>
      <c r="C3130" s="188" t="s">
        <v>659</v>
      </c>
      <c r="D3130" s="188" t="s">
        <v>4768</v>
      </c>
      <c r="E3130" s="189">
        <v>39317</v>
      </c>
      <c r="F3130" s="190">
        <v>0</v>
      </c>
      <c r="G3130" s="190">
        <v>57.6</v>
      </c>
      <c r="H3130" s="191">
        <v>1700.01</v>
      </c>
      <c r="I3130" s="191">
        <v>405</v>
      </c>
      <c r="J3130" s="188" t="s">
        <v>624</v>
      </c>
      <c r="K3130" s="188" t="s">
        <v>427</v>
      </c>
      <c r="L3130" s="188" t="s">
        <v>740</v>
      </c>
      <c r="M3130" s="192">
        <f t="shared" si="144"/>
        <v>25</v>
      </c>
      <c r="N3130" s="193">
        <f t="shared" si="145"/>
        <v>1.8889</v>
      </c>
      <c r="O3130" s="194">
        <f t="shared" si="146"/>
        <v>7.5555999999999998E-2</v>
      </c>
    </row>
    <row r="3131" spans="1:15" ht="12.75" customHeight="1">
      <c r="A3131" s="188" t="s">
        <v>620</v>
      </c>
      <c r="B3131" s="188" t="s">
        <v>3787</v>
      </c>
      <c r="C3131" s="188" t="s">
        <v>659</v>
      </c>
      <c r="D3131" s="188" t="s">
        <v>4769</v>
      </c>
      <c r="E3131" s="189">
        <v>39513</v>
      </c>
      <c r="F3131" s="190">
        <v>0</v>
      </c>
      <c r="G3131" s="190">
        <v>71.81</v>
      </c>
      <c r="H3131" s="191">
        <v>1782</v>
      </c>
      <c r="I3131" s="191">
        <v>504.9</v>
      </c>
      <c r="J3131" s="188" t="s">
        <v>624</v>
      </c>
      <c r="K3131" s="188" t="s">
        <v>1344</v>
      </c>
      <c r="L3131" s="188" t="s">
        <v>3092</v>
      </c>
      <c r="M3131" s="192">
        <f t="shared" si="144"/>
        <v>21</v>
      </c>
      <c r="N3131" s="193">
        <f t="shared" si="145"/>
        <v>1.588235294117647</v>
      </c>
      <c r="O3131" s="194">
        <f t="shared" si="146"/>
        <v>7.5630252100840331E-2</v>
      </c>
    </row>
    <row r="3132" spans="1:15" ht="12.75" customHeight="1">
      <c r="A3132" s="188" t="s">
        <v>620</v>
      </c>
      <c r="B3132" s="188" t="s">
        <v>3787</v>
      </c>
      <c r="C3132" s="188" t="s">
        <v>659</v>
      </c>
      <c r="D3132" s="188" t="s">
        <v>4770</v>
      </c>
      <c r="E3132" s="189">
        <v>39447</v>
      </c>
      <c r="F3132" s="190">
        <v>0</v>
      </c>
      <c r="G3132" s="190">
        <v>0.06</v>
      </c>
      <c r="H3132" s="191">
        <v>811.36</v>
      </c>
      <c r="I3132" s="191">
        <v>0.45</v>
      </c>
      <c r="J3132" s="188" t="s">
        <v>624</v>
      </c>
      <c r="K3132" s="188" t="s">
        <v>427</v>
      </c>
      <c r="L3132" s="188" t="s">
        <v>4771</v>
      </c>
      <c r="M3132" s="192">
        <f t="shared" si="144"/>
        <v>25</v>
      </c>
      <c r="N3132" s="193">
        <f t="shared" si="145"/>
        <v>1.8957009345794393</v>
      </c>
      <c r="O3132" s="194">
        <f t="shared" si="146"/>
        <v>7.5828037383177574E-2</v>
      </c>
    </row>
    <row r="3133" spans="1:15" ht="12.75" customHeight="1">
      <c r="A3133" s="188" t="s">
        <v>620</v>
      </c>
      <c r="B3133" s="188" t="s">
        <v>3787</v>
      </c>
      <c r="C3133" s="188" t="s">
        <v>659</v>
      </c>
      <c r="D3133" s="188" t="s">
        <v>4772</v>
      </c>
      <c r="E3133" s="189">
        <v>39507</v>
      </c>
      <c r="F3133" s="190">
        <v>0</v>
      </c>
      <c r="G3133" s="190">
        <v>29.95</v>
      </c>
      <c r="H3133" s="191">
        <v>1070</v>
      </c>
      <c r="I3133" s="191">
        <v>210.6</v>
      </c>
      <c r="J3133" s="188" t="s">
        <v>624</v>
      </c>
      <c r="K3133" s="188" t="s">
        <v>257</v>
      </c>
      <c r="L3133" s="188" t="s">
        <v>3384</v>
      </c>
      <c r="M3133" s="192">
        <f t="shared" si="144"/>
        <v>30</v>
      </c>
      <c r="N3133" s="193">
        <f t="shared" si="145"/>
        <v>2.2863247863247862</v>
      </c>
      <c r="O3133" s="194">
        <f t="shared" si="146"/>
        <v>7.6210826210826213E-2</v>
      </c>
    </row>
    <row r="3134" spans="1:15" ht="12.75" customHeight="1">
      <c r="A3134" s="188" t="s">
        <v>620</v>
      </c>
      <c r="B3134" s="188" t="s">
        <v>3787</v>
      </c>
      <c r="C3134" s="188" t="s">
        <v>659</v>
      </c>
      <c r="D3134" s="188" t="s">
        <v>4773</v>
      </c>
      <c r="E3134" s="189">
        <v>39422</v>
      </c>
      <c r="F3134" s="190">
        <v>0</v>
      </c>
      <c r="G3134" s="190">
        <v>9.09</v>
      </c>
      <c r="H3134" s="191">
        <v>271</v>
      </c>
      <c r="I3134" s="191">
        <v>63.9</v>
      </c>
      <c r="J3134" s="188" t="s">
        <v>624</v>
      </c>
      <c r="K3134" s="188" t="s">
        <v>427</v>
      </c>
      <c r="L3134" s="188" t="s">
        <v>495</v>
      </c>
      <c r="M3134" s="192">
        <f t="shared" si="144"/>
        <v>25</v>
      </c>
      <c r="N3134" s="193">
        <f t="shared" si="145"/>
        <v>1.908450704225352</v>
      </c>
      <c r="O3134" s="194">
        <f t="shared" si="146"/>
        <v>7.6338028169014083E-2</v>
      </c>
    </row>
    <row r="3135" spans="1:15" ht="12.75" customHeight="1">
      <c r="A3135" s="188" t="s">
        <v>620</v>
      </c>
      <c r="B3135" s="188" t="s">
        <v>3787</v>
      </c>
      <c r="C3135" s="188" t="s">
        <v>659</v>
      </c>
      <c r="D3135" s="188" t="s">
        <v>4774</v>
      </c>
      <c r="E3135" s="189">
        <v>39443</v>
      </c>
      <c r="F3135" s="190">
        <v>0</v>
      </c>
      <c r="G3135" s="190">
        <v>69.63</v>
      </c>
      <c r="H3135" s="191">
        <v>2502</v>
      </c>
      <c r="I3135" s="191">
        <v>489.6</v>
      </c>
      <c r="J3135" s="188" t="s">
        <v>624</v>
      </c>
      <c r="K3135" s="188" t="s">
        <v>257</v>
      </c>
      <c r="L3135" s="188" t="s">
        <v>2389</v>
      </c>
      <c r="M3135" s="192">
        <f t="shared" si="144"/>
        <v>30</v>
      </c>
      <c r="N3135" s="193">
        <f t="shared" si="145"/>
        <v>2.2996323529411766</v>
      </c>
      <c r="O3135" s="194">
        <f t="shared" si="146"/>
        <v>7.6654411764705888E-2</v>
      </c>
    </row>
    <row r="3136" spans="1:15" ht="12.75" customHeight="1">
      <c r="A3136" s="188" t="s">
        <v>620</v>
      </c>
      <c r="B3136" s="188" t="s">
        <v>3787</v>
      </c>
      <c r="C3136" s="188" t="s">
        <v>659</v>
      </c>
      <c r="D3136" s="188" t="s">
        <v>4775</v>
      </c>
      <c r="E3136" s="189">
        <v>39282</v>
      </c>
      <c r="F3136" s="190">
        <v>0</v>
      </c>
      <c r="G3136" s="190">
        <v>121.73</v>
      </c>
      <c r="H3136" s="191">
        <v>3070.97</v>
      </c>
      <c r="I3136" s="191">
        <v>855.9</v>
      </c>
      <c r="J3136" s="188" t="s">
        <v>624</v>
      </c>
      <c r="K3136" s="188" t="s">
        <v>1344</v>
      </c>
      <c r="L3136" s="188" t="s">
        <v>1401</v>
      </c>
      <c r="M3136" s="192">
        <f t="shared" si="144"/>
        <v>21</v>
      </c>
      <c r="N3136" s="193">
        <f t="shared" si="145"/>
        <v>1.6146004206098843</v>
      </c>
      <c r="O3136" s="194">
        <f t="shared" si="146"/>
        <v>7.6885734314756399E-2</v>
      </c>
    </row>
    <row r="3137" spans="1:15" ht="12.75" customHeight="1">
      <c r="A3137" s="188" t="s">
        <v>620</v>
      </c>
      <c r="B3137" s="188" t="s">
        <v>3787</v>
      </c>
      <c r="C3137" s="188" t="s">
        <v>659</v>
      </c>
      <c r="D3137" s="188" t="s">
        <v>4776</v>
      </c>
      <c r="E3137" s="189">
        <v>39555</v>
      </c>
      <c r="F3137" s="190">
        <v>0</v>
      </c>
      <c r="G3137" s="190">
        <v>192</v>
      </c>
      <c r="H3137" s="191">
        <v>6930</v>
      </c>
      <c r="I3137" s="191">
        <v>1350</v>
      </c>
      <c r="J3137" s="188" t="s">
        <v>624</v>
      </c>
      <c r="K3137" s="188" t="s">
        <v>257</v>
      </c>
      <c r="L3137" s="188" t="s">
        <v>925</v>
      </c>
      <c r="M3137" s="192">
        <f t="shared" si="144"/>
        <v>30</v>
      </c>
      <c r="N3137" s="193">
        <f t="shared" si="145"/>
        <v>2.31</v>
      </c>
      <c r="O3137" s="194">
        <f t="shared" si="146"/>
        <v>7.6999999999999999E-2</v>
      </c>
    </row>
    <row r="3138" spans="1:15" ht="12.75" customHeight="1">
      <c r="A3138" s="188" t="s">
        <v>620</v>
      </c>
      <c r="B3138" s="188" t="s">
        <v>3787</v>
      </c>
      <c r="C3138" s="188" t="s">
        <v>659</v>
      </c>
      <c r="D3138" s="188" t="s">
        <v>4777</v>
      </c>
      <c r="E3138" s="189">
        <v>39618</v>
      </c>
      <c r="F3138" s="190">
        <v>0</v>
      </c>
      <c r="G3138" s="190">
        <v>48.9</v>
      </c>
      <c r="H3138" s="191">
        <v>1473</v>
      </c>
      <c r="I3138" s="191">
        <v>343.8</v>
      </c>
      <c r="J3138" s="188" t="s">
        <v>624</v>
      </c>
      <c r="K3138" s="188" t="s">
        <v>427</v>
      </c>
      <c r="L3138" s="188" t="s">
        <v>3289</v>
      </c>
      <c r="M3138" s="192">
        <f t="shared" ref="M3138:M3201" si="147">K3138-J3138</f>
        <v>25</v>
      </c>
      <c r="N3138" s="193">
        <f t="shared" ref="N3138:N3201" si="148">H3138/L3138</f>
        <v>1.9280104712041886</v>
      </c>
      <c r="O3138" s="194">
        <f t="shared" ref="O3138:O3201" si="149">N3138/M3138</f>
        <v>7.7120418848167546E-2</v>
      </c>
    </row>
    <row r="3139" spans="1:15" ht="12.75" customHeight="1">
      <c r="A3139" s="188" t="s">
        <v>620</v>
      </c>
      <c r="B3139" s="188" t="s">
        <v>3787</v>
      </c>
      <c r="C3139" s="188" t="s">
        <v>659</v>
      </c>
      <c r="D3139" s="188" t="s">
        <v>4778</v>
      </c>
      <c r="E3139" s="189">
        <v>39447</v>
      </c>
      <c r="F3139" s="190">
        <v>0</v>
      </c>
      <c r="G3139" s="190">
        <v>110.4</v>
      </c>
      <c r="H3139" s="191">
        <v>3325.95</v>
      </c>
      <c r="I3139" s="191">
        <v>776.25</v>
      </c>
      <c r="J3139" s="188" t="s">
        <v>624</v>
      </c>
      <c r="K3139" s="188" t="s">
        <v>427</v>
      </c>
      <c r="L3139" s="188" t="s">
        <v>2740</v>
      </c>
      <c r="M3139" s="192">
        <f t="shared" si="147"/>
        <v>25</v>
      </c>
      <c r="N3139" s="193">
        <f t="shared" si="148"/>
        <v>1.9280869565217391</v>
      </c>
      <c r="O3139" s="194">
        <f t="shared" si="149"/>
        <v>7.7123478260869571E-2</v>
      </c>
    </row>
    <row r="3140" spans="1:15" ht="12.75" customHeight="1">
      <c r="A3140" s="188" t="s">
        <v>620</v>
      </c>
      <c r="B3140" s="188" t="s">
        <v>3787</v>
      </c>
      <c r="C3140" s="188" t="s">
        <v>659</v>
      </c>
      <c r="D3140" s="188" t="s">
        <v>4779</v>
      </c>
      <c r="E3140" s="189">
        <v>39527</v>
      </c>
      <c r="F3140" s="190">
        <v>0</v>
      </c>
      <c r="G3140" s="190">
        <v>51.2</v>
      </c>
      <c r="H3140" s="191">
        <v>1545</v>
      </c>
      <c r="I3140" s="191">
        <v>360</v>
      </c>
      <c r="J3140" s="188" t="s">
        <v>624</v>
      </c>
      <c r="K3140" s="188" t="s">
        <v>427</v>
      </c>
      <c r="L3140" s="188" t="s">
        <v>752</v>
      </c>
      <c r="M3140" s="192">
        <f t="shared" si="147"/>
        <v>25</v>
      </c>
      <c r="N3140" s="193">
        <f t="shared" si="148"/>
        <v>1.9312499999999999</v>
      </c>
      <c r="O3140" s="194">
        <f t="shared" si="149"/>
        <v>7.7249999999999999E-2</v>
      </c>
    </row>
    <row r="3141" spans="1:15" ht="12.75" customHeight="1">
      <c r="A3141" s="188" t="s">
        <v>620</v>
      </c>
      <c r="B3141" s="188" t="s">
        <v>3787</v>
      </c>
      <c r="C3141" s="188" t="s">
        <v>659</v>
      </c>
      <c r="D3141" s="188" t="s">
        <v>4780</v>
      </c>
      <c r="E3141" s="189">
        <v>39407</v>
      </c>
      <c r="F3141" s="190">
        <v>0</v>
      </c>
      <c r="G3141" s="190">
        <v>80</v>
      </c>
      <c r="H3141" s="191">
        <v>2428</v>
      </c>
      <c r="I3141" s="191">
        <v>562.5</v>
      </c>
      <c r="J3141" s="188" t="s">
        <v>624</v>
      </c>
      <c r="K3141" s="188" t="s">
        <v>427</v>
      </c>
      <c r="L3141" s="188" t="s">
        <v>716</v>
      </c>
      <c r="M3141" s="192">
        <f t="shared" si="147"/>
        <v>25</v>
      </c>
      <c r="N3141" s="193">
        <f t="shared" si="148"/>
        <v>1.9423999999999999</v>
      </c>
      <c r="O3141" s="194">
        <f t="shared" si="149"/>
        <v>7.7696000000000001E-2</v>
      </c>
    </row>
    <row r="3142" spans="1:15" ht="12.75" customHeight="1">
      <c r="A3142" s="188" t="s">
        <v>620</v>
      </c>
      <c r="B3142" s="188" t="s">
        <v>3787</v>
      </c>
      <c r="C3142" s="188" t="s">
        <v>659</v>
      </c>
      <c r="D3142" s="188" t="s">
        <v>4781</v>
      </c>
      <c r="E3142" s="189">
        <v>39269</v>
      </c>
      <c r="F3142" s="190">
        <v>0</v>
      </c>
      <c r="G3142" s="190">
        <v>86.4</v>
      </c>
      <c r="H3142" s="191">
        <v>2626.97</v>
      </c>
      <c r="I3142" s="191">
        <v>607.5</v>
      </c>
      <c r="J3142" s="188" t="s">
        <v>624</v>
      </c>
      <c r="K3142" s="188" t="s">
        <v>427</v>
      </c>
      <c r="L3142" s="188" t="s">
        <v>707</v>
      </c>
      <c r="M3142" s="192">
        <f t="shared" si="147"/>
        <v>25</v>
      </c>
      <c r="N3142" s="193">
        <f t="shared" si="148"/>
        <v>1.9459037037037035</v>
      </c>
      <c r="O3142" s="194">
        <f t="shared" si="149"/>
        <v>7.783614814814814E-2</v>
      </c>
    </row>
    <row r="3143" spans="1:15" ht="12.75" customHeight="1">
      <c r="A3143" s="188" t="s">
        <v>620</v>
      </c>
      <c r="B3143" s="188" t="s">
        <v>3787</v>
      </c>
      <c r="C3143" s="188" t="s">
        <v>659</v>
      </c>
      <c r="D3143" s="188" t="s">
        <v>4782</v>
      </c>
      <c r="E3143" s="189">
        <v>39520</v>
      </c>
      <c r="F3143" s="190">
        <v>0</v>
      </c>
      <c r="G3143" s="190">
        <v>53.12</v>
      </c>
      <c r="H3143" s="191">
        <v>1616</v>
      </c>
      <c r="I3143" s="191">
        <v>373.5</v>
      </c>
      <c r="J3143" s="188" t="s">
        <v>624</v>
      </c>
      <c r="K3143" s="188" t="s">
        <v>427</v>
      </c>
      <c r="L3143" s="188" t="s">
        <v>1157</v>
      </c>
      <c r="M3143" s="192">
        <f t="shared" si="147"/>
        <v>25</v>
      </c>
      <c r="N3143" s="193">
        <f t="shared" si="148"/>
        <v>1.9469879518072288</v>
      </c>
      <c r="O3143" s="194">
        <f t="shared" si="149"/>
        <v>7.7879518072289156E-2</v>
      </c>
    </row>
    <row r="3144" spans="1:15" ht="12.75" customHeight="1">
      <c r="A3144" s="188" t="s">
        <v>620</v>
      </c>
      <c r="B3144" s="188" t="s">
        <v>3787</v>
      </c>
      <c r="C3144" s="188" t="s">
        <v>659</v>
      </c>
      <c r="D3144" s="188" t="s">
        <v>4783</v>
      </c>
      <c r="E3144" s="189">
        <v>39373</v>
      </c>
      <c r="F3144" s="190">
        <v>0</v>
      </c>
      <c r="G3144" s="190">
        <v>22.4</v>
      </c>
      <c r="H3144" s="191">
        <v>575</v>
      </c>
      <c r="I3144" s="191">
        <v>157.5</v>
      </c>
      <c r="J3144" s="188" t="s">
        <v>624</v>
      </c>
      <c r="K3144" s="188" t="s">
        <v>1344</v>
      </c>
      <c r="L3144" s="188" t="s">
        <v>1137</v>
      </c>
      <c r="M3144" s="192">
        <f t="shared" si="147"/>
        <v>21</v>
      </c>
      <c r="N3144" s="193">
        <f t="shared" si="148"/>
        <v>1.6428571428571428</v>
      </c>
      <c r="O3144" s="194">
        <f t="shared" si="149"/>
        <v>7.8231292517006806E-2</v>
      </c>
    </row>
    <row r="3145" spans="1:15" ht="12.75" customHeight="1">
      <c r="A3145" s="188" t="s">
        <v>620</v>
      </c>
      <c r="B3145" s="188" t="s">
        <v>3787</v>
      </c>
      <c r="C3145" s="188" t="s">
        <v>659</v>
      </c>
      <c r="D3145" s="188" t="s">
        <v>4784</v>
      </c>
      <c r="E3145" s="189">
        <v>39618</v>
      </c>
      <c r="F3145" s="190">
        <v>0</v>
      </c>
      <c r="G3145" s="190">
        <v>44.8</v>
      </c>
      <c r="H3145" s="191">
        <v>1649.43</v>
      </c>
      <c r="I3145" s="191">
        <v>315</v>
      </c>
      <c r="J3145" s="188" t="s">
        <v>624</v>
      </c>
      <c r="K3145" s="188" t="s">
        <v>257</v>
      </c>
      <c r="L3145" s="188" t="s">
        <v>1827</v>
      </c>
      <c r="M3145" s="192">
        <f t="shared" si="147"/>
        <v>30</v>
      </c>
      <c r="N3145" s="193">
        <f t="shared" si="148"/>
        <v>2.3563285714285715</v>
      </c>
      <c r="O3145" s="194">
        <f t="shared" si="149"/>
        <v>7.8544285714285719E-2</v>
      </c>
    </row>
    <row r="3146" spans="1:15" ht="12.75" customHeight="1">
      <c r="A3146" s="188" t="s">
        <v>620</v>
      </c>
      <c r="B3146" s="188" t="s">
        <v>3787</v>
      </c>
      <c r="C3146" s="188" t="s">
        <v>659</v>
      </c>
      <c r="D3146" s="188" t="s">
        <v>4785</v>
      </c>
      <c r="E3146" s="189">
        <v>39429</v>
      </c>
      <c r="F3146" s="190">
        <v>0</v>
      </c>
      <c r="G3146" s="190">
        <v>105.86</v>
      </c>
      <c r="H3146" s="191">
        <v>3256</v>
      </c>
      <c r="I3146" s="191">
        <v>744.3</v>
      </c>
      <c r="J3146" s="188" t="s">
        <v>624</v>
      </c>
      <c r="K3146" s="188" t="s">
        <v>427</v>
      </c>
      <c r="L3146" s="188" t="s">
        <v>4786</v>
      </c>
      <c r="M3146" s="192">
        <f t="shared" si="147"/>
        <v>25</v>
      </c>
      <c r="N3146" s="193">
        <f t="shared" si="148"/>
        <v>1.9685610640870617</v>
      </c>
      <c r="O3146" s="194">
        <f t="shared" si="149"/>
        <v>7.8742442563482465E-2</v>
      </c>
    </row>
    <row r="3147" spans="1:15" ht="12.75" customHeight="1">
      <c r="A3147" s="188" t="s">
        <v>620</v>
      </c>
      <c r="B3147" s="188" t="s">
        <v>3787</v>
      </c>
      <c r="C3147" s="188" t="s">
        <v>659</v>
      </c>
      <c r="D3147" s="188" t="s">
        <v>4787</v>
      </c>
      <c r="E3147" s="189">
        <v>39590</v>
      </c>
      <c r="F3147" s="190">
        <v>0</v>
      </c>
      <c r="G3147" s="190">
        <v>57.6</v>
      </c>
      <c r="H3147" s="191">
        <v>1350</v>
      </c>
      <c r="I3147" s="191">
        <v>405</v>
      </c>
      <c r="J3147" s="188" t="s">
        <v>624</v>
      </c>
      <c r="K3147" s="188" t="s">
        <v>667</v>
      </c>
      <c r="L3147" s="188" t="s">
        <v>740</v>
      </c>
      <c r="M3147" s="192">
        <f t="shared" si="147"/>
        <v>19</v>
      </c>
      <c r="N3147" s="193">
        <f t="shared" si="148"/>
        <v>1.5</v>
      </c>
      <c r="O3147" s="194">
        <f t="shared" si="149"/>
        <v>7.8947368421052627E-2</v>
      </c>
    </row>
    <row r="3148" spans="1:15" ht="12.75" customHeight="1">
      <c r="A3148" s="188" t="s">
        <v>620</v>
      </c>
      <c r="B3148" s="188" t="s">
        <v>3787</v>
      </c>
      <c r="C3148" s="188" t="s">
        <v>659</v>
      </c>
      <c r="D3148" s="188" t="s">
        <v>4788</v>
      </c>
      <c r="E3148" s="189">
        <v>39436</v>
      </c>
      <c r="F3148" s="190">
        <v>0</v>
      </c>
      <c r="G3148" s="190">
        <v>140.93</v>
      </c>
      <c r="H3148" s="191">
        <v>4359</v>
      </c>
      <c r="I3148" s="191">
        <v>990.9</v>
      </c>
      <c r="J3148" s="188" t="s">
        <v>624</v>
      </c>
      <c r="K3148" s="188" t="s">
        <v>427</v>
      </c>
      <c r="L3148" s="188" t="s">
        <v>890</v>
      </c>
      <c r="M3148" s="192">
        <f t="shared" si="147"/>
        <v>25</v>
      </c>
      <c r="N3148" s="193">
        <f t="shared" si="148"/>
        <v>1.9795640326975477</v>
      </c>
      <c r="O3148" s="194">
        <f t="shared" si="149"/>
        <v>7.9182561307901911E-2</v>
      </c>
    </row>
    <row r="3149" spans="1:15" ht="12.75" customHeight="1">
      <c r="A3149" s="188" t="s">
        <v>620</v>
      </c>
      <c r="B3149" s="188" t="s">
        <v>3787</v>
      </c>
      <c r="C3149" s="188" t="s">
        <v>659</v>
      </c>
      <c r="D3149" s="188" t="s">
        <v>4789</v>
      </c>
      <c r="E3149" s="189">
        <v>39219</v>
      </c>
      <c r="F3149" s="190">
        <v>0</v>
      </c>
      <c r="G3149" s="190">
        <v>86.91</v>
      </c>
      <c r="H3149" s="191">
        <v>2281.44</v>
      </c>
      <c r="I3149" s="191">
        <v>611.1</v>
      </c>
      <c r="J3149" s="188" t="s">
        <v>624</v>
      </c>
      <c r="K3149" s="188" t="s">
        <v>1344</v>
      </c>
      <c r="L3149" s="188" t="s">
        <v>1751</v>
      </c>
      <c r="M3149" s="192">
        <f t="shared" si="147"/>
        <v>21</v>
      </c>
      <c r="N3149" s="193">
        <f t="shared" si="148"/>
        <v>1.68</v>
      </c>
      <c r="O3149" s="194">
        <f t="shared" si="149"/>
        <v>0.08</v>
      </c>
    </row>
    <row r="3150" spans="1:15" ht="12.75" customHeight="1">
      <c r="A3150" s="188" t="s">
        <v>620</v>
      </c>
      <c r="B3150" s="188" t="s">
        <v>3787</v>
      </c>
      <c r="C3150" s="188" t="s">
        <v>659</v>
      </c>
      <c r="D3150" s="188" t="s">
        <v>4790</v>
      </c>
      <c r="E3150" s="189">
        <v>39387</v>
      </c>
      <c r="F3150" s="190">
        <v>0</v>
      </c>
      <c r="G3150" s="190">
        <v>6.4</v>
      </c>
      <c r="H3150" s="191">
        <v>200</v>
      </c>
      <c r="I3150" s="191">
        <v>45</v>
      </c>
      <c r="J3150" s="188" t="s">
        <v>624</v>
      </c>
      <c r="K3150" s="188" t="s">
        <v>427</v>
      </c>
      <c r="L3150" s="188" t="s">
        <v>3372</v>
      </c>
      <c r="M3150" s="192">
        <f t="shared" si="147"/>
        <v>25</v>
      </c>
      <c r="N3150" s="193">
        <f t="shared" si="148"/>
        <v>2</v>
      </c>
      <c r="O3150" s="194">
        <f t="shared" si="149"/>
        <v>0.08</v>
      </c>
    </row>
    <row r="3151" spans="1:15" ht="12.75" customHeight="1">
      <c r="A3151" s="188" t="s">
        <v>620</v>
      </c>
      <c r="B3151" s="188" t="s">
        <v>3787</v>
      </c>
      <c r="C3151" s="188" t="s">
        <v>659</v>
      </c>
      <c r="D3151" s="188" t="s">
        <v>4791</v>
      </c>
      <c r="E3151" s="189">
        <v>39422</v>
      </c>
      <c r="F3151" s="190">
        <v>0</v>
      </c>
      <c r="G3151" s="190">
        <v>17.920000000000002</v>
      </c>
      <c r="H3151" s="191">
        <v>560</v>
      </c>
      <c r="I3151" s="191">
        <v>126</v>
      </c>
      <c r="J3151" s="188" t="s">
        <v>624</v>
      </c>
      <c r="K3151" s="188" t="s">
        <v>427</v>
      </c>
      <c r="L3151" s="188" t="s">
        <v>4792</v>
      </c>
      <c r="M3151" s="192">
        <f t="shared" si="147"/>
        <v>25</v>
      </c>
      <c r="N3151" s="193">
        <f t="shared" si="148"/>
        <v>2</v>
      </c>
      <c r="O3151" s="194">
        <f t="shared" si="149"/>
        <v>0.08</v>
      </c>
    </row>
    <row r="3152" spans="1:15" ht="12.75" customHeight="1">
      <c r="A3152" s="188" t="s">
        <v>620</v>
      </c>
      <c r="B3152" s="188" t="s">
        <v>3787</v>
      </c>
      <c r="C3152" s="188" t="s">
        <v>659</v>
      </c>
      <c r="D3152" s="188" t="s">
        <v>4793</v>
      </c>
      <c r="E3152" s="189">
        <v>39436</v>
      </c>
      <c r="F3152" s="190">
        <v>0</v>
      </c>
      <c r="G3152" s="190">
        <v>32</v>
      </c>
      <c r="H3152" s="191">
        <v>1000</v>
      </c>
      <c r="I3152" s="191">
        <v>225</v>
      </c>
      <c r="J3152" s="188" t="s">
        <v>624</v>
      </c>
      <c r="K3152" s="188" t="s">
        <v>427</v>
      </c>
      <c r="L3152" s="188" t="s">
        <v>858</v>
      </c>
      <c r="M3152" s="192">
        <f t="shared" si="147"/>
        <v>25</v>
      </c>
      <c r="N3152" s="193">
        <f t="shared" si="148"/>
        <v>2</v>
      </c>
      <c r="O3152" s="194">
        <f t="shared" si="149"/>
        <v>0.08</v>
      </c>
    </row>
    <row r="3153" spans="1:15" ht="12.75" customHeight="1">
      <c r="A3153" s="188" t="s">
        <v>620</v>
      </c>
      <c r="B3153" s="188" t="s">
        <v>3787</v>
      </c>
      <c r="C3153" s="188" t="s">
        <v>659</v>
      </c>
      <c r="D3153" s="188" t="s">
        <v>4794</v>
      </c>
      <c r="E3153" s="189">
        <v>39499</v>
      </c>
      <c r="F3153" s="190">
        <v>0</v>
      </c>
      <c r="G3153" s="190">
        <v>102.4</v>
      </c>
      <c r="H3153" s="191">
        <v>2688</v>
      </c>
      <c r="I3153" s="191">
        <v>720</v>
      </c>
      <c r="J3153" s="188" t="s">
        <v>624</v>
      </c>
      <c r="K3153" s="188" t="s">
        <v>1344</v>
      </c>
      <c r="L3153" s="188" t="s">
        <v>625</v>
      </c>
      <c r="M3153" s="192">
        <f t="shared" si="147"/>
        <v>21</v>
      </c>
      <c r="N3153" s="193">
        <f t="shared" si="148"/>
        <v>1.68</v>
      </c>
      <c r="O3153" s="194">
        <f t="shared" si="149"/>
        <v>0.08</v>
      </c>
    </row>
    <row r="3154" spans="1:15" ht="12.75" customHeight="1">
      <c r="A3154" s="188" t="s">
        <v>620</v>
      </c>
      <c r="B3154" s="188" t="s">
        <v>3787</v>
      </c>
      <c r="C3154" s="188" t="s">
        <v>659</v>
      </c>
      <c r="D3154" s="188" t="s">
        <v>4795</v>
      </c>
      <c r="E3154" s="189">
        <v>39513</v>
      </c>
      <c r="F3154" s="190">
        <v>0</v>
      </c>
      <c r="G3154" s="190">
        <v>19.14</v>
      </c>
      <c r="H3154" s="191">
        <v>598</v>
      </c>
      <c r="I3154" s="191">
        <v>134.55000000000001</v>
      </c>
      <c r="J3154" s="188" t="s">
        <v>624</v>
      </c>
      <c r="K3154" s="188" t="s">
        <v>427</v>
      </c>
      <c r="L3154" s="188" t="s">
        <v>4796</v>
      </c>
      <c r="M3154" s="192">
        <f t="shared" si="147"/>
        <v>25</v>
      </c>
      <c r="N3154" s="193">
        <f t="shared" si="148"/>
        <v>2</v>
      </c>
      <c r="O3154" s="194">
        <f t="shared" si="149"/>
        <v>0.08</v>
      </c>
    </row>
    <row r="3155" spans="1:15" ht="12.75" customHeight="1">
      <c r="A3155" s="188" t="s">
        <v>620</v>
      </c>
      <c r="B3155" s="188" t="s">
        <v>3787</v>
      </c>
      <c r="C3155" s="188" t="s">
        <v>659</v>
      </c>
      <c r="D3155" s="188" t="s">
        <v>4797</v>
      </c>
      <c r="E3155" s="189">
        <v>39541</v>
      </c>
      <c r="F3155" s="190">
        <v>0</v>
      </c>
      <c r="G3155" s="190">
        <v>51.97</v>
      </c>
      <c r="H3155" s="191">
        <v>1624</v>
      </c>
      <c r="I3155" s="191">
        <v>365.4</v>
      </c>
      <c r="J3155" s="188" t="s">
        <v>624</v>
      </c>
      <c r="K3155" s="188" t="s">
        <v>427</v>
      </c>
      <c r="L3155" s="188" t="s">
        <v>3471</v>
      </c>
      <c r="M3155" s="192">
        <f t="shared" si="147"/>
        <v>25</v>
      </c>
      <c r="N3155" s="193">
        <f t="shared" si="148"/>
        <v>2</v>
      </c>
      <c r="O3155" s="194">
        <f t="shared" si="149"/>
        <v>0.08</v>
      </c>
    </row>
    <row r="3156" spans="1:15" ht="12.75" customHeight="1">
      <c r="A3156" s="188" t="s">
        <v>620</v>
      </c>
      <c r="B3156" s="188" t="s">
        <v>3787</v>
      </c>
      <c r="C3156" s="188" t="s">
        <v>659</v>
      </c>
      <c r="D3156" s="188" t="s">
        <v>4798</v>
      </c>
      <c r="E3156" s="189">
        <v>39401</v>
      </c>
      <c r="F3156" s="190">
        <v>0</v>
      </c>
      <c r="G3156" s="190">
        <v>57.6</v>
      </c>
      <c r="H3156" s="191">
        <v>1806</v>
      </c>
      <c r="I3156" s="191">
        <v>405</v>
      </c>
      <c r="J3156" s="188" t="s">
        <v>624</v>
      </c>
      <c r="K3156" s="188" t="s">
        <v>427</v>
      </c>
      <c r="L3156" s="188" t="s">
        <v>740</v>
      </c>
      <c r="M3156" s="192">
        <f t="shared" si="147"/>
        <v>25</v>
      </c>
      <c r="N3156" s="193">
        <f t="shared" si="148"/>
        <v>2.0066666666666668</v>
      </c>
      <c r="O3156" s="194">
        <f t="shared" si="149"/>
        <v>8.0266666666666667E-2</v>
      </c>
    </row>
    <row r="3157" spans="1:15" ht="12.75" customHeight="1">
      <c r="A3157" s="188" t="s">
        <v>620</v>
      </c>
      <c r="B3157" s="188" t="s">
        <v>3787</v>
      </c>
      <c r="C3157" s="188" t="s">
        <v>659</v>
      </c>
      <c r="D3157" s="188" t="s">
        <v>4799</v>
      </c>
      <c r="E3157" s="189">
        <v>39387</v>
      </c>
      <c r="F3157" s="190">
        <v>0</v>
      </c>
      <c r="G3157" s="190">
        <v>153.72999999999999</v>
      </c>
      <c r="H3157" s="191">
        <v>4827</v>
      </c>
      <c r="I3157" s="191">
        <v>1080.9000000000001</v>
      </c>
      <c r="J3157" s="188" t="s">
        <v>624</v>
      </c>
      <c r="K3157" s="188" t="s">
        <v>427</v>
      </c>
      <c r="L3157" s="188" t="s">
        <v>4800</v>
      </c>
      <c r="M3157" s="192">
        <f t="shared" si="147"/>
        <v>25</v>
      </c>
      <c r="N3157" s="193">
        <f t="shared" si="148"/>
        <v>2.0095753538717736</v>
      </c>
      <c r="O3157" s="194">
        <f t="shared" si="149"/>
        <v>8.0383014154870938E-2</v>
      </c>
    </row>
    <row r="3158" spans="1:15" ht="12.75" customHeight="1">
      <c r="A3158" s="188" t="s">
        <v>620</v>
      </c>
      <c r="B3158" s="188" t="s">
        <v>3787</v>
      </c>
      <c r="C3158" s="188" t="s">
        <v>659</v>
      </c>
      <c r="D3158" s="188" t="s">
        <v>4801</v>
      </c>
      <c r="E3158" s="189">
        <v>39541</v>
      </c>
      <c r="F3158" s="190">
        <v>0</v>
      </c>
      <c r="G3158" s="190">
        <v>78.459999999999994</v>
      </c>
      <c r="H3158" s="191">
        <v>2470</v>
      </c>
      <c r="I3158" s="191">
        <v>551.70000000000005</v>
      </c>
      <c r="J3158" s="188" t="s">
        <v>624</v>
      </c>
      <c r="K3158" s="188" t="s">
        <v>427</v>
      </c>
      <c r="L3158" s="188" t="s">
        <v>2336</v>
      </c>
      <c r="M3158" s="192">
        <f t="shared" si="147"/>
        <v>25</v>
      </c>
      <c r="N3158" s="193">
        <f t="shared" si="148"/>
        <v>2.0146818923327894</v>
      </c>
      <c r="O3158" s="194">
        <f t="shared" si="149"/>
        <v>8.0587275693311575E-2</v>
      </c>
    </row>
    <row r="3159" spans="1:15" ht="12.75" customHeight="1">
      <c r="A3159" s="188" t="s">
        <v>620</v>
      </c>
      <c r="B3159" s="188" t="s">
        <v>3787</v>
      </c>
      <c r="C3159" s="188" t="s">
        <v>659</v>
      </c>
      <c r="D3159" s="188" t="s">
        <v>4802</v>
      </c>
      <c r="E3159" s="189">
        <v>39541</v>
      </c>
      <c r="F3159" s="190">
        <v>0</v>
      </c>
      <c r="G3159" s="190">
        <v>96</v>
      </c>
      <c r="H3159" s="191">
        <v>3029.7</v>
      </c>
      <c r="I3159" s="191">
        <v>675</v>
      </c>
      <c r="J3159" s="188" t="s">
        <v>624</v>
      </c>
      <c r="K3159" s="188" t="s">
        <v>427</v>
      </c>
      <c r="L3159" s="188" t="s">
        <v>746</v>
      </c>
      <c r="M3159" s="192">
        <f t="shared" si="147"/>
        <v>25</v>
      </c>
      <c r="N3159" s="193">
        <f t="shared" si="148"/>
        <v>2.0198</v>
      </c>
      <c r="O3159" s="194">
        <f t="shared" si="149"/>
        <v>8.0792000000000003E-2</v>
      </c>
    </row>
    <row r="3160" spans="1:15" ht="12.75" customHeight="1">
      <c r="A3160" s="188" t="s">
        <v>620</v>
      </c>
      <c r="B3160" s="188" t="s">
        <v>3787</v>
      </c>
      <c r="C3160" s="188" t="s">
        <v>659</v>
      </c>
      <c r="D3160" s="188" t="s">
        <v>4803</v>
      </c>
      <c r="E3160" s="189">
        <v>39625</v>
      </c>
      <c r="F3160" s="190">
        <v>0</v>
      </c>
      <c r="G3160" s="190">
        <v>113.92</v>
      </c>
      <c r="H3160" s="191">
        <v>3600.2</v>
      </c>
      <c r="I3160" s="191">
        <v>801</v>
      </c>
      <c r="J3160" s="188" t="s">
        <v>624</v>
      </c>
      <c r="K3160" s="188" t="s">
        <v>427</v>
      </c>
      <c r="L3160" s="188" t="s">
        <v>1724</v>
      </c>
      <c r="M3160" s="192">
        <f t="shared" si="147"/>
        <v>25</v>
      </c>
      <c r="N3160" s="193">
        <f t="shared" si="148"/>
        <v>2.022584269662921</v>
      </c>
      <c r="O3160" s="194">
        <f t="shared" si="149"/>
        <v>8.090337078651684E-2</v>
      </c>
    </row>
    <row r="3161" spans="1:15" ht="12.75" customHeight="1">
      <c r="A3161" s="188" t="s">
        <v>620</v>
      </c>
      <c r="B3161" s="188" t="s">
        <v>3787</v>
      </c>
      <c r="C3161" s="188" t="s">
        <v>659</v>
      </c>
      <c r="D3161" s="188" t="s">
        <v>4804</v>
      </c>
      <c r="E3161" s="189">
        <v>39282</v>
      </c>
      <c r="F3161" s="190">
        <v>0</v>
      </c>
      <c r="G3161" s="190">
        <v>68.86</v>
      </c>
      <c r="H3161" s="191">
        <v>2182.02</v>
      </c>
      <c r="I3161" s="191">
        <v>484.2</v>
      </c>
      <c r="J3161" s="188" t="s">
        <v>624</v>
      </c>
      <c r="K3161" s="188" t="s">
        <v>427</v>
      </c>
      <c r="L3161" s="188" t="s">
        <v>4705</v>
      </c>
      <c r="M3161" s="192">
        <f t="shared" si="147"/>
        <v>25</v>
      </c>
      <c r="N3161" s="193">
        <f t="shared" si="148"/>
        <v>2.0278996282527881</v>
      </c>
      <c r="O3161" s="194">
        <f t="shared" si="149"/>
        <v>8.111598513011152E-2</v>
      </c>
    </row>
    <row r="3162" spans="1:15" ht="12.75" customHeight="1">
      <c r="A3162" s="188" t="s">
        <v>620</v>
      </c>
      <c r="B3162" s="188" t="s">
        <v>3787</v>
      </c>
      <c r="C3162" s="188" t="s">
        <v>659</v>
      </c>
      <c r="D3162" s="188" t="s">
        <v>4805</v>
      </c>
      <c r="E3162" s="189">
        <v>39317</v>
      </c>
      <c r="F3162" s="190">
        <v>0</v>
      </c>
      <c r="G3162" s="190">
        <v>82.24</v>
      </c>
      <c r="H3162" s="191">
        <v>2613.0500000000002</v>
      </c>
      <c r="I3162" s="191">
        <v>578.25</v>
      </c>
      <c r="J3162" s="188" t="s">
        <v>624</v>
      </c>
      <c r="K3162" s="188" t="s">
        <v>427</v>
      </c>
      <c r="L3162" s="188" t="s">
        <v>3031</v>
      </c>
      <c r="M3162" s="192">
        <f t="shared" si="147"/>
        <v>25</v>
      </c>
      <c r="N3162" s="193">
        <f t="shared" si="148"/>
        <v>2.0335019455252921</v>
      </c>
      <c r="O3162" s="194">
        <f t="shared" si="149"/>
        <v>8.1340077821011686E-2</v>
      </c>
    </row>
    <row r="3163" spans="1:15" ht="12.75" customHeight="1">
      <c r="A3163" s="188" t="s">
        <v>620</v>
      </c>
      <c r="B3163" s="188" t="s">
        <v>3787</v>
      </c>
      <c r="C3163" s="188" t="s">
        <v>659</v>
      </c>
      <c r="D3163" s="188" t="s">
        <v>4806</v>
      </c>
      <c r="E3163" s="189">
        <v>39416</v>
      </c>
      <c r="F3163" s="190">
        <v>0</v>
      </c>
      <c r="G3163" s="190">
        <v>64</v>
      </c>
      <c r="H3163" s="191">
        <v>2450</v>
      </c>
      <c r="I3163" s="191">
        <v>450</v>
      </c>
      <c r="J3163" s="188" t="s">
        <v>624</v>
      </c>
      <c r="K3163" s="188" t="s">
        <v>257</v>
      </c>
      <c r="L3163" s="188" t="s">
        <v>636</v>
      </c>
      <c r="M3163" s="192">
        <f t="shared" si="147"/>
        <v>30</v>
      </c>
      <c r="N3163" s="193">
        <f t="shared" si="148"/>
        <v>2.4500000000000002</v>
      </c>
      <c r="O3163" s="194">
        <f t="shared" si="149"/>
        <v>8.1666666666666679E-2</v>
      </c>
    </row>
    <row r="3164" spans="1:15" ht="12.75" customHeight="1">
      <c r="A3164" s="188" t="s">
        <v>620</v>
      </c>
      <c r="B3164" s="188" t="s">
        <v>3787</v>
      </c>
      <c r="C3164" s="188" t="s">
        <v>659</v>
      </c>
      <c r="D3164" s="188" t="s">
        <v>4807</v>
      </c>
      <c r="E3164" s="189">
        <v>39282</v>
      </c>
      <c r="F3164" s="190">
        <v>0</v>
      </c>
      <c r="G3164" s="190">
        <v>10.75</v>
      </c>
      <c r="H3164" s="191">
        <v>206</v>
      </c>
      <c r="I3164" s="191">
        <v>75.599999999999994</v>
      </c>
      <c r="J3164" s="188" t="s">
        <v>720</v>
      </c>
      <c r="K3164" s="188" t="s">
        <v>667</v>
      </c>
      <c r="L3164" s="188" t="s">
        <v>4388</v>
      </c>
      <c r="M3164" s="192">
        <f t="shared" si="147"/>
        <v>15</v>
      </c>
      <c r="N3164" s="193">
        <f t="shared" si="148"/>
        <v>1.2261904761904763</v>
      </c>
      <c r="O3164" s="194">
        <f t="shared" si="149"/>
        <v>8.1746031746031747E-2</v>
      </c>
    </row>
    <row r="3165" spans="1:15" ht="12.75" customHeight="1">
      <c r="A3165" s="188" t="s">
        <v>620</v>
      </c>
      <c r="B3165" s="188" t="s">
        <v>3787</v>
      </c>
      <c r="C3165" s="188" t="s">
        <v>659</v>
      </c>
      <c r="D3165" s="188" t="s">
        <v>4808</v>
      </c>
      <c r="E3165" s="189">
        <v>39345</v>
      </c>
      <c r="F3165" s="190">
        <v>0</v>
      </c>
      <c r="G3165" s="190">
        <v>0.06</v>
      </c>
      <c r="H3165" s="191">
        <v>2208.96</v>
      </c>
      <c r="I3165" s="191">
        <v>480.15</v>
      </c>
      <c r="J3165" s="188" t="s">
        <v>624</v>
      </c>
      <c r="K3165" s="188" t="s">
        <v>427</v>
      </c>
      <c r="L3165" s="188" t="s">
        <v>3050</v>
      </c>
      <c r="M3165" s="192">
        <f t="shared" si="147"/>
        <v>25</v>
      </c>
      <c r="N3165" s="193">
        <f t="shared" si="148"/>
        <v>2.070253045923149</v>
      </c>
      <c r="O3165" s="194">
        <f t="shared" si="149"/>
        <v>8.281012183692596E-2</v>
      </c>
    </row>
    <row r="3166" spans="1:15" ht="12.75" customHeight="1">
      <c r="A3166" s="188" t="s">
        <v>620</v>
      </c>
      <c r="B3166" s="188" t="s">
        <v>3787</v>
      </c>
      <c r="C3166" s="188" t="s">
        <v>659</v>
      </c>
      <c r="D3166" s="188" t="s">
        <v>4809</v>
      </c>
      <c r="E3166" s="189">
        <v>39373</v>
      </c>
      <c r="F3166" s="190">
        <v>0</v>
      </c>
      <c r="G3166" s="190">
        <v>68.290000000000006</v>
      </c>
      <c r="H3166" s="191">
        <v>2209.0100000000002</v>
      </c>
      <c r="I3166" s="191">
        <v>480.15</v>
      </c>
      <c r="J3166" s="188" t="s">
        <v>624</v>
      </c>
      <c r="K3166" s="188" t="s">
        <v>427</v>
      </c>
      <c r="L3166" s="188" t="s">
        <v>3050</v>
      </c>
      <c r="M3166" s="192">
        <f t="shared" si="147"/>
        <v>25</v>
      </c>
      <c r="N3166" s="193">
        <f t="shared" si="148"/>
        <v>2.0702999062792879</v>
      </c>
      <c r="O3166" s="194">
        <f t="shared" si="149"/>
        <v>8.2811996251171513E-2</v>
      </c>
    </row>
    <row r="3167" spans="1:15" ht="12.75" customHeight="1">
      <c r="A3167" s="188" t="s">
        <v>620</v>
      </c>
      <c r="B3167" s="188" t="s">
        <v>3787</v>
      </c>
      <c r="C3167" s="188" t="s">
        <v>659</v>
      </c>
      <c r="D3167" s="188" t="s">
        <v>4810</v>
      </c>
      <c r="E3167" s="189">
        <v>39422</v>
      </c>
      <c r="F3167" s="190">
        <v>0</v>
      </c>
      <c r="G3167" s="190">
        <v>64</v>
      </c>
      <c r="H3167" s="191">
        <v>2078</v>
      </c>
      <c r="I3167" s="191">
        <v>450</v>
      </c>
      <c r="J3167" s="188" t="s">
        <v>624</v>
      </c>
      <c r="K3167" s="188" t="s">
        <v>427</v>
      </c>
      <c r="L3167" s="188" t="s">
        <v>636</v>
      </c>
      <c r="M3167" s="192">
        <f t="shared" si="147"/>
        <v>25</v>
      </c>
      <c r="N3167" s="193">
        <f t="shared" si="148"/>
        <v>2.0779999999999998</v>
      </c>
      <c r="O3167" s="194">
        <f t="shared" si="149"/>
        <v>8.3119999999999999E-2</v>
      </c>
    </row>
    <row r="3168" spans="1:15" ht="12.75" customHeight="1">
      <c r="A3168" s="188" t="s">
        <v>620</v>
      </c>
      <c r="B3168" s="188" t="s">
        <v>3787</v>
      </c>
      <c r="C3168" s="188" t="s">
        <v>659</v>
      </c>
      <c r="D3168" s="188" t="s">
        <v>4811</v>
      </c>
      <c r="E3168" s="189">
        <v>39296</v>
      </c>
      <c r="F3168" s="190">
        <v>0</v>
      </c>
      <c r="G3168" s="190">
        <v>29.18</v>
      </c>
      <c r="H3168" s="191">
        <v>948.48</v>
      </c>
      <c r="I3168" s="191">
        <v>205.2</v>
      </c>
      <c r="J3168" s="188" t="s">
        <v>624</v>
      </c>
      <c r="K3168" s="188" t="s">
        <v>427</v>
      </c>
      <c r="L3168" s="188" t="s">
        <v>466</v>
      </c>
      <c r="M3168" s="192">
        <f t="shared" si="147"/>
        <v>25</v>
      </c>
      <c r="N3168" s="193">
        <f t="shared" si="148"/>
        <v>2.08</v>
      </c>
      <c r="O3168" s="194">
        <f t="shared" si="149"/>
        <v>8.3199999999999996E-2</v>
      </c>
    </row>
    <row r="3169" spans="1:15" ht="12.75" customHeight="1">
      <c r="A3169" s="188" t="s">
        <v>620</v>
      </c>
      <c r="B3169" s="188" t="s">
        <v>3787</v>
      </c>
      <c r="C3169" s="188" t="s">
        <v>659</v>
      </c>
      <c r="D3169" s="188" t="s">
        <v>4812</v>
      </c>
      <c r="E3169" s="189">
        <v>39568</v>
      </c>
      <c r="F3169" s="190">
        <v>0</v>
      </c>
      <c r="G3169" s="190">
        <v>118.66</v>
      </c>
      <c r="H3169" s="191">
        <v>4635</v>
      </c>
      <c r="I3169" s="191">
        <v>834.3</v>
      </c>
      <c r="J3169" s="188" t="s">
        <v>624</v>
      </c>
      <c r="K3169" s="188" t="s">
        <v>257</v>
      </c>
      <c r="L3169" s="188" t="s">
        <v>4755</v>
      </c>
      <c r="M3169" s="192">
        <f t="shared" si="147"/>
        <v>30</v>
      </c>
      <c r="N3169" s="193">
        <f t="shared" si="148"/>
        <v>2.5</v>
      </c>
      <c r="O3169" s="194">
        <f t="shared" si="149"/>
        <v>8.3333333333333329E-2</v>
      </c>
    </row>
    <row r="3170" spans="1:15" ht="12.75" customHeight="1">
      <c r="A3170" s="188" t="s">
        <v>620</v>
      </c>
      <c r="B3170" s="188" t="s">
        <v>3787</v>
      </c>
      <c r="C3170" s="188" t="s">
        <v>659</v>
      </c>
      <c r="D3170" s="188" t="s">
        <v>4813</v>
      </c>
      <c r="E3170" s="189">
        <v>39359</v>
      </c>
      <c r="F3170" s="190">
        <v>0</v>
      </c>
      <c r="G3170" s="190">
        <v>76.8</v>
      </c>
      <c r="H3170" s="191">
        <v>2117.04</v>
      </c>
      <c r="I3170" s="191">
        <v>540</v>
      </c>
      <c r="J3170" s="188" t="s">
        <v>624</v>
      </c>
      <c r="K3170" s="188" t="s">
        <v>1344</v>
      </c>
      <c r="L3170" s="188" t="s">
        <v>632</v>
      </c>
      <c r="M3170" s="192">
        <f t="shared" si="147"/>
        <v>21</v>
      </c>
      <c r="N3170" s="193">
        <f t="shared" si="148"/>
        <v>1.7642</v>
      </c>
      <c r="O3170" s="194">
        <f t="shared" si="149"/>
        <v>8.4009523809523812E-2</v>
      </c>
    </row>
    <row r="3171" spans="1:15" ht="12.75" customHeight="1">
      <c r="A3171" s="188" t="s">
        <v>620</v>
      </c>
      <c r="B3171" s="188" t="s">
        <v>3787</v>
      </c>
      <c r="C3171" s="188" t="s">
        <v>659</v>
      </c>
      <c r="D3171" s="188" t="s">
        <v>4814</v>
      </c>
      <c r="E3171" s="189">
        <v>39639</v>
      </c>
      <c r="F3171" s="190">
        <v>0</v>
      </c>
      <c r="G3171" s="190">
        <v>21.12</v>
      </c>
      <c r="H3171" s="191">
        <v>696</v>
      </c>
      <c r="I3171" s="191">
        <v>148.5</v>
      </c>
      <c r="J3171" s="188" t="s">
        <v>624</v>
      </c>
      <c r="K3171" s="188" t="s">
        <v>427</v>
      </c>
      <c r="L3171" s="188" t="s">
        <v>3197</v>
      </c>
      <c r="M3171" s="192">
        <f t="shared" si="147"/>
        <v>25</v>
      </c>
      <c r="N3171" s="193">
        <f t="shared" si="148"/>
        <v>2.1090909090909089</v>
      </c>
      <c r="O3171" s="194">
        <f t="shared" si="149"/>
        <v>8.4363636363636363E-2</v>
      </c>
    </row>
    <row r="3172" spans="1:15" ht="12.75" customHeight="1">
      <c r="A3172" s="188" t="s">
        <v>620</v>
      </c>
      <c r="B3172" s="188" t="s">
        <v>3787</v>
      </c>
      <c r="C3172" s="188" t="s">
        <v>659</v>
      </c>
      <c r="D3172" s="188" t="s">
        <v>4815</v>
      </c>
      <c r="E3172" s="189">
        <v>39429</v>
      </c>
      <c r="F3172" s="190">
        <v>0</v>
      </c>
      <c r="G3172" s="190">
        <v>44.8</v>
      </c>
      <c r="H3172" s="191">
        <v>650</v>
      </c>
      <c r="I3172" s="191">
        <v>315</v>
      </c>
      <c r="J3172" s="188" t="s">
        <v>624</v>
      </c>
      <c r="K3172" s="188" t="s">
        <v>639</v>
      </c>
      <c r="L3172" s="188" t="s">
        <v>1827</v>
      </c>
      <c r="M3172" s="192">
        <f t="shared" si="147"/>
        <v>11</v>
      </c>
      <c r="N3172" s="193">
        <f t="shared" si="148"/>
        <v>0.9285714285714286</v>
      </c>
      <c r="O3172" s="194">
        <f t="shared" si="149"/>
        <v>8.4415584415584416E-2</v>
      </c>
    </row>
    <row r="3173" spans="1:15" ht="12.75" customHeight="1">
      <c r="A3173" s="188" t="s">
        <v>620</v>
      </c>
      <c r="B3173" s="188" t="s">
        <v>3787</v>
      </c>
      <c r="C3173" s="188" t="s">
        <v>659</v>
      </c>
      <c r="D3173" s="188" t="s">
        <v>4816</v>
      </c>
      <c r="E3173" s="189">
        <v>39324</v>
      </c>
      <c r="F3173" s="190">
        <v>0</v>
      </c>
      <c r="G3173" s="190">
        <v>107.9</v>
      </c>
      <c r="H3173" s="191">
        <v>2710.08</v>
      </c>
      <c r="I3173" s="191">
        <v>758.7</v>
      </c>
      <c r="J3173" s="188" t="s">
        <v>624</v>
      </c>
      <c r="K3173" s="188" t="s">
        <v>667</v>
      </c>
      <c r="L3173" s="188" t="s">
        <v>4817</v>
      </c>
      <c r="M3173" s="192">
        <f t="shared" si="147"/>
        <v>19</v>
      </c>
      <c r="N3173" s="193">
        <f t="shared" si="148"/>
        <v>1.6074021352313166</v>
      </c>
      <c r="O3173" s="194">
        <f t="shared" si="149"/>
        <v>8.4600112380595616E-2</v>
      </c>
    </row>
    <row r="3174" spans="1:15" ht="12.75" customHeight="1">
      <c r="A3174" s="188" t="s">
        <v>620</v>
      </c>
      <c r="B3174" s="188" t="s">
        <v>3787</v>
      </c>
      <c r="C3174" s="188" t="s">
        <v>659</v>
      </c>
      <c r="D3174" s="188" t="s">
        <v>4818</v>
      </c>
      <c r="E3174" s="189">
        <v>39447</v>
      </c>
      <c r="F3174" s="190">
        <v>0</v>
      </c>
      <c r="G3174" s="190">
        <v>105.6</v>
      </c>
      <c r="H3174" s="191">
        <v>2948</v>
      </c>
      <c r="I3174" s="191">
        <v>742.5</v>
      </c>
      <c r="J3174" s="188" t="s">
        <v>624</v>
      </c>
      <c r="K3174" s="188" t="s">
        <v>1344</v>
      </c>
      <c r="L3174" s="188" t="s">
        <v>885</v>
      </c>
      <c r="M3174" s="192">
        <f t="shared" si="147"/>
        <v>21</v>
      </c>
      <c r="N3174" s="193">
        <f t="shared" si="148"/>
        <v>1.7866666666666666</v>
      </c>
      <c r="O3174" s="194">
        <f t="shared" si="149"/>
        <v>8.5079365079365074E-2</v>
      </c>
    </row>
    <row r="3175" spans="1:15" ht="12.75" customHeight="1">
      <c r="A3175" s="188" t="s">
        <v>620</v>
      </c>
      <c r="B3175" s="188" t="s">
        <v>3787</v>
      </c>
      <c r="C3175" s="188" t="s">
        <v>659</v>
      </c>
      <c r="D3175" s="188" t="s">
        <v>4819</v>
      </c>
      <c r="E3175" s="189">
        <v>39310</v>
      </c>
      <c r="F3175" s="190">
        <v>0</v>
      </c>
      <c r="G3175" s="190">
        <v>4.22</v>
      </c>
      <c r="H3175" s="191">
        <v>141</v>
      </c>
      <c r="I3175" s="191">
        <v>29.7</v>
      </c>
      <c r="J3175" s="188" t="s">
        <v>624</v>
      </c>
      <c r="K3175" s="188" t="s">
        <v>427</v>
      </c>
      <c r="L3175" s="188" t="s">
        <v>525</v>
      </c>
      <c r="M3175" s="192">
        <f t="shared" si="147"/>
        <v>25</v>
      </c>
      <c r="N3175" s="193">
        <f t="shared" si="148"/>
        <v>2.1363636363636362</v>
      </c>
      <c r="O3175" s="194">
        <f t="shared" si="149"/>
        <v>8.545454545454545E-2</v>
      </c>
    </row>
    <row r="3176" spans="1:15" ht="12.75" customHeight="1">
      <c r="A3176" s="188" t="s">
        <v>620</v>
      </c>
      <c r="B3176" s="188" t="s">
        <v>3787</v>
      </c>
      <c r="C3176" s="188" t="s">
        <v>659</v>
      </c>
      <c r="D3176" s="188" t="s">
        <v>4820</v>
      </c>
      <c r="E3176" s="189">
        <v>39471</v>
      </c>
      <c r="F3176" s="190">
        <v>0</v>
      </c>
      <c r="G3176" s="190">
        <v>64.900000000000006</v>
      </c>
      <c r="H3176" s="191">
        <v>2168</v>
      </c>
      <c r="I3176" s="191">
        <v>456.3</v>
      </c>
      <c r="J3176" s="188" t="s">
        <v>624</v>
      </c>
      <c r="K3176" s="188" t="s">
        <v>427</v>
      </c>
      <c r="L3176" s="188" t="s">
        <v>1060</v>
      </c>
      <c r="M3176" s="192">
        <f t="shared" si="147"/>
        <v>25</v>
      </c>
      <c r="N3176" s="193">
        <f t="shared" si="148"/>
        <v>2.138067061143984</v>
      </c>
      <c r="O3176" s="194">
        <f t="shared" si="149"/>
        <v>8.5522682445759363E-2</v>
      </c>
    </row>
    <row r="3177" spans="1:15" ht="12.75" customHeight="1">
      <c r="A3177" s="188" t="s">
        <v>620</v>
      </c>
      <c r="B3177" s="188" t="s">
        <v>3787</v>
      </c>
      <c r="C3177" s="188" t="s">
        <v>659</v>
      </c>
      <c r="D3177" s="188" t="s">
        <v>4821</v>
      </c>
      <c r="E3177" s="189">
        <v>39331</v>
      </c>
      <c r="F3177" s="190">
        <v>0</v>
      </c>
      <c r="G3177" s="190">
        <v>4.4800000000000004</v>
      </c>
      <c r="H3177" s="191">
        <v>150</v>
      </c>
      <c r="I3177" s="191">
        <v>31.5</v>
      </c>
      <c r="J3177" s="188" t="s">
        <v>624</v>
      </c>
      <c r="K3177" s="188" t="s">
        <v>427</v>
      </c>
      <c r="L3177" s="188" t="s">
        <v>305</v>
      </c>
      <c r="M3177" s="192">
        <f t="shared" si="147"/>
        <v>25</v>
      </c>
      <c r="N3177" s="193">
        <f t="shared" si="148"/>
        <v>2.1428571428571428</v>
      </c>
      <c r="O3177" s="194">
        <f t="shared" si="149"/>
        <v>8.5714285714285715E-2</v>
      </c>
    </row>
    <row r="3178" spans="1:15" ht="12.75" customHeight="1">
      <c r="A3178" s="188" t="s">
        <v>620</v>
      </c>
      <c r="B3178" s="188" t="s">
        <v>3787</v>
      </c>
      <c r="C3178" s="188" t="s">
        <v>659</v>
      </c>
      <c r="D3178" s="188" t="s">
        <v>4822</v>
      </c>
      <c r="E3178" s="189">
        <v>39407</v>
      </c>
      <c r="F3178" s="190">
        <v>0</v>
      </c>
      <c r="G3178" s="190">
        <v>96.77</v>
      </c>
      <c r="H3178" s="191">
        <v>2471</v>
      </c>
      <c r="I3178" s="191">
        <v>680.4</v>
      </c>
      <c r="J3178" s="188" t="s">
        <v>624</v>
      </c>
      <c r="K3178" s="188" t="s">
        <v>667</v>
      </c>
      <c r="L3178" s="188" t="s">
        <v>649</v>
      </c>
      <c r="M3178" s="192">
        <f t="shared" si="147"/>
        <v>19</v>
      </c>
      <c r="N3178" s="193">
        <f t="shared" si="148"/>
        <v>1.6342592592592593</v>
      </c>
      <c r="O3178" s="194">
        <f t="shared" si="149"/>
        <v>8.6013645224171542E-2</v>
      </c>
    </row>
    <row r="3179" spans="1:15" ht="12.75" customHeight="1">
      <c r="A3179" s="188" t="s">
        <v>620</v>
      </c>
      <c r="B3179" s="188" t="s">
        <v>3787</v>
      </c>
      <c r="C3179" s="188" t="s">
        <v>659</v>
      </c>
      <c r="D3179" s="188" t="s">
        <v>4823</v>
      </c>
      <c r="E3179" s="189">
        <v>39492</v>
      </c>
      <c r="F3179" s="190">
        <v>0</v>
      </c>
      <c r="G3179" s="190">
        <v>138.05000000000001</v>
      </c>
      <c r="H3179" s="191">
        <v>3945</v>
      </c>
      <c r="I3179" s="191">
        <v>970.65</v>
      </c>
      <c r="J3179" s="188" t="s">
        <v>624</v>
      </c>
      <c r="K3179" s="188" t="s">
        <v>1344</v>
      </c>
      <c r="L3179" s="188" t="s">
        <v>4824</v>
      </c>
      <c r="M3179" s="192">
        <f t="shared" si="147"/>
        <v>21</v>
      </c>
      <c r="N3179" s="193">
        <f t="shared" si="148"/>
        <v>1.8289290681502086</v>
      </c>
      <c r="O3179" s="194">
        <f t="shared" si="149"/>
        <v>8.7091860388105166E-2</v>
      </c>
    </row>
    <row r="3180" spans="1:15" ht="12.75" customHeight="1">
      <c r="A3180" s="188" t="s">
        <v>620</v>
      </c>
      <c r="B3180" s="188" t="s">
        <v>3787</v>
      </c>
      <c r="C3180" s="188" t="s">
        <v>659</v>
      </c>
      <c r="D3180" s="188" t="s">
        <v>4825</v>
      </c>
      <c r="E3180" s="189">
        <v>39568</v>
      </c>
      <c r="F3180" s="190">
        <v>0</v>
      </c>
      <c r="G3180" s="190">
        <v>18.05</v>
      </c>
      <c r="H3180" s="191">
        <v>620</v>
      </c>
      <c r="I3180" s="191">
        <v>126.9</v>
      </c>
      <c r="J3180" s="188" t="s">
        <v>624</v>
      </c>
      <c r="K3180" s="188" t="s">
        <v>427</v>
      </c>
      <c r="L3180" s="188" t="s">
        <v>4826</v>
      </c>
      <c r="M3180" s="192">
        <f t="shared" si="147"/>
        <v>25</v>
      </c>
      <c r="N3180" s="193">
        <f t="shared" si="148"/>
        <v>2.1985815602836878</v>
      </c>
      <c r="O3180" s="194">
        <f t="shared" si="149"/>
        <v>8.7943262411347506E-2</v>
      </c>
    </row>
    <row r="3181" spans="1:15" ht="12.75" customHeight="1">
      <c r="A3181" s="188" t="s">
        <v>620</v>
      </c>
      <c r="B3181" s="188" t="s">
        <v>3787</v>
      </c>
      <c r="C3181" s="188" t="s">
        <v>659</v>
      </c>
      <c r="D3181" s="188" t="s">
        <v>4827</v>
      </c>
      <c r="E3181" s="189">
        <v>39576</v>
      </c>
      <c r="F3181" s="190">
        <v>0</v>
      </c>
      <c r="G3181" s="190">
        <v>6.4</v>
      </c>
      <c r="H3181" s="191">
        <v>220</v>
      </c>
      <c r="I3181" s="191">
        <v>45</v>
      </c>
      <c r="J3181" s="188" t="s">
        <v>624</v>
      </c>
      <c r="K3181" s="188" t="s">
        <v>427</v>
      </c>
      <c r="L3181" s="188" t="s">
        <v>3372</v>
      </c>
      <c r="M3181" s="192">
        <f t="shared" si="147"/>
        <v>25</v>
      </c>
      <c r="N3181" s="193">
        <f t="shared" si="148"/>
        <v>2.2000000000000002</v>
      </c>
      <c r="O3181" s="194">
        <f t="shared" si="149"/>
        <v>8.8000000000000009E-2</v>
      </c>
    </row>
    <row r="3182" spans="1:15" ht="12.75" customHeight="1">
      <c r="A3182" s="188" t="s">
        <v>620</v>
      </c>
      <c r="B3182" s="188" t="s">
        <v>3787</v>
      </c>
      <c r="C3182" s="188" t="s">
        <v>659</v>
      </c>
      <c r="D3182" s="188" t="s">
        <v>4828</v>
      </c>
      <c r="E3182" s="189">
        <v>39395</v>
      </c>
      <c r="F3182" s="190">
        <v>0</v>
      </c>
      <c r="G3182" s="190">
        <v>66.3</v>
      </c>
      <c r="H3182" s="191">
        <v>2285</v>
      </c>
      <c r="I3182" s="191">
        <v>466.2</v>
      </c>
      <c r="J3182" s="188" t="s">
        <v>624</v>
      </c>
      <c r="K3182" s="188" t="s">
        <v>427</v>
      </c>
      <c r="L3182" s="188" t="s">
        <v>766</v>
      </c>
      <c r="M3182" s="192">
        <f t="shared" si="147"/>
        <v>25</v>
      </c>
      <c r="N3182" s="193">
        <f t="shared" si="148"/>
        <v>2.2055984555984556</v>
      </c>
      <c r="O3182" s="194">
        <f t="shared" si="149"/>
        <v>8.8223938223938217E-2</v>
      </c>
    </row>
    <row r="3183" spans="1:15" ht="12.75" customHeight="1">
      <c r="A3183" s="188" t="s">
        <v>620</v>
      </c>
      <c r="B3183" s="188" t="s">
        <v>3787</v>
      </c>
      <c r="C3183" s="188" t="s">
        <v>659</v>
      </c>
      <c r="D3183" s="188" t="s">
        <v>4829</v>
      </c>
      <c r="E3183" s="189">
        <v>39275</v>
      </c>
      <c r="F3183" s="190">
        <v>0</v>
      </c>
      <c r="G3183" s="190">
        <v>36.61</v>
      </c>
      <c r="H3183" s="191">
        <v>1262</v>
      </c>
      <c r="I3183" s="191">
        <v>257.39999999999998</v>
      </c>
      <c r="J3183" s="188" t="s">
        <v>624</v>
      </c>
      <c r="K3183" s="188" t="s">
        <v>427</v>
      </c>
      <c r="L3183" s="188" t="s">
        <v>841</v>
      </c>
      <c r="M3183" s="192">
        <f t="shared" si="147"/>
        <v>25</v>
      </c>
      <c r="N3183" s="193">
        <f t="shared" si="148"/>
        <v>2.2062937062937062</v>
      </c>
      <c r="O3183" s="194">
        <f t="shared" si="149"/>
        <v>8.8251748251748252E-2</v>
      </c>
    </row>
    <row r="3184" spans="1:15" ht="12.75" customHeight="1">
      <c r="A3184" s="188" t="s">
        <v>620</v>
      </c>
      <c r="B3184" s="188" t="s">
        <v>3787</v>
      </c>
      <c r="C3184" s="188" t="s">
        <v>659</v>
      </c>
      <c r="D3184" s="188" t="s">
        <v>4830</v>
      </c>
      <c r="E3184" s="189">
        <v>39499</v>
      </c>
      <c r="F3184" s="190">
        <v>0</v>
      </c>
      <c r="G3184" s="190">
        <v>107.52</v>
      </c>
      <c r="H3184" s="191">
        <v>3116</v>
      </c>
      <c r="I3184" s="191">
        <v>756</v>
      </c>
      <c r="J3184" s="188" t="s">
        <v>624</v>
      </c>
      <c r="K3184" s="188" t="s">
        <v>1344</v>
      </c>
      <c r="L3184" s="188" t="s">
        <v>2325</v>
      </c>
      <c r="M3184" s="192">
        <f t="shared" si="147"/>
        <v>21</v>
      </c>
      <c r="N3184" s="193">
        <f t="shared" si="148"/>
        <v>1.8547619047619048</v>
      </c>
      <c r="O3184" s="194">
        <f t="shared" si="149"/>
        <v>8.8321995464852615E-2</v>
      </c>
    </row>
    <row r="3185" spans="1:15" ht="12.75" customHeight="1">
      <c r="A3185" s="188" t="s">
        <v>620</v>
      </c>
      <c r="B3185" s="188" t="s">
        <v>3787</v>
      </c>
      <c r="C3185" s="188" t="s">
        <v>659</v>
      </c>
      <c r="D3185" s="188" t="s">
        <v>4831</v>
      </c>
      <c r="E3185" s="189">
        <v>39583</v>
      </c>
      <c r="F3185" s="190">
        <v>0</v>
      </c>
      <c r="G3185" s="190">
        <v>19.2</v>
      </c>
      <c r="H3185" s="191">
        <v>664.8</v>
      </c>
      <c r="I3185" s="191">
        <v>135</v>
      </c>
      <c r="J3185" s="188" t="s">
        <v>624</v>
      </c>
      <c r="K3185" s="188" t="s">
        <v>427</v>
      </c>
      <c r="L3185" s="188" t="s">
        <v>1315</v>
      </c>
      <c r="M3185" s="192">
        <f t="shared" si="147"/>
        <v>25</v>
      </c>
      <c r="N3185" s="193">
        <f t="shared" si="148"/>
        <v>2.2159999999999997</v>
      </c>
      <c r="O3185" s="194">
        <f t="shared" si="149"/>
        <v>8.8639999999999997E-2</v>
      </c>
    </row>
    <row r="3186" spans="1:15" ht="12.75" customHeight="1">
      <c r="A3186" s="188" t="s">
        <v>620</v>
      </c>
      <c r="B3186" s="188" t="s">
        <v>3787</v>
      </c>
      <c r="C3186" s="188" t="s">
        <v>659</v>
      </c>
      <c r="D3186" s="188" t="s">
        <v>4832</v>
      </c>
      <c r="E3186" s="189">
        <v>39352</v>
      </c>
      <c r="F3186" s="190">
        <v>0</v>
      </c>
      <c r="G3186" s="190">
        <v>8.64</v>
      </c>
      <c r="H3186" s="191">
        <v>300</v>
      </c>
      <c r="I3186" s="191">
        <v>60.75</v>
      </c>
      <c r="J3186" s="188" t="s">
        <v>624</v>
      </c>
      <c r="K3186" s="188" t="s">
        <v>427</v>
      </c>
      <c r="L3186" s="188" t="s">
        <v>4833</v>
      </c>
      <c r="M3186" s="192">
        <f t="shared" si="147"/>
        <v>25</v>
      </c>
      <c r="N3186" s="193">
        <f t="shared" si="148"/>
        <v>2.2222222222222223</v>
      </c>
      <c r="O3186" s="194">
        <f t="shared" si="149"/>
        <v>8.8888888888888892E-2</v>
      </c>
    </row>
    <row r="3187" spans="1:15" ht="12.75" customHeight="1">
      <c r="A3187" s="188" t="s">
        <v>620</v>
      </c>
      <c r="B3187" s="188" t="s">
        <v>3787</v>
      </c>
      <c r="C3187" s="188" t="s">
        <v>659</v>
      </c>
      <c r="D3187" s="188" t="s">
        <v>4834</v>
      </c>
      <c r="E3187" s="189">
        <v>39534</v>
      </c>
      <c r="F3187" s="190">
        <v>0</v>
      </c>
      <c r="G3187" s="190">
        <v>121.6</v>
      </c>
      <c r="H3187" s="191">
        <v>3600</v>
      </c>
      <c r="I3187" s="191">
        <v>855</v>
      </c>
      <c r="J3187" s="188" t="s">
        <v>624</v>
      </c>
      <c r="K3187" s="188" t="s">
        <v>1344</v>
      </c>
      <c r="L3187" s="188" t="s">
        <v>1673</v>
      </c>
      <c r="M3187" s="192">
        <f t="shared" si="147"/>
        <v>21</v>
      </c>
      <c r="N3187" s="193">
        <f t="shared" si="148"/>
        <v>1.8947368421052631</v>
      </c>
      <c r="O3187" s="194">
        <f t="shared" si="149"/>
        <v>9.0225563909774431E-2</v>
      </c>
    </row>
    <row r="3188" spans="1:15" ht="12.75" customHeight="1">
      <c r="A3188" s="188" t="s">
        <v>620</v>
      </c>
      <c r="B3188" s="188" t="s">
        <v>3787</v>
      </c>
      <c r="C3188" s="188" t="s">
        <v>659</v>
      </c>
      <c r="D3188" s="188" t="s">
        <v>4835</v>
      </c>
      <c r="E3188" s="189">
        <v>39345</v>
      </c>
      <c r="F3188" s="190">
        <v>0</v>
      </c>
      <c r="G3188" s="190">
        <v>2.11</v>
      </c>
      <c r="H3188" s="191">
        <v>90</v>
      </c>
      <c r="I3188" s="191">
        <v>14.85</v>
      </c>
      <c r="J3188" s="188" t="s">
        <v>624</v>
      </c>
      <c r="K3188" s="188" t="s">
        <v>257</v>
      </c>
      <c r="L3188" s="188" t="s">
        <v>4708</v>
      </c>
      <c r="M3188" s="192">
        <f t="shared" si="147"/>
        <v>30</v>
      </c>
      <c r="N3188" s="193">
        <f t="shared" si="148"/>
        <v>2.7272727272727271</v>
      </c>
      <c r="O3188" s="194">
        <f t="shared" si="149"/>
        <v>9.0909090909090898E-2</v>
      </c>
    </row>
    <row r="3189" spans="1:15" ht="12.75" customHeight="1">
      <c r="A3189" s="188" t="s">
        <v>620</v>
      </c>
      <c r="B3189" s="188" t="s">
        <v>3787</v>
      </c>
      <c r="C3189" s="188" t="s">
        <v>659</v>
      </c>
      <c r="D3189" s="188" t="s">
        <v>4836</v>
      </c>
      <c r="E3189" s="189">
        <v>39499</v>
      </c>
      <c r="F3189" s="190">
        <v>0</v>
      </c>
      <c r="G3189" s="190">
        <v>115.2</v>
      </c>
      <c r="H3189" s="191">
        <v>3119</v>
      </c>
      <c r="I3189" s="191">
        <v>810</v>
      </c>
      <c r="J3189" s="188" t="s">
        <v>353</v>
      </c>
      <c r="K3189" s="188" t="s">
        <v>427</v>
      </c>
      <c r="L3189" s="188" t="s">
        <v>718</v>
      </c>
      <c r="M3189" s="192">
        <f t="shared" si="147"/>
        <v>19</v>
      </c>
      <c r="N3189" s="193">
        <f t="shared" si="148"/>
        <v>1.7327777777777778</v>
      </c>
      <c r="O3189" s="194">
        <f t="shared" si="149"/>
        <v>9.1198830409356724E-2</v>
      </c>
    </row>
    <row r="3190" spans="1:15" ht="12.75" customHeight="1">
      <c r="A3190" s="188" t="s">
        <v>620</v>
      </c>
      <c r="B3190" s="188" t="s">
        <v>3787</v>
      </c>
      <c r="C3190" s="188" t="s">
        <v>659</v>
      </c>
      <c r="D3190" s="188" t="s">
        <v>4837</v>
      </c>
      <c r="E3190" s="189">
        <v>39447</v>
      </c>
      <c r="F3190" s="190">
        <v>0</v>
      </c>
      <c r="G3190" s="190">
        <v>4.8</v>
      </c>
      <c r="H3190" s="191">
        <v>174</v>
      </c>
      <c r="I3190" s="191">
        <v>33.75</v>
      </c>
      <c r="J3190" s="188" t="s">
        <v>624</v>
      </c>
      <c r="K3190" s="188" t="s">
        <v>427</v>
      </c>
      <c r="L3190" s="188" t="s">
        <v>311</v>
      </c>
      <c r="M3190" s="192">
        <f t="shared" si="147"/>
        <v>25</v>
      </c>
      <c r="N3190" s="193">
        <f t="shared" si="148"/>
        <v>2.3199999999999998</v>
      </c>
      <c r="O3190" s="194">
        <f t="shared" si="149"/>
        <v>9.2799999999999994E-2</v>
      </c>
    </row>
    <row r="3191" spans="1:15" ht="12.75" customHeight="1">
      <c r="A3191" s="188" t="s">
        <v>620</v>
      </c>
      <c r="B3191" s="188" t="s">
        <v>3787</v>
      </c>
      <c r="C3191" s="188" t="s">
        <v>659</v>
      </c>
      <c r="D3191" s="188" t="s">
        <v>4838</v>
      </c>
      <c r="E3191" s="189">
        <v>39324</v>
      </c>
      <c r="F3191" s="190">
        <v>0</v>
      </c>
      <c r="G3191" s="190">
        <v>83.2</v>
      </c>
      <c r="H3191" s="191">
        <v>1831.44</v>
      </c>
      <c r="I3191" s="191">
        <v>585</v>
      </c>
      <c r="J3191" s="188" t="s">
        <v>624</v>
      </c>
      <c r="K3191" s="188" t="s">
        <v>571</v>
      </c>
      <c r="L3191" s="188" t="s">
        <v>699</v>
      </c>
      <c r="M3191" s="192">
        <f t="shared" si="147"/>
        <v>15</v>
      </c>
      <c r="N3191" s="193">
        <f t="shared" si="148"/>
        <v>1.4088000000000001</v>
      </c>
      <c r="O3191" s="194">
        <f t="shared" si="149"/>
        <v>9.3920000000000003E-2</v>
      </c>
    </row>
    <row r="3192" spans="1:15" ht="12.75" customHeight="1">
      <c r="A3192" s="188" t="s">
        <v>620</v>
      </c>
      <c r="B3192" s="188" t="s">
        <v>3787</v>
      </c>
      <c r="C3192" s="188" t="s">
        <v>659</v>
      </c>
      <c r="D3192" s="188" t="s">
        <v>4839</v>
      </c>
      <c r="E3192" s="189">
        <v>39240</v>
      </c>
      <c r="F3192" s="190">
        <v>0</v>
      </c>
      <c r="G3192" s="190">
        <v>33.979999999999997</v>
      </c>
      <c r="H3192" s="191">
        <v>1248.01</v>
      </c>
      <c r="I3192" s="191">
        <v>238.95</v>
      </c>
      <c r="J3192" s="188" t="s">
        <v>624</v>
      </c>
      <c r="K3192" s="188" t="s">
        <v>427</v>
      </c>
      <c r="L3192" s="188" t="s">
        <v>486</v>
      </c>
      <c r="M3192" s="192">
        <f t="shared" si="147"/>
        <v>25</v>
      </c>
      <c r="N3192" s="193">
        <f t="shared" si="148"/>
        <v>2.3503013182674199</v>
      </c>
      <c r="O3192" s="194">
        <f t="shared" si="149"/>
        <v>9.4012052730696793E-2</v>
      </c>
    </row>
    <row r="3193" spans="1:15" ht="12.75" customHeight="1">
      <c r="A3193" s="188" t="s">
        <v>620</v>
      </c>
      <c r="B3193" s="188" t="s">
        <v>3787</v>
      </c>
      <c r="C3193" s="188" t="s">
        <v>659</v>
      </c>
      <c r="D3193" s="188" t="s">
        <v>4840</v>
      </c>
      <c r="E3193" s="189">
        <v>39534</v>
      </c>
      <c r="F3193" s="190">
        <v>0</v>
      </c>
      <c r="G3193" s="190">
        <v>74.239999999999995</v>
      </c>
      <c r="H3193" s="191">
        <v>2300</v>
      </c>
      <c r="I3193" s="191">
        <v>522</v>
      </c>
      <c r="J3193" s="188" t="s">
        <v>624</v>
      </c>
      <c r="K3193" s="188" t="s">
        <v>1344</v>
      </c>
      <c r="L3193" s="188" t="s">
        <v>1001</v>
      </c>
      <c r="M3193" s="192">
        <f t="shared" si="147"/>
        <v>21</v>
      </c>
      <c r="N3193" s="193">
        <f t="shared" si="148"/>
        <v>1.9827586206896552</v>
      </c>
      <c r="O3193" s="194">
        <f t="shared" si="149"/>
        <v>9.4417077175697875E-2</v>
      </c>
    </row>
    <row r="3194" spans="1:15" ht="12.75" customHeight="1">
      <c r="A3194" s="188" t="s">
        <v>620</v>
      </c>
      <c r="B3194" s="188" t="s">
        <v>3787</v>
      </c>
      <c r="C3194" s="188" t="s">
        <v>659</v>
      </c>
      <c r="D3194" s="188" t="s">
        <v>4841</v>
      </c>
      <c r="E3194" s="189">
        <v>39261</v>
      </c>
      <c r="F3194" s="190">
        <v>0</v>
      </c>
      <c r="G3194" s="190">
        <v>6.4</v>
      </c>
      <c r="H3194" s="191">
        <v>237</v>
      </c>
      <c r="I3194" s="191">
        <v>45</v>
      </c>
      <c r="J3194" s="188" t="s">
        <v>624</v>
      </c>
      <c r="K3194" s="188" t="s">
        <v>427</v>
      </c>
      <c r="L3194" s="188" t="s">
        <v>3372</v>
      </c>
      <c r="M3194" s="192">
        <f t="shared" si="147"/>
        <v>25</v>
      </c>
      <c r="N3194" s="193">
        <f t="shared" si="148"/>
        <v>2.37</v>
      </c>
      <c r="O3194" s="194">
        <f t="shared" si="149"/>
        <v>9.4800000000000009E-2</v>
      </c>
    </row>
    <row r="3195" spans="1:15" ht="12.75" customHeight="1">
      <c r="A3195" s="188" t="s">
        <v>620</v>
      </c>
      <c r="B3195" s="188" t="s">
        <v>3787</v>
      </c>
      <c r="C3195" s="188" t="s">
        <v>659</v>
      </c>
      <c r="D3195" s="188" t="s">
        <v>4842</v>
      </c>
      <c r="E3195" s="189">
        <v>39541</v>
      </c>
      <c r="F3195" s="190">
        <v>0</v>
      </c>
      <c r="G3195" s="190">
        <v>4.8600000000000003</v>
      </c>
      <c r="H3195" s="191">
        <v>216.24</v>
      </c>
      <c r="I3195" s="191">
        <v>34.200000000000003</v>
      </c>
      <c r="J3195" s="188" t="s">
        <v>624</v>
      </c>
      <c r="K3195" s="188" t="s">
        <v>257</v>
      </c>
      <c r="L3195" s="188" t="s">
        <v>270</v>
      </c>
      <c r="M3195" s="192">
        <f t="shared" si="147"/>
        <v>30</v>
      </c>
      <c r="N3195" s="193">
        <f t="shared" si="148"/>
        <v>2.8452631578947369</v>
      </c>
      <c r="O3195" s="194">
        <f t="shared" si="149"/>
        <v>9.4842105263157894E-2</v>
      </c>
    </row>
    <row r="3196" spans="1:15" ht="12.75" customHeight="1">
      <c r="A3196" s="188" t="s">
        <v>620</v>
      </c>
      <c r="B3196" s="188" t="s">
        <v>3787</v>
      </c>
      <c r="C3196" s="188" t="s">
        <v>659</v>
      </c>
      <c r="D3196" s="188" t="s">
        <v>4843</v>
      </c>
      <c r="E3196" s="189">
        <v>39507</v>
      </c>
      <c r="F3196" s="190">
        <v>0</v>
      </c>
      <c r="G3196" s="190">
        <v>39.94</v>
      </c>
      <c r="H3196" s="191">
        <v>1482</v>
      </c>
      <c r="I3196" s="191">
        <v>280.8</v>
      </c>
      <c r="J3196" s="188" t="s">
        <v>624</v>
      </c>
      <c r="K3196" s="188" t="s">
        <v>427</v>
      </c>
      <c r="L3196" s="188" t="s">
        <v>1897</v>
      </c>
      <c r="M3196" s="192">
        <f t="shared" si="147"/>
        <v>25</v>
      </c>
      <c r="N3196" s="193">
        <f t="shared" si="148"/>
        <v>2.375</v>
      </c>
      <c r="O3196" s="194">
        <f t="shared" si="149"/>
        <v>9.5000000000000001E-2</v>
      </c>
    </row>
    <row r="3197" spans="1:15" ht="12.75" customHeight="1">
      <c r="A3197" s="188" t="s">
        <v>620</v>
      </c>
      <c r="B3197" s="188" t="s">
        <v>3787</v>
      </c>
      <c r="C3197" s="188" t="s">
        <v>659</v>
      </c>
      <c r="D3197" s="188" t="s">
        <v>4844</v>
      </c>
      <c r="E3197" s="189">
        <v>39373</v>
      </c>
      <c r="F3197" s="190">
        <v>0</v>
      </c>
      <c r="G3197" s="190">
        <v>73.98</v>
      </c>
      <c r="H3197" s="191">
        <v>1228</v>
      </c>
      <c r="I3197" s="191">
        <v>520.20000000000005</v>
      </c>
      <c r="J3197" s="188" t="s">
        <v>624</v>
      </c>
      <c r="K3197" s="188" t="s">
        <v>639</v>
      </c>
      <c r="L3197" s="188" t="s">
        <v>4845</v>
      </c>
      <c r="M3197" s="192">
        <f t="shared" si="147"/>
        <v>11</v>
      </c>
      <c r="N3197" s="193">
        <f t="shared" si="148"/>
        <v>1.0622837370242215</v>
      </c>
      <c r="O3197" s="194">
        <f t="shared" si="149"/>
        <v>9.6571248820383773E-2</v>
      </c>
    </row>
    <row r="3198" spans="1:15" ht="12.75" customHeight="1">
      <c r="A3198" s="188" t="s">
        <v>620</v>
      </c>
      <c r="B3198" s="188" t="s">
        <v>3787</v>
      </c>
      <c r="C3198" s="188" t="s">
        <v>659</v>
      </c>
      <c r="D3198" s="188" t="s">
        <v>4846</v>
      </c>
      <c r="E3198" s="189">
        <v>39513</v>
      </c>
      <c r="F3198" s="190">
        <v>0</v>
      </c>
      <c r="G3198" s="190">
        <v>98.3</v>
      </c>
      <c r="H3198" s="191">
        <v>1200</v>
      </c>
      <c r="I3198" s="191">
        <v>691.2</v>
      </c>
      <c r="J3198" s="188" t="s">
        <v>639</v>
      </c>
      <c r="K3198" s="188" t="s">
        <v>667</v>
      </c>
      <c r="L3198" s="188" t="s">
        <v>1659</v>
      </c>
      <c r="M3198" s="192">
        <f t="shared" si="147"/>
        <v>8</v>
      </c>
      <c r="N3198" s="193">
        <f t="shared" si="148"/>
        <v>0.78125</v>
      </c>
      <c r="O3198" s="194">
        <f t="shared" si="149"/>
        <v>9.765625E-2</v>
      </c>
    </row>
    <row r="3199" spans="1:15" ht="12.75" customHeight="1">
      <c r="A3199" s="188" t="s">
        <v>620</v>
      </c>
      <c r="B3199" s="188" t="s">
        <v>3787</v>
      </c>
      <c r="C3199" s="188" t="s">
        <v>659</v>
      </c>
      <c r="D3199" s="188" t="s">
        <v>4847</v>
      </c>
      <c r="E3199" s="189">
        <v>39507</v>
      </c>
      <c r="F3199" s="190">
        <v>0</v>
      </c>
      <c r="G3199" s="190">
        <v>0.06</v>
      </c>
      <c r="H3199" s="191">
        <v>2991</v>
      </c>
      <c r="I3199" s="191">
        <v>200</v>
      </c>
      <c r="J3199" s="188" t="s">
        <v>624</v>
      </c>
      <c r="K3199" s="188" t="s">
        <v>427</v>
      </c>
      <c r="L3199" s="188" t="s">
        <v>632</v>
      </c>
      <c r="M3199" s="192">
        <f t="shared" si="147"/>
        <v>25</v>
      </c>
      <c r="N3199" s="193">
        <f t="shared" si="148"/>
        <v>2.4925000000000002</v>
      </c>
      <c r="O3199" s="194">
        <f t="shared" si="149"/>
        <v>9.9700000000000011E-2</v>
      </c>
    </row>
    <row r="3200" spans="1:15" ht="12.75" customHeight="1">
      <c r="A3200" s="188" t="s">
        <v>620</v>
      </c>
      <c r="B3200" s="188" t="s">
        <v>3787</v>
      </c>
      <c r="C3200" s="188" t="s">
        <v>659</v>
      </c>
      <c r="D3200" s="188" t="s">
        <v>4848</v>
      </c>
      <c r="E3200" s="189">
        <v>39366</v>
      </c>
      <c r="F3200" s="190">
        <v>0</v>
      </c>
      <c r="G3200" s="190">
        <v>53.95</v>
      </c>
      <c r="H3200" s="191">
        <v>2115.9299999999998</v>
      </c>
      <c r="I3200" s="191">
        <v>379.35</v>
      </c>
      <c r="J3200" s="188" t="s">
        <v>624</v>
      </c>
      <c r="K3200" s="188" t="s">
        <v>427</v>
      </c>
      <c r="L3200" s="188" t="s">
        <v>4849</v>
      </c>
      <c r="M3200" s="192">
        <f t="shared" si="147"/>
        <v>25</v>
      </c>
      <c r="N3200" s="193">
        <f t="shared" si="148"/>
        <v>2.5099999999999998</v>
      </c>
      <c r="O3200" s="194">
        <f t="shared" si="149"/>
        <v>0.10039999999999999</v>
      </c>
    </row>
    <row r="3201" spans="1:15" ht="12.75" customHeight="1">
      <c r="A3201" s="188" t="s">
        <v>620</v>
      </c>
      <c r="B3201" s="188" t="s">
        <v>3787</v>
      </c>
      <c r="C3201" s="188" t="s">
        <v>659</v>
      </c>
      <c r="D3201" s="188" t="s">
        <v>4850</v>
      </c>
      <c r="E3201" s="189">
        <v>39247</v>
      </c>
      <c r="F3201" s="190">
        <v>0</v>
      </c>
      <c r="G3201" s="190">
        <v>19.010000000000002</v>
      </c>
      <c r="H3201" s="191">
        <v>755</v>
      </c>
      <c r="I3201" s="191">
        <v>133.65</v>
      </c>
      <c r="J3201" s="188" t="s">
        <v>624</v>
      </c>
      <c r="K3201" s="188" t="s">
        <v>427</v>
      </c>
      <c r="L3201" s="188" t="s">
        <v>4851</v>
      </c>
      <c r="M3201" s="192">
        <f t="shared" si="147"/>
        <v>25</v>
      </c>
      <c r="N3201" s="193">
        <f t="shared" si="148"/>
        <v>2.542087542087542</v>
      </c>
      <c r="O3201" s="194">
        <f t="shared" si="149"/>
        <v>0.10168350168350168</v>
      </c>
    </row>
    <row r="3202" spans="1:15" ht="12.75" customHeight="1">
      <c r="A3202" s="188" t="s">
        <v>620</v>
      </c>
      <c r="B3202" s="188" t="s">
        <v>3787</v>
      </c>
      <c r="C3202" s="188" t="s">
        <v>659</v>
      </c>
      <c r="D3202" s="188" t="s">
        <v>4852</v>
      </c>
      <c r="E3202" s="189">
        <v>39436</v>
      </c>
      <c r="F3202" s="190">
        <v>0</v>
      </c>
      <c r="G3202" s="190">
        <v>88.9</v>
      </c>
      <c r="H3202" s="191">
        <v>3552</v>
      </c>
      <c r="I3202" s="191">
        <v>625.04999999999995</v>
      </c>
      <c r="J3202" s="188" t="s">
        <v>624</v>
      </c>
      <c r="K3202" s="188" t="s">
        <v>427</v>
      </c>
      <c r="L3202" s="188" t="s">
        <v>1045</v>
      </c>
      <c r="M3202" s="192">
        <f t="shared" ref="M3202:M3265" si="150">K3202-J3202</f>
        <v>25</v>
      </c>
      <c r="N3202" s="193">
        <f t="shared" ref="N3202:N3265" si="151">H3202/L3202</f>
        <v>2.5572354211663066</v>
      </c>
      <c r="O3202" s="194">
        <f t="shared" ref="O3202:O3265" si="152">N3202/M3202</f>
        <v>0.10228941684665227</v>
      </c>
    </row>
    <row r="3203" spans="1:15" ht="12.75" customHeight="1">
      <c r="A3203" s="188" t="s">
        <v>620</v>
      </c>
      <c r="B3203" s="188" t="s">
        <v>3787</v>
      </c>
      <c r="C3203" s="188" t="s">
        <v>659</v>
      </c>
      <c r="D3203" s="188" t="s">
        <v>4853</v>
      </c>
      <c r="E3203" s="189">
        <v>39520</v>
      </c>
      <c r="F3203" s="190">
        <v>0</v>
      </c>
      <c r="G3203" s="190">
        <v>85.31</v>
      </c>
      <c r="H3203" s="191">
        <v>3100</v>
      </c>
      <c r="I3203" s="191">
        <v>599.85</v>
      </c>
      <c r="J3203" s="188" t="s">
        <v>635</v>
      </c>
      <c r="K3203" s="188" t="s">
        <v>257</v>
      </c>
      <c r="L3203" s="188" t="s">
        <v>1647</v>
      </c>
      <c r="M3203" s="192">
        <f t="shared" si="150"/>
        <v>22</v>
      </c>
      <c r="N3203" s="193">
        <f t="shared" si="151"/>
        <v>2.3255813953488373</v>
      </c>
      <c r="O3203" s="194">
        <f t="shared" si="152"/>
        <v>0.10570824524312897</v>
      </c>
    </row>
    <row r="3204" spans="1:15" ht="12.75" customHeight="1">
      <c r="A3204" s="188" t="s">
        <v>620</v>
      </c>
      <c r="B3204" s="188" t="s">
        <v>3787</v>
      </c>
      <c r="C3204" s="188" t="s">
        <v>659</v>
      </c>
      <c r="D3204" s="188" t="s">
        <v>4854</v>
      </c>
      <c r="E3204" s="189">
        <v>39366</v>
      </c>
      <c r="F3204" s="190">
        <v>0</v>
      </c>
      <c r="G3204" s="190">
        <v>76.8</v>
      </c>
      <c r="H3204" s="191">
        <v>2690.04</v>
      </c>
      <c r="I3204" s="191">
        <v>540</v>
      </c>
      <c r="J3204" s="188" t="s">
        <v>624</v>
      </c>
      <c r="K3204" s="188" t="s">
        <v>1344</v>
      </c>
      <c r="L3204" s="188" t="s">
        <v>632</v>
      </c>
      <c r="M3204" s="192">
        <f t="shared" si="150"/>
        <v>21</v>
      </c>
      <c r="N3204" s="193">
        <f t="shared" si="151"/>
        <v>2.2416999999999998</v>
      </c>
      <c r="O3204" s="194">
        <f t="shared" si="152"/>
        <v>0.10674761904761904</v>
      </c>
    </row>
    <row r="3205" spans="1:15" ht="12.75" customHeight="1">
      <c r="A3205" s="188" t="s">
        <v>620</v>
      </c>
      <c r="B3205" s="188" t="s">
        <v>3787</v>
      </c>
      <c r="C3205" s="188" t="s">
        <v>659</v>
      </c>
      <c r="D3205" s="188" t="s">
        <v>4855</v>
      </c>
      <c r="E3205" s="189">
        <v>39339</v>
      </c>
      <c r="F3205" s="190">
        <v>0</v>
      </c>
      <c r="G3205" s="190">
        <v>5.7</v>
      </c>
      <c r="H3205" s="191">
        <v>200</v>
      </c>
      <c r="I3205" s="191">
        <v>40.049999999999997</v>
      </c>
      <c r="J3205" s="188" t="s">
        <v>624</v>
      </c>
      <c r="K3205" s="188" t="s">
        <v>1344</v>
      </c>
      <c r="L3205" s="188" t="s">
        <v>4856</v>
      </c>
      <c r="M3205" s="192">
        <f t="shared" si="150"/>
        <v>21</v>
      </c>
      <c r="N3205" s="193">
        <f t="shared" si="151"/>
        <v>2.2471910112359552</v>
      </c>
      <c r="O3205" s="194">
        <f t="shared" si="152"/>
        <v>0.10700909577314073</v>
      </c>
    </row>
    <row r="3206" spans="1:15" ht="12.75" customHeight="1">
      <c r="A3206" s="188" t="s">
        <v>620</v>
      </c>
      <c r="B3206" s="188" t="s">
        <v>3787</v>
      </c>
      <c r="C3206" s="188" t="s">
        <v>659</v>
      </c>
      <c r="D3206" s="188" t="s">
        <v>4857</v>
      </c>
      <c r="E3206" s="189">
        <v>39507</v>
      </c>
      <c r="F3206" s="190">
        <v>0</v>
      </c>
      <c r="G3206" s="190">
        <v>46.08</v>
      </c>
      <c r="H3206" s="191">
        <v>2100</v>
      </c>
      <c r="I3206" s="191">
        <v>324</v>
      </c>
      <c r="J3206" s="188" t="s">
        <v>624</v>
      </c>
      <c r="K3206" s="188" t="s">
        <v>427</v>
      </c>
      <c r="L3206" s="188" t="s">
        <v>313</v>
      </c>
      <c r="M3206" s="192">
        <f t="shared" si="150"/>
        <v>25</v>
      </c>
      <c r="N3206" s="193">
        <f t="shared" si="151"/>
        <v>2.9166666666666665</v>
      </c>
      <c r="O3206" s="194">
        <f t="shared" si="152"/>
        <v>0.11666666666666665</v>
      </c>
    </row>
    <row r="3207" spans="1:15" ht="12.75" customHeight="1">
      <c r="A3207" s="188" t="s">
        <v>620</v>
      </c>
      <c r="B3207" s="188" t="s">
        <v>3787</v>
      </c>
      <c r="C3207" s="188" t="s">
        <v>659</v>
      </c>
      <c r="D3207" s="188" t="s">
        <v>4858</v>
      </c>
      <c r="E3207" s="189">
        <v>39415</v>
      </c>
      <c r="F3207" s="190">
        <v>0</v>
      </c>
      <c r="G3207" s="190">
        <v>14.34</v>
      </c>
      <c r="H3207" s="191">
        <v>665</v>
      </c>
      <c r="I3207" s="191">
        <v>100.8</v>
      </c>
      <c r="J3207" s="188" t="s">
        <v>624</v>
      </c>
      <c r="K3207" s="188" t="s">
        <v>427</v>
      </c>
      <c r="L3207" s="188" t="s">
        <v>4584</v>
      </c>
      <c r="M3207" s="192">
        <f t="shared" si="150"/>
        <v>25</v>
      </c>
      <c r="N3207" s="193">
        <f t="shared" si="151"/>
        <v>2.96875</v>
      </c>
      <c r="O3207" s="194">
        <f t="shared" si="152"/>
        <v>0.11874999999999999</v>
      </c>
    </row>
    <row r="3208" spans="1:15" ht="12.75" customHeight="1">
      <c r="A3208" s="188" t="s">
        <v>620</v>
      </c>
      <c r="B3208" s="188" t="s">
        <v>3787</v>
      </c>
      <c r="C3208" s="188" t="s">
        <v>659</v>
      </c>
      <c r="D3208" s="188" t="s">
        <v>4859</v>
      </c>
      <c r="E3208" s="189">
        <v>39527</v>
      </c>
      <c r="F3208" s="190">
        <v>0</v>
      </c>
      <c r="G3208" s="190">
        <v>65.47</v>
      </c>
      <c r="H3208" s="191">
        <v>1000</v>
      </c>
      <c r="I3208" s="191">
        <v>460.35</v>
      </c>
      <c r="J3208" s="188" t="s">
        <v>639</v>
      </c>
      <c r="K3208" s="188" t="s">
        <v>667</v>
      </c>
      <c r="L3208" s="188" t="s">
        <v>4860</v>
      </c>
      <c r="M3208" s="192">
        <f t="shared" si="150"/>
        <v>8</v>
      </c>
      <c r="N3208" s="193">
        <f t="shared" si="151"/>
        <v>0.97751710654936463</v>
      </c>
      <c r="O3208" s="194">
        <f t="shared" si="152"/>
        <v>0.12218963831867058</v>
      </c>
    </row>
    <row r="3209" spans="1:15" ht="12.75" customHeight="1">
      <c r="A3209" s="188" t="s">
        <v>620</v>
      </c>
      <c r="B3209" s="188" t="s">
        <v>3787</v>
      </c>
      <c r="C3209" s="188" t="s">
        <v>659</v>
      </c>
      <c r="D3209" s="188" t="s">
        <v>4861</v>
      </c>
      <c r="E3209" s="189">
        <v>39282</v>
      </c>
      <c r="F3209" s="190">
        <v>0</v>
      </c>
      <c r="G3209" s="190">
        <v>22.4</v>
      </c>
      <c r="H3209" s="191">
        <v>1135.05</v>
      </c>
      <c r="I3209" s="191">
        <v>157.5</v>
      </c>
      <c r="J3209" s="188" t="s">
        <v>624</v>
      </c>
      <c r="K3209" s="188" t="s">
        <v>427</v>
      </c>
      <c r="L3209" s="188" t="s">
        <v>1137</v>
      </c>
      <c r="M3209" s="192">
        <f t="shared" si="150"/>
        <v>25</v>
      </c>
      <c r="N3209" s="193">
        <f t="shared" si="151"/>
        <v>3.2429999999999999</v>
      </c>
      <c r="O3209" s="194">
        <f t="shared" si="152"/>
        <v>0.12972</v>
      </c>
    </row>
    <row r="3210" spans="1:15" ht="12.75" customHeight="1">
      <c r="A3210" s="188" t="s">
        <v>620</v>
      </c>
      <c r="B3210" s="188" t="s">
        <v>3787</v>
      </c>
      <c r="C3210" s="188" t="s">
        <v>659</v>
      </c>
      <c r="D3210" s="188" t="s">
        <v>4862</v>
      </c>
      <c r="E3210" s="189">
        <v>39447</v>
      </c>
      <c r="F3210" s="190">
        <v>0</v>
      </c>
      <c r="G3210" s="190">
        <v>95.3</v>
      </c>
      <c r="H3210" s="191">
        <v>2531.3000000000002</v>
      </c>
      <c r="I3210" s="191">
        <v>670.05</v>
      </c>
      <c r="J3210" s="188" t="s">
        <v>624</v>
      </c>
      <c r="K3210" s="188" t="s">
        <v>652</v>
      </c>
      <c r="L3210" s="188" t="s">
        <v>3129</v>
      </c>
      <c r="M3210" s="192">
        <f t="shared" si="150"/>
        <v>13</v>
      </c>
      <c r="N3210" s="193">
        <f t="shared" si="151"/>
        <v>1.7000000000000002</v>
      </c>
      <c r="O3210" s="194">
        <f t="shared" si="152"/>
        <v>0.13076923076923078</v>
      </c>
    </row>
    <row r="3211" spans="1:15" ht="12.75" customHeight="1">
      <c r="A3211" s="188" t="s">
        <v>620</v>
      </c>
      <c r="B3211" s="188" t="s">
        <v>3787</v>
      </c>
      <c r="C3211" s="188" t="s">
        <v>659</v>
      </c>
      <c r="D3211" s="188" t="s">
        <v>4863</v>
      </c>
      <c r="E3211" s="189">
        <v>39499</v>
      </c>
      <c r="F3211" s="190">
        <v>0</v>
      </c>
      <c r="G3211" s="190">
        <v>51.2</v>
      </c>
      <c r="H3211" s="191">
        <v>1470</v>
      </c>
      <c r="I3211" s="191">
        <v>360</v>
      </c>
      <c r="J3211" s="188" t="s">
        <v>639</v>
      </c>
      <c r="K3211" s="188" t="s">
        <v>427</v>
      </c>
      <c r="L3211" s="188" t="s">
        <v>752</v>
      </c>
      <c r="M3211" s="192">
        <f t="shared" si="150"/>
        <v>14</v>
      </c>
      <c r="N3211" s="193">
        <f t="shared" si="151"/>
        <v>1.8374999999999999</v>
      </c>
      <c r="O3211" s="194">
        <f t="shared" si="152"/>
        <v>0.13125000000000001</v>
      </c>
    </row>
    <row r="3212" spans="1:15" ht="12.75" customHeight="1">
      <c r="A3212" s="188" t="s">
        <v>620</v>
      </c>
      <c r="B3212" s="188" t="s">
        <v>3787</v>
      </c>
      <c r="C3212" s="188" t="s">
        <v>659</v>
      </c>
      <c r="D3212" s="188" t="s">
        <v>4864</v>
      </c>
      <c r="E3212" s="189">
        <v>39548</v>
      </c>
      <c r="F3212" s="190">
        <v>0</v>
      </c>
      <c r="G3212" s="190">
        <v>27.9</v>
      </c>
      <c r="H3212" s="191">
        <v>2258</v>
      </c>
      <c r="I3212" s="191">
        <v>196.2</v>
      </c>
      <c r="J3212" s="188" t="s">
        <v>624</v>
      </c>
      <c r="K3212" s="188" t="s">
        <v>338</v>
      </c>
      <c r="L3212" s="188" t="s">
        <v>513</v>
      </c>
      <c r="M3212" s="192">
        <f t="shared" si="150"/>
        <v>38</v>
      </c>
      <c r="N3212" s="193">
        <f t="shared" si="151"/>
        <v>5.1788990825688073</v>
      </c>
      <c r="O3212" s="194">
        <f t="shared" si="152"/>
        <v>0.13628681796233702</v>
      </c>
    </row>
    <row r="3213" spans="1:15" ht="12.75" customHeight="1">
      <c r="A3213" s="188" t="s">
        <v>620</v>
      </c>
      <c r="B3213" s="188" t="s">
        <v>3787</v>
      </c>
      <c r="C3213" s="188" t="s">
        <v>659</v>
      </c>
      <c r="D3213" s="188" t="s">
        <v>4865</v>
      </c>
      <c r="E3213" s="189">
        <v>39254</v>
      </c>
      <c r="F3213" s="190">
        <v>0</v>
      </c>
      <c r="G3213" s="190">
        <v>26.88</v>
      </c>
      <c r="H3213" s="191">
        <v>632.02</v>
      </c>
      <c r="I3213" s="191">
        <v>189</v>
      </c>
      <c r="J3213" s="188" t="s">
        <v>635</v>
      </c>
      <c r="K3213" s="188" t="s">
        <v>667</v>
      </c>
      <c r="L3213" s="188" t="s">
        <v>3251</v>
      </c>
      <c r="M3213" s="192">
        <f t="shared" si="150"/>
        <v>11</v>
      </c>
      <c r="N3213" s="193">
        <f t="shared" si="151"/>
        <v>1.5048095238095238</v>
      </c>
      <c r="O3213" s="194">
        <f t="shared" si="152"/>
        <v>0.13680086580086581</v>
      </c>
    </row>
    <row r="3214" spans="1:15" ht="12.75" customHeight="1">
      <c r="A3214" s="188" t="s">
        <v>620</v>
      </c>
      <c r="B3214" s="188" t="s">
        <v>3787</v>
      </c>
      <c r="C3214" s="188" t="s">
        <v>659</v>
      </c>
      <c r="D3214" s="188" t="s">
        <v>4866</v>
      </c>
      <c r="E3214" s="189">
        <v>39507</v>
      </c>
      <c r="F3214" s="190">
        <v>0</v>
      </c>
      <c r="G3214" s="190">
        <v>28.16</v>
      </c>
      <c r="H3214" s="191">
        <v>1480</v>
      </c>
      <c r="I3214" s="191">
        <v>198</v>
      </c>
      <c r="J3214" s="188" t="s">
        <v>624</v>
      </c>
      <c r="K3214" s="188" t="s">
        <v>1344</v>
      </c>
      <c r="L3214" s="188" t="s">
        <v>705</v>
      </c>
      <c r="M3214" s="192">
        <f t="shared" si="150"/>
        <v>21</v>
      </c>
      <c r="N3214" s="193">
        <f t="shared" si="151"/>
        <v>3.3636363636363638</v>
      </c>
      <c r="O3214" s="194">
        <f t="shared" si="152"/>
        <v>0.16017316017316019</v>
      </c>
    </row>
    <row r="3215" spans="1:15" ht="12.75" customHeight="1">
      <c r="A3215" s="188" t="s">
        <v>620</v>
      </c>
      <c r="B3215" s="188" t="s">
        <v>3787</v>
      </c>
      <c r="C3215" s="188" t="s">
        <v>659</v>
      </c>
      <c r="D3215" s="188" t="s">
        <v>4867</v>
      </c>
      <c r="E3215" s="189">
        <v>39611</v>
      </c>
      <c r="F3215" s="190">
        <v>0</v>
      </c>
      <c r="G3215" s="190">
        <v>14.4</v>
      </c>
      <c r="H3215" s="191">
        <v>909</v>
      </c>
      <c r="I3215" s="191">
        <v>101.25</v>
      </c>
      <c r="J3215" s="188" t="s">
        <v>624</v>
      </c>
      <c r="K3215" s="188" t="s">
        <v>427</v>
      </c>
      <c r="L3215" s="188" t="s">
        <v>4868</v>
      </c>
      <c r="M3215" s="192">
        <f t="shared" si="150"/>
        <v>25</v>
      </c>
      <c r="N3215" s="193">
        <f t="shared" si="151"/>
        <v>4.04</v>
      </c>
      <c r="O3215" s="194">
        <f t="shared" si="152"/>
        <v>0.16159999999999999</v>
      </c>
    </row>
    <row r="3216" spans="1:15" ht="12.75" customHeight="1">
      <c r="A3216" s="188" t="s">
        <v>620</v>
      </c>
      <c r="B3216" s="188" t="s">
        <v>3787</v>
      </c>
      <c r="C3216" s="188" t="s">
        <v>659</v>
      </c>
      <c r="D3216" s="188" t="s">
        <v>4869</v>
      </c>
      <c r="E3216" s="189">
        <v>39583</v>
      </c>
      <c r="F3216" s="190">
        <v>0</v>
      </c>
      <c r="G3216" s="190">
        <v>12.8</v>
      </c>
      <c r="H3216" s="191">
        <v>1000</v>
      </c>
      <c r="I3216" s="191">
        <v>90</v>
      </c>
      <c r="J3216" s="188" t="s">
        <v>624</v>
      </c>
      <c r="K3216" s="188" t="s">
        <v>427</v>
      </c>
      <c r="L3216" s="188" t="s">
        <v>1322</v>
      </c>
      <c r="M3216" s="192">
        <f t="shared" si="150"/>
        <v>25</v>
      </c>
      <c r="N3216" s="193">
        <f t="shared" si="151"/>
        <v>5</v>
      </c>
      <c r="O3216" s="194">
        <f t="shared" si="152"/>
        <v>0.2</v>
      </c>
    </row>
    <row r="3217" spans="1:15" ht="12.75" customHeight="1">
      <c r="A3217" s="188" t="s">
        <v>620</v>
      </c>
      <c r="B3217" s="188" t="s">
        <v>3787</v>
      </c>
      <c r="C3217" s="188" t="s">
        <v>659</v>
      </c>
      <c r="D3217" s="188" t="s">
        <v>4870</v>
      </c>
      <c r="E3217" s="189">
        <v>39447</v>
      </c>
      <c r="F3217" s="190">
        <v>0</v>
      </c>
      <c r="G3217" s="190">
        <v>16.32</v>
      </c>
      <c r="H3217" s="191">
        <v>1285</v>
      </c>
      <c r="I3217" s="191">
        <v>114.75</v>
      </c>
      <c r="J3217" s="188" t="s">
        <v>624</v>
      </c>
      <c r="K3217" s="188" t="s">
        <v>427</v>
      </c>
      <c r="L3217" s="188" t="s">
        <v>4266</v>
      </c>
      <c r="M3217" s="192">
        <f t="shared" si="150"/>
        <v>25</v>
      </c>
      <c r="N3217" s="193">
        <f t="shared" si="151"/>
        <v>5.0392156862745097</v>
      </c>
      <c r="O3217" s="194">
        <f t="shared" si="152"/>
        <v>0.20156862745098039</v>
      </c>
    </row>
    <row r="3218" spans="1:15" ht="12.75" customHeight="1">
      <c r="A3218" s="188" t="s">
        <v>620</v>
      </c>
      <c r="B3218" s="188" t="s">
        <v>3787</v>
      </c>
      <c r="C3218" s="188" t="s">
        <v>659</v>
      </c>
      <c r="D3218" s="188" t="s">
        <v>4871</v>
      </c>
      <c r="E3218" s="189">
        <v>39352</v>
      </c>
      <c r="F3218" s="190">
        <v>0</v>
      </c>
      <c r="G3218" s="190">
        <v>16</v>
      </c>
      <c r="H3218" s="191">
        <v>1350</v>
      </c>
      <c r="I3218" s="191">
        <v>112.5</v>
      </c>
      <c r="J3218" s="188" t="s">
        <v>624</v>
      </c>
      <c r="K3218" s="188" t="s">
        <v>427</v>
      </c>
      <c r="L3218" s="188" t="s">
        <v>2387</v>
      </c>
      <c r="M3218" s="192">
        <f t="shared" si="150"/>
        <v>25</v>
      </c>
      <c r="N3218" s="193">
        <f t="shared" si="151"/>
        <v>5.4</v>
      </c>
      <c r="O3218" s="194">
        <f t="shared" si="152"/>
        <v>0.21600000000000003</v>
      </c>
    </row>
    <row r="3219" spans="1:15" ht="12.75" customHeight="1">
      <c r="A3219" s="188" t="s">
        <v>620</v>
      </c>
      <c r="B3219" s="188" t="s">
        <v>3787</v>
      </c>
      <c r="C3219" s="188" t="s">
        <v>659</v>
      </c>
      <c r="D3219" s="188" t="s">
        <v>4872</v>
      </c>
      <c r="E3219" s="189">
        <v>39254</v>
      </c>
      <c r="F3219" s="190">
        <v>0</v>
      </c>
      <c r="G3219" s="190">
        <v>14.08</v>
      </c>
      <c r="H3219" s="191">
        <v>1335</v>
      </c>
      <c r="I3219" s="191">
        <v>99</v>
      </c>
      <c r="J3219" s="188" t="s">
        <v>624</v>
      </c>
      <c r="K3219" s="188" t="s">
        <v>427</v>
      </c>
      <c r="L3219" s="188" t="s">
        <v>2851</v>
      </c>
      <c r="M3219" s="192">
        <f t="shared" si="150"/>
        <v>25</v>
      </c>
      <c r="N3219" s="193">
        <f t="shared" si="151"/>
        <v>6.0681818181818183</v>
      </c>
      <c r="O3219" s="194">
        <f t="shared" si="152"/>
        <v>0.24272727272727274</v>
      </c>
    </row>
    <row r="3220" spans="1:15" ht="12.75" customHeight="1">
      <c r="A3220" s="188" t="s">
        <v>620</v>
      </c>
      <c r="B3220" s="188" t="s">
        <v>3787</v>
      </c>
      <c r="C3220" s="188" t="s">
        <v>659</v>
      </c>
      <c r="D3220" s="188" t="s">
        <v>4873</v>
      </c>
      <c r="E3220" s="189">
        <v>39527</v>
      </c>
      <c r="F3220" s="190">
        <v>0</v>
      </c>
      <c r="G3220" s="190">
        <v>20.48</v>
      </c>
      <c r="H3220" s="191">
        <v>1039</v>
      </c>
      <c r="I3220" s="191">
        <v>144</v>
      </c>
      <c r="J3220" s="188" t="s">
        <v>667</v>
      </c>
      <c r="K3220" s="188" t="s">
        <v>257</v>
      </c>
      <c r="L3220" s="188" t="s">
        <v>3452</v>
      </c>
      <c r="M3220" s="192">
        <f t="shared" si="150"/>
        <v>11</v>
      </c>
      <c r="N3220" s="193">
        <f t="shared" si="151"/>
        <v>3.2468750000000002</v>
      </c>
      <c r="O3220" s="194">
        <f t="shared" si="152"/>
        <v>0.29517045454545454</v>
      </c>
    </row>
    <row r="3221" spans="1:15" ht="12.75" customHeight="1">
      <c r="A3221" s="188" t="s">
        <v>620</v>
      </c>
      <c r="B3221" s="188" t="s">
        <v>3787</v>
      </c>
      <c r="C3221" s="188" t="s">
        <v>659</v>
      </c>
      <c r="D3221" s="188" t="s">
        <v>4874</v>
      </c>
      <c r="E3221" s="189">
        <v>39471</v>
      </c>
      <c r="F3221" s="190">
        <v>0</v>
      </c>
      <c r="G3221" s="190">
        <v>2.2999999999999998</v>
      </c>
      <c r="H3221" s="191">
        <v>306</v>
      </c>
      <c r="I3221" s="191">
        <v>16.2</v>
      </c>
      <c r="J3221" s="188" t="s">
        <v>624</v>
      </c>
      <c r="K3221" s="188" t="s">
        <v>427</v>
      </c>
      <c r="L3221" s="188" t="s">
        <v>4875</v>
      </c>
      <c r="M3221" s="192">
        <f t="shared" si="150"/>
        <v>25</v>
      </c>
      <c r="N3221" s="193">
        <f t="shared" si="151"/>
        <v>8.5</v>
      </c>
      <c r="O3221" s="194">
        <f t="shared" si="152"/>
        <v>0.34</v>
      </c>
    </row>
    <row r="3222" spans="1:15" ht="12.75" customHeight="1">
      <c r="A3222" s="188" t="s">
        <v>620</v>
      </c>
      <c r="B3222" s="188" t="s">
        <v>3787</v>
      </c>
      <c r="C3222" s="188" t="s">
        <v>659</v>
      </c>
      <c r="D3222" s="188" t="s">
        <v>4876</v>
      </c>
      <c r="E3222" s="189">
        <v>39447</v>
      </c>
      <c r="F3222" s="190">
        <v>0</v>
      </c>
      <c r="G3222" s="190">
        <v>2.0499999999999998</v>
      </c>
      <c r="H3222" s="191">
        <v>350</v>
      </c>
      <c r="I3222" s="191">
        <v>14.4</v>
      </c>
      <c r="J3222" s="188" t="s">
        <v>624</v>
      </c>
      <c r="K3222" s="188" t="s">
        <v>427</v>
      </c>
      <c r="L3222" s="188" t="s">
        <v>508</v>
      </c>
      <c r="M3222" s="192">
        <f t="shared" si="150"/>
        <v>25</v>
      </c>
      <c r="N3222" s="193">
        <f t="shared" si="151"/>
        <v>10.9375</v>
      </c>
      <c r="O3222" s="194">
        <f t="shared" si="152"/>
        <v>0.4375</v>
      </c>
    </row>
    <row r="3223" spans="1:15" ht="12.75" customHeight="1">
      <c r="A3223" s="188" t="s">
        <v>620</v>
      </c>
      <c r="B3223" s="188" t="s">
        <v>3787</v>
      </c>
      <c r="C3223" s="188" t="s">
        <v>659</v>
      </c>
      <c r="D3223" s="188" t="s">
        <v>4877</v>
      </c>
      <c r="E3223" s="189">
        <v>39527</v>
      </c>
      <c r="F3223" s="190">
        <v>0</v>
      </c>
      <c r="G3223" s="190">
        <v>89.86</v>
      </c>
      <c r="H3223" s="191">
        <v>1236</v>
      </c>
      <c r="I3223" s="191">
        <v>631.79999999999995</v>
      </c>
      <c r="J3223" s="188" t="s">
        <v>639</v>
      </c>
      <c r="K3223" s="188" t="s">
        <v>652</v>
      </c>
      <c r="L3223" s="188" t="s">
        <v>2272</v>
      </c>
      <c r="M3223" s="192">
        <f t="shared" si="150"/>
        <v>2</v>
      </c>
      <c r="N3223" s="193">
        <f t="shared" si="151"/>
        <v>0.88034188034188032</v>
      </c>
      <c r="O3223" s="194">
        <f t="shared" si="152"/>
        <v>0.44017094017094016</v>
      </c>
    </row>
    <row r="3224" spans="1:15" ht="12.75" customHeight="1">
      <c r="A3224" s="188" t="s">
        <v>620</v>
      </c>
      <c r="B3224" s="188" t="s">
        <v>3787</v>
      </c>
      <c r="C3224" s="188" t="s">
        <v>659</v>
      </c>
      <c r="D3224" s="188" t="s">
        <v>4878</v>
      </c>
      <c r="E3224" s="189">
        <v>39422</v>
      </c>
      <c r="F3224" s="190">
        <v>0</v>
      </c>
      <c r="G3224" s="190">
        <v>111.1</v>
      </c>
      <c r="H3224" s="191">
        <v>1650</v>
      </c>
      <c r="I3224" s="191">
        <v>781.2</v>
      </c>
      <c r="J3224" s="188" t="s">
        <v>624</v>
      </c>
      <c r="K3224" s="188" t="s">
        <v>639</v>
      </c>
      <c r="L3224" s="188" t="s">
        <v>3372</v>
      </c>
      <c r="M3224" s="192">
        <f t="shared" si="150"/>
        <v>11</v>
      </c>
      <c r="N3224" s="193">
        <f t="shared" si="151"/>
        <v>16.5</v>
      </c>
      <c r="O3224" s="194">
        <f t="shared" si="152"/>
        <v>1.5</v>
      </c>
    </row>
    <row r="3225" spans="1:15" ht="12.75" customHeight="1">
      <c r="A3225" s="188" t="s">
        <v>620</v>
      </c>
      <c r="B3225" s="188" t="s">
        <v>3787</v>
      </c>
      <c r="C3225" s="188" t="s">
        <v>659</v>
      </c>
      <c r="D3225" s="188" t="s">
        <v>4879</v>
      </c>
      <c r="E3225" s="189">
        <v>39583</v>
      </c>
      <c r="F3225" s="190">
        <v>0</v>
      </c>
      <c r="G3225" s="190">
        <v>128</v>
      </c>
      <c r="H3225" s="191">
        <v>5806000</v>
      </c>
      <c r="I3225" s="191">
        <v>900</v>
      </c>
      <c r="J3225" s="188" t="s">
        <v>624</v>
      </c>
      <c r="K3225" s="188" t="s">
        <v>427</v>
      </c>
      <c r="L3225" s="188" t="s">
        <v>756</v>
      </c>
      <c r="M3225" s="192">
        <f t="shared" si="150"/>
        <v>25</v>
      </c>
      <c r="N3225" s="193">
        <f t="shared" si="151"/>
        <v>2903</v>
      </c>
      <c r="O3225" s="194">
        <f t="shared" si="152"/>
        <v>116.12</v>
      </c>
    </row>
    <row r="3226" spans="1:15" ht="12.75" customHeight="1">
      <c r="A3226" s="188" t="s">
        <v>620</v>
      </c>
      <c r="B3226" s="188" t="s">
        <v>4880</v>
      </c>
      <c r="C3226" s="188" t="s">
        <v>669</v>
      </c>
      <c r="D3226" s="188" t="s">
        <v>4881</v>
      </c>
      <c r="E3226" s="189">
        <v>39611</v>
      </c>
      <c r="F3226" s="190">
        <v>2</v>
      </c>
      <c r="G3226" s="190">
        <v>0</v>
      </c>
      <c r="H3226" s="191">
        <v>40</v>
      </c>
      <c r="I3226" s="191">
        <v>40</v>
      </c>
      <c r="J3226" s="188" t="s">
        <v>624</v>
      </c>
      <c r="K3226" s="188" t="s">
        <v>571</v>
      </c>
      <c r="L3226" s="188" t="s">
        <v>1315</v>
      </c>
      <c r="M3226" s="192">
        <f t="shared" si="150"/>
        <v>15</v>
      </c>
      <c r="N3226" s="193">
        <f t="shared" si="151"/>
        <v>0.13333333333333333</v>
      </c>
      <c r="O3226" s="194">
        <f t="shared" si="152"/>
        <v>8.8888888888888889E-3</v>
      </c>
    </row>
    <row r="3227" spans="1:15" ht="12.75" customHeight="1">
      <c r="A3227" s="188" t="s">
        <v>620</v>
      </c>
      <c r="B3227" s="188" t="s">
        <v>4880</v>
      </c>
      <c r="C3227" s="188" t="s">
        <v>669</v>
      </c>
      <c r="D3227" s="188" t="s">
        <v>4882</v>
      </c>
      <c r="E3227" s="189">
        <v>39366</v>
      </c>
      <c r="F3227" s="190">
        <v>130</v>
      </c>
      <c r="G3227" s="190">
        <v>0</v>
      </c>
      <c r="H3227" s="191">
        <v>50</v>
      </c>
      <c r="I3227" s="191">
        <v>30</v>
      </c>
      <c r="J3227" s="188" t="s">
        <v>624</v>
      </c>
      <c r="K3227" s="188" t="s">
        <v>1344</v>
      </c>
      <c r="L3227" s="188" t="s">
        <v>3372</v>
      </c>
      <c r="M3227" s="192">
        <f t="shared" si="150"/>
        <v>21</v>
      </c>
      <c r="N3227" s="193">
        <f t="shared" si="151"/>
        <v>0.5</v>
      </c>
      <c r="O3227" s="194">
        <f t="shared" si="152"/>
        <v>2.3809523809523808E-2</v>
      </c>
    </row>
    <row r="3228" spans="1:15" ht="12.75" customHeight="1">
      <c r="A3228" s="188" t="s">
        <v>620</v>
      </c>
      <c r="B3228" s="188" t="s">
        <v>4880</v>
      </c>
      <c r="C3228" s="188" t="s">
        <v>669</v>
      </c>
      <c r="D3228" s="188" t="s">
        <v>4883</v>
      </c>
      <c r="E3228" s="189">
        <v>39422</v>
      </c>
      <c r="F3228" s="190">
        <v>1261</v>
      </c>
      <c r="G3228" s="190">
        <v>0</v>
      </c>
      <c r="H3228" s="191">
        <v>450</v>
      </c>
      <c r="I3228" s="191">
        <v>291.3</v>
      </c>
      <c r="J3228" s="188" t="s">
        <v>624</v>
      </c>
      <c r="K3228" s="188" t="s">
        <v>667</v>
      </c>
      <c r="L3228" s="188" t="s">
        <v>1926</v>
      </c>
      <c r="M3228" s="192">
        <f t="shared" si="150"/>
        <v>19</v>
      </c>
      <c r="N3228" s="193">
        <f t="shared" si="151"/>
        <v>0.46343975283213185</v>
      </c>
      <c r="O3228" s="194">
        <f t="shared" si="152"/>
        <v>2.4391565938533255E-2</v>
      </c>
    </row>
    <row r="3229" spans="1:15" ht="12.75" customHeight="1">
      <c r="A3229" s="188" t="s">
        <v>620</v>
      </c>
      <c r="B3229" s="188" t="s">
        <v>4880</v>
      </c>
      <c r="C3229" s="188" t="s">
        <v>669</v>
      </c>
      <c r="D3229" s="188" t="s">
        <v>4884</v>
      </c>
      <c r="E3229" s="189">
        <v>39359</v>
      </c>
      <c r="F3229" s="190">
        <v>2453</v>
      </c>
      <c r="G3229" s="190">
        <v>0</v>
      </c>
      <c r="H3229" s="191">
        <v>1000</v>
      </c>
      <c r="I3229" s="191">
        <v>567</v>
      </c>
      <c r="J3229" s="188" t="s">
        <v>624</v>
      </c>
      <c r="K3229" s="188" t="s">
        <v>1344</v>
      </c>
      <c r="L3229" s="188" t="s">
        <v>692</v>
      </c>
      <c r="M3229" s="192">
        <f t="shared" si="150"/>
        <v>21</v>
      </c>
      <c r="N3229" s="193">
        <f t="shared" si="151"/>
        <v>0.52910052910052907</v>
      </c>
      <c r="O3229" s="194">
        <f t="shared" si="152"/>
        <v>2.5195263290501386E-2</v>
      </c>
    </row>
    <row r="3230" spans="1:15" ht="12.75" customHeight="1">
      <c r="A3230" s="188" t="s">
        <v>620</v>
      </c>
      <c r="B3230" s="188" t="s">
        <v>4880</v>
      </c>
      <c r="C3230" s="188" t="s">
        <v>669</v>
      </c>
      <c r="D3230" s="188" t="s">
        <v>4885</v>
      </c>
      <c r="E3230" s="189">
        <v>39317</v>
      </c>
      <c r="F3230" s="190">
        <v>1205</v>
      </c>
      <c r="G3230" s="190">
        <v>0</v>
      </c>
      <c r="H3230" s="191">
        <v>500.01</v>
      </c>
      <c r="I3230" s="191">
        <v>278.39999999999998</v>
      </c>
      <c r="J3230" s="188" t="s">
        <v>624</v>
      </c>
      <c r="K3230" s="188" t="s">
        <v>1344</v>
      </c>
      <c r="L3230" s="188" t="s">
        <v>4373</v>
      </c>
      <c r="M3230" s="192">
        <f t="shared" si="150"/>
        <v>21</v>
      </c>
      <c r="N3230" s="193">
        <f t="shared" si="151"/>
        <v>0.53880387931034479</v>
      </c>
      <c r="O3230" s="194">
        <f t="shared" si="152"/>
        <v>2.5657327586206896E-2</v>
      </c>
    </row>
    <row r="3231" spans="1:15" ht="12.75" customHeight="1">
      <c r="A3231" s="188" t="s">
        <v>620</v>
      </c>
      <c r="B3231" s="188" t="s">
        <v>4880</v>
      </c>
      <c r="C3231" s="188" t="s">
        <v>669</v>
      </c>
      <c r="D3231" s="188" t="s">
        <v>4886</v>
      </c>
      <c r="E3231" s="189">
        <v>39226</v>
      </c>
      <c r="F3231" s="190">
        <v>2006</v>
      </c>
      <c r="G3231" s="190">
        <v>0</v>
      </c>
      <c r="H3231" s="191">
        <v>873.03</v>
      </c>
      <c r="I3231" s="191">
        <v>463.8</v>
      </c>
      <c r="J3231" s="188" t="s">
        <v>624</v>
      </c>
      <c r="K3231" s="188" t="s">
        <v>1344</v>
      </c>
      <c r="L3231" s="188" t="s">
        <v>1946</v>
      </c>
      <c r="M3231" s="192">
        <f t="shared" si="150"/>
        <v>21</v>
      </c>
      <c r="N3231" s="193">
        <f t="shared" si="151"/>
        <v>0.56470245795601548</v>
      </c>
      <c r="O3231" s="194">
        <f t="shared" si="152"/>
        <v>2.6890593236000737E-2</v>
      </c>
    </row>
    <row r="3232" spans="1:15" ht="12.75" customHeight="1">
      <c r="A3232" s="188" t="s">
        <v>620</v>
      </c>
      <c r="B3232" s="188" t="s">
        <v>4880</v>
      </c>
      <c r="C3232" s="188" t="s">
        <v>669</v>
      </c>
      <c r="D3232" s="188" t="s">
        <v>4887</v>
      </c>
      <c r="E3232" s="189">
        <v>39289</v>
      </c>
      <c r="F3232" s="190">
        <v>395</v>
      </c>
      <c r="G3232" s="190">
        <v>0</v>
      </c>
      <c r="H3232" s="191">
        <v>125</v>
      </c>
      <c r="I3232" s="191">
        <v>91.2</v>
      </c>
      <c r="J3232" s="188" t="s">
        <v>624</v>
      </c>
      <c r="K3232" s="188" t="s">
        <v>571</v>
      </c>
      <c r="L3232" s="188" t="s">
        <v>4888</v>
      </c>
      <c r="M3232" s="192">
        <f t="shared" si="150"/>
        <v>15</v>
      </c>
      <c r="N3232" s="193">
        <f t="shared" si="151"/>
        <v>0.41118421052631576</v>
      </c>
      <c r="O3232" s="194">
        <f t="shared" si="152"/>
        <v>2.7412280701754384E-2</v>
      </c>
    </row>
    <row r="3233" spans="1:15" ht="12.75" customHeight="1">
      <c r="A3233" s="188" t="s">
        <v>620</v>
      </c>
      <c r="B3233" s="188" t="s">
        <v>4880</v>
      </c>
      <c r="C3233" s="188" t="s">
        <v>669</v>
      </c>
      <c r="D3233" s="188" t="s">
        <v>4889</v>
      </c>
      <c r="E3233" s="189">
        <v>39345</v>
      </c>
      <c r="F3233" s="190">
        <v>1399</v>
      </c>
      <c r="G3233" s="190">
        <v>0</v>
      </c>
      <c r="H3233" s="191">
        <v>680</v>
      </c>
      <c r="I3233" s="191">
        <v>323.39999999999998</v>
      </c>
      <c r="J3233" s="188" t="s">
        <v>624</v>
      </c>
      <c r="K3233" s="188" t="s">
        <v>1344</v>
      </c>
      <c r="L3233" s="188" t="s">
        <v>2622</v>
      </c>
      <c r="M3233" s="192">
        <f t="shared" si="150"/>
        <v>21</v>
      </c>
      <c r="N3233" s="193">
        <f t="shared" si="151"/>
        <v>0.63079777365491652</v>
      </c>
      <c r="O3233" s="194">
        <f t="shared" si="152"/>
        <v>3.0037989221662693E-2</v>
      </c>
    </row>
    <row r="3234" spans="1:15" ht="12.75" customHeight="1">
      <c r="A3234" s="188" t="s">
        <v>620</v>
      </c>
      <c r="B3234" s="188" t="s">
        <v>4880</v>
      </c>
      <c r="C3234" s="188" t="s">
        <v>669</v>
      </c>
      <c r="D3234" s="188" t="s">
        <v>4890</v>
      </c>
      <c r="E3234" s="189">
        <v>39527</v>
      </c>
      <c r="F3234" s="190">
        <v>249</v>
      </c>
      <c r="G3234" s="190">
        <v>0</v>
      </c>
      <c r="H3234" s="191">
        <v>125</v>
      </c>
      <c r="I3234" s="191">
        <v>57.6</v>
      </c>
      <c r="J3234" s="188" t="s">
        <v>624</v>
      </c>
      <c r="K3234" s="188" t="s">
        <v>1344</v>
      </c>
      <c r="L3234" s="188" t="s">
        <v>1879</v>
      </c>
      <c r="M3234" s="192">
        <f t="shared" si="150"/>
        <v>21</v>
      </c>
      <c r="N3234" s="193">
        <f t="shared" si="151"/>
        <v>0.65104166666666663</v>
      </c>
      <c r="O3234" s="194">
        <f t="shared" si="152"/>
        <v>3.1001984126984124E-2</v>
      </c>
    </row>
    <row r="3235" spans="1:15" ht="12.75" customHeight="1">
      <c r="A3235" s="188" t="s">
        <v>620</v>
      </c>
      <c r="B3235" s="188" t="s">
        <v>4880</v>
      </c>
      <c r="C3235" s="188" t="s">
        <v>669</v>
      </c>
      <c r="D3235" s="188" t="s">
        <v>4891</v>
      </c>
      <c r="E3235" s="189">
        <v>39447</v>
      </c>
      <c r="F3235" s="190">
        <v>685</v>
      </c>
      <c r="G3235" s="190">
        <v>0</v>
      </c>
      <c r="H3235" s="191">
        <v>635</v>
      </c>
      <c r="I3235" s="191">
        <v>158.4</v>
      </c>
      <c r="J3235" s="188" t="s">
        <v>624</v>
      </c>
      <c r="K3235" s="188" t="s">
        <v>338</v>
      </c>
      <c r="L3235" s="188" t="s">
        <v>1162</v>
      </c>
      <c r="M3235" s="192">
        <f t="shared" si="150"/>
        <v>38</v>
      </c>
      <c r="N3235" s="193">
        <f t="shared" si="151"/>
        <v>1.2026515151515151</v>
      </c>
      <c r="O3235" s="194">
        <f t="shared" si="152"/>
        <v>3.1648724082934607E-2</v>
      </c>
    </row>
    <row r="3236" spans="1:15" ht="12.75" customHeight="1">
      <c r="A3236" s="188" t="s">
        <v>620</v>
      </c>
      <c r="B3236" s="188" t="s">
        <v>4880</v>
      </c>
      <c r="C3236" s="188" t="s">
        <v>669</v>
      </c>
      <c r="D3236" s="188" t="s">
        <v>4892</v>
      </c>
      <c r="E3236" s="189">
        <v>39415</v>
      </c>
      <c r="F3236" s="190">
        <v>389</v>
      </c>
      <c r="G3236" s="190">
        <v>0</v>
      </c>
      <c r="H3236" s="191">
        <v>147</v>
      </c>
      <c r="I3236" s="191">
        <v>90</v>
      </c>
      <c r="J3236" s="188" t="s">
        <v>624</v>
      </c>
      <c r="K3236" s="188" t="s">
        <v>571</v>
      </c>
      <c r="L3236" s="188" t="s">
        <v>1315</v>
      </c>
      <c r="M3236" s="192">
        <f t="shared" si="150"/>
        <v>15</v>
      </c>
      <c r="N3236" s="193">
        <f t="shared" si="151"/>
        <v>0.49</v>
      </c>
      <c r="O3236" s="194">
        <f t="shared" si="152"/>
        <v>3.2666666666666663E-2</v>
      </c>
    </row>
    <row r="3237" spans="1:15" ht="12.75" customHeight="1">
      <c r="A3237" s="188" t="s">
        <v>620</v>
      </c>
      <c r="B3237" s="188" t="s">
        <v>4880</v>
      </c>
      <c r="C3237" s="188" t="s">
        <v>669</v>
      </c>
      <c r="D3237" s="188" t="s">
        <v>4893</v>
      </c>
      <c r="E3237" s="189">
        <v>39618</v>
      </c>
      <c r="F3237" s="190">
        <v>745</v>
      </c>
      <c r="G3237" s="190">
        <v>0</v>
      </c>
      <c r="H3237" s="191">
        <v>294</v>
      </c>
      <c r="I3237" s="191">
        <v>172.5</v>
      </c>
      <c r="J3237" s="188" t="s">
        <v>624</v>
      </c>
      <c r="K3237" s="188" t="s">
        <v>571</v>
      </c>
      <c r="L3237" s="188" t="s">
        <v>2894</v>
      </c>
      <c r="M3237" s="192">
        <f t="shared" si="150"/>
        <v>15</v>
      </c>
      <c r="N3237" s="193">
        <f t="shared" si="151"/>
        <v>0.51130434782608691</v>
      </c>
      <c r="O3237" s="194">
        <f t="shared" si="152"/>
        <v>3.4086956521739126E-2</v>
      </c>
    </row>
    <row r="3238" spans="1:15" ht="12.75" customHeight="1">
      <c r="A3238" s="188" t="s">
        <v>620</v>
      </c>
      <c r="B3238" s="188" t="s">
        <v>4880</v>
      </c>
      <c r="C3238" s="188" t="s">
        <v>669</v>
      </c>
      <c r="D3238" s="188" t="s">
        <v>4894</v>
      </c>
      <c r="E3238" s="189">
        <v>39625</v>
      </c>
      <c r="F3238" s="190">
        <v>907</v>
      </c>
      <c r="G3238" s="190">
        <v>0</v>
      </c>
      <c r="H3238" s="191">
        <v>420</v>
      </c>
      <c r="I3238" s="191">
        <v>210</v>
      </c>
      <c r="J3238" s="188" t="s">
        <v>624</v>
      </c>
      <c r="K3238" s="188" t="s">
        <v>571</v>
      </c>
      <c r="L3238" s="188" t="s">
        <v>1827</v>
      </c>
      <c r="M3238" s="192">
        <f t="shared" si="150"/>
        <v>15</v>
      </c>
      <c r="N3238" s="193">
        <f t="shared" si="151"/>
        <v>0.6</v>
      </c>
      <c r="O3238" s="194">
        <f t="shared" si="152"/>
        <v>0.04</v>
      </c>
    </row>
    <row r="3239" spans="1:15" ht="12.75" customHeight="1">
      <c r="A3239" s="188" t="s">
        <v>620</v>
      </c>
      <c r="B3239" s="188" t="s">
        <v>4880</v>
      </c>
      <c r="C3239" s="188" t="s">
        <v>669</v>
      </c>
      <c r="D3239" s="188" t="s">
        <v>4895</v>
      </c>
      <c r="E3239" s="189">
        <v>39562</v>
      </c>
      <c r="F3239" s="190">
        <v>492</v>
      </c>
      <c r="G3239" s="190">
        <v>0</v>
      </c>
      <c r="H3239" s="191">
        <v>200</v>
      </c>
      <c r="I3239" s="191">
        <v>114</v>
      </c>
      <c r="J3239" s="188" t="s">
        <v>624</v>
      </c>
      <c r="K3239" s="188" t="s">
        <v>652</v>
      </c>
      <c r="L3239" s="188" t="s">
        <v>2170</v>
      </c>
      <c r="M3239" s="192">
        <f t="shared" si="150"/>
        <v>13</v>
      </c>
      <c r="N3239" s="193">
        <f t="shared" si="151"/>
        <v>0.52631578947368418</v>
      </c>
      <c r="O3239" s="194">
        <f t="shared" si="152"/>
        <v>4.048582995951417E-2</v>
      </c>
    </row>
    <row r="3240" spans="1:15" ht="12.75" customHeight="1">
      <c r="A3240" s="188" t="s">
        <v>620</v>
      </c>
      <c r="B3240" s="188" t="s">
        <v>4880</v>
      </c>
      <c r="C3240" s="188" t="s">
        <v>669</v>
      </c>
      <c r="D3240" s="188" t="s">
        <v>4896</v>
      </c>
      <c r="E3240" s="189">
        <v>39576</v>
      </c>
      <c r="F3240" s="190">
        <v>877</v>
      </c>
      <c r="G3240" s="190">
        <v>0</v>
      </c>
      <c r="H3240" s="191">
        <v>704</v>
      </c>
      <c r="I3240" s="191">
        <v>203.1</v>
      </c>
      <c r="J3240" s="188" t="s">
        <v>624</v>
      </c>
      <c r="K3240" s="188" t="s">
        <v>1344</v>
      </c>
      <c r="L3240" s="188" t="s">
        <v>1490</v>
      </c>
      <c r="M3240" s="192">
        <f t="shared" si="150"/>
        <v>21</v>
      </c>
      <c r="N3240" s="193">
        <f t="shared" si="151"/>
        <v>0.86274509803921573</v>
      </c>
      <c r="O3240" s="194">
        <f t="shared" si="152"/>
        <v>4.1083099906629318E-2</v>
      </c>
    </row>
    <row r="3241" spans="1:15" ht="12.75" customHeight="1">
      <c r="A3241" s="188" t="s">
        <v>620</v>
      </c>
      <c r="B3241" s="188" t="s">
        <v>4880</v>
      </c>
      <c r="C3241" s="188" t="s">
        <v>669</v>
      </c>
      <c r="D3241" s="188" t="s">
        <v>4897</v>
      </c>
      <c r="E3241" s="189">
        <v>39611</v>
      </c>
      <c r="F3241" s="190">
        <v>1127</v>
      </c>
      <c r="G3241" s="190">
        <v>0</v>
      </c>
      <c r="H3241" s="191">
        <v>544</v>
      </c>
      <c r="I3241" s="191">
        <v>261</v>
      </c>
      <c r="J3241" s="188" t="s">
        <v>624</v>
      </c>
      <c r="K3241" s="188" t="s">
        <v>571</v>
      </c>
      <c r="L3241" s="188" t="s">
        <v>1979</v>
      </c>
      <c r="M3241" s="192">
        <f t="shared" si="150"/>
        <v>15</v>
      </c>
      <c r="N3241" s="193">
        <f t="shared" si="151"/>
        <v>0.62528735632183907</v>
      </c>
      <c r="O3241" s="194">
        <f t="shared" si="152"/>
        <v>4.168582375478927E-2</v>
      </c>
    </row>
    <row r="3242" spans="1:15" ht="12.75" customHeight="1">
      <c r="A3242" s="188" t="s">
        <v>620</v>
      </c>
      <c r="B3242" s="188" t="s">
        <v>4880</v>
      </c>
      <c r="C3242" s="188" t="s">
        <v>669</v>
      </c>
      <c r="D3242" s="188" t="s">
        <v>4898</v>
      </c>
      <c r="E3242" s="189">
        <v>39576</v>
      </c>
      <c r="F3242" s="190">
        <v>803</v>
      </c>
      <c r="G3242" s="190">
        <v>0</v>
      </c>
      <c r="H3242" s="191">
        <v>649</v>
      </c>
      <c r="I3242" s="191">
        <v>186</v>
      </c>
      <c r="J3242" s="188" t="s">
        <v>624</v>
      </c>
      <c r="K3242" s="188" t="s">
        <v>1344</v>
      </c>
      <c r="L3242" s="188" t="s">
        <v>256</v>
      </c>
      <c r="M3242" s="192">
        <f t="shared" si="150"/>
        <v>21</v>
      </c>
      <c r="N3242" s="193">
        <f t="shared" si="151"/>
        <v>1.0467741935483872</v>
      </c>
      <c r="O3242" s="194">
        <f t="shared" si="152"/>
        <v>4.9846390168970821E-2</v>
      </c>
    </row>
    <row r="3243" spans="1:15" ht="12.75" customHeight="1">
      <c r="A3243" s="188" t="s">
        <v>620</v>
      </c>
      <c r="B3243" s="188" t="s">
        <v>4880</v>
      </c>
      <c r="C3243" s="188" t="s">
        <v>669</v>
      </c>
      <c r="D3243" s="188" t="s">
        <v>4899</v>
      </c>
      <c r="E3243" s="189">
        <v>39447</v>
      </c>
      <c r="F3243" s="190">
        <v>1947</v>
      </c>
      <c r="G3243" s="190">
        <v>0</v>
      </c>
      <c r="H3243" s="191">
        <v>1160</v>
      </c>
      <c r="I3243" s="191">
        <v>450</v>
      </c>
      <c r="J3243" s="188" t="s">
        <v>624</v>
      </c>
      <c r="K3243" s="188" t="s">
        <v>571</v>
      </c>
      <c r="L3243" s="188" t="s">
        <v>746</v>
      </c>
      <c r="M3243" s="192">
        <f t="shared" si="150"/>
        <v>15</v>
      </c>
      <c r="N3243" s="193">
        <f t="shared" si="151"/>
        <v>0.77333333333333332</v>
      </c>
      <c r="O3243" s="194">
        <f t="shared" si="152"/>
        <v>5.1555555555555556E-2</v>
      </c>
    </row>
    <row r="3244" spans="1:15" ht="12.75" customHeight="1">
      <c r="A3244" s="188" t="s">
        <v>620</v>
      </c>
      <c r="B3244" s="188" t="s">
        <v>4880</v>
      </c>
      <c r="C3244" s="188" t="s">
        <v>669</v>
      </c>
      <c r="D3244" s="188" t="s">
        <v>4900</v>
      </c>
      <c r="E3244" s="189">
        <v>39625</v>
      </c>
      <c r="F3244" s="190">
        <v>1555</v>
      </c>
      <c r="G3244" s="190">
        <v>0</v>
      </c>
      <c r="H3244" s="191">
        <v>890</v>
      </c>
      <c r="I3244" s="191">
        <v>360</v>
      </c>
      <c r="J3244" s="188" t="s">
        <v>624</v>
      </c>
      <c r="K3244" s="188" t="s">
        <v>1052</v>
      </c>
      <c r="L3244" s="188" t="s">
        <v>632</v>
      </c>
      <c r="M3244" s="192">
        <f t="shared" si="150"/>
        <v>14</v>
      </c>
      <c r="N3244" s="193">
        <f t="shared" si="151"/>
        <v>0.7416666666666667</v>
      </c>
      <c r="O3244" s="194">
        <f t="shared" si="152"/>
        <v>5.2976190476190475E-2</v>
      </c>
    </row>
    <row r="3245" spans="1:15" ht="12.75" customHeight="1">
      <c r="A3245" s="188" t="s">
        <v>620</v>
      </c>
      <c r="B3245" s="188" t="s">
        <v>4880</v>
      </c>
      <c r="C3245" s="188" t="s">
        <v>669</v>
      </c>
      <c r="D3245" s="188" t="s">
        <v>4901</v>
      </c>
      <c r="E3245" s="189">
        <v>39261</v>
      </c>
      <c r="F3245" s="190">
        <v>1185</v>
      </c>
      <c r="G3245" s="190">
        <v>0</v>
      </c>
      <c r="H3245" s="191">
        <v>749.03</v>
      </c>
      <c r="I3245" s="191">
        <v>273.89999999999998</v>
      </c>
      <c r="J3245" s="188" t="s">
        <v>624</v>
      </c>
      <c r="K3245" s="188" t="s">
        <v>571</v>
      </c>
      <c r="L3245" s="188" t="s">
        <v>4902</v>
      </c>
      <c r="M3245" s="192">
        <f t="shared" si="150"/>
        <v>15</v>
      </c>
      <c r="N3245" s="193">
        <f t="shared" si="151"/>
        <v>0.82040525739320913</v>
      </c>
      <c r="O3245" s="194">
        <f t="shared" si="152"/>
        <v>5.4693683826213944E-2</v>
      </c>
    </row>
    <row r="3246" spans="1:15" ht="12.75" customHeight="1">
      <c r="A3246" s="188" t="s">
        <v>620</v>
      </c>
      <c r="B3246" s="188" t="s">
        <v>4880</v>
      </c>
      <c r="C3246" s="188" t="s">
        <v>669</v>
      </c>
      <c r="D3246" s="188" t="s">
        <v>4903</v>
      </c>
      <c r="E3246" s="189">
        <v>39527</v>
      </c>
      <c r="F3246" s="190">
        <v>1012</v>
      </c>
      <c r="G3246" s="190">
        <v>0</v>
      </c>
      <c r="H3246" s="191">
        <v>920</v>
      </c>
      <c r="I3246" s="191">
        <v>234.3</v>
      </c>
      <c r="J3246" s="188" t="s">
        <v>624</v>
      </c>
      <c r="K3246" s="188" t="s">
        <v>1344</v>
      </c>
      <c r="L3246" s="188" t="s">
        <v>1175</v>
      </c>
      <c r="M3246" s="192">
        <f t="shared" si="150"/>
        <v>21</v>
      </c>
      <c r="N3246" s="193">
        <f t="shared" si="151"/>
        <v>1.17797695262484</v>
      </c>
      <c r="O3246" s="194">
        <f t="shared" si="152"/>
        <v>5.6094140601182861E-2</v>
      </c>
    </row>
    <row r="3247" spans="1:15" ht="12.75" customHeight="1">
      <c r="A3247" s="188" t="s">
        <v>620</v>
      </c>
      <c r="B3247" s="188" t="s">
        <v>4880</v>
      </c>
      <c r="C3247" s="188" t="s">
        <v>669</v>
      </c>
      <c r="D3247" s="188" t="s">
        <v>4904</v>
      </c>
      <c r="E3247" s="189">
        <v>39534</v>
      </c>
      <c r="F3247" s="190">
        <v>2273</v>
      </c>
      <c r="G3247" s="190">
        <v>0</v>
      </c>
      <c r="H3247" s="191">
        <v>1600</v>
      </c>
      <c r="I3247" s="191">
        <v>526.20000000000005</v>
      </c>
      <c r="J3247" s="188" t="s">
        <v>624</v>
      </c>
      <c r="K3247" s="188" t="s">
        <v>571</v>
      </c>
      <c r="L3247" s="188" t="s">
        <v>4905</v>
      </c>
      <c r="M3247" s="192">
        <f t="shared" si="150"/>
        <v>15</v>
      </c>
      <c r="N3247" s="193">
        <f t="shared" si="151"/>
        <v>0.91220068415051314</v>
      </c>
      <c r="O3247" s="194">
        <f t="shared" si="152"/>
        <v>6.0813378943367545E-2</v>
      </c>
    </row>
    <row r="3248" spans="1:15" ht="12.75" customHeight="1">
      <c r="A3248" s="188" t="s">
        <v>620</v>
      </c>
      <c r="B3248" s="188" t="s">
        <v>4880</v>
      </c>
      <c r="C3248" s="188" t="s">
        <v>669</v>
      </c>
      <c r="D3248" s="188" t="s">
        <v>4906</v>
      </c>
      <c r="E3248" s="189">
        <v>39555</v>
      </c>
      <c r="F3248" s="190">
        <v>1042</v>
      </c>
      <c r="G3248" s="190">
        <v>0</v>
      </c>
      <c r="H3248" s="191">
        <v>538</v>
      </c>
      <c r="I3248" s="191">
        <v>241.2</v>
      </c>
      <c r="J3248" s="188" t="s">
        <v>624</v>
      </c>
      <c r="K3248" s="188" t="s">
        <v>639</v>
      </c>
      <c r="L3248" s="188" t="s">
        <v>3138</v>
      </c>
      <c r="M3248" s="192">
        <f t="shared" si="150"/>
        <v>11</v>
      </c>
      <c r="N3248" s="193">
        <f t="shared" si="151"/>
        <v>0.6691542288557214</v>
      </c>
      <c r="O3248" s="194">
        <f t="shared" si="152"/>
        <v>6.08322026232474E-2</v>
      </c>
    </row>
    <row r="3249" spans="1:15" ht="12.75" customHeight="1">
      <c r="A3249" s="188" t="s">
        <v>620</v>
      </c>
      <c r="B3249" s="188" t="s">
        <v>4880</v>
      </c>
      <c r="C3249" s="188" t="s">
        <v>669</v>
      </c>
      <c r="D3249" s="188" t="s">
        <v>4907</v>
      </c>
      <c r="E3249" s="189">
        <v>39625</v>
      </c>
      <c r="F3249" s="190">
        <v>1555</v>
      </c>
      <c r="G3249" s="190">
        <v>0</v>
      </c>
      <c r="H3249" s="191">
        <v>990</v>
      </c>
      <c r="I3249" s="191">
        <v>360</v>
      </c>
      <c r="J3249" s="188" t="s">
        <v>624</v>
      </c>
      <c r="K3249" s="188" t="s">
        <v>652</v>
      </c>
      <c r="L3249" s="188" t="s">
        <v>632</v>
      </c>
      <c r="M3249" s="192">
        <f t="shared" si="150"/>
        <v>13</v>
      </c>
      <c r="N3249" s="193">
        <f t="shared" si="151"/>
        <v>0.82499999999999996</v>
      </c>
      <c r="O3249" s="194">
        <f t="shared" si="152"/>
        <v>6.3461538461538458E-2</v>
      </c>
    </row>
    <row r="3250" spans="1:15" ht="12.75" customHeight="1">
      <c r="A3250" s="188" t="s">
        <v>620</v>
      </c>
      <c r="B3250" s="188" t="s">
        <v>4880</v>
      </c>
      <c r="C3250" s="188" t="s">
        <v>669</v>
      </c>
      <c r="D3250" s="188" t="s">
        <v>4908</v>
      </c>
      <c r="E3250" s="189">
        <v>39590</v>
      </c>
      <c r="F3250" s="190">
        <v>1555</v>
      </c>
      <c r="G3250" s="190">
        <v>0</v>
      </c>
      <c r="H3250" s="191">
        <v>1080</v>
      </c>
      <c r="I3250" s="191">
        <v>360</v>
      </c>
      <c r="J3250" s="188" t="s">
        <v>624</v>
      </c>
      <c r="K3250" s="188" t="s">
        <v>1052</v>
      </c>
      <c r="L3250" s="188" t="s">
        <v>632</v>
      </c>
      <c r="M3250" s="192">
        <f t="shared" si="150"/>
        <v>14</v>
      </c>
      <c r="N3250" s="193">
        <f t="shared" si="151"/>
        <v>0.9</v>
      </c>
      <c r="O3250" s="194">
        <f t="shared" si="152"/>
        <v>6.4285714285714293E-2</v>
      </c>
    </row>
    <row r="3251" spans="1:15" ht="12.75" customHeight="1">
      <c r="A3251" s="188" t="s">
        <v>620</v>
      </c>
      <c r="B3251" s="188" t="s">
        <v>4880</v>
      </c>
      <c r="C3251" s="188" t="s">
        <v>669</v>
      </c>
      <c r="D3251" s="188" t="s">
        <v>4909</v>
      </c>
      <c r="E3251" s="189">
        <v>39583</v>
      </c>
      <c r="F3251" s="190">
        <v>3566</v>
      </c>
      <c r="G3251" s="190">
        <v>0</v>
      </c>
      <c r="H3251" s="191">
        <v>2660</v>
      </c>
      <c r="I3251" s="191">
        <v>825.6</v>
      </c>
      <c r="J3251" s="188" t="s">
        <v>624</v>
      </c>
      <c r="K3251" s="188" t="s">
        <v>571</v>
      </c>
      <c r="L3251" s="188" t="s">
        <v>4910</v>
      </c>
      <c r="M3251" s="192">
        <f t="shared" si="150"/>
        <v>15</v>
      </c>
      <c r="N3251" s="193">
        <f t="shared" si="151"/>
        <v>0.96656976744186052</v>
      </c>
      <c r="O3251" s="194">
        <f t="shared" si="152"/>
        <v>6.4437984496124034E-2</v>
      </c>
    </row>
    <row r="3252" spans="1:15" ht="12.75" customHeight="1">
      <c r="A3252" s="188" t="s">
        <v>620</v>
      </c>
      <c r="B3252" s="188" t="s">
        <v>4880</v>
      </c>
      <c r="C3252" s="188" t="s">
        <v>669</v>
      </c>
      <c r="D3252" s="188" t="s">
        <v>4911</v>
      </c>
      <c r="E3252" s="189">
        <v>39416</v>
      </c>
      <c r="F3252" s="190">
        <v>644</v>
      </c>
      <c r="G3252" s="190">
        <v>0</v>
      </c>
      <c r="H3252" s="191">
        <v>496</v>
      </c>
      <c r="I3252" s="191">
        <v>148.80000000000001</v>
      </c>
      <c r="J3252" s="188" t="s">
        <v>624</v>
      </c>
      <c r="K3252" s="188" t="s">
        <v>571</v>
      </c>
      <c r="L3252" s="188" t="s">
        <v>3296</v>
      </c>
      <c r="M3252" s="192">
        <f t="shared" si="150"/>
        <v>15</v>
      </c>
      <c r="N3252" s="193">
        <f t="shared" si="151"/>
        <v>1</v>
      </c>
      <c r="O3252" s="194">
        <f t="shared" si="152"/>
        <v>6.6666666666666666E-2</v>
      </c>
    </row>
    <row r="3253" spans="1:15" ht="12.75" customHeight="1">
      <c r="A3253" s="188" t="s">
        <v>620</v>
      </c>
      <c r="B3253" s="188" t="s">
        <v>4880</v>
      </c>
      <c r="C3253" s="188" t="s">
        <v>669</v>
      </c>
      <c r="D3253" s="188" t="s">
        <v>4912</v>
      </c>
      <c r="E3253" s="189">
        <v>39429</v>
      </c>
      <c r="F3253" s="190">
        <v>1262</v>
      </c>
      <c r="G3253" s="190">
        <v>0</v>
      </c>
      <c r="H3253" s="191">
        <v>995</v>
      </c>
      <c r="I3253" s="191">
        <v>291.60000000000002</v>
      </c>
      <c r="J3253" s="188" t="s">
        <v>624</v>
      </c>
      <c r="K3253" s="188" t="s">
        <v>571</v>
      </c>
      <c r="L3253" s="188" t="s">
        <v>365</v>
      </c>
      <c r="M3253" s="192">
        <f t="shared" si="150"/>
        <v>15</v>
      </c>
      <c r="N3253" s="193">
        <f t="shared" si="151"/>
        <v>1.0236625514403292</v>
      </c>
      <c r="O3253" s="194">
        <f t="shared" si="152"/>
        <v>6.8244170096021947E-2</v>
      </c>
    </row>
    <row r="3254" spans="1:15" ht="12.75" customHeight="1">
      <c r="A3254" s="188" t="s">
        <v>620</v>
      </c>
      <c r="B3254" s="188" t="s">
        <v>4880</v>
      </c>
      <c r="C3254" s="188" t="s">
        <v>669</v>
      </c>
      <c r="D3254" s="188" t="s">
        <v>4913</v>
      </c>
      <c r="E3254" s="189">
        <v>39282</v>
      </c>
      <c r="F3254" s="190">
        <v>1682</v>
      </c>
      <c r="G3254" s="190">
        <v>0</v>
      </c>
      <c r="H3254" s="191">
        <v>1230.94</v>
      </c>
      <c r="I3254" s="191">
        <v>388.8</v>
      </c>
      <c r="J3254" s="188" t="s">
        <v>624</v>
      </c>
      <c r="K3254" s="188" t="s">
        <v>652</v>
      </c>
      <c r="L3254" s="188" t="s">
        <v>1319</v>
      </c>
      <c r="M3254" s="192">
        <f t="shared" si="150"/>
        <v>13</v>
      </c>
      <c r="N3254" s="193">
        <f t="shared" si="151"/>
        <v>0.94979938271604947</v>
      </c>
      <c r="O3254" s="194">
        <f t="shared" si="152"/>
        <v>7.3061490978157645E-2</v>
      </c>
    </row>
    <row r="3255" spans="1:15" ht="12.75" customHeight="1">
      <c r="A3255" s="188" t="s">
        <v>620</v>
      </c>
      <c r="B3255" s="188" t="s">
        <v>4880</v>
      </c>
      <c r="C3255" s="188" t="s">
        <v>669</v>
      </c>
      <c r="D3255" s="188" t="s">
        <v>4914</v>
      </c>
      <c r="E3255" s="189">
        <v>39366</v>
      </c>
      <c r="F3255" s="190">
        <v>1153</v>
      </c>
      <c r="G3255" s="190">
        <v>0</v>
      </c>
      <c r="H3255" s="191">
        <v>975</v>
      </c>
      <c r="I3255" s="191">
        <v>266.39999999999998</v>
      </c>
      <c r="J3255" s="188" t="s">
        <v>624</v>
      </c>
      <c r="K3255" s="188" t="s">
        <v>571</v>
      </c>
      <c r="L3255" s="188" t="s">
        <v>2079</v>
      </c>
      <c r="M3255" s="192">
        <f t="shared" si="150"/>
        <v>15</v>
      </c>
      <c r="N3255" s="193">
        <f t="shared" si="151"/>
        <v>1.097972972972973</v>
      </c>
      <c r="O3255" s="194">
        <f t="shared" si="152"/>
        <v>7.31981981981982E-2</v>
      </c>
    </row>
    <row r="3256" spans="1:15" ht="12.75" customHeight="1">
      <c r="A3256" s="188" t="s">
        <v>620</v>
      </c>
      <c r="B3256" s="188" t="s">
        <v>4880</v>
      </c>
      <c r="C3256" s="188" t="s">
        <v>669</v>
      </c>
      <c r="D3256" s="188" t="s">
        <v>4915</v>
      </c>
      <c r="E3256" s="189">
        <v>39395</v>
      </c>
      <c r="F3256" s="190">
        <v>1005</v>
      </c>
      <c r="G3256" s="190">
        <v>0</v>
      </c>
      <c r="H3256" s="191">
        <v>890</v>
      </c>
      <c r="I3256" s="191">
        <v>232.5</v>
      </c>
      <c r="J3256" s="188" t="s">
        <v>624</v>
      </c>
      <c r="K3256" s="188" t="s">
        <v>571</v>
      </c>
      <c r="L3256" s="188" t="s">
        <v>4090</v>
      </c>
      <c r="M3256" s="192">
        <f t="shared" si="150"/>
        <v>15</v>
      </c>
      <c r="N3256" s="193">
        <f t="shared" si="151"/>
        <v>1.1483870967741936</v>
      </c>
      <c r="O3256" s="194">
        <f t="shared" si="152"/>
        <v>7.6559139784946245E-2</v>
      </c>
    </row>
    <row r="3257" spans="1:15" ht="12.75" customHeight="1">
      <c r="A3257" s="188" t="s">
        <v>620</v>
      </c>
      <c r="B3257" s="188" t="s">
        <v>4880</v>
      </c>
      <c r="C3257" s="188" t="s">
        <v>669</v>
      </c>
      <c r="D3257" s="188" t="s">
        <v>4916</v>
      </c>
      <c r="E3257" s="189">
        <v>39555</v>
      </c>
      <c r="F3257" s="190">
        <v>1575</v>
      </c>
      <c r="G3257" s="190">
        <v>0</v>
      </c>
      <c r="H3257" s="191">
        <v>1216</v>
      </c>
      <c r="I3257" s="191">
        <v>364.8</v>
      </c>
      <c r="J3257" s="188" t="s">
        <v>624</v>
      </c>
      <c r="K3257" s="188" t="s">
        <v>652</v>
      </c>
      <c r="L3257" s="188" t="s">
        <v>1767</v>
      </c>
      <c r="M3257" s="192">
        <f t="shared" si="150"/>
        <v>13</v>
      </c>
      <c r="N3257" s="193">
        <f t="shared" si="151"/>
        <v>1</v>
      </c>
      <c r="O3257" s="194">
        <f t="shared" si="152"/>
        <v>7.6923076923076927E-2</v>
      </c>
    </row>
    <row r="3258" spans="1:15" ht="12.75" customHeight="1">
      <c r="A3258" s="188" t="s">
        <v>620</v>
      </c>
      <c r="B3258" s="188" t="s">
        <v>4880</v>
      </c>
      <c r="C3258" s="188" t="s">
        <v>669</v>
      </c>
      <c r="D3258" s="188" t="s">
        <v>4917</v>
      </c>
      <c r="E3258" s="189">
        <v>39583</v>
      </c>
      <c r="F3258" s="190">
        <v>1453</v>
      </c>
      <c r="G3258" s="190">
        <v>0</v>
      </c>
      <c r="H3258" s="191">
        <v>953</v>
      </c>
      <c r="I3258" s="191">
        <v>336.3</v>
      </c>
      <c r="J3258" s="188" t="s">
        <v>624</v>
      </c>
      <c r="K3258" s="188" t="s">
        <v>639</v>
      </c>
      <c r="L3258" s="188" t="s">
        <v>3006</v>
      </c>
      <c r="M3258" s="192">
        <f t="shared" si="150"/>
        <v>11</v>
      </c>
      <c r="N3258" s="193">
        <f t="shared" si="151"/>
        <v>0.8501338090990187</v>
      </c>
      <c r="O3258" s="194">
        <f t="shared" si="152"/>
        <v>7.7284891736274425E-2</v>
      </c>
    </row>
    <row r="3259" spans="1:15" ht="12.75" customHeight="1">
      <c r="A3259" s="188" t="s">
        <v>620</v>
      </c>
      <c r="B3259" s="188" t="s">
        <v>4880</v>
      </c>
      <c r="C3259" s="188" t="s">
        <v>669</v>
      </c>
      <c r="D3259" s="188" t="s">
        <v>4918</v>
      </c>
      <c r="E3259" s="189">
        <v>39339</v>
      </c>
      <c r="F3259" s="190">
        <v>2526</v>
      </c>
      <c r="G3259" s="190">
        <v>0</v>
      </c>
      <c r="H3259" s="191">
        <v>3405.5</v>
      </c>
      <c r="I3259" s="191">
        <v>583.79999999999995</v>
      </c>
      <c r="J3259" s="188" t="s">
        <v>624</v>
      </c>
      <c r="K3259" s="188" t="s">
        <v>1344</v>
      </c>
      <c r="L3259" s="188" t="s">
        <v>4919</v>
      </c>
      <c r="M3259" s="192">
        <f t="shared" si="150"/>
        <v>21</v>
      </c>
      <c r="N3259" s="193">
        <f t="shared" si="151"/>
        <v>1.75</v>
      </c>
      <c r="O3259" s="194">
        <f t="shared" si="152"/>
        <v>8.3333333333333329E-2</v>
      </c>
    </row>
    <row r="3260" spans="1:15" ht="12.75" customHeight="1">
      <c r="A3260" s="188" t="s">
        <v>620</v>
      </c>
      <c r="B3260" s="188" t="s">
        <v>4880</v>
      </c>
      <c r="C3260" s="188" t="s">
        <v>669</v>
      </c>
      <c r="D3260" s="188" t="s">
        <v>4920</v>
      </c>
      <c r="E3260" s="189">
        <v>39447</v>
      </c>
      <c r="F3260" s="190">
        <v>1005</v>
      </c>
      <c r="G3260" s="190">
        <v>0</v>
      </c>
      <c r="H3260" s="191">
        <v>975</v>
      </c>
      <c r="I3260" s="191">
        <v>232.5</v>
      </c>
      <c r="J3260" s="188" t="s">
        <v>624</v>
      </c>
      <c r="K3260" s="188" t="s">
        <v>571</v>
      </c>
      <c r="L3260" s="188" t="s">
        <v>4090</v>
      </c>
      <c r="M3260" s="192">
        <f t="shared" si="150"/>
        <v>15</v>
      </c>
      <c r="N3260" s="193">
        <f t="shared" si="151"/>
        <v>1.2580645161290323</v>
      </c>
      <c r="O3260" s="194">
        <f t="shared" si="152"/>
        <v>8.387096774193549E-2</v>
      </c>
    </row>
    <row r="3261" spans="1:15" ht="12.75" customHeight="1">
      <c r="A3261" s="188" t="s">
        <v>620</v>
      </c>
      <c r="B3261" s="188" t="s">
        <v>4880</v>
      </c>
      <c r="C3261" s="188" t="s">
        <v>669</v>
      </c>
      <c r="D3261" s="188" t="s">
        <v>4921</v>
      </c>
      <c r="E3261" s="189">
        <v>39541</v>
      </c>
      <c r="F3261" s="190">
        <v>305</v>
      </c>
      <c r="G3261" s="190">
        <v>0</v>
      </c>
      <c r="H3261" s="191">
        <v>296.10000000000002</v>
      </c>
      <c r="I3261" s="191">
        <v>70.5</v>
      </c>
      <c r="J3261" s="188" t="s">
        <v>624</v>
      </c>
      <c r="K3261" s="188" t="s">
        <v>571</v>
      </c>
      <c r="L3261" s="188" t="s">
        <v>4922</v>
      </c>
      <c r="M3261" s="192">
        <f t="shared" si="150"/>
        <v>15</v>
      </c>
      <c r="N3261" s="193">
        <f t="shared" si="151"/>
        <v>1.26</v>
      </c>
      <c r="O3261" s="194">
        <f t="shared" si="152"/>
        <v>8.4000000000000005E-2</v>
      </c>
    </row>
    <row r="3262" spans="1:15" ht="12.75" customHeight="1">
      <c r="A3262" s="188" t="s">
        <v>620</v>
      </c>
      <c r="B3262" s="188" t="s">
        <v>4880</v>
      </c>
      <c r="C3262" s="188" t="s">
        <v>669</v>
      </c>
      <c r="D3262" s="188" t="s">
        <v>4923</v>
      </c>
      <c r="E3262" s="189">
        <v>39331</v>
      </c>
      <c r="F3262" s="190">
        <v>1337</v>
      </c>
      <c r="G3262" s="190">
        <v>0</v>
      </c>
      <c r="H3262" s="191">
        <v>1141.96</v>
      </c>
      <c r="I3262" s="191">
        <v>309</v>
      </c>
      <c r="J3262" s="188" t="s">
        <v>624</v>
      </c>
      <c r="K3262" s="188" t="s">
        <v>652</v>
      </c>
      <c r="L3262" s="188" t="s">
        <v>298</v>
      </c>
      <c r="M3262" s="192">
        <f t="shared" si="150"/>
        <v>13</v>
      </c>
      <c r="N3262" s="193">
        <f t="shared" si="151"/>
        <v>1.1086990291262135</v>
      </c>
      <c r="O3262" s="194">
        <f t="shared" si="152"/>
        <v>8.5284540702016423E-2</v>
      </c>
    </row>
    <row r="3263" spans="1:15" ht="12.75" customHeight="1">
      <c r="A3263" s="188" t="s">
        <v>620</v>
      </c>
      <c r="B3263" s="188" t="s">
        <v>4880</v>
      </c>
      <c r="C3263" s="188" t="s">
        <v>669</v>
      </c>
      <c r="D3263" s="188" t="s">
        <v>4924</v>
      </c>
      <c r="E3263" s="189">
        <v>39380</v>
      </c>
      <c r="F3263" s="190">
        <v>974</v>
      </c>
      <c r="G3263" s="190">
        <v>0</v>
      </c>
      <c r="H3263" s="191">
        <v>983</v>
      </c>
      <c r="I3263" s="191">
        <v>225</v>
      </c>
      <c r="J3263" s="188" t="s">
        <v>624</v>
      </c>
      <c r="K3263" s="188" t="s">
        <v>571</v>
      </c>
      <c r="L3263" s="188" t="s">
        <v>1058</v>
      </c>
      <c r="M3263" s="192">
        <f t="shared" si="150"/>
        <v>15</v>
      </c>
      <c r="N3263" s="193">
        <f t="shared" si="151"/>
        <v>1.3106666666666666</v>
      </c>
      <c r="O3263" s="194">
        <f t="shared" si="152"/>
        <v>8.7377777777777776E-2</v>
      </c>
    </row>
    <row r="3264" spans="1:15" ht="12.75" customHeight="1">
      <c r="A3264" s="188" t="s">
        <v>620</v>
      </c>
      <c r="B3264" s="188" t="s">
        <v>4880</v>
      </c>
      <c r="C3264" s="188" t="s">
        <v>669</v>
      </c>
      <c r="D3264" s="188" t="s">
        <v>4925</v>
      </c>
      <c r="E3264" s="189">
        <v>39247</v>
      </c>
      <c r="F3264" s="190">
        <v>1278</v>
      </c>
      <c r="G3264" s="190">
        <v>0</v>
      </c>
      <c r="H3264" s="191">
        <v>1144.96</v>
      </c>
      <c r="I3264" s="191">
        <v>295.5</v>
      </c>
      <c r="J3264" s="188" t="s">
        <v>624</v>
      </c>
      <c r="K3264" s="188" t="s">
        <v>652</v>
      </c>
      <c r="L3264" s="188" t="s">
        <v>4351</v>
      </c>
      <c r="M3264" s="192">
        <f t="shared" si="150"/>
        <v>13</v>
      </c>
      <c r="N3264" s="193">
        <f t="shared" si="151"/>
        <v>1.1623959390862943</v>
      </c>
      <c r="O3264" s="194">
        <f t="shared" si="152"/>
        <v>8.9415072237407259E-2</v>
      </c>
    </row>
    <row r="3265" spans="1:15" ht="12.75" customHeight="1">
      <c r="A3265" s="188" t="s">
        <v>620</v>
      </c>
      <c r="B3265" s="188" t="s">
        <v>4880</v>
      </c>
      <c r="C3265" s="188" t="s">
        <v>669</v>
      </c>
      <c r="D3265" s="188" t="s">
        <v>4926</v>
      </c>
      <c r="E3265" s="189">
        <v>39611</v>
      </c>
      <c r="F3265" s="190">
        <v>1425</v>
      </c>
      <c r="G3265" s="190">
        <v>0</v>
      </c>
      <c r="H3265" s="191">
        <v>1485</v>
      </c>
      <c r="I3265" s="191">
        <v>330</v>
      </c>
      <c r="J3265" s="188" t="s">
        <v>624</v>
      </c>
      <c r="K3265" s="188" t="s">
        <v>571</v>
      </c>
      <c r="L3265" s="188" t="s">
        <v>557</v>
      </c>
      <c r="M3265" s="192">
        <f t="shared" si="150"/>
        <v>15</v>
      </c>
      <c r="N3265" s="193">
        <f t="shared" si="151"/>
        <v>1.35</v>
      </c>
      <c r="O3265" s="194">
        <f t="shared" si="152"/>
        <v>9.0000000000000011E-2</v>
      </c>
    </row>
    <row r="3266" spans="1:15" ht="12.75" customHeight="1">
      <c r="A3266" s="188" t="s">
        <v>620</v>
      </c>
      <c r="B3266" s="188" t="s">
        <v>4880</v>
      </c>
      <c r="C3266" s="188" t="s">
        <v>669</v>
      </c>
      <c r="D3266" s="188" t="s">
        <v>4927</v>
      </c>
      <c r="E3266" s="189">
        <v>39303</v>
      </c>
      <c r="F3266" s="190">
        <v>2430</v>
      </c>
      <c r="G3266" s="190">
        <v>0</v>
      </c>
      <c r="H3266" s="191">
        <v>2564.27</v>
      </c>
      <c r="I3266" s="191">
        <v>561.6</v>
      </c>
      <c r="J3266" s="188" t="s">
        <v>624</v>
      </c>
      <c r="K3266" s="188" t="s">
        <v>571</v>
      </c>
      <c r="L3266" s="188" t="s">
        <v>2534</v>
      </c>
      <c r="M3266" s="192">
        <f t="shared" ref="M3266:M3329" si="153">K3266-J3266</f>
        <v>15</v>
      </c>
      <c r="N3266" s="193">
        <f t="shared" ref="N3266:N3329" si="154">H3266/L3266</f>
        <v>1.3698023504273504</v>
      </c>
      <c r="O3266" s="194">
        <f t="shared" ref="O3266:O3329" si="155">N3266/M3266</f>
        <v>9.1320156695156696E-2</v>
      </c>
    </row>
    <row r="3267" spans="1:15" ht="12.75" customHeight="1">
      <c r="A3267" s="188" t="s">
        <v>620</v>
      </c>
      <c r="B3267" s="188" t="s">
        <v>4880</v>
      </c>
      <c r="C3267" s="188" t="s">
        <v>669</v>
      </c>
      <c r="D3267" s="188" t="s">
        <v>4928</v>
      </c>
      <c r="E3267" s="189">
        <v>39282</v>
      </c>
      <c r="F3267" s="190">
        <v>932</v>
      </c>
      <c r="G3267" s="190">
        <v>0</v>
      </c>
      <c r="H3267" s="191">
        <v>983.66</v>
      </c>
      <c r="I3267" s="191">
        <v>215.4</v>
      </c>
      <c r="J3267" s="188" t="s">
        <v>624</v>
      </c>
      <c r="K3267" s="188" t="s">
        <v>571</v>
      </c>
      <c r="L3267" s="188" t="s">
        <v>4929</v>
      </c>
      <c r="M3267" s="192">
        <f t="shared" si="153"/>
        <v>15</v>
      </c>
      <c r="N3267" s="193">
        <f t="shared" si="154"/>
        <v>1.3699999999999999</v>
      </c>
      <c r="O3267" s="194">
        <f t="shared" si="155"/>
        <v>9.1333333333333322E-2</v>
      </c>
    </row>
    <row r="3268" spans="1:15" ht="12.75" customHeight="1">
      <c r="A3268" s="188" t="s">
        <v>620</v>
      </c>
      <c r="B3268" s="188" t="s">
        <v>4880</v>
      </c>
      <c r="C3268" s="188" t="s">
        <v>669</v>
      </c>
      <c r="D3268" s="188" t="s">
        <v>4930</v>
      </c>
      <c r="E3268" s="189">
        <v>39447</v>
      </c>
      <c r="F3268" s="190">
        <v>1609</v>
      </c>
      <c r="G3268" s="190">
        <v>0</v>
      </c>
      <c r="H3268" s="191">
        <v>1698.8</v>
      </c>
      <c r="I3268" s="191">
        <v>372</v>
      </c>
      <c r="J3268" s="188" t="s">
        <v>624</v>
      </c>
      <c r="K3268" s="188" t="s">
        <v>571</v>
      </c>
      <c r="L3268" s="188" t="s">
        <v>1449</v>
      </c>
      <c r="M3268" s="192">
        <f t="shared" si="153"/>
        <v>15</v>
      </c>
      <c r="N3268" s="193">
        <f t="shared" si="154"/>
        <v>1.3699999999999999</v>
      </c>
      <c r="O3268" s="194">
        <f t="shared" si="155"/>
        <v>9.1333333333333322E-2</v>
      </c>
    </row>
    <row r="3269" spans="1:15" ht="12.75" customHeight="1">
      <c r="A3269" s="188" t="s">
        <v>620</v>
      </c>
      <c r="B3269" s="188" t="s">
        <v>4880</v>
      </c>
      <c r="C3269" s="188" t="s">
        <v>669</v>
      </c>
      <c r="D3269" s="188" t="s">
        <v>4931</v>
      </c>
      <c r="E3269" s="189">
        <v>39436</v>
      </c>
      <c r="F3269" s="190">
        <v>488</v>
      </c>
      <c r="G3269" s="190">
        <v>0</v>
      </c>
      <c r="H3269" s="191">
        <v>515.12</v>
      </c>
      <c r="I3269" s="191">
        <v>112.8</v>
      </c>
      <c r="J3269" s="188" t="s">
        <v>624</v>
      </c>
      <c r="K3269" s="188" t="s">
        <v>571</v>
      </c>
      <c r="L3269" s="188" t="s">
        <v>4932</v>
      </c>
      <c r="M3269" s="192">
        <f t="shared" si="153"/>
        <v>15</v>
      </c>
      <c r="N3269" s="193">
        <f t="shared" si="154"/>
        <v>1.37</v>
      </c>
      <c r="O3269" s="194">
        <f t="shared" si="155"/>
        <v>9.1333333333333336E-2</v>
      </c>
    </row>
    <row r="3270" spans="1:15" ht="12.75" customHeight="1">
      <c r="A3270" s="188" t="s">
        <v>620</v>
      </c>
      <c r="B3270" s="188" t="s">
        <v>4880</v>
      </c>
      <c r="C3270" s="188" t="s">
        <v>669</v>
      </c>
      <c r="D3270" s="188" t="s">
        <v>4933</v>
      </c>
      <c r="E3270" s="189">
        <v>39447</v>
      </c>
      <c r="F3270" s="190">
        <v>260</v>
      </c>
      <c r="G3270" s="190">
        <v>0</v>
      </c>
      <c r="H3270" s="191">
        <v>274</v>
      </c>
      <c r="I3270" s="191">
        <v>60</v>
      </c>
      <c r="J3270" s="188" t="s">
        <v>624</v>
      </c>
      <c r="K3270" s="188" t="s">
        <v>571</v>
      </c>
      <c r="L3270" s="188" t="s">
        <v>1322</v>
      </c>
      <c r="M3270" s="192">
        <f t="shared" si="153"/>
        <v>15</v>
      </c>
      <c r="N3270" s="193">
        <f t="shared" si="154"/>
        <v>1.37</v>
      </c>
      <c r="O3270" s="194">
        <f t="shared" si="155"/>
        <v>9.1333333333333336E-2</v>
      </c>
    </row>
    <row r="3271" spans="1:15" ht="12.75" customHeight="1">
      <c r="A3271" s="188" t="s">
        <v>620</v>
      </c>
      <c r="B3271" s="188" t="s">
        <v>4880</v>
      </c>
      <c r="C3271" s="188" t="s">
        <v>669</v>
      </c>
      <c r="D3271" s="188" t="s">
        <v>4934</v>
      </c>
      <c r="E3271" s="189">
        <v>39576</v>
      </c>
      <c r="F3271" s="190">
        <v>1097</v>
      </c>
      <c r="G3271" s="190">
        <v>0</v>
      </c>
      <c r="H3271" s="191">
        <v>1160.3900000000001</v>
      </c>
      <c r="I3271" s="191">
        <v>254.1</v>
      </c>
      <c r="J3271" s="188" t="s">
        <v>624</v>
      </c>
      <c r="K3271" s="188" t="s">
        <v>571</v>
      </c>
      <c r="L3271" s="188" t="s">
        <v>4935</v>
      </c>
      <c r="M3271" s="192">
        <f t="shared" si="153"/>
        <v>15</v>
      </c>
      <c r="N3271" s="193">
        <f t="shared" si="154"/>
        <v>1.37</v>
      </c>
      <c r="O3271" s="194">
        <f t="shared" si="155"/>
        <v>9.1333333333333336E-2</v>
      </c>
    </row>
    <row r="3272" spans="1:15" ht="12.75" customHeight="1">
      <c r="A3272" s="188" t="s">
        <v>620</v>
      </c>
      <c r="B3272" s="188" t="s">
        <v>4880</v>
      </c>
      <c r="C3272" s="188" t="s">
        <v>669</v>
      </c>
      <c r="D3272" s="188" t="s">
        <v>4936</v>
      </c>
      <c r="E3272" s="189">
        <v>39576</v>
      </c>
      <c r="F3272" s="190">
        <v>1296</v>
      </c>
      <c r="G3272" s="190">
        <v>0</v>
      </c>
      <c r="H3272" s="191">
        <v>1370</v>
      </c>
      <c r="I3272" s="191">
        <v>300</v>
      </c>
      <c r="J3272" s="188" t="s">
        <v>624</v>
      </c>
      <c r="K3272" s="188" t="s">
        <v>571</v>
      </c>
      <c r="L3272" s="188" t="s">
        <v>636</v>
      </c>
      <c r="M3272" s="192">
        <f t="shared" si="153"/>
        <v>15</v>
      </c>
      <c r="N3272" s="193">
        <f t="shared" si="154"/>
        <v>1.37</v>
      </c>
      <c r="O3272" s="194">
        <f t="shared" si="155"/>
        <v>9.1333333333333336E-2</v>
      </c>
    </row>
    <row r="3273" spans="1:15" ht="12.75" customHeight="1">
      <c r="A3273" s="188" t="s">
        <v>620</v>
      </c>
      <c r="B3273" s="188" t="s">
        <v>4880</v>
      </c>
      <c r="C3273" s="188" t="s">
        <v>669</v>
      </c>
      <c r="D3273" s="188" t="s">
        <v>4937</v>
      </c>
      <c r="E3273" s="189">
        <v>39261</v>
      </c>
      <c r="F3273" s="190">
        <v>685</v>
      </c>
      <c r="G3273" s="190">
        <v>0</v>
      </c>
      <c r="H3273" s="191">
        <v>634.02</v>
      </c>
      <c r="I3273" s="191">
        <v>158.4</v>
      </c>
      <c r="J3273" s="188" t="s">
        <v>624</v>
      </c>
      <c r="K3273" s="188" t="s">
        <v>652</v>
      </c>
      <c r="L3273" s="188" t="s">
        <v>1162</v>
      </c>
      <c r="M3273" s="192">
        <f t="shared" si="153"/>
        <v>13</v>
      </c>
      <c r="N3273" s="193">
        <f t="shared" si="154"/>
        <v>1.2007954545454544</v>
      </c>
      <c r="O3273" s="194">
        <f t="shared" si="155"/>
        <v>9.2368881118881113E-2</v>
      </c>
    </row>
    <row r="3274" spans="1:15" ht="12.75" customHeight="1">
      <c r="A3274" s="188" t="s">
        <v>620</v>
      </c>
      <c r="B3274" s="188" t="s">
        <v>4880</v>
      </c>
      <c r="C3274" s="188" t="s">
        <v>669</v>
      </c>
      <c r="D3274" s="188" t="s">
        <v>4938</v>
      </c>
      <c r="E3274" s="189">
        <v>39429</v>
      </c>
      <c r="F3274" s="190">
        <v>1796</v>
      </c>
      <c r="G3274" s="190">
        <v>0</v>
      </c>
      <c r="H3274" s="191">
        <v>1919.6</v>
      </c>
      <c r="I3274" s="191">
        <v>415.2</v>
      </c>
      <c r="J3274" s="188" t="s">
        <v>624</v>
      </c>
      <c r="K3274" s="188" t="s">
        <v>571</v>
      </c>
      <c r="L3274" s="188" t="s">
        <v>1155</v>
      </c>
      <c r="M3274" s="192">
        <f t="shared" si="153"/>
        <v>15</v>
      </c>
      <c r="N3274" s="193">
        <f t="shared" si="154"/>
        <v>1.386994219653179</v>
      </c>
      <c r="O3274" s="194">
        <f t="shared" si="155"/>
        <v>9.2466281310211937E-2</v>
      </c>
    </row>
    <row r="3275" spans="1:15" ht="12.75" customHeight="1">
      <c r="A3275" s="188" t="s">
        <v>620</v>
      </c>
      <c r="B3275" s="188" t="s">
        <v>4880</v>
      </c>
      <c r="C3275" s="188" t="s">
        <v>669</v>
      </c>
      <c r="D3275" s="188" t="s">
        <v>4939</v>
      </c>
      <c r="E3275" s="189">
        <v>39447</v>
      </c>
      <c r="F3275" s="190">
        <v>1298</v>
      </c>
      <c r="G3275" s="190">
        <v>0</v>
      </c>
      <c r="H3275" s="191">
        <v>1390</v>
      </c>
      <c r="I3275" s="191">
        <v>300</v>
      </c>
      <c r="J3275" s="188" t="s">
        <v>624</v>
      </c>
      <c r="K3275" s="188" t="s">
        <v>571</v>
      </c>
      <c r="L3275" s="188" t="s">
        <v>636</v>
      </c>
      <c r="M3275" s="192">
        <f t="shared" si="153"/>
        <v>15</v>
      </c>
      <c r="N3275" s="193">
        <f t="shared" si="154"/>
        <v>1.39</v>
      </c>
      <c r="O3275" s="194">
        <f t="shared" si="155"/>
        <v>9.2666666666666661E-2</v>
      </c>
    </row>
    <row r="3276" spans="1:15" ht="12.75" customHeight="1">
      <c r="A3276" s="188" t="s">
        <v>620</v>
      </c>
      <c r="B3276" s="188" t="s">
        <v>4880</v>
      </c>
      <c r="C3276" s="188" t="s">
        <v>669</v>
      </c>
      <c r="D3276" s="188" t="s">
        <v>4940</v>
      </c>
      <c r="E3276" s="189">
        <v>39568</v>
      </c>
      <c r="F3276" s="190">
        <v>648</v>
      </c>
      <c r="G3276" s="190">
        <v>0</v>
      </c>
      <c r="H3276" s="191">
        <v>695</v>
      </c>
      <c r="I3276" s="191">
        <v>150</v>
      </c>
      <c r="J3276" s="188" t="s">
        <v>624</v>
      </c>
      <c r="K3276" s="188" t="s">
        <v>571</v>
      </c>
      <c r="L3276" s="188" t="s">
        <v>858</v>
      </c>
      <c r="M3276" s="192">
        <f t="shared" si="153"/>
        <v>15</v>
      </c>
      <c r="N3276" s="193">
        <f t="shared" si="154"/>
        <v>1.39</v>
      </c>
      <c r="O3276" s="194">
        <f t="shared" si="155"/>
        <v>9.2666666666666661E-2</v>
      </c>
    </row>
    <row r="3277" spans="1:15" ht="12.75" customHeight="1">
      <c r="A3277" s="188" t="s">
        <v>620</v>
      </c>
      <c r="B3277" s="188" t="s">
        <v>4880</v>
      </c>
      <c r="C3277" s="188" t="s">
        <v>669</v>
      </c>
      <c r="D3277" s="188" t="s">
        <v>4941</v>
      </c>
      <c r="E3277" s="189">
        <v>39625</v>
      </c>
      <c r="F3277" s="190">
        <v>1006</v>
      </c>
      <c r="G3277" s="190">
        <v>0</v>
      </c>
      <c r="H3277" s="191">
        <v>1080.03</v>
      </c>
      <c r="I3277" s="191">
        <v>233.1</v>
      </c>
      <c r="J3277" s="188" t="s">
        <v>624</v>
      </c>
      <c r="K3277" s="188" t="s">
        <v>571</v>
      </c>
      <c r="L3277" s="188" t="s">
        <v>4942</v>
      </c>
      <c r="M3277" s="192">
        <f t="shared" si="153"/>
        <v>15</v>
      </c>
      <c r="N3277" s="193">
        <f t="shared" si="154"/>
        <v>1.39</v>
      </c>
      <c r="O3277" s="194">
        <f t="shared" si="155"/>
        <v>9.2666666666666661E-2</v>
      </c>
    </row>
    <row r="3278" spans="1:15" ht="12.75" customHeight="1">
      <c r="A3278" s="188" t="s">
        <v>620</v>
      </c>
      <c r="B3278" s="188" t="s">
        <v>4880</v>
      </c>
      <c r="C3278" s="188" t="s">
        <v>669</v>
      </c>
      <c r="D3278" s="188" t="s">
        <v>4943</v>
      </c>
      <c r="E3278" s="189">
        <v>39289</v>
      </c>
      <c r="F3278" s="190">
        <v>88</v>
      </c>
      <c r="G3278" s="190">
        <v>0</v>
      </c>
      <c r="H3278" s="191">
        <v>96</v>
      </c>
      <c r="I3278" s="191">
        <v>20.399999999999999</v>
      </c>
      <c r="J3278" s="188" t="s">
        <v>624</v>
      </c>
      <c r="K3278" s="188" t="s">
        <v>571</v>
      </c>
      <c r="L3278" s="188" t="s">
        <v>418</v>
      </c>
      <c r="M3278" s="192">
        <f t="shared" si="153"/>
        <v>15</v>
      </c>
      <c r="N3278" s="193">
        <f t="shared" si="154"/>
        <v>1.411764705882353</v>
      </c>
      <c r="O3278" s="194">
        <f t="shared" si="155"/>
        <v>9.4117647058823542E-2</v>
      </c>
    </row>
    <row r="3279" spans="1:15" ht="12.75" customHeight="1">
      <c r="A3279" s="188" t="s">
        <v>620</v>
      </c>
      <c r="B3279" s="188" t="s">
        <v>4880</v>
      </c>
      <c r="C3279" s="188" t="s">
        <v>669</v>
      </c>
      <c r="D3279" s="188" t="s">
        <v>4944</v>
      </c>
      <c r="E3279" s="189">
        <v>39269</v>
      </c>
      <c r="F3279" s="190">
        <v>519</v>
      </c>
      <c r="G3279" s="190">
        <v>0</v>
      </c>
      <c r="H3279" s="191">
        <v>500</v>
      </c>
      <c r="I3279" s="191">
        <v>120</v>
      </c>
      <c r="J3279" s="188" t="s">
        <v>624</v>
      </c>
      <c r="K3279" s="188" t="s">
        <v>652</v>
      </c>
      <c r="L3279" s="188" t="s">
        <v>910</v>
      </c>
      <c r="M3279" s="192">
        <f t="shared" si="153"/>
        <v>13</v>
      </c>
      <c r="N3279" s="193">
        <f t="shared" si="154"/>
        <v>1.25</v>
      </c>
      <c r="O3279" s="194">
        <f t="shared" si="155"/>
        <v>9.6153846153846159E-2</v>
      </c>
    </row>
    <row r="3280" spans="1:15" ht="12.75" customHeight="1">
      <c r="A3280" s="188" t="s">
        <v>620</v>
      </c>
      <c r="B3280" s="188" t="s">
        <v>4880</v>
      </c>
      <c r="C3280" s="188" t="s">
        <v>669</v>
      </c>
      <c r="D3280" s="188" t="s">
        <v>4945</v>
      </c>
      <c r="E3280" s="189">
        <v>39597</v>
      </c>
      <c r="F3280" s="190">
        <v>881</v>
      </c>
      <c r="G3280" s="190">
        <v>0</v>
      </c>
      <c r="H3280" s="191">
        <v>850</v>
      </c>
      <c r="I3280" s="191">
        <v>204</v>
      </c>
      <c r="J3280" s="188" t="s">
        <v>624</v>
      </c>
      <c r="K3280" s="188" t="s">
        <v>652</v>
      </c>
      <c r="L3280" s="188" t="s">
        <v>1611</v>
      </c>
      <c r="M3280" s="192">
        <f t="shared" si="153"/>
        <v>13</v>
      </c>
      <c r="N3280" s="193">
        <f t="shared" si="154"/>
        <v>1.25</v>
      </c>
      <c r="O3280" s="194">
        <f t="shared" si="155"/>
        <v>9.6153846153846159E-2</v>
      </c>
    </row>
    <row r="3281" spans="1:15" ht="12.75" customHeight="1">
      <c r="A3281" s="188" t="s">
        <v>620</v>
      </c>
      <c r="B3281" s="188" t="s">
        <v>4880</v>
      </c>
      <c r="C3281" s="188" t="s">
        <v>669</v>
      </c>
      <c r="D3281" s="188" t="s">
        <v>4946</v>
      </c>
      <c r="E3281" s="189">
        <v>39366</v>
      </c>
      <c r="F3281" s="190">
        <v>752</v>
      </c>
      <c r="G3281" s="190">
        <v>0</v>
      </c>
      <c r="H3281" s="191">
        <v>736</v>
      </c>
      <c r="I3281" s="191">
        <v>174</v>
      </c>
      <c r="J3281" s="188" t="s">
        <v>624</v>
      </c>
      <c r="K3281" s="188" t="s">
        <v>652</v>
      </c>
      <c r="L3281" s="188" t="s">
        <v>517</v>
      </c>
      <c r="M3281" s="192">
        <f t="shared" si="153"/>
        <v>13</v>
      </c>
      <c r="N3281" s="193">
        <f t="shared" si="154"/>
        <v>1.2689655172413794</v>
      </c>
      <c r="O3281" s="194">
        <f t="shared" si="155"/>
        <v>9.761273209549072E-2</v>
      </c>
    </row>
    <row r="3282" spans="1:15" ht="12.75" customHeight="1">
      <c r="A3282" s="188" t="s">
        <v>620</v>
      </c>
      <c r="B3282" s="188" t="s">
        <v>4880</v>
      </c>
      <c r="C3282" s="188" t="s">
        <v>669</v>
      </c>
      <c r="D3282" s="188" t="s">
        <v>4947</v>
      </c>
      <c r="E3282" s="189">
        <v>39485</v>
      </c>
      <c r="F3282" s="190">
        <v>1285</v>
      </c>
      <c r="G3282" s="190">
        <v>0</v>
      </c>
      <c r="H3282" s="191">
        <v>1455.3</v>
      </c>
      <c r="I3282" s="191">
        <v>297</v>
      </c>
      <c r="J3282" s="188" t="s">
        <v>624</v>
      </c>
      <c r="K3282" s="188" t="s">
        <v>571</v>
      </c>
      <c r="L3282" s="188" t="s">
        <v>738</v>
      </c>
      <c r="M3282" s="192">
        <f t="shared" si="153"/>
        <v>15</v>
      </c>
      <c r="N3282" s="193">
        <f t="shared" si="154"/>
        <v>1.47</v>
      </c>
      <c r="O3282" s="194">
        <f t="shared" si="155"/>
        <v>9.8000000000000004E-2</v>
      </c>
    </row>
    <row r="3283" spans="1:15" ht="12.75" customHeight="1">
      <c r="A3283" s="188" t="s">
        <v>620</v>
      </c>
      <c r="B3283" s="188" t="s">
        <v>4880</v>
      </c>
      <c r="C3283" s="188" t="s">
        <v>669</v>
      </c>
      <c r="D3283" s="188" t="s">
        <v>4948</v>
      </c>
      <c r="E3283" s="189">
        <v>39583</v>
      </c>
      <c r="F3283" s="190">
        <v>228</v>
      </c>
      <c r="G3283" s="190">
        <v>0</v>
      </c>
      <c r="H3283" s="191">
        <v>260</v>
      </c>
      <c r="I3283" s="191">
        <v>52.8</v>
      </c>
      <c r="J3283" s="188" t="s">
        <v>624</v>
      </c>
      <c r="K3283" s="188" t="s">
        <v>571</v>
      </c>
      <c r="L3283" s="188" t="s">
        <v>3955</v>
      </c>
      <c r="M3283" s="192">
        <f t="shared" si="153"/>
        <v>15</v>
      </c>
      <c r="N3283" s="193">
        <f t="shared" si="154"/>
        <v>1.4772727272727273</v>
      </c>
      <c r="O3283" s="194">
        <f t="shared" si="155"/>
        <v>9.8484848484848481E-2</v>
      </c>
    </row>
    <row r="3284" spans="1:15" ht="12.75" customHeight="1">
      <c r="A3284" s="188" t="s">
        <v>620</v>
      </c>
      <c r="B3284" s="188" t="s">
        <v>4880</v>
      </c>
      <c r="C3284" s="188" t="s">
        <v>669</v>
      </c>
      <c r="D3284" s="188" t="s">
        <v>4949</v>
      </c>
      <c r="E3284" s="189">
        <v>39639</v>
      </c>
      <c r="F3284" s="190">
        <v>1031</v>
      </c>
      <c r="G3284" s="190">
        <v>0</v>
      </c>
      <c r="H3284" s="191">
        <v>1026</v>
      </c>
      <c r="I3284" s="191">
        <v>238.8</v>
      </c>
      <c r="J3284" s="188" t="s">
        <v>624</v>
      </c>
      <c r="K3284" s="188" t="s">
        <v>652</v>
      </c>
      <c r="L3284" s="188" t="s">
        <v>391</v>
      </c>
      <c r="M3284" s="192">
        <f t="shared" si="153"/>
        <v>13</v>
      </c>
      <c r="N3284" s="193">
        <f t="shared" si="154"/>
        <v>1.2889447236180904</v>
      </c>
      <c r="O3284" s="194">
        <f t="shared" si="155"/>
        <v>9.9149594124468499E-2</v>
      </c>
    </row>
    <row r="3285" spans="1:15" ht="12.75" customHeight="1">
      <c r="A3285" s="188" t="s">
        <v>620</v>
      </c>
      <c r="B3285" s="188" t="s">
        <v>4880</v>
      </c>
      <c r="C3285" s="188" t="s">
        <v>669</v>
      </c>
      <c r="D3285" s="188" t="s">
        <v>4950</v>
      </c>
      <c r="E3285" s="189">
        <v>39447</v>
      </c>
      <c r="F3285" s="190">
        <v>2222</v>
      </c>
      <c r="G3285" s="190">
        <v>0</v>
      </c>
      <c r="H3285" s="191">
        <v>2640.44</v>
      </c>
      <c r="I3285" s="191">
        <v>513.6</v>
      </c>
      <c r="J3285" s="188" t="s">
        <v>624</v>
      </c>
      <c r="K3285" s="188" t="s">
        <v>571</v>
      </c>
      <c r="L3285" s="188" t="s">
        <v>2655</v>
      </c>
      <c r="M3285" s="192">
        <f t="shared" si="153"/>
        <v>15</v>
      </c>
      <c r="N3285" s="193">
        <f t="shared" si="154"/>
        <v>1.5423130841121495</v>
      </c>
      <c r="O3285" s="194">
        <f t="shared" si="155"/>
        <v>0.1028208722741433</v>
      </c>
    </row>
    <row r="3286" spans="1:15" ht="12.75" customHeight="1">
      <c r="A3286" s="188" t="s">
        <v>620</v>
      </c>
      <c r="B3286" s="188" t="s">
        <v>4880</v>
      </c>
      <c r="C3286" s="188" t="s">
        <v>669</v>
      </c>
      <c r="D3286" s="188" t="s">
        <v>4951</v>
      </c>
      <c r="E3286" s="189">
        <v>39568</v>
      </c>
      <c r="F3286" s="190">
        <v>1487</v>
      </c>
      <c r="G3286" s="190">
        <v>0</v>
      </c>
      <c r="H3286" s="191">
        <v>1549</v>
      </c>
      <c r="I3286" s="191">
        <v>344.4</v>
      </c>
      <c r="J3286" s="188" t="s">
        <v>624</v>
      </c>
      <c r="K3286" s="188" t="s">
        <v>652</v>
      </c>
      <c r="L3286" s="188" t="s">
        <v>1876</v>
      </c>
      <c r="M3286" s="192">
        <f t="shared" si="153"/>
        <v>13</v>
      </c>
      <c r="N3286" s="193">
        <f t="shared" si="154"/>
        <v>1.3493031358885017</v>
      </c>
      <c r="O3286" s="194">
        <f t="shared" si="155"/>
        <v>0.10379254891450013</v>
      </c>
    </row>
    <row r="3287" spans="1:15" ht="12.75" customHeight="1">
      <c r="A3287" s="188" t="s">
        <v>620</v>
      </c>
      <c r="B3287" s="188" t="s">
        <v>4880</v>
      </c>
      <c r="C3287" s="188" t="s">
        <v>669</v>
      </c>
      <c r="D3287" s="188" t="s">
        <v>4952</v>
      </c>
      <c r="E3287" s="189">
        <v>39282</v>
      </c>
      <c r="F3287" s="190">
        <v>3097</v>
      </c>
      <c r="G3287" s="190">
        <v>0</v>
      </c>
      <c r="H3287" s="191">
        <v>3723.35</v>
      </c>
      <c r="I3287" s="191">
        <v>715.8</v>
      </c>
      <c r="J3287" s="188" t="s">
        <v>624</v>
      </c>
      <c r="K3287" s="188" t="s">
        <v>571</v>
      </c>
      <c r="L3287" s="188" t="s">
        <v>4953</v>
      </c>
      <c r="M3287" s="192">
        <f t="shared" si="153"/>
        <v>15</v>
      </c>
      <c r="N3287" s="193">
        <f t="shared" si="154"/>
        <v>1.560498742665549</v>
      </c>
      <c r="O3287" s="194">
        <f t="shared" si="155"/>
        <v>0.1040332495110366</v>
      </c>
    </row>
    <row r="3288" spans="1:15" ht="12.75" customHeight="1">
      <c r="A3288" s="188" t="s">
        <v>620</v>
      </c>
      <c r="B3288" s="188" t="s">
        <v>4880</v>
      </c>
      <c r="C3288" s="188" t="s">
        <v>669</v>
      </c>
      <c r="D3288" s="188" t="s">
        <v>4954</v>
      </c>
      <c r="E3288" s="189">
        <v>39541</v>
      </c>
      <c r="F3288" s="190">
        <v>1859</v>
      </c>
      <c r="G3288" s="190">
        <v>0</v>
      </c>
      <c r="H3288" s="191">
        <v>1673</v>
      </c>
      <c r="I3288" s="191">
        <v>430.5</v>
      </c>
      <c r="J3288" s="188" t="s">
        <v>624</v>
      </c>
      <c r="K3288" s="188" t="s">
        <v>639</v>
      </c>
      <c r="L3288" s="188" t="s">
        <v>4636</v>
      </c>
      <c r="M3288" s="192">
        <f t="shared" si="153"/>
        <v>11</v>
      </c>
      <c r="N3288" s="193">
        <f t="shared" si="154"/>
        <v>1.1658536585365853</v>
      </c>
      <c r="O3288" s="194">
        <f t="shared" si="155"/>
        <v>0.10598669623059866</v>
      </c>
    </row>
    <row r="3289" spans="1:15" ht="12.75" customHeight="1">
      <c r="A3289" s="188" t="s">
        <v>620</v>
      </c>
      <c r="B3289" s="188" t="s">
        <v>4880</v>
      </c>
      <c r="C3289" s="188" t="s">
        <v>669</v>
      </c>
      <c r="D3289" s="188" t="s">
        <v>4955</v>
      </c>
      <c r="E3289" s="189">
        <v>39415</v>
      </c>
      <c r="F3289" s="190">
        <v>150</v>
      </c>
      <c r="G3289" s="190">
        <v>0</v>
      </c>
      <c r="H3289" s="191">
        <v>157.47</v>
      </c>
      <c r="I3289" s="191">
        <v>34.5</v>
      </c>
      <c r="J3289" s="188" t="s">
        <v>624</v>
      </c>
      <c r="K3289" s="188" t="s">
        <v>639</v>
      </c>
      <c r="L3289" s="188" t="s">
        <v>4833</v>
      </c>
      <c r="M3289" s="192">
        <f t="shared" si="153"/>
        <v>11</v>
      </c>
      <c r="N3289" s="193">
        <f t="shared" si="154"/>
        <v>1.1664444444444444</v>
      </c>
      <c r="O3289" s="194">
        <f t="shared" si="155"/>
        <v>0.10604040404040403</v>
      </c>
    </row>
    <row r="3290" spans="1:15" ht="12.75" customHeight="1">
      <c r="A3290" s="188" t="s">
        <v>620</v>
      </c>
      <c r="B3290" s="188" t="s">
        <v>4880</v>
      </c>
      <c r="C3290" s="188" t="s">
        <v>669</v>
      </c>
      <c r="D3290" s="188" t="s">
        <v>4956</v>
      </c>
      <c r="E3290" s="189">
        <v>39436</v>
      </c>
      <c r="F3290" s="190">
        <v>1528</v>
      </c>
      <c r="G3290" s="190">
        <v>0</v>
      </c>
      <c r="H3290" s="191">
        <v>1647</v>
      </c>
      <c r="I3290" s="191">
        <v>353.1</v>
      </c>
      <c r="J3290" s="188" t="s">
        <v>624</v>
      </c>
      <c r="K3290" s="188" t="s">
        <v>652</v>
      </c>
      <c r="L3290" s="188" t="s">
        <v>3074</v>
      </c>
      <c r="M3290" s="192">
        <f t="shared" si="153"/>
        <v>13</v>
      </c>
      <c r="N3290" s="193">
        <f t="shared" si="154"/>
        <v>1.399320305862362</v>
      </c>
      <c r="O3290" s="194">
        <f t="shared" si="155"/>
        <v>0.107640023527874</v>
      </c>
    </row>
    <row r="3291" spans="1:15" ht="12.75" customHeight="1">
      <c r="A3291" s="188" t="s">
        <v>620</v>
      </c>
      <c r="B3291" s="188" t="s">
        <v>4880</v>
      </c>
      <c r="C3291" s="188" t="s">
        <v>669</v>
      </c>
      <c r="D3291" s="188" t="s">
        <v>4957</v>
      </c>
      <c r="E3291" s="189">
        <v>39513</v>
      </c>
      <c r="F3291" s="190">
        <v>1164</v>
      </c>
      <c r="G3291" s="190">
        <v>0</v>
      </c>
      <c r="H3291" s="191">
        <v>1258</v>
      </c>
      <c r="I3291" s="191">
        <v>269.7</v>
      </c>
      <c r="J3291" s="188" t="s">
        <v>624</v>
      </c>
      <c r="K3291" s="188" t="s">
        <v>652</v>
      </c>
      <c r="L3291" s="188" t="s">
        <v>4958</v>
      </c>
      <c r="M3291" s="192">
        <f t="shared" si="153"/>
        <v>13</v>
      </c>
      <c r="N3291" s="193">
        <f t="shared" si="154"/>
        <v>1.3993325917686319</v>
      </c>
      <c r="O3291" s="194">
        <f t="shared" si="155"/>
        <v>0.10764096859758707</v>
      </c>
    </row>
    <row r="3292" spans="1:15" ht="12.75" customHeight="1">
      <c r="A3292" s="188" t="s">
        <v>620</v>
      </c>
      <c r="B3292" s="188" t="s">
        <v>4880</v>
      </c>
      <c r="C3292" s="188" t="s">
        <v>669</v>
      </c>
      <c r="D3292" s="188" t="s">
        <v>4959</v>
      </c>
      <c r="E3292" s="189">
        <v>39415</v>
      </c>
      <c r="F3292" s="190">
        <v>851</v>
      </c>
      <c r="G3292" s="190">
        <v>0</v>
      </c>
      <c r="H3292" s="191">
        <v>787</v>
      </c>
      <c r="I3292" s="191">
        <v>196.8</v>
      </c>
      <c r="J3292" s="188" t="s">
        <v>624</v>
      </c>
      <c r="K3292" s="188" t="s">
        <v>639</v>
      </c>
      <c r="L3292" s="188" t="s">
        <v>4960</v>
      </c>
      <c r="M3292" s="192">
        <f t="shared" si="153"/>
        <v>11</v>
      </c>
      <c r="N3292" s="193">
        <f t="shared" si="154"/>
        <v>1.1996951219512195</v>
      </c>
      <c r="O3292" s="194">
        <f t="shared" si="155"/>
        <v>0.10906319290465633</v>
      </c>
    </row>
    <row r="3293" spans="1:15" ht="12.75" customHeight="1">
      <c r="A3293" s="188" t="s">
        <v>620</v>
      </c>
      <c r="B3293" s="188" t="s">
        <v>4880</v>
      </c>
      <c r="C3293" s="188" t="s">
        <v>669</v>
      </c>
      <c r="D3293" s="188" t="s">
        <v>4961</v>
      </c>
      <c r="E3293" s="189">
        <v>39289</v>
      </c>
      <c r="F3293" s="190">
        <v>802</v>
      </c>
      <c r="G3293" s="190">
        <v>0</v>
      </c>
      <c r="H3293" s="191">
        <v>1019.7</v>
      </c>
      <c r="I3293" s="191">
        <v>185.4</v>
      </c>
      <c r="J3293" s="188" t="s">
        <v>624</v>
      </c>
      <c r="K3293" s="188" t="s">
        <v>571</v>
      </c>
      <c r="L3293" s="188" t="s">
        <v>4962</v>
      </c>
      <c r="M3293" s="192">
        <f t="shared" si="153"/>
        <v>15</v>
      </c>
      <c r="N3293" s="193">
        <f t="shared" si="154"/>
        <v>1.6500000000000001</v>
      </c>
      <c r="O3293" s="194">
        <f t="shared" si="155"/>
        <v>0.11000000000000001</v>
      </c>
    </row>
    <row r="3294" spans="1:15" ht="12.75" customHeight="1">
      <c r="A3294" s="188" t="s">
        <v>620</v>
      </c>
      <c r="B3294" s="188" t="s">
        <v>4880</v>
      </c>
      <c r="C3294" s="188" t="s">
        <v>669</v>
      </c>
      <c r="D3294" s="188" t="s">
        <v>4963</v>
      </c>
      <c r="E3294" s="189">
        <v>39401</v>
      </c>
      <c r="F3294" s="190">
        <v>3411</v>
      </c>
      <c r="G3294" s="190">
        <v>0</v>
      </c>
      <c r="H3294" s="191">
        <v>3810</v>
      </c>
      <c r="I3294" s="191">
        <v>788.4</v>
      </c>
      <c r="J3294" s="188" t="s">
        <v>624</v>
      </c>
      <c r="K3294" s="188" t="s">
        <v>652</v>
      </c>
      <c r="L3294" s="188" t="s">
        <v>4964</v>
      </c>
      <c r="M3294" s="192">
        <f t="shared" si="153"/>
        <v>13</v>
      </c>
      <c r="N3294" s="193">
        <f t="shared" si="154"/>
        <v>1.4497716894977168</v>
      </c>
      <c r="O3294" s="194">
        <f t="shared" si="155"/>
        <v>0.11152089919213207</v>
      </c>
    </row>
    <row r="3295" spans="1:15" ht="12.75" customHeight="1">
      <c r="A3295" s="188" t="s">
        <v>620</v>
      </c>
      <c r="B3295" s="188" t="s">
        <v>4880</v>
      </c>
      <c r="C3295" s="188" t="s">
        <v>669</v>
      </c>
      <c r="D3295" s="188" t="s">
        <v>4965</v>
      </c>
      <c r="E3295" s="189">
        <v>39345</v>
      </c>
      <c r="F3295" s="190">
        <v>701</v>
      </c>
      <c r="G3295" s="190">
        <v>0</v>
      </c>
      <c r="H3295" s="191">
        <v>810</v>
      </c>
      <c r="I3295" s="191">
        <v>162</v>
      </c>
      <c r="J3295" s="188" t="s">
        <v>624</v>
      </c>
      <c r="K3295" s="188" t="s">
        <v>652</v>
      </c>
      <c r="L3295" s="188" t="s">
        <v>1081</v>
      </c>
      <c r="M3295" s="192">
        <f t="shared" si="153"/>
        <v>13</v>
      </c>
      <c r="N3295" s="193">
        <f t="shared" si="154"/>
        <v>1.5</v>
      </c>
      <c r="O3295" s="194">
        <f t="shared" si="155"/>
        <v>0.11538461538461539</v>
      </c>
    </row>
    <row r="3296" spans="1:15" ht="12.75" customHeight="1">
      <c r="A3296" s="188" t="s">
        <v>620</v>
      </c>
      <c r="B3296" s="188" t="s">
        <v>4880</v>
      </c>
      <c r="C3296" s="188" t="s">
        <v>669</v>
      </c>
      <c r="D3296" s="188" t="s">
        <v>4966</v>
      </c>
      <c r="E3296" s="189">
        <v>39513</v>
      </c>
      <c r="F3296" s="190">
        <v>186</v>
      </c>
      <c r="G3296" s="190">
        <v>0</v>
      </c>
      <c r="H3296" s="191">
        <v>216</v>
      </c>
      <c r="I3296" s="191">
        <v>43.2</v>
      </c>
      <c r="J3296" s="188" t="s">
        <v>624</v>
      </c>
      <c r="K3296" s="188" t="s">
        <v>652</v>
      </c>
      <c r="L3296" s="188" t="s">
        <v>360</v>
      </c>
      <c r="M3296" s="192">
        <f t="shared" si="153"/>
        <v>13</v>
      </c>
      <c r="N3296" s="193">
        <f t="shared" si="154"/>
        <v>1.5</v>
      </c>
      <c r="O3296" s="194">
        <f t="shared" si="155"/>
        <v>0.11538461538461539</v>
      </c>
    </row>
    <row r="3297" spans="1:15" ht="12.75" customHeight="1">
      <c r="A3297" s="188" t="s">
        <v>620</v>
      </c>
      <c r="B3297" s="188" t="s">
        <v>4880</v>
      </c>
      <c r="C3297" s="188" t="s">
        <v>669</v>
      </c>
      <c r="D3297" s="188" t="s">
        <v>4967</v>
      </c>
      <c r="E3297" s="189">
        <v>39447</v>
      </c>
      <c r="F3297" s="190">
        <v>1910</v>
      </c>
      <c r="G3297" s="190">
        <v>0</v>
      </c>
      <c r="H3297" s="191">
        <v>2574.25</v>
      </c>
      <c r="I3297" s="191">
        <v>441.3</v>
      </c>
      <c r="J3297" s="188" t="s">
        <v>624</v>
      </c>
      <c r="K3297" s="188" t="s">
        <v>571</v>
      </c>
      <c r="L3297" s="188" t="s">
        <v>4968</v>
      </c>
      <c r="M3297" s="192">
        <f t="shared" si="153"/>
        <v>15</v>
      </c>
      <c r="N3297" s="193">
        <f t="shared" si="154"/>
        <v>1.75</v>
      </c>
      <c r="O3297" s="194">
        <f t="shared" si="155"/>
        <v>0.11666666666666667</v>
      </c>
    </row>
    <row r="3298" spans="1:15" ht="12.75" customHeight="1">
      <c r="A3298" s="188" t="s">
        <v>620</v>
      </c>
      <c r="B3298" s="188" t="s">
        <v>4880</v>
      </c>
      <c r="C3298" s="188" t="s">
        <v>669</v>
      </c>
      <c r="D3298" s="188" t="s">
        <v>4969</v>
      </c>
      <c r="E3298" s="189">
        <v>39492</v>
      </c>
      <c r="F3298" s="190">
        <v>752</v>
      </c>
      <c r="G3298" s="190">
        <v>0</v>
      </c>
      <c r="H3298" s="191">
        <v>757</v>
      </c>
      <c r="I3298" s="191">
        <v>174</v>
      </c>
      <c r="J3298" s="188" t="s">
        <v>624</v>
      </c>
      <c r="K3298" s="188" t="s">
        <v>639</v>
      </c>
      <c r="L3298" s="188" t="s">
        <v>517</v>
      </c>
      <c r="M3298" s="192">
        <f t="shared" si="153"/>
        <v>11</v>
      </c>
      <c r="N3298" s="193">
        <f t="shared" si="154"/>
        <v>1.3051724137931036</v>
      </c>
      <c r="O3298" s="194">
        <f t="shared" si="155"/>
        <v>0.11865203761755487</v>
      </c>
    </row>
    <row r="3299" spans="1:15" ht="12.75" customHeight="1">
      <c r="A3299" s="188" t="s">
        <v>620</v>
      </c>
      <c r="B3299" s="188" t="s">
        <v>4880</v>
      </c>
      <c r="C3299" s="188" t="s">
        <v>669</v>
      </c>
      <c r="D3299" s="188" t="s">
        <v>4970</v>
      </c>
      <c r="E3299" s="189">
        <v>39447</v>
      </c>
      <c r="F3299" s="190">
        <v>1918</v>
      </c>
      <c r="G3299" s="190">
        <v>0</v>
      </c>
      <c r="H3299" s="191">
        <v>1933</v>
      </c>
      <c r="I3299" s="191">
        <v>443.4</v>
      </c>
      <c r="J3299" s="188" t="s">
        <v>624</v>
      </c>
      <c r="K3299" s="188" t="s">
        <v>639</v>
      </c>
      <c r="L3299" s="188" t="s">
        <v>1135</v>
      </c>
      <c r="M3299" s="192">
        <f t="shared" si="153"/>
        <v>11</v>
      </c>
      <c r="N3299" s="193">
        <f t="shared" si="154"/>
        <v>1.3078484438430311</v>
      </c>
      <c r="O3299" s="194">
        <f t="shared" si="155"/>
        <v>0.1188953130766392</v>
      </c>
    </row>
    <row r="3300" spans="1:15" ht="12.75" customHeight="1">
      <c r="A3300" s="188" t="s">
        <v>620</v>
      </c>
      <c r="B3300" s="188" t="s">
        <v>4880</v>
      </c>
      <c r="C3300" s="188" t="s">
        <v>669</v>
      </c>
      <c r="D3300" s="188" t="s">
        <v>4971</v>
      </c>
      <c r="E3300" s="189">
        <v>39576</v>
      </c>
      <c r="F3300" s="190">
        <v>1623</v>
      </c>
      <c r="G3300" s="190">
        <v>0</v>
      </c>
      <c r="H3300" s="191">
        <v>1645</v>
      </c>
      <c r="I3300" s="191">
        <v>375.9</v>
      </c>
      <c r="J3300" s="188" t="s">
        <v>624</v>
      </c>
      <c r="K3300" s="188" t="s">
        <v>639</v>
      </c>
      <c r="L3300" s="188" t="s">
        <v>4972</v>
      </c>
      <c r="M3300" s="192">
        <f t="shared" si="153"/>
        <v>11</v>
      </c>
      <c r="N3300" s="193">
        <f t="shared" si="154"/>
        <v>1.3128491620111731</v>
      </c>
      <c r="O3300" s="194">
        <f t="shared" si="155"/>
        <v>0.11934992381919755</v>
      </c>
    </row>
    <row r="3301" spans="1:15" ht="12.75" customHeight="1">
      <c r="A3301" s="188" t="s">
        <v>620</v>
      </c>
      <c r="B3301" s="188" t="s">
        <v>4880</v>
      </c>
      <c r="C3301" s="188" t="s">
        <v>669</v>
      </c>
      <c r="D3301" s="188" t="s">
        <v>4973</v>
      </c>
      <c r="E3301" s="189">
        <v>39380</v>
      </c>
      <c r="F3301" s="190">
        <v>103</v>
      </c>
      <c r="G3301" s="190">
        <v>0</v>
      </c>
      <c r="H3301" s="191">
        <v>126</v>
      </c>
      <c r="I3301" s="191">
        <v>24</v>
      </c>
      <c r="J3301" s="188" t="s">
        <v>624</v>
      </c>
      <c r="K3301" s="188" t="s">
        <v>652</v>
      </c>
      <c r="L3301" s="188" t="s">
        <v>528</v>
      </c>
      <c r="M3301" s="192">
        <f t="shared" si="153"/>
        <v>13</v>
      </c>
      <c r="N3301" s="193">
        <f t="shared" si="154"/>
        <v>1.575</v>
      </c>
      <c r="O3301" s="194">
        <f t="shared" si="155"/>
        <v>0.12115384615384615</v>
      </c>
    </row>
    <row r="3302" spans="1:15" ht="12.75" customHeight="1">
      <c r="A3302" s="188" t="s">
        <v>620</v>
      </c>
      <c r="B3302" s="188" t="s">
        <v>4880</v>
      </c>
      <c r="C3302" s="188" t="s">
        <v>669</v>
      </c>
      <c r="D3302" s="188" t="s">
        <v>4974</v>
      </c>
      <c r="E3302" s="189">
        <v>39380</v>
      </c>
      <c r="F3302" s="190">
        <v>1135</v>
      </c>
      <c r="G3302" s="190">
        <v>0</v>
      </c>
      <c r="H3302" s="191">
        <v>956.25</v>
      </c>
      <c r="I3302" s="191">
        <v>262.5</v>
      </c>
      <c r="J3302" s="188" t="s">
        <v>720</v>
      </c>
      <c r="K3302" s="188" t="s">
        <v>652</v>
      </c>
      <c r="L3302" s="188" t="s">
        <v>1511</v>
      </c>
      <c r="M3302" s="192">
        <f t="shared" si="153"/>
        <v>9</v>
      </c>
      <c r="N3302" s="193">
        <f t="shared" si="154"/>
        <v>1.0928571428571427</v>
      </c>
      <c r="O3302" s="194">
        <f t="shared" si="155"/>
        <v>0.12142857142857141</v>
      </c>
    </row>
    <row r="3303" spans="1:15" ht="12.75" customHeight="1">
      <c r="A3303" s="188" t="s">
        <v>620</v>
      </c>
      <c r="B3303" s="188" t="s">
        <v>4880</v>
      </c>
      <c r="C3303" s="188" t="s">
        <v>669</v>
      </c>
      <c r="D3303" s="188" t="s">
        <v>4975</v>
      </c>
      <c r="E3303" s="189">
        <v>39380</v>
      </c>
      <c r="F3303" s="190">
        <v>1195</v>
      </c>
      <c r="G3303" s="190">
        <v>0</v>
      </c>
      <c r="H3303" s="191">
        <v>1500</v>
      </c>
      <c r="I3303" s="191">
        <v>276</v>
      </c>
      <c r="J3303" s="188" t="s">
        <v>624</v>
      </c>
      <c r="K3303" s="188" t="s">
        <v>652</v>
      </c>
      <c r="L3303" s="188" t="s">
        <v>2411</v>
      </c>
      <c r="M3303" s="192">
        <f t="shared" si="153"/>
        <v>13</v>
      </c>
      <c r="N3303" s="193">
        <f t="shared" si="154"/>
        <v>1.6304347826086956</v>
      </c>
      <c r="O3303" s="194">
        <f t="shared" si="155"/>
        <v>0.1254180602006689</v>
      </c>
    </row>
    <row r="3304" spans="1:15" ht="12.75" customHeight="1">
      <c r="A3304" s="188" t="s">
        <v>620</v>
      </c>
      <c r="B3304" s="188" t="s">
        <v>4880</v>
      </c>
      <c r="C3304" s="188" t="s">
        <v>669</v>
      </c>
      <c r="D3304" s="188" t="s">
        <v>4976</v>
      </c>
      <c r="E3304" s="189">
        <v>39447</v>
      </c>
      <c r="F3304" s="190">
        <v>2302</v>
      </c>
      <c r="G3304" s="190">
        <v>0</v>
      </c>
      <c r="H3304" s="191">
        <v>4013</v>
      </c>
      <c r="I3304" s="191">
        <v>532.20000000000005</v>
      </c>
      <c r="J3304" s="188" t="s">
        <v>624</v>
      </c>
      <c r="K3304" s="188" t="s">
        <v>560</v>
      </c>
      <c r="L3304" s="188" t="s">
        <v>4977</v>
      </c>
      <c r="M3304" s="192">
        <f t="shared" si="153"/>
        <v>18</v>
      </c>
      <c r="N3304" s="193">
        <f t="shared" si="154"/>
        <v>2.2621195039458848</v>
      </c>
      <c r="O3304" s="194">
        <f t="shared" si="155"/>
        <v>0.12567330577477137</v>
      </c>
    </row>
    <row r="3305" spans="1:15" ht="12.75" customHeight="1">
      <c r="A3305" s="188" t="s">
        <v>620</v>
      </c>
      <c r="B3305" s="188" t="s">
        <v>4880</v>
      </c>
      <c r="C3305" s="188" t="s">
        <v>669</v>
      </c>
      <c r="D3305" s="188" t="s">
        <v>4978</v>
      </c>
      <c r="E3305" s="189">
        <v>39562</v>
      </c>
      <c r="F3305" s="190">
        <v>1289</v>
      </c>
      <c r="G3305" s="190">
        <v>0</v>
      </c>
      <c r="H3305" s="191">
        <v>1626</v>
      </c>
      <c r="I3305" s="191">
        <v>298.5</v>
      </c>
      <c r="J3305" s="188" t="s">
        <v>624</v>
      </c>
      <c r="K3305" s="188" t="s">
        <v>652</v>
      </c>
      <c r="L3305" s="188" t="s">
        <v>4432</v>
      </c>
      <c r="M3305" s="192">
        <f t="shared" si="153"/>
        <v>13</v>
      </c>
      <c r="N3305" s="193">
        <f t="shared" si="154"/>
        <v>1.6341708542713569</v>
      </c>
      <c r="O3305" s="194">
        <f t="shared" si="155"/>
        <v>0.12570545032856592</v>
      </c>
    </row>
    <row r="3306" spans="1:15" ht="12.75" customHeight="1">
      <c r="A3306" s="188" t="s">
        <v>620</v>
      </c>
      <c r="B3306" s="188" t="s">
        <v>4880</v>
      </c>
      <c r="C3306" s="188" t="s">
        <v>669</v>
      </c>
      <c r="D3306" s="188" t="s">
        <v>4979</v>
      </c>
      <c r="E3306" s="189">
        <v>39527</v>
      </c>
      <c r="F3306" s="190">
        <v>3887</v>
      </c>
      <c r="G3306" s="190">
        <v>0</v>
      </c>
      <c r="H3306" s="191">
        <v>4950</v>
      </c>
      <c r="I3306" s="191">
        <v>900</v>
      </c>
      <c r="J3306" s="188" t="s">
        <v>624</v>
      </c>
      <c r="K3306" s="188" t="s">
        <v>652</v>
      </c>
      <c r="L3306" s="188" t="s">
        <v>925</v>
      </c>
      <c r="M3306" s="192">
        <f t="shared" si="153"/>
        <v>13</v>
      </c>
      <c r="N3306" s="193">
        <f t="shared" si="154"/>
        <v>1.65</v>
      </c>
      <c r="O3306" s="194">
        <f t="shared" si="155"/>
        <v>0.12692307692307692</v>
      </c>
    </row>
    <row r="3307" spans="1:15" ht="12.75" customHeight="1">
      <c r="A3307" s="188" t="s">
        <v>620</v>
      </c>
      <c r="B3307" s="188" t="s">
        <v>4880</v>
      </c>
      <c r="C3307" s="188" t="s">
        <v>669</v>
      </c>
      <c r="D3307" s="188" t="s">
        <v>4980</v>
      </c>
      <c r="E3307" s="189">
        <v>39548</v>
      </c>
      <c r="F3307" s="190">
        <v>2164</v>
      </c>
      <c r="G3307" s="190">
        <v>0</v>
      </c>
      <c r="H3307" s="191">
        <v>2882</v>
      </c>
      <c r="I3307" s="191">
        <v>501</v>
      </c>
      <c r="J3307" s="188" t="s">
        <v>624</v>
      </c>
      <c r="K3307" s="188" t="s">
        <v>652</v>
      </c>
      <c r="L3307" s="188" t="s">
        <v>1015</v>
      </c>
      <c r="M3307" s="192">
        <f t="shared" si="153"/>
        <v>13</v>
      </c>
      <c r="N3307" s="193">
        <f t="shared" si="154"/>
        <v>1.7257485029940121</v>
      </c>
      <c r="O3307" s="194">
        <f t="shared" si="155"/>
        <v>0.13274988484569322</v>
      </c>
    </row>
    <row r="3308" spans="1:15" ht="12.75" customHeight="1">
      <c r="A3308" s="188" t="s">
        <v>620</v>
      </c>
      <c r="B3308" s="188" t="s">
        <v>4880</v>
      </c>
      <c r="C3308" s="188" t="s">
        <v>669</v>
      </c>
      <c r="D3308" s="188" t="s">
        <v>4981</v>
      </c>
      <c r="E3308" s="189">
        <v>39443</v>
      </c>
      <c r="F3308" s="190">
        <v>1077</v>
      </c>
      <c r="G3308" s="190">
        <v>0</v>
      </c>
      <c r="H3308" s="191">
        <v>1948</v>
      </c>
      <c r="I3308" s="191">
        <v>249</v>
      </c>
      <c r="J3308" s="188" t="s">
        <v>624</v>
      </c>
      <c r="K3308" s="188" t="s">
        <v>571</v>
      </c>
      <c r="L3308" s="188" t="s">
        <v>1157</v>
      </c>
      <c r="M3308" s="192">
        <f t="shared" si="153"/>
        <v>15</v>
      </c>
      <c r="N3308" s="193">
        <f t="shared" si="154"/>
        <v>2.346987951807229</v>
      </c>
      <c r="O3308" s="194">
        <f t="shared" si="155"/>
        <v>0.15646586345381527</v>
      </c>
    </row>
    <row r="3309" spans="1:15" ht="12.75" customHeight="1">
      <c r="A3309" s="188" t="s">
        <v>620</v>
      </c>
      <c r="B3309" s="188" t="s">
        <v>4880</v>
      </c>
      <c r="C3309" s="188" t="s">
        <v>669</v>
      </c>
      <c r="D3309" s="188" t="s">
        <v>4982</v>
      </c>
      <c r="E3309" s="189">
        <v>39247</v>
      </c>
      <c r="F3309" s="190">
        <v>620</v>
      </c>
      <c r="G3309" s="190">
        <v>0</v>
      </c>
      <c r="H3309" s="191">
        <v>1046.01</v>
      </c>
      <c r="I3309" s="191">
        <v>143.4</v>
      </c>
      <c r="J3309" s="188" t="s">
        <v>624</v>
      </c>
      <c r="K3309" s="188" t="s">
        <v>639</v>
      </c>
      <c r="L3309" s="188" t="s">
        <v>4983</v>
      </c>
      <c r="M3309" s="192">
        <f t="shared" si="153"/>
        <v>11</v>
      </c>
      <c r="N3309" s="193">
        <f t="shared" si="154"/>
        <v>2.1883054393305441</v>
      </c>
      <c r="O3309" s="194">
        <f t="shared" si="155"/>
        <v>0.19893685812095854</v>
      </c>
    </row>
    <row r="3310" spans="1:15" ht="12.75" customHeight="1">
      <c r="A3310" s="188" t="s">
        <v>620</v>
      </c>
      <c r="B3310" s="188" t="s">
        <v>4880</v>
      </c>
      <c r="C3310" s="188" t="s">
        <v>669</v>
      </c>
      <c r="D3310" s="188" t="s">
        <v>4984</v>
      </c>
      <c r="E3310" s="189">
        <v>39395</v>
      </c>
      <c r="F3310" s="190">
        <v>1363</v>
      </c>
      <c r="G3310" s="190">
        <v>0</v>
      </c>
      <c r="H3310" s="191">
        <v>2298</v>
      </c>
      <c r="I3310" s="191">
        <v>315</v>
      </c>
      <c r="J3310" s="188" t="s">
        <v>624</v>
      </c>
      <c r="K3310" s="188" t="s">
        <v>639</v>
      </c>
      <c r="L3310" s="188" t="s">
        <v>1139</v>
      </c>
      <c r="M3310" s="192">
        <f t="shared" si="153"/>
        <v>11</v>
      </c>
      <c r="N3310" s="193">
        <f t="shared" si="154"/>
        <v>2.1885714285714286</v>
      </c>
      <c r="O3310" s="194">
        <f t="shared" si="155"/>
        <v>0.19896103896103898</v>
      </c>
    </row>
    <row r="3311" spans="1:15" ht="12.75" customHeight="1">
      <c r="A3311" s="188" t="s">
        <v>620</v>
      </c>
      <c r="B3311" s="188" t="s">
        <v>4880</v>
      </c>
      <c r="C3311" s="188" t="s">
        <v>669</v>
      </c>
      <c r="D3311" s="188" t="s">
        <v>4985</v>
      </c>
      <c r="E3311" s="189">
        <v>39401</v>
      </c>
      <c r="F3311" s="190">
        <v>1077</v>
      </c>
      <c r="G3311" s="190">
        <v>0</v>
      </c>
      <c r="H3311" s="191">
        <v>2700</v>
      </c>
      <c r="I3311" s="191">
        <v>249</v>
      </c>
      <c r="J3311" s="188" t="s">
        <v>624</v>
      </c>
      <c r="K3311" s="188" t="s">
        <v>571</v>
      </c>
      <c r="L3311" s="188" t="s">
        <v>1157</v>
      </c>
      <c r="M3311" s="192">
        <f t="shared" si="153"/>
        <v>15</v>
      </c>
      <c r="N3311" s="193">
        <f t="shared" si="154"/>
        <v>3.2530120481927711</v>
      </c>
      <c r="O3311" s="194">
        <f t="shared" si="155"/>
        <v>0.21686746987951808</v>
      </c>
    </row>
    <row r="3312" spans="1:15" ht="12.75" customHeight="1">
      <c r="A3312" s="188" t="s">
        <v>620</v>
      </c>
      <c r="B3312" s="188" t="s">
        <v>4880</v>
      </c>
      <c r="C3312" s="188" t="s">
        <v>669</v>
      </c>
      <c r="D3312" s="188" t="s">
        <v>4986</v>
      </c>
      <c r="E3312" s="189">
        <v>39618</v>
      </c>
      <c r="F3312" s="190">
        <v>101</v>
      </c>
      <c r="G3312" s="190">
        <v>0</v>
      </c>
      <c r="H3312" s="191">
        <v>330</v>
      </c>
      <c r="I3312" s="191">
        <v>23.4</v>
      </c>
      <c r="J3312" s="188" t="s">
        <v>624</v>
      </c>
      <c r="K3312" s="188" t="s">
        <v>667</v>
      </c>
      <c r="L3312" s="188" t="s">
        <v>4987</v>
      </c>
      <c r="M3312" s="192">
        <f t="shared" si="153"/>
        <v>19</v>
      </c>
      <c r="N3312" s="193">
        <f t="shared" si="154"/>
        <v>4.2307692307692308</v>
      </c>
      <c r="O3312" s="194">
        <f t="shared" si="155"/>
        <v>0.22267206477732793</v>
      </c>
    </row>
    <row r="3313" spans="1:15" ht="12.75" customHeight="1">
      <c r="A3313" s="188" t="s">
        <v>620</v>
      </c>
      <c r="B3313" s="188" t="s">
        <v>4880</v>
      </c>
      <c r="C3313" s="188" t="s">
        <v>669</v>
      </c>
      <c r="D3313" s="188" t="s">
        <v>4988</v>
      </c>
      <c r="E3313" s="189">
        <v>39639</v>
      </c>
      <c r="F3313" s="190">
        <v>1555</v>
      </c>
      <c r="G3313" s="190">
        <v>0</v>
      </c>
      <c r="H3313" s="191">
        <v>3873</v>
      </c>
      <c r="I3313" s="191">
        <v>360</v>
      </c>
      <c r="J3313" s="188" t="s">
        <v>624</v>
      </c>
      <c r="K3313" s="188" t="s">
        <v>652</v>
      </c>
      <c r="L3313" s="188" t="s">
        <v>632</v>
      </c>
      <c r="M3313" s="192">
        <f t="shared" si="153"/>
        <v>13</v>
      </c>
      <c r="N3313" s="193">
        <f t="shared" si="154"/>
        <v>3.2275</v>
      </c>
      <c r="O3313" s="194">
        <f t="shared" si="155"/>
        <v>0.24826923076923077</v>
      </c>
    </row>
    <row r="3314" spans="1:15" ht="12.75" customHeight="1">
      <c r="A3314" s="188" t="s">
        <v>620</v>
      </c>
      <c r="B3314" s="188" t="s">
        <v>4880</v>
      </c>
      <c r="C3314" s="188" t="s">
        <v>669</v>
      </c>
      <c r="D3314" s="188" t="s">
        <v>4989</v>
      </c>
      <c r="E3314" s="189">
        <v>39407</v>
      </c>
      <c r="F3314" s="190">
        <v>1254</v>
      </c>
      <c r="G3314" s="190">
        <v>0</v>
      </c>
      <c r="H3314" s="191">
        <v>3374</v>
      </c>
      <c r="I3314" s="191">
        <v>289.8</v>
      </c>
      <c r="J3314" s="188" t="s">
        <v>624</v>
      </c>
      <c r="K3314" s="188" t="s">
        <v>1052</v>
      </c>
      <c r="L3314" s="188" t="s">
        <v>1378</v>
      </c>
      <c r="M3314" s="192">
        <f t="shared" si="153"/>
        <v>14</v>
      </c>
      <c r="N3314" s="193">
        <f t="shared" si="154"/>
        <v>3.4927536231884058</v>
      </c>
      <c r="O3314" s="194">
        <f t="shared" si="155"/>
        <v>0.24948240165631469</v>
      </c>
    </row>
    <row r="3315" spans="1:15" ht="12.75" customHeight="1">
      <c r="A3315" s="188" t="s">
        <v>620</v>
      </c>
      <c r="B3315" s="188" t="s">
        <v>4880</v>
      </c>
      <c r="C3315" s="188" t="s">
        <v>669</v>
      </c>
      <c r="D3315" s="188" t="s">
        <v>4990</v>
      </c>
      <c r="E3315" s="189">
        <v>39492</v>
      </c>
      <c r="F3315" s="190">
        <v>319</v>
      </c>
      <c r="G3315" s="190">
        <v>0</v>
      </c>
      <c r="H3315" s="191">
        <v>1232</v>
      </c>
      <c r="I3315" s="191">
        <v>73.8</v>
      </c>
      <c r="J3315" s="188" t="s">
        <v>624</v>
      </c>
      <c r="K3315" s="188" t="s">
        <v>667</v>
      </c>
      <c r="L3315" s="188" t="s">
        <v>4991</v>
      </c>
      <c r="M3315" s="192">
        <f t="shared" si="153"/>
        <v>19</v>
      </c>
      <c r="N3315" s="193">
        <f t="shared" si="154"/>
        <v>5.0081300813008127</v>
      </c>
      <c r="O3315" s="194">
        <f t="shared" si="155"/>
        <v>0.26358579375267438</v>
      </c>
    </row>
    <row r="3316" spans="1:15" ht="12.75" customHeight="1">
      <c r="A3316" s="188" t="s">
        <v>620</v>
      </c>
      <c r="B3316" s="188" t="s">
        <v>4880</v>
      </c>
      <c r="C3316" s="188" t="s">
        <v>669</v>
      </c>
      <c r="D3316" s="188" t="s">
        <v>4992</v>
      </c>
      <c r="E3316" s="189">
        <v>39366</v>
      </c>
      <c r="F3316" s="190">
        <v>164</v>
      </c>
      <c r="G3316" s="190">
        <v>0</v>
      </c>
      <c r="H3316" s="191">
        <v>600</v>
      </c>
      <c r="I3316" s="191">
        <v>37.799999999999997</v>
      </c>
      <c r="J3316" s="188" t="s">
        <v>624</v>
      </c>
      <c r="K3316" s="188" t="s">
        <v>710</v>
      </c>
      <c r="L3316" s="188" t="s">
        <v>4993</v>
      </c>
      <c r="M3316" s="192">
        <f t="shared" si="153"/>
        <v>16</v>
      </c>
      <c r="N3316" s="193">
        <f t="shared" si="154"/>
        <v>4.7619047619047619</v>
      </c>
      <c r="O3316" s="194">
        <f t="shared" si="155"/>
        <v>0.29761904761904762</v>
      </c>
    </row>
    <row r="3317" spans="1:15" ht="12.75" customHeight="1">
      <c r="A3317" s="188" t="s">
        <v>620</v>
      </c>
      <c r="B3317" s="188" t="s">
        <v>4880</v>
      </c>
      <c r="C3317" s="188" t="s">
        <v>669</v>
      </c>
      <c r="D3317" s="188" t="s">
        <v>4994</v>
      </c>
      <c r="E3317" s="189">
        <v>39233</v>
      </c>
      <c r="F3317" s="190">
        <v>1819</v>
      </c>
      <c r="G3317" s="190">
        <v>0</v>
      </c>
      <c r="H3317" s="191">
        <v>6111.04</v>
      </c>
      <c r="I3317" s="191">
        <v>420.6</v>
      </c>
      <c r="J3317" s="188" t="s">
        <v>624</v>
      </c>
      <c r="K3317" s="188" t="s">
        <v>652</v>
      </c>
      <c r="L3317" s="188" t="s">
        <v>2520</v>
      </c>
      <c r="M3317" s="192">
        <f t="shared" si="153"/>
        <v>13</v>
      </c>
      <c r="N3317" s="193">
        <f t="shared" si="154"/>
        <v>4.3588017118402282</v>
      </c>
      <c r="O3317" s="194">
        <f t="shared" si="155"/>
        <v>0.33529243937232522</v>
      </c>
    </row>
    <row r="3318" spans="1:15" ht="12.75" customHeight="1">
      <c r="A3318" s="188" t="s">
        <v>620</v>
      </c>
      <c r="B3318" s="188" t="s">
        <v>4880</v>
      </c>
      <c r="C3318" s="188" t="s">
        <v>669</v>
      </c>
      <c r="D3318" s="188" t="s">
        <v>4995</v>
      </c>
      <c r="E3318" s="189">
        <v>39352</v>
      </c>
      <c r="F3318" s="190">
        <v>260</v>
      </c>
      <c r="G3318" s="190">
        <v>0</v>
      </c>
      <c r="H3318" s="191">
        <v>960</v>
      </c>
      <c r="I3318" s="191">
        <v>60</v>
      </c>
      <c r="J3318" s="188" t="s">
        <v>624</v>
      </c>
      <c r="K3318" s="188" t="s">
        <v>639</v>
      </c>
      <c r="L3318" s="188" t="s">
        <v>1322</v>
      </c>
      <c r="M3318" s="192">
        <f t="shared" si="153"/>
        <v>11</v>
      </c>
      <c r="N3318" s="193">
        <f t="shared" si="154"/>
        <v>4.8</v>
      </c>
      <c r="O3318" s="194">
        <f t="shared" si="155"/>
        <v>0.43636363636363634</v>
      </c>
    </row>
    <row r="3319" spans="1:15" ht="12.75" customHeight="1">
      <c r="A3319" s="188" t="s">
        <v>620</v>
      </c>
      <c r="B3319" s="188" t="s">
        <v>4996</v>
      </c>
      <c r="C3319" s="188" t="s">
        <v>678</v>
      </c>
      <c r="D3319" s="188" t="s">
        <v>4997</v>
      </c>
      <c r="E3319" s="189">
        <v>39416</v>
      </c>
      <c r="F3319" s="190">
        <v>0</v>
      </c>
      <c r="G3319" s="190">
        <v>54.4</v>
      </c>
      <c r="H3319" s="191">
        <v>230</v>
      </c>
      <c r="I3319" s="191">
        <v>204</v>
      </c>
      <c r="J3319" s="188" t="s">
        <v>624</v>
      </c>
      <c r="K3319" s="188" t="s">
        <v>427</v>
      </c>
      <c r="L3319" s="188" t="s">
        <v>1611</v>
      </c>
      <c r="M3319" s="192">
        <f t="shared" si="153"/>
        <v>25</v>
      </c>
      <c r="N3319" s="193">
        <f t="shared" si="154"/>
        <v>0.33823529411764708</v>
      </c>
      <c r="O3319" s="194">
        <f t="shared" si="155"/>
        <v>1.3529411764705884E-2</v>
      </c>
    </row>
    <row r="3320" spans="1:15" ht="12.75" customHeight="1">
      <c r="A3320" s="188" t="s">
        <v>620</v>
      </c>
      <c r="B3320" s="188" t="s">
        <v>4996</v>
      </c>
      <c r="C3320" s="188" t="s">
        <v>678</v>
      </c>
      <c r="D3320" s="188" t="s">
        <v>4998</v>
      </c>
      <c r="E3320" s="189">
        <v>39527</v>
      </c>
      <c r="F3320" s="190">
        <v>0</v>
      </c>
      <c r="G3320" s="190">
        <v>48</v>
      </c>
      <c r="H3320" s="191">
        <v>219.6</v>
      </c>
      <c r="I3320" s="191">
        <v>180</v>
      </c>
      <c r="J3320" s="188" t="s">
        <v>624</v>
      </c>
      <c r="K3320" s="188" t="s">
        <v>285</v>
      </c>
      <c r="L3320" s="188" t="s">
        <v>677</v>
      </c>
      <c r="M3320" s="192">
        <f t="shared" si="153"/>
        <v>20</v>
      </c>
      <c r="N3320" s="193">
        <f t="shared" si="154"/>
        <v>0.36599999999999999</v>
      </c>
      <c r="O3320" s="194">
        <f t="shared" si="155"/>
        <v>1.83E-2</v>
      </c>
    </row>
    <row r="3321" spans="1:15" ht="12.75" customHeight="1">
      <c r="A3321" s="188" t="s">
        <v>620</v>
      </c>
      <c r="B3321" s="188" t="s">
        <v>4996</v>
      </c>
      <c r="C3321" s="188" t="s">
        <v>678</v>
      </c>
      <c r="D3321" s="188" t="s">
        <v>4999</v>
      </c>
      <c r="E3321" s="189">
        <v>39548</v>
      </c>
      <c r="F3321" s="190">
        <v>0</v>
      </c>
      <c r="G3321" s="190">
        <v>88.24</v>
      </c>
      <c r="H3321" s="191">
        <v>331</v>
      </c>
      <c r="I3321" s="191">
        <v>330.9</v>
      </c>
      <c r="J3321" s="188" t="s">
        <v>624</v>
      </c>
      <c r="K3321" s="188" t="s">
        <v>652</v>
      </c>
      <c r="L3321" s="188" t="s">
        <v>5000</v>
      </c>
      <c r="M3321" s="192">
        <f t="shared" si="153"/>
        <v>13</v>
      </c>
      <c r="N3321" s="193">
        <f t="shared" si="154"/>
        <v>0.30009066183136901</v>
      </c>
      <c r="O3321" s="194">
        <f t="shared" si="155"/>
        <v>2.3083897063951461E-2</v>
      </c>
    </row>
    <row r="3322" spans="1:15" ht="12.75" customHeight="1">
      <c r="A3322" s="188" t="s">
        <v>620</v>
      </c>
      <c r="B3322" s="188" t="s">
        <v>4996</v>
      </c>
      <c r="C3322" s="188" t="s">
        <v>678</v>
      </c>
      <c r="D3322" s="188" t="s">
        <v>5001</v>
      </c>
      <c r="E3322" s="189">
        <v>39331</v>
      </c>
      <c r="F3322" s="190">
        <v>0</v>
      </c>
      <c r="G3322" s="190">
        <v>111.52</v>
      </c>
      <c r="H3322" s="191">
        <v>426.42</v>
      </c>
      <c r="I3322" s="191">
        <v>418.2</v>
      </c>
      <c r="J3322" s="188" t="s">
        <v>624</v>
      </c>
      <c r="K3322" s="188" t="s">
        <v>652</v>
      </c>
      <c r="L3322" s="188" t="s">
        <v>1706</v>
      </c>
      <c r="M3322" s="192">
        <f t="shared" si="153"/>
        <v>13</v>
      </c>
      <c r="N3322" s="193">
        <f t="shared" si="154"/>
        <v>0.30589670014347203</v>
      </c>
      <c r="O3322" s="194">
        <f t="shared" si="155"/>
        <v>2.3530515395651694E-2</v>
      </c>
    </row>
    <row r="3323" spans="1:15" ht="12.75" customHeight="1">
      <c r="A3323" s="188" t="s">
        <v>620</v>
      </c>
      <c r="B3323" s="188" t="s">
        <v>4996</v>
      </c>
      <c r="C3323" s="188" t="s">
        <v>678</v>
      </c>
      <c r="D3323" s="188" t="s">
        <v>5002</v>
      </c>
      <c r="E3323" s="189">
        <v>39447</v>
      </c>
      <c r="F3323" s="190">
        <v>0</v>
      </c>
      <c r="G3323" s="190">
        <v>146.4</v>
      </c>
      <c r="H3323" s="191">
        <v>1050</v>
      </c>
      <c r="I3323" s="191">
        <v>549</v>
      </c>
      <c r="J3323" s="188" t="s">
        <v>624</v>
      </c>
      <c r="K3323" s="188" t="s">
        <v>344</v>
      </c>
      <c r="L3323" s="188" t="s">
        <v>3195</v>
      </c>
      <c r="M3323" s="192">
        <f t="shared" si="153"/>
        <v>22</v>
      </c>
      <c r="N3323" s="193">
        <f t="shared" si="154"/>
        <v>0.57377049180327866</v>
      </c>
      <c r="O3323" s="194">
        <f t="shared" si="155"/>
        <v>2.608047690014903E-2</v>
      </c>
    </row>
    <row r="3324" spans="1:15" ht="12.75" customHeight="1">
      <c r="A3324" s="188" t="s">
        <v>620</v>
      </c>
      <c r="B3324" s="188" t="s">
        <v>4996</v>
      </c>
      <c r="C3324" s="188" t="s">
        <v>678</v>
      </c>
      <c r="D3324" s="188" t="s">
        <v>5003</v>
      </c>
      <c r="E3324" s="189">
        <v>39269</v>
      </c>
      <c r="F3324" s="190">
        <v>0</v>
      </c>
      <c r="G3324" s="190">
        <v>34.24</v>
      </c>
      <c r="H3324" s="191">
        <v>153.99</v>
      </c>
      <c r="I3324" s="191">
        <v>128.4</v>
      </c>
      <c r="J3324" s="188" t="s">
        <v>624</v>
      </c>
      <c r="K3324" s="188" t="s">
        <v>652</v>
      </c>
      <c r="L3324" s="188" t="s">
        <v>4771</v>
      </c>
      <c r="M3324" s="192">
        <f t="shared" si="153"/>
        <v>13</v>
      </c>
      <c r="N3324" s="193">
        <f t="shared" si="154"/>
        <v>0.35978971962616824</v>
      </c>
      <c r="O3324" s="194">
        <f t="shared" si="155"/>
        <v>2.7676132278936019E-2</v>
      </c>
    </row>
    <row r="3325" spans="1:15" ht="12.75" customHeight="1">
      <c r="A3325" s="188" t="s">
        <v>620</v>
      </c>
      <c r="B3325" s="188" t="s">
        <v>4996</v>
      </c>
      <c r="C3325" s="188" t="s">
        <v>678</v>
      </c>
      <c r="D3325" s="188" t="s">
        <v>5004</v>
      </c>
      <c r="E3325" s="189">
        <v>39485</v>
      </c>
      <c r="F3325" s="190">
        <v>0</v>
      </c>
      <c r="G3325" s="190">
        <v>102.4</v>
      </c>
      <c r="H3325" s="191">
        <v>755</v>
      </c>
      <c r="I3325" s="191">
        <v>384</v>
      </c>
      <c r="J3325" s="188" t="s">
        <v>624</v>
      </c>
      <c r="K3325" s="188" t="s">
        <v>1344</v>
      </c>
      <c r="L3325" s="188" t="s">
        <v>994</v>
      </c>
      <c r="M3325" s="192">
        <f t="shared" si="153"/>
        <v>21</v>
      </c>
      <c r="N3325" s="193">
        <f t="shared" si="154"/>
        <v>0.58984375</v>
      </c>
      <c r="O3325" s="194">
        <f t="shared" si="155"/>
        <v>2.808779761904762E-2</v>
      </c>
    </row>
    <row r="3326" spans="1:15" ht="12.75" customHeight="1">
      <c r="A3326" s="188" t="s">
        <v>620</v>
      </c>
      <c r="B3326" s="188" t="s">
        <v>4996</v>
      </c>
      <c r="C3326" s="188" t="s">
        <v>678</v>
      </c>
      <c r="D3326" s="188" t="s">
        <v>5005</v>
      </c>
      <c r="E3326" s="189">
        <v>39507</v>
      </c>
      <c r="F3326" s="190">
        <v>0</v>
      </c>
      <c r="G3326" s="190">
        <v>6.96</v>
      </c>
      <c r="H3326" s="191">
        <v>55</v>
      </c>
      <c r="I3326" s="191">
        <v>26.1</v>
      </c>
      <c r="J3326" s="188" t="s">
        <v>624</v>
      </c>
      <c r="K3326" s="188" t="s">
        <v>1344</v>
      </c>
      <c r="L3326" s="188" t="s">
        <v>457</v>
      </c>
      <c r="M3326" s="192">
        <f t="shared" si="153"/>
        <v>21</v>
      </c>
      <c r="N3326" s="193">
        <f t="shared" si="154"/>
        <v>0.63218390804597702</v>
      </c>
      <c r="O3326" s="194">
        <f t="shared" si="155"/>
        <v>3.0103995621237001E-2</v>
      </c>
    </row>
    <row r="3327" spans="1:15" ht="12.75" customHeight="1">
      <c r="A3327" s="188" t="s">
        <v>620</v>
      </c>
      <c r="B3327" s="188" t="s">
        <v>4996</v>
      </c>
      <c r="C3327" s="188" t="s">
        <v>678</v>
      </c>
      <c r="D3327" s="188" t="s">
        <v>5006</v>
      </c>
      <c r="E3327" s="189">
        <v>39534</v>
      </c>
      <c r="F3327" s="190">
        <v>0</v>
      </c>
      <c r="G3327" s="190">
        <v>80</v>
      </c>
      <c r="H3327" s="191">
        <v>580</v>
      </c>
      <c r="I3327" s="191">
        <v>300</v>
      </c>
      <c r="J3327" s="188" t="s">
        <v>624</v>
      </c>
      <c r="K3327" s="188" t="s">
        <v>667</v>
      </c>
      <c r="L3327" s="188" t="s">
        <v>636</v>
      </c>
      <c r="M3327" s="192">
        <f t="shared" si="153"/>
        <v>19</v>
      </c>
      <c r="N3327" s="193">
        <f t="shared" si="154"/>
        <v>0.57999999999999996</v>
      </c>
      <c r="O3327" s="194">
        <f t="shared" si="155"/>
        <v>3.0526315789473683E-2</v>
      </c>
    </row>
    <row r="3328" spans="1:15" ht="12.75" customHeight="1">
      <c r="A3328" s="188" t="s">
        <v>620</v>
      </c>
      <c r="B3328" s="188" t="s">
        <v>4996</v>
      </c>
      <c r="C3328" s="188" t="s">
        <v>678</v>
      </c>
      <c r="D3328" s="188" t="s">
        <v>5007</v>
      </c>
      <c r="E3328" s="189">
        <v>39401</v>
      </c>
      <c r="F3328" s="190">
        <v>0</v>
      </c>
      <c r="G3328" s="190">
        <v>80</v>
      </c>
      <c r="H3328" s="191">
        <v>652</v>
      </c>
      <c r="I3328" s="191">
        <v>300</v>
      </c>
      <c r="J3328" s="188" t="s">
        <v>624</v>
      </c>
      <c r="K3328" s="188" t="s">
        <v>1344</v>
      </c>
      <c r="L3328" s="188" t="s">
        <v>636</v>
      </c>
      <c r="M3328" s="192">
        <f t="shared" si="153"/>
        <v>21</v>
      </c>
      <c r="N3328" s="193">
        <f t="shared" si="154"/>
        <v>0.65200000000000002</v>
      </c>
      <c r="O3328" s="194">
        <f t="shared" si="155"/>
        <v>3.104761904761905E-2</v>
      </c>
    </row>
    <row r="3329" spans="1:15" ht="12.75" customHeight="1">
      <c r="A3329" s="188" t="s">
        <v>620</v>
      </c>
      <c r="B3329" s="188" t="s">
        <v>4996</v>
      </c>
      <c r="C3329" s="188" t="s">
        <v>678</v>
      </c>
      <c r="D3329" s="188" t="s">
        <v>5008</v>
      </c>
      <c r="E3329" s="189">
        <v>39387</v>
      </c>
      <c r="F3329" s="190">
        <v>0</v>
      </c>
      <c r="G3329" s="190">
        <v>24</v>
      </c>
      <c r="H3329" s="191">
        <v>200</v>
      </c>
      <c r="I3329" s="191">
        <v>90</v>
      </c>
      <c r="J3329" s="188" t="s">
        <v>624</v>
      </c>
      <c r="K3329" s="188" t="s">
        <v>1344</v>
      </c>
      <c r="L3329" s="188" t="s">
        <v>1315</v>
      </c>
      <c r="M3329" s="192">
        <f t="shared" si="153"/>
        <v>21</v>
      </c>
      <c r="N3329" s="193">
        <f t="shared" si="154"/>
        <v>0.66666666666666663</v>
      </c>
      <c r="O3329" s="194">
        <f t="shared" si="155"/>
        <v>3.1746031746031744E-2</v>
      </c>
    </row>
    <row r="3330" spans="1:15" ht="12.75" customHeight="1">
      <c r="A3330" s="188" t="s">
        <v>620</v>
      </c>
      <c r="B3330" s="188" t="s">
        <v>4996</v>
      </c>
      <c r="C3330" s="188" t="s">
        <v>678</v>
      </c>
      <c r="D3330" s="188" t="s">
        <v>5009</v>
      </c>
      <c r="E3330" s="189">
        <v>39359</v>
      </c>
      <c r="F3330" s="190">
        <v>0</v>
      </c>
      <c r="G3330" s="190">
        <v>83.2</v>
      </c>
      <c r="H3330" s="191">
        <v>712</v>
      </c>
      <c r="I3330" s="191">
        <v>312</v>
      </c>
      <c r="J3330" s="188" t="s">
        <v>624</v>
      </c>
      <c r="K3330" s="188" t="s">
        <v>1344</v>
      </c>
      <c r="L3330" s="188" t="s">
        <v>808</v>
      </c>
      <c r="M3330" s="192">
        <f t="shared" ref="M3330:M3393" si="156">K3330-J3330</f>
        <v>21</v>
      </c>
      <c r="N3330" s="193">
        <f t="shared" ref="N3330:N3393" si="157">H3330/L3330</f>
        <v>0.68461538461538463</v>
      </c>
      <c r="O3330" s="194">
        <f t="shared" ref="O3330:O3393" si="158">N3330/M3330</f>
        <v>3.2600732600732603E-2</v>
      </c>
    </row>
    <row r="3331" spans="1:15" ht="12.75" customHeight="1">
      <c r="A3331" s="188" t="s">
        <v>620</v>
      </c>
      <c r="B3331" s="188" t="s">
        <v>4996</v>
      </c>
      <c r="C3331" s="188" t="s">
        <v>678</v>
      </c>
      <c r="D3331" s="188" t="s">
        <v>5010</v>
      </c>
      <c r="E3331" s="189">
        <v>39541</v>
      </c>
      <c r="F3331" s="190">
        <v>0</v>
      </c>
      <c r="G3331" s="190">
        <v>160</v>
      </c>
      <c r="H3331" s="191">
        <v>1400</v>
      </c>
      <c r="I3331" s="191">
        <v>600</v>
      </c>
      <c r="J3331" s="188" t="s">
        <v>624</v>
      </c>
      <c r="K3331" s="188" t="s">
        <v>1344</v>
      </c>
      <c r="L3331" s="188" t="s">
        <v>756</v>
      </c>
      <c r="M3331" s="192">
        <f t="shared" si="156"/>
        <v>21</v>
      </c>
      <c r="N3331" s="193">
        <f t="shared" si="157"/>
        <v>0.7</v>
      </c>
      <c r="O3331" s="194">
        <f t="shared" si="158"/>
        <v>3.3333333333333333E-2</v>
      </c>
    </row>
    <row r="3332" spans="1:15" ht="12.75" customHeight="1">
      <c r="A3332" s="188" t="s">
        <v>620</v>
      </c>
      <c r="B3332" s="188" t="s">
        <v>4996</v>
      </c>
      <c r="C3332" s="188" t="s">
        <v>678</v>
      </c>
      <c r="D3332" s="188" t="s">
        <v>5011</v>
      </c>
      <c r="E3332" s="189">
        <v>39583</v>
      </c>
      <c r="F3332" s="190">
        <v>0</v>
      </c>
      <c r="G3332" s="190">
        <v>147.19999999999999</v>
      </c>
      <c r="H3332" s="191">
        <v>1293</v>
      </c>
      <c r="I3332" s="191">
        <v>552</v>
      </c>
      <c r="J3332" s="188" t="s">
        <v>624</v>
      </c>
      <c r="K3332" s="188" t="s">
        <v>1344</v>
      </c>
      <c r="L3332" s="188" t="s">
        <v>2069</v>
      </c>
      <c r="M3332" s="192">
        <f t="shared" si="156"/>
        <v>21</v>
      </c>
      <c r="N3332" s="193">
        <f t="shared" si="157"/>
        <v>0.70271739130434785</v>
      </c>
      <c r="O3332" s="194">
        <f t="shared" si="158"/>
        <v>3.346273291925466E-2</v>
      </c>
    </row>
    <row r="3333" spans="1:15" ht="12.75" customHeight="1">
      <c r="A3333" s="188" t="s">
        <v>620</v>
      </c>
      <c r="B3333" s="188" t="s">
        <v>4996</v>
      </c>
      <c r="C3333" s="188" t="s">
        <v>678</v>
      </c>
      <c r="D3333" s="188" t="s">
        <v>5012</v>
      </c>
      <c r="E3333" s="189">
        <v>39254</v>
      </c>
      <c r="F3333" s="190">
        <v>0</v>
      </c>
      <c r="G3333" s="190">
        <v>113.6</v>
      </c>
      <c r="H3333" s="191">
        <v>999.96</v>
      </c>
      <c r="I3333" s="191">
        <v>426</v>
      </c>
      <c r="J3333" s="188" t="s">
        <v>624</v>
      </c>
      <c r="K3333" s="188" t="s">
        <v>1344</v>
      </c>
      <c r="L3333" s="188" t="s">
        <v>2301</v>
      </c>
      <c r="M3333" s="192">
        <f t="shared" si="156"/>
        <v>21</v>
      </c>
      <c r="N3333" s="193">
        <f t="shared" si="157"/>
        <v>0.70419718309859158</v>
      </c>
      <c r="O3333" s="194">
        <f t="shared" si="158"/>
        <v>3.3533199195171025E-2</v>
      </c>
    </row>
    <row r="3334" spans="1:15" ht="12.75" customHeight="1">
      <c r="A3334" s="188" t="s">
        <v>620</v>
      </c>
      <c r="B3334" s="188" t="s">
        <v>4996</v>
      </c>
      <c r="C3334" s="188" t="s">
        <v>678</v>
      </c>
      <c r="D3334" s="188" t="s">
        <v>5013</v>
      </c>
      <c r="E3334" s="189">
        <v>39310</v>
      </c>
      <c r="F3334" s="190">
        <v>0</v>
      </c>
      <c r="G3334" s="190">
        <v>118.8</v>
      </c>
      <c r="H3334" s="191">
        <v>1269.97</v>
      </c>
      <c r="I3334" s="191">
        <v>445.5</v>
      </c>
      <c r="J3334" s="188" t="s">
        <v>624</v>
      </c>
      <c r="K3334" s="188" t="s">
        <v>427</v>
      </c>
      <c r="L3334" s="188" t="s">
        <v>1699</v>
      </c>
      <c r="M3334" s="192">
        <f t="shared" si="156"/>
        <v>25</v>
      </c>
      <c r="N3334" s="193">
        <f t="shared" si="157"/>
        <v>0.85519865319865318</v>
      </c>
      <c r="O3334" s="194">
        <f t="shared" si="158"/>
        <v>3.4207946127946129E-2</v>
      </c>
    </row>
    <row r="3335" spans="1:15" ht="12.75" customHeight="1">
      <c r="A3335" s="188" t="s">
        <v>620</v>
      </c>
      <c r="B3335" s="188" t="s">
        <v>4996</v>
      </c>
      <c r="C3335" s="188" t="s">
        <v>678</v>
      </c>
      <c r="D3335" s="188" t="s">
        <v>5014</v>
      </c>
      <c r="E3335" s="189">
        <v>39254</v>
      </c>
      <c r="F3335" s="190">
        <v>0</v>
      </c>
      <c r="G3335" s="190">
        <v>24</v>
      </c>
      <c r="H3335" s="191">
        <v>195</v>
      </c>
      <c r="I3335" s="191">
        <v>90</v>
      </c>
      <c r="J3335" s="188" t="s">
        <v>624</v>
      </c>
      <c r="K3335" s="188" t="s">
        <v>667</v>
      </c>
      <c r="L3335" s="188" t="s">
        <v>1315</v>
      </c>
      <c r="M3335" s="192">
        <f t="shared" si="156"/>
        <v>19</v>
      </c>
      <c r="N3335" s="193">
        <f t="shared" si="157"/>
        <v>0.65</v>
      </c>
      <c r="O3335" s="194">
        <f t="shared" si="158"/>
        <v>3.4210526315789476E-2</v>
      </c>
    </row>
    <row r="3336" spans="1:15" ht="12.75" customHeight="1">
      <c r="A3336" s="188" t="s">
        <v>620</v>
      </c>
      <c r="B3336" s="188" t="s">
        <v>4996</v>
      </c>
      <c r="C3336" s="188" t="s">
        <v>678</v>
      </c>
      <c r="D3336" s="188" t="s">
        <v>5015</v>
      </c>
      <c r="E3336" s="189">
        <v>39611</v>
      </c>
      <c r="F3336" s="190">
        <v>0</v>
      </c>
      <c r="G3336" s="190">
        <v>44.8</v>
      </c>
      <c r="H3336" s="191">
        <v>437</v>
      </c>
      <c r="I3336" s="191">
        <v>168</v>
      </c>
      <c r="J3336" s="188" t="s">
        <v>624</v>
      </c>
      <c r="K3336" s="188" t="s">
        <v>1344</v>
      </c>
      <c r="L3336" s="188" t="s">
        <v>2142</v>
      </c>
      <c r="M3336" s="192">
        <f t="shared" si="156"/>
        <v>21</v>
      </c>
      <c r="N3336" s="193">
        <f t="shared" si="157"/>
        <v>0.78035714285714286</v>
      </c>
      <c r="O3336" s="194">
        <f t="shared" si="158"/>
        <v>3.7159863945578228E-2</v>
      </c>
    </row>
    <row r="3337" spans="1:15" ht="12.75" customHeight="1">
      <c r="A3337" s="188" t="s">
        <v>620</v>
      </c>
      <c r="B3337" s="188" t="s">
        <v>4996</v>
      </c>
      <c r="C3337" s="188" t="s">
        <v>678</v>
      </c>
      <c r="D3337" s="188" t="s">
        <v>5016</v>
      </c>
      <c r="E3337" s="189">
        <v>39507</v>
      </c>
      <c r="F3337" s="190">
        <v>0</v>
      </c>
      <c r="G3337" s="190">
        <v>128</v>
      </c>
      <c r="H3337" s="191">
        <v>1261</v>
      </c>
      <c r="I3337" s="191">
        <v>480</v>
      </c>
      <c r="J3337" s="188" t="s">
        <v>624</v>
      </c>
      <c r="K3337" s="188" t="s">
        <v>1344</v>
      </c>
      <c r="L3337" s="188" t="s">
        <v>625</v>
      </c>
      <c r="M3337" s="192">
        <f t="shared" si="156"/>
        <v>21</v>
      </c>
      <c r="N3337" s="193">
        <f t="shared" si="157"/>
        <v>0.78812499999999996</v>
      </c>
      <c r="O3337" s="194">
        <f t="shared" si="158"/>
        <v>3.7529761904761906E-2</v>
      </c>
    </row>
    <row r="3338" spans="1:15" ht="12.75" customHeight="1">
      <c r="A3338" s="188" t="s">
        <v>620</v>
      </c>
      <c r="B3338" s="188" t="s">
        <v>4996</v>
      </c>
      <c r="C3338" s="188" t="s">
        <v>678</v>
      </c>
      <c r="D3338" s="188" t="s">
        <v>5017</v>
      </c>
      <c r="E3338" s="189">
        <v>39422</v>
      </c>
      <c r="F3338" s="190">
        <v>0</v>
      </c>
      <c r="G3338" s="190">
        <v>59.28</v>
      </c>
      <c r="H3338" s="191">
        <v>427</v>
      </c>
      <c r="I3338" s="191">
        <v>222.3</v>
      </c>
      <c r="J3338" s="188" t="s">
        <v>624</v>
      </c>
      <c r="K3338" s="188" t="s">
        <v>571</v>
      </c>
      <c r="L3338" s="188" t="s">
        <v>1018</v>
      </c>
      <c r="M3338" s="192">
        <f t="shared" si="156"/>
        <v>15</v>
      </c>
      <c r="N3338" s="193">
        <f t="shared" si="157"/>
        <v>0.57624831309041835</v>
      </c>
      <c r="O3338" s="194">
        <f t="shared" si="158"/>
        <v>3.8416554206027888E-2</v>
      </c>
    </row>
    <row r="3339" spans="1:15" ht="12.75" customHeight="1">
      <c r="A3339" s="188" t="s">
        <v>620</v>
      </c>
      <c r="B3339" s="188" t="s">
        <v>4996</v>
      </c>
      <c r="C3339" s="188" t="s">
        <v>678</v>
      </c>
      <c r="D3339" s="188" t="s">
        <v>5018</v>
      </c>
      <c r="E3339" s="189">
        <v>39429</v>
      </c>
      <c r="F3339" s="190">
        <v>0</v>
      </c>
      <c r="G3339" s="190">
        <v>85.92</v>
      </c>
      <c r="H3339" s="191">
        <v>785</v>
      </c>
      <c r="I3339" s="191">
        <v>322.2</v>
      </c>
      <c r="J3339" s="188" t="s">
        <v>624</v>
      </c>
      <c r="K3339" s="188" t="s">
        <v>667</v>
      </c>
      <c r="L3339" s="188" t="s">
        <v>1440</v>
      </c>
      <c r="M3339" s="192">
        <f t="shared" si="156"/>
        <v>19</v>
      </c>
      <c r="N3339" s="193">
        <f t="shared" si="157"/>
        <v>0.73091247672253257</v>
      </c>
      <c r="O3339" s="194">
        <f t="shared" si="158"/>
        <v>3.8469077722238558E-2</v>
      </c>
    </row>
    <row r="3340" spans="1:15" ht="12.75" customHeight="1">
      <c r="A3340" s="188" t="s">
        <v>620</v>
      </c>
      <c r="B3340" s="188" t="s">
        <v>4996</v>
      </c>
      <c r="C3340" s="188" t="s">
        <v>678</v>
      </c>
      <c r="D3340" s="188" t="s">
        <v>5019</v>
      </c>
      <c r="E3340" s="189">
        <v>39282</v>
      </c>
      <c r="F3340" s="190">
        <v>0</v>
      </c>
      <c r="G3340" s="190">
        <v>110.72</v>
      </c>
      <c r="H3340" s="191">
        <v>1335.01</v>
      </c>
      <c r="I3340" s="191">
        <v>415.2</v>
      </c>
      <c r="J3340" s="188" t="s">
        <v>624</v>
      </c>
      <c r="K3340" s="188" t="s">
        <v>427</v>
      </c>
      <c r="L3340" s="188" t="s">
        <v>1155</v>
      </c>
      <c r="M3340" s="192">
        <f t="shared" si="156"/>
        <v>25</v>
      </c>
      <c r="N3340" s="193">
        <f t="shared" si="157"/>
        <v>0.96460260115606933</v>
      </c>
      <c r="O3340" s="194">
        <f t="shared" si="158"/>
        <v>3.8584104046242775E-2</v>
      </c>
    </row>
    <row r="3341" spans="1:15" ht="12.75" customHeight="1">
      <c r="A3341" s="188" t="s">
        <v>620</v>
      </c>
      <c r="B3341" s="188" t="s">
        <v>4996</v>
      </c>
      <c r="C3341" s="188" t="s">
        <v>678</v>
      </c>
      <c r="D3341" s="188" t="s">
        <v>5020</v>
      </c>
      <c r="E3341" s="189">
        <v>39331</v>
      </c>
      <c r="F3341" s="190">
        <v>0</v>
      </c>
      <c r="G3341" s="190">
        <v>130.56</v>
      </c>
      <c r="H3341" s="191">
        <v>965.16</v>
      </c>
      <c r="I3341" s="191">
        <v>489.6</v>
      </c>
      <c r="J3341" s="188" t="s">
        <v>624</v>
      </c>
      <c r="K3341" s="188" t="s">
        <v>571</v>
      </c>
      <c r="L3341" s="188" t="s">
        <v>1732</v>
      </c>
      <c r="M3341" s="192">
        <f t="shared" si="156"/>
        <v>15</v>
      </c>
      <c r="N3341" s="193">
        <f t="shared" si="157"/>
        <v>0.59139705882352944</v>
      </c>
      <c r="O3341" s="194">
        <f t="shared" si="158"/>
        <v>3.9426470588235299E-2</v>
      </c>
    </row>
    <row r="3342" spans="1:15" ht="12.75" customHeight="1">
      <c r="A3342" s="188" t="s">
        <v>620</v>
      </c>
      <c r="B3342" s="188" t="s">
        <v>4996</v>
      </c>
      <c r="C3342" s="188" t="s">
        <v>678</v>
      </c>
      <c r="D3342" s="188" t="s">
        <v>5021</v>
      </c>
      <c r="E3342" s="189">
        <v>39373</v>
      </c>
      <c r="F3342" s="190">
        <v>0</v>
      </c>
      <c r="G3342" s="190">
        <v>32</v>
      </c>
      <c r="H3342" s="191">
        <v>300</v>
      </c>
      <c r="I3342" s="191">
        <v>120</v>
      </c>
      <c r="J3342" s="188" t="s">
        <v>624</v>
      </c>
      <c r="K3342" s="188" t="s">
        <v>667</v>
      </c>
      <c r="L3342" s="188" t="s">
        <v>910</v>
      </c>
      <c r="M3342" s="192">
        <f t="shared" si="156"/>
        <v>19</v>
      </c>
      <c r="N3342" s="193">
        <f t="shared" si="157"/>
        <v>0.75</v>
      </c>
      <c r="O3342" s="194">
        <f t="shared" si="158"/>
        <v>3.9473684210526314E-2</v>
      </c>
    </row>
    <row r="3343" spans="1:15" ht="12.75" customHeight="1">
      <c r="A3343" s="188" t="s">
        <v>620</v>
      </c>
      <c r="B3343" s="188" t="s">
        <v>4996</v>
      </c>
      <c r="C3343" s="188" t="s">
        <v>678</v>
      </c>
      <c r="D3343" s="188" t="s">
        <v>5022</v>
      </c>
      <c r="E3343" s="189">
        <v>39555</v>
      </c>
      <c r="F3343" s="190">
        <v>0</v>
      </c>
      <c r="G3343" s="190">
        <v>32.32</v>
      </c>
      <c r="H3343" s="191">
        <v>335</v>
      </c>
      <c r="I3343" s="191">
        <v>121.2</v>
      </c>
      <c r="J3343" s="188" t="s">
        <v>624</v>
      </c>
      <c r="K3343" s="188" t="s">
        <v>1344</v>
      </c>
      <c r="L3343" s="188" t="s">
        <v>5023</v>
      </c>
      <c r="M3343" s="192">
        <f t="shared" si="156"/>
        <v>21</v>
      </c>
      <c r="N3343" s="193">
        <f t="shared" si="157"/>
        <v>0.82920792079207917</v>
      </c>
      <c r="O3343" s="194">
        <f t="shared" si="158"/>
        <v>3.9486091466289487E-2</v>
      </c>
    </row>
    <row r="3344" spans="1:15" ht="12.75" customHeight="1">
      <c r="A3344" s="188" t="s">
        <v>620</v>
      </c>
      <c r="B3344" s="188" t="s">
        <v>4996</v>
      </c>
      <c r="C3344" s="188" t="s">
        <v>678</v>
      </c>
      <c r="D3344" s="188" t="s">
        <v>5024</v>
      </c>
      <c r="E3344" s="189">
        <v>39422</v>
      </c>
      <c r="F3344" s="190">
        <v>0</v>
      </c>
      <c r="G3344" s="190">
        <v>23.04</v>
      </c>
      <c r="H3344" s="191">
        <v>242</v>
      </c>
      <c r="I3344" s="191">
        <v>86.4</v>
      </c>
      <c r="J3344" s="188" t="s">
        <v>624</v>
      </c>
      <c r="K3344" s="188" t="s">
        <v>1344</v>
      </c>
      <c r="L3344" s="188" t="s">
        <v>2558</v>
      </c>
      <c r="M3344" s="192">
        <f t="shared" si="156"/>
        <v>21</v>
      </c>
      <c r="N3344" s="193">
        <f t="shared" si="157"/>
        <v>0.84027777777777779</v>
      </c>
      <c r="O3344" s="194">
        <f t="shared" si="158"/>
        <v>4.0013227513227514E-2</v>
      </c>
    </row>
    <row r="3345" spans="1:15" ht="12.75" customHeight="1">
      <c r="A3345" s="188" t="s">
        <v>620</v>
      </c>
      <c r="B3345" s="188" t="s">
        <v>4996</v>
      </c>
      <c r="C3345" s="188" t="s">
        <v>678</v>
      </c>
      <c r="D3345" s="188" t="s">
        <v>5025</v>
      </c>
      <c r="E3345" s="189">
        <v>39485</v>
      </c>
      <c r="F3345" s="190">
        <v>0</v>
      </c>
      <c r="G3345" s="190">
        <v>18.239999999999998</v>
      </c>
      <c r="H3345" s="191">
        <v>196</v>
      </c>
      <c r="I3345" s="191">
        <v>68.400000000000006</v>
      </c>
      <c r="J3345" s="188" t="s">
        <v>624</v>
      </c>
      <c r="K3345" s="188" t="s">
        <v>1344</v>
      </c>
      <c r="L3345" s="188" t="s">
        <v>463</v>
      </c>
      <c r="M3345" s="192">
        <f t="shared" si="156"/>
        <v>21</v>
      </c>
      <c r="N3345" s="193">
        <f t="shared" si="157"/>
        <v>0.85964912280701755</v>
      </c>
      <c r="O3345" s="194">
        <f t="shared" si="158"/>
        <v>4.0935672514619881E-2</v>
      </c>
    </row>
    <row r="3346" spans="1:15" ht="12.75" customHeight="1">
      <c r="A3346" s="188" t="s">
        <v>620</v>
      </c>
      <c r="B3346" s="188" t="s">
        <v>4996</v>
      </c>
      <c r="C3346" s="188" t="s">
        <v>678</v>
      </c>
      <c r="D3346" s="188" t="s">
        <v>5026</v>
      </c>
      <c r="E3346" s="189">
        <v>39436</v>
      </c>
      <c r="F3346" s="190">
        <v>0</v>
      </c>
      <c r="G3346" s="190">
        <v>31.68</v>
      </c>
      <c r="H3346" s="191">
        <v>245</v>
      </c>
      <c r="I3346" s="191">
        <v>118.8</v>
      </c>
      <c r="J3346" s="188" t="s">
        <v>624</v>
      </c>
      <c r="K3346" s="188" t="s">
        <v>571</v>
      </c>
      <c r="L3346" s="188" t="s">
        <v>3386</v>
      </c>
      <c r="M3346" s="192">
        <f t="shared" si="156"/>
        <v>15</v>
      </c>
      <c r="N3346" s="193">
        <f t="shared" si="157"/>
        <v>0.61868686868686873</v>
      </c>
      <c r="O3346" s="194">
        <f t="shared" si="158"/>
        <v>4.1245791245791245E-2</v>
      </c>
    </row>
    <row r="3347" spans="1:15" ht="12.75" customHeight="1">
      <c r="A3347" s="188" t="s">
        <v>620</v>
      </c>
      <c r="B3347" s="188" t="s">
        <v>4996</v>
      </c>
      <c r="C3347" s="188" t="s">
        <v>678</v>
      </c>
      <c r="D3347" s="188" t="s">
        <v>5027</v>
      </c>
      <c r="E3347" s="189">
        <v>39520</v>
      </c>
      <c r="F3347" s="190">
        <v>0</v>
      </c>
      <c r="G3347" s="190">
        <v>5.04</v>
      </c>
      <c r="H3347" s="191">
        <v>55</v>
      </c>
      <c r="I3347" s="191">
        <v>18.899999999999999</v>
      </c>
      <c r="J3347" s="188" t="s">
        <v>624</v>
      </c>
      <c r="K3347" s="188" t="s">
        <v>1344</v>
      </c>
      <c r="L3347" s="188" t="s">
        <v>451</v>
      </c>
      <c r="M3347" s="192">
        <f t="shared" si="156"/>
        <v>21</v>
      </c>
      <c r="N3347" s="193">
        <f t="shared" si="157"/>
        <v>0.87301587301587302</v>
      </c>
      <c r="O3347" s="194">
        <f t="shared" si="158"/>
        <v>4.1572184429327287E-2</v>
      </c>
    </row>
    <row r="3348" spans="1:15" ht="12.75" customHeight="1">
      <c r="A3348" s="188" t="s">
        <v>620</v>
      </c>
      <c r="B3348" s="188" t="s">
        <v>4996</v>
      </c>
      <c r="C3348" s="188" t="s">
        <v>678</v>
      </c>
      <c r="D3348" s="188" t="s">
        <v>5028</v>
      </c>
      <c r="E3348" s="189">
        <v>39447</v>
      </c>
      <c r="F3348" s="190">
        <v>0</v>
      </c>
      <c r="G3348" s="190">
        <v>32</v>
      </c>
      <c r="H3348" s="191">
        <v>350</v>
      </c>
      <c r="I3348" s="191">
        <v>120</v>
      </c>
      <c r="J3348" s="188" t="s">
        <v>624</v>
      </c>
      <c r="K3348" s="188" t="s">
        <v>1344</v>
      </c>
      <c r="L3348" s="188" t="s">
        <v>910</v>
      </c>
      <c r="M3348" s="192">
        <f t="shared" si="156"/>
        <v>21</v>
      </c>
      <c r="N3348" s="193">
        <f t="shared" si="157"/>
        <v>0.875</v>
      </c>
      <c r="O3348" s="194">
        <f t="shared" si="158"/>
        <v>4.1666666666666664E-2</v>
      </c>
    </row>
    <row r="3349" spans="1:15" ht="12.75" customHeight="1">
      <c r="A3349" s="188" t="s">
        <v>620</v>
      </c>
      <c r="B3349" s="188" t="s">
        <v>4996</v>
      </c>
      <c r="C3349" s="188" t="s">
        <v>678</v>
      </c>
      <c r="D3349" s="188" t="s">
        <v>5029</v>
      </c>
      <c r="E3349" s="189">
        <v>39583</v>
      </c>
      <c r="F3349" s="190">
        <v>0</v>
      </c>
      <c r="G3349" s="190">
        <v>22</v>
      </c>
      <c r="H3349" s="191">
        <v>269.5</v>
      </c>
      <c r="I3349" s="191">
        <v>82.5</v>
      </c>
      <c r="J3349" s="188" t="s">
        <v>624</v>
      </c>
      <c r="K3349" s="188" t="s">
        <v>522</v>
      </c>
      <c r="L3349" s="188" t="s">
        <v>5030</v>
      </c>
      <c r="M3349" s="192">
        <f t="shared" si="156"/>
        <v>23</v>
      </c>
      <c r="N3349" s="193">
        <f t="shared" si="157"/>
        <v>0.98</v>
      </c>
      <c r="O3349" s="194">
        <f t="shared" si="158"/>
        <v>4.2608695652173914E-2</v>
      </c>
    </row>
    <row r="3350" spans="1:15" ht="12.75" customHeight="1">
      <c r="A3350" s="188" t="s">
        <v>620</v>
      </c>
      <c r="B3350" s="188" t="s">
        <v>4996</v>
      </c>
      <c r="C3350" s="188" t="s">
        <v>678</v>
      </c>
      <c r="D3350" s="188" t="s">
        <v>5031</v>
      </c>
      <c r="E3350" s="189">
        <v>39310</v>
      </c>
      <c r="F3350" s="190">
        <v>0</v>
      </c>
      <c r="G3350" s="190">
        <v>80</v>
      </c>
      <c r="H3350" s="191">
        <v>600</v>
      </c>
      <c r="I3350" s="191">
        <v>300</v>
      </c>
      <c r="J3350" s="188" t="s">
        <v>624</v>
      </c>
      <c r="K3350" s="188" t="s">
        <v>1052</v>
      </c>
      <c r="L3350" s="188" t="s">
        <v>636</v>
      </c>
      <c r="M3350" s="192">
        <f t="shared" si="156"/>
        <v>14</v>
      </c>
      <c r="N3350" s="193">
        <f t="shared" si="157"/>
        <v>0.6</v>
      </c>
      <c r="O3350" s="194">
        <f t="shared" si="158"/>
        <v>4.2857142857142858E-2</v>
      </c>
    </row>
    <row r="3351" spans="1:15" ht="12.75" customHeight="1">
      <c r="A3351" s="188" t="s">
        <v>620</v>
      </c>
      <c r="B3351" s="188" t="s">
        <v>4996</v>
      </c>
      <c r="C3351" s="188" t="s">
        <v>678</v>
      </c>
      <c r="D3351" s="188" t="s">
        <v>5032</v>
      </c>
      <c r="E3351" s="189">
        <v>39380</v>
      </c>
      <c r="F3351" s="190">
        <v>0</v>
      </c>
      <c r="G3351" s="190">
        <v>13.92</v>
      </c>
      <c r="H3351" s="191">
        <v>112</v>
      </c>
      <c r="I3351" s="191">
        <v>52.2</v>
      </c>
      <c r="J3351" s="188" t="s">
        <v>624</v>
      </c>
      <c r="K3351" s="188" t="s">
        <v>571</v>
      </c>
      <c r="L3351" s="188" t="s">
        <v>5033</v>
      </c>
      <c r="M3351" s="192">
        <f t="shared" si="156"/>
        <v>15</v>
      </c>
      <c r="N3351" s="193">
        <f t="shared" si="157"/>
        <v>0.64367816091954022</v>
      </c>
      <c r="O3351" s="194">
        <f t="shared" si="158"/>
        <v>4.2911877394636012E-2</v>
      </c>
    </row>
    <row r="3352" spans="1:15" ht="12.75" customHeight="1">
      <c r="A3352" s="188" t="s">
        <v>620</v>
      </c>
      <c r="B3352" s="188" t="s">
        <v>4996</v>
      </c>
      <c r="C3352" s="188" t="s">
        <v>678</v>
      </c>
      <c r="D3352" s="188" t="s">
        <v>5034</v>
      </c>
      <c r="E3352" s="189">
        <v>39324</v>
      </c>
      <c r="F3352" s="190">
        <v>0</v>
      </c>
      <c r="G3352" s="190">
        <v>152</v>
      </c>
      <c r="H3352" s="191">
        <v>1550.02</v>
      </c>
      <c r="I3352" s="191">
        <v>570</v>
      </c>
      <c r="J3352" s="188" t="s">
        <v>624</v>
      </c>
      <c r="K3352" s="188" t="s">
        <v>667</v>
      </c>
      <c r="L3352" s="188" t="s">
        <v>1673</v>
      </c>
      <c r="M3352" s="192">
        <f t="shared" si="156"/>
        <v>19</v>
      </c>
      <c r="N3352" s="193">
        <f t="shared" si="157"/>
        <v>0.81579999999999997</v>
      </c>
      <c r="O3352" s="194">
        <f t="shared" si="158"/>
        <v>4.2936842105263155E-2</v>
      </c>
    </row>
    <row r="3353" spans="1:15" ht="12.75" customHeight="1">
      <c r="A3353" s="188" t="s">
        <v>620</v>
      </c>
      <c r="B3353" s="188" t="s">
        <v>4996</v>
      </c>
      <c r="C3353" s="188" t="s">
        <v>678</v>
      </c>
      <c r="D3353" s="188" t="s">
        <v>5035</v>
      </c>
      <c r="E3353" s="189">
        <v>39541</v>
      </c>
      <c r="F3353" s="190">
        <v>0</v>
      </c>
      <c r="G3353" s="190">
        <v>64</v>
      </c>
      <c r="H3353" s="191">
        <v>520</v>
      </c>
      <c r="I3353" s="191">
        <v>240</v>
      </c>
      <c r="J3353" s="188" t="s">
        <v>624</v>
      </c>
      <c r="K3353" s="188" t="s">
        <v>571</v>
      </c>
      <c r="L3353" s="188" t="s">
        <v>752</v>
      </c>
      <c r="M3353" s="192">
        <f t="shared" si="156"/>
        <v>15</v>
      </c>
      <c r="N3353" s="193">
        <f t="shared" si="157"/>
        <v>0.65</v>
      </c>
      <c r="O3353" s="194">
        <f t="shared" si="158"/>
        <v>4.3333333333333335E-2</v>
      </c>
    </row>
    <row r="3354" spans="1:15" ht="12.75" customHeight="1">
      <c r="A3354" s="188" t="s">
        <v>620</v>
      </c>
      <c r="B3354" s="188" t="s">
        <v>4996</v>
      </c>
      <c r="C3354" s="188" t="s">
        <v>678</v>
      </c>
      <c r="D3354" s="188" t="s">
        <v>5036</v>
      </c>
      <c r="E3354" s="189">
        <v>39401</v>
      </c>
      <c r="F3354" s="190">
        <v>0</v>
      </c>
      <c r="G3354" s="190">
        <v>14.72</v>
      </c>
      <c r="H3354" s="191">
        <v>124.77</v>
      </c>
      <c r="I3354" s="191">
        <v>55.2</v>
      </c>
      <c r="J3354" s="188" t="s">
        <v>624</v>
      </c>
      <c r="K3354" s="188" t="s">
        <v>571</v>
      </c>
      <c r="L3354" s="188" t="s">
        <v>5037</v>
      </c>
      <c r="M3354" s="192">
        <f t="shared" si="156"/>
        <v>15</v>
      </c>
      <c r="N3354" s="193">
        <f t="shared" si="157"/>
        <v>0.67809782608695646</v>
      </c>
      <c r="O3354" s="194">
        <f t="shared" si="158"/>
        <v>4.520652173913043E-2</v>
      </c>
    </row>
    <row r="3355" spans="1:15" ht="12.75" customHeight="1">
      <c r="A3355" s="188" t="s">
        <v>620</v>
      </c>
      <c r="B3355" s="188" t="s">
        <v>4996</v>
      </c>
      <c r="C3355" s="188" t="s">
        <v>678</v>
      </c>
      <c r="D3355" s="188" t="s">
        <v>5038</v>
      </c>
      <c r="E3355" s="189">
        <v>39447</v>
      </c>
      <c r="F3355" s="190">
        <v>0</v>
      </c>
      <c r="G3355" s="190">
        <v>76.400000000000006</v>
      </c>
      <c r="H3355" s="191">
        <v>651</v>
      </c>
      <c r="I3355" s="191">
        <v>286.5</v>
      </c>
      <c r="J3355" s="188" t="s">
        <v>624</v>
      </c>
      <c r="K3355" s="188" t="s">
        <v>571</v>
      </c>
      <c r="L3355" s="188" t="s">
        <v>2243</v>
      </c>
      <c r="M3355" s="192">
        <f t="shared" si="156"/>
        <v>15</v>
      </c>
      <c r="N3355" s="193">
        <f t="shared" si="157"/>
        <v>0.68167539267015709</v>
      </c>
      <c r="O3355" s="194">
        <f t="shared" si="158"/>
        <v>4.5445026178010474E-2</v>
      </c>
    </row>
    <row r="3356" spans="1:15" ht="12.75" customHeight="1">
      <c r="A3356" s="188" t="s">
        <v>620</v>
      </c>
      <c r="B3356" s="188" t="s">
        <v>4996</v>
      </c>
      <c r="C3356" s="188" t="s">
        <v>678</v>
      </c>
      <c r="D3356" s="188" t="s">
        <v>5039</v>
      </c>
      <c r="E3356" s="189">
        <v>39416</v>
      </c>
      <c r="F3356" s="190">
        <v>0</v>
      </c>
      <c r="G3356" s="190">
        <v>6.4</v>
      </c>
      <c r="H3356" s="191">
        <v>55</v>
      </c>
      <c r="I3356" s="191">
        <v>24</v>
      </c>
      <c r="J3356" s="188" t="s">
        <v>624</v>
      </c>
      <c r="K3356" s="188" t="s">
        <v>571</v>
      </c>
      <c r="L3356" s="188" t="s">
        <v>528</v>
      </c>
      <c r="M3356" s="192">
        <f t="shared" si="156"/>
        <v>15</v>
      </c>
      <c r="N3356" s="193">
        <f t="shared" si="157"/>
        <v>0.6875</v>
      </c>
      <c r="O3356" s="194">
        <f t="shared" si="158"/>
        <v>4.583333333333333E-2</v>
      </c>
    </row>
    <row r="3357" spans="1:15" ht="12.75" customHeight="1">
      <c r="A3357" s="188" t="s">
        <v>620</v>
      </c>
      <c r="B3357" s="188" t="s">
        <v>4996</v>
      </c>
      <c r="C3357" s="188" t="s">
        <v>678</v>
      </c>
      <c r="D3357" s="188" t="s">
        <v>5040</v>
      </c>
      <c r="E3357" s="189">
        <v>39611</v>
      </c>
      <c r="F3357" s="190">
        <v>0</v>
      </c>
      <c r="G3357" s="190">
        <v>51.2</v>
      </c>
      <c r="H3357" s="191">
        <v>448</v>
      </c>
      <c r="I3357" s="191">
        <v>192</v>
      </c>
      <c r="J3357" s="188" t="s">
        <v>624</v>
      </c>
      <c r="K3357" s="188" t="s">
        <v>571</v>
      </c>
      <c r="L3357" s="188" t="s">
        <v>1849</v>
      </c>
      <c r="M3357" s="192">
        <f t="shared" si="156"/>
        <v>15</v>
      </c>
      <c r="N3357" s="193">
        <f t="shared" si="157"/>
        <v>0.7</v>
      </c>
      <c r="O3357" s="194">
        <f t="shared" si="158"/>
        <v>4.6666666666666662E-2</v>
      </c>
    </row>
    <row r="3358" spans="1:15" ht="12.75" customHeight="1">
      <c r="A3358" s="188" t="s">
        <v>620</v>
      </c>
      <c r="B3358" s="188" t="s">
        <v>4996</v>
      </c>
      <c r="C3358" s="188" t="s">
        <v>678</v>
      </c>
      <c r="D3358" s="188" t="s">
        <v>5041</v>
      </c>
      <c r="E3358" s="189">
        <v>39366</v>
      </c>
      <c r="F3358" s="190">
        <v>0</v>
      </c>
      <c r="G3358" s="190">
        <v>71.84</v>
      </c>
      <c r="H3358" s="191">
        <v>628.6</v>
      </c>
      <c r="I3358" s="191">
        <v>269.39999999999998</v>
      </c>
      <c r="J3358" s="188" t="s">
        <v>624</v>
      </c>
      <c r="K3358" s="188" t="s">
        <v>571</v>
      </c>
      <c r="L3358" s="188" t="s">
        <v>5042</v>
      </c>
      <c r="M3358" s="192">
        <f t="shared" si="156"/>
        <v>15</v>
      </c>
      <c r="N3358" s="193">
        <f t="shared" si="157"/>
        <v>0.70000000000000007</v>
      </c>
      <c r="O3358" s="194">
        <f t="shared" si="158"/>
        <v>4.6666666666666669E-2</v>
      </c>
    </row>
    <row r="3359" spans="1:15" ht="12.75" customHeight="1">
      <c r="A3359" s="188" t="s">
        <v>620</v>
      </c>
      <c r="B3359" s="188" t="s">
        <v>4996</v>
      </c>
      <c r="C3359" s="188" t="s">
        <v>678</v>
      </c>
      <c r="D3359" s="188" t="s">
        <v>5043</v>
      </c>
      <c r="E3359" s="189">
        <v>39534</v>
      </c>
      <c r="F3359" s="190">
        <v>0</v>
      </c>
      <c r="G3359" s="190">
        <v>14.24</v>
      </c>
      <c r="H3359" s="191">
        <v>175</v>
      </c>
      <c r="I3359" s="191">
        <v>53.4</v>
      </c>
      <c r="J3359" s="188" t="s">
        <v>624</v>
      </c>
      <c r="K3359" s="188" t="s">
        <v>1344</v>
      </c>
      <c r="L3359" s="188" t="s">
        <v>481</v>
      </c>
      <c r="M3359" s="192">
        <f t="shared" si="156"/>
        <v>21</v>
      </c>
      <c r="N3359" s="193">
        <f t="shared" si="157"/>
        <v>0.9831460674157303</v>
      </c>
      <c r="O3359" s="194">
        <f t="shared" si="158"/>
        <v>4.681647940074906E-2</v>
      </c>
    </row>
    <row r="3360" spans="1:15" ht="12.75" customHeight="1">
      <c r="A3360" s="188" t="s">
        <v>620</v>
      </c>
      <c r="B3360" s="188" t="s">
        <v>4996</v>
      </c>
      <c r="C3360" s="188" t="s">
        <v>678</v>
      </c>
      <c r="D3360" s="188" t="s">
        <v>5044</v>
      </c>
      <c r="E3360" s="189">
        <v>39401</v>
      </c>
      <c r="F3360" s="190">
        <v>0</v>
      </c>
      <c r="G3360" s="190">
        <v>20.96</v>
      </c>
      <c r="H3360" s="191">
        <v>185</v>
      </c>
      <c r="I3360" s="191">
        <v>78.599999999999994</v>
      </c>
      <c r="J3360" s="188" t="s">
        <v>624</v>
      </c>
      <c r="K3360" s="188" t="s">
        <v>571</v>
      </c>
      <c r="L3360" s="188" t="s">
        <v>5045</v>
      </c>
      <c r="M3360" s="192">
        <f t="shared" si="156"/>
        <v>15</v>
      </c>
      <c r="N3360" s="193">
        <f t="shared" si="157"/>
        <v>0.70610687022900764</v>
      </c>
      <c r="O3360" s="194">
        <f t="shared" si="158"/>
        <v>4.7073791348600506E-2</v>
      </c>
    </row>
    <row r="3361" spans="1:15" ht="12.75" customHeight="1">
      <c r="A3361" s="188" t="s">
        <v>620</v>
      </c>
      <c r="B3361" s="188" t="s">
        <v>4996</v>
      </c>
      <c r="C3361" s="188" t="s">
        <v>678</v>
      </c>
      <c r="D3361" s="188" t="s">
        <v>5046</v>
      </c>
      <c r="E3361" s="189">
        <v>39407</v>
      </c>
      <c r="F3361" s="190">
        <v>0</v>
      </c>
      <c r="G3361" s="190">
        <v>96</v>
      </c>
      <c r="H3361" s="191">
        <v>800</v>
      </c>
      <c r="I3361" s="191">
        <v>360</v>
      </c>
      <c r="J3361" s="188" t="s">
        <v>624</v>
      </c>
      <c r="K3361" s="188" t="s">
        <v>1052</v>
      </c>
      <c r="L3361" s="188" t="s">
        <v>632</v>
      </c>
      <c r="M3361" s="192">
        <f t="shared" si="156"/>
        <v>14</v>
      </c>
      <c r="N3361" s="193">
        <f t="shared" si="157"/>
        <v>0.66666666666666663</v>
      </c>
      <c r="O3361" s="194">
        <f t="shared" si="158"/>
        <v>4.7619047619047616E-2</v>
      </c>
    </row>
    <row r="3362" spans="1:15" ht="12.75" customHeight="1">
      <c r="A3362" s="188" t="s">
        <v>620</v>
      </c>
      <c r="B3362" s="188" t="s">
        <v>4996</v>
      </c>
      <c r="C3362" s="188" t="s">
        <v>678</v>
      </c>
      <c r="D3362" s="188" t="s">
        <v>5047</v>
      </c>
      <c r="E3362" s="189">
        <v>39447</v>
      </c>
      <c r="F3362" s="190">
        <v>0</v>
      </c>
      <c r="G3362" s="190">
        <v>12.72</v>
      </c>
      <c r="H3362" s="191">
        <v>159</v>
      </c>
      <c r="I3362" s="191">
        <v>47.7</v>
      </c>
      <c r="J3362" s="188" t="s">
        <v>624</v>
      </c>
      <c r="K3362" s="188" t="s">
        <v>1344</v>
      </c>
      <c r="L3362" s="188" t="s">
        <v>381</v>
      </c>
      <c r="M3362" s="192">
        <f t="shared" si="156"/>
        <v>21</v>
      </c>
      <c r="N3362" s="193">
        <f t="shared" si="157"/>
        <v>1</v>
      </c>
      <c r="O3362" s="194">
        <f t="shared" si="158"/>
        <v>4.7619047619047616E-2</v>
      </c>
    </row>
    <row r="3363" spans="1:15" ht="12.75" customHeight="1">
      <c r="A3363" s="188" t="s">
        <v>620</v>
      </c>
      <c r="B3363" s="188" t="s">
        <v>4996</v>
      </c>
      <c r="C3363" s="188" t="s">
        <v>678</v>
      </c>
      <c r="D3363" s="188" t="s">
        <v>5048</v>
      </c>
      <c r="E3363" s="189">
        <v>39471</v>
      </c>
      <c r="F3363" s="190">
        <v>0</v>
      </c>
      <c r="G3363" s="190">
        <v>13.6</v>
      </c>
      <c r="H3363" s="191">
        <v>170</v>
      </c>
      <c r="I3363" s="191">
        <v>51</v>
      </c>
      <c r="J3363" s="188" t="s">
        <v>624</v>
      </c>
      <c r="K3363" s="188" t="s">
        <v>1344</v>
      </c>
      <c r="L3363" s="188" t="s">
        <v>492</v>
      </c>
      <c r="M3363" s="192">
        <f t="shared" si="156"/>
        <v>21</v>
      </c>
      <c r="N3363" s="193">
        <f t="shared" si="157"/>
        <v>1</v>
      </c>
      <c r="O3363" s="194">
        <f t="shared" si="158"/>
        <v>4.7619047619047616E-2</v>
      </c>
    </row>
    <row r="3364" spans="1:15" ht="12.75" customHeight="1">
      <c r="A3364" s="188" t="s">
        <v>620</v>
      </c>
      <c r="B3364" s="188" t="s">
        <v>4996</v>
      </c>
      <c r="C3364" s="188" t="s">
        <v>678</v>
      </c>
      <c r="D3364" s="188" t="s">
        <v>5049</v>
      </c>
      <c r="E3364" s="189">
        <v>39534</v>
      </c>
      <c r="F3364" s="190">
        <v>0</v>
      </c>
      <c r="G3364" s="190">
        <v>4</v>
      </c>
      <c r="H3364" s="191">
        <v>50</v>
      </c>
      <c r="I3364" s="191">
        <v>15</v>
      </c>
      <c r="J3364" s="188" t="s">
        <v>624</v>
      </c>
      <c r="K3364" s="188" t="s">
        <v>1344</v>
      </c>
      <c r="L3364" s="188" t="s">
        <v>299</v>
      </c>
      <c r="M3364" s="192">
        <f t="shared" si="156"/>
        <v>21</v>
      </c>
      <c r="N3364" s="193">
        <f t="shared" si="157"/>
        <v>1</v>
      </c>
      <c r="O3364" s="194">
        <f t="shared" si="158"/>
        <v>4.7619047619047616E-2</v>
      </c>
    </row>
    <row r="3365" spans="1:15" ht="12.75" customHeight="1">
      <c r="A3365" s="188" t="s">
        <v>620</v>
      </c>
      <c r="B3365" s="188" t="s">
        <v>4996</v>
      </c>
      <c r="C3365" s="188" t="s">
        <v>678</v>
      </c>
      <c r="D3365" s="188" t="s">
        <v>5050</v>
      </c>
      <c r="E3365" s="189">
        <v>39590</v>
      </c>
      <c r="F3365" s="190">
        <v>0</v>
      </c>
      <c r="G3365" s="190">
        <v>6</v>
      </c>
      <c r="H3365" s="191">
        <v>75</v>
      </c>
      <c r="I3365" s="191">
        <v>22.5</v>
      </c>
      <c r="J3365" s="188" t="s">
        <v>624</v>
      </c>
      <c r="K3365" s="188" t="s">
        <v>1344</v>
      </c>
      <c r="L3365" s="188" t="s">
        <v>311</v>
      </c>
      <c r="M3365" s="192">
        <f t="shared" si="156"/>
        <v>21</v>
      </c>
      <c r="N3365" s="193">
        <f t="shared" si="157"/>
        <v>1</v>
      </c>
      <c r="O3365" s="194">
        <f t="shared" si="158"/>
        <v>4.7619047619047616E-2</v>
      </c>
    </row>
    <row r="3366" spans="1:15" ht="12.75" customHeight="1">
      <c r="A3366" s="188" t="s">
        <v>620</v>
      </c>
      <c r="B3366" s="188" t="s">
        <v>4996</v>
      </c>
      <c r="C3366" s="188" t="s">
        <v>678</v>
      </c>
      <c r="D3366" s="188" t="s">
        <v>5051</v>
      </c>
      <c r="E3366" s="189">
        <v>39447</v>
      </c>
      <c r="F3366" s="190">
        <v>0</v>
      </c>
      <c r="G3366" s="190">
        <v>58.4</v>
      </c>
      <c r="H3366" s="191">
        <v>456</v>
      </c>
      <c r="I3366" s="191">
        <v>219</v>
      </c>
      <c r="J3366" s="188" t="s">
        <v>624</v>
      </c>
      <c r="K3366" s="188" t="s">
        <v>652</v>
      </c>
      <c r="L3366" s="188" t="s">
        <v>3259</v>
      </c>
      <c r="M3366" s="192">
        <f t="shared" si="156"/>
        <v>13</v>
      </c>
      <c r="N3366" s="193">
        <f t="shared" si="157"/>
        <v>0.62465753424657533</v>
      </c>
      <c r="O3366" s="194">
        <f t="shared" si="158"/>
        <v>4.805057955742887E-2</v>
      </c>
    </row>
    <row r="3367" spans="1:15" ht="12.75" customHeight="1">
      <c r="A3367" s="188" t="s">
        <v>620</v>
      </c>
      <c r="B3367" s="188" t="s">
        <v>4996</v>
      </c>
      <c r="C3367" s="188" t="s">
        <v>678</v>
      </c>
      <c r="D3367" s="188" t="s">
        <v>5052</v>
      </c>
      <c r="E3367" s="189">
        <v>39436</v>
      </c>
      <c r="F3367" s="190">
        <v>0</v>
      </c>
      <c r="G3367" s="190">
        <v>80.64</v>
      </c>
      <c r="H3367" s="191">
        <v>1029</v>
      </c>
      <c r="I3367" s="191">
        <v>302.39999999999998</v>
      </c>
      <c r="J3367" s="188" t="s">
        <v>624</v>
      </c>
      <c r="K3367" s="188" t="s">
        <v>1344</v>
      </c>
      <c r="L3367" s="188" t="s">
        <v>736</v>
      </c>
      <c r="M3367" s="192">
        <f t="shared" si="156"/>
        <v>21</v>
      </c>
      <c r="N3367" s="193">
        <f t="shared" si="157"/>
        <v>1.0208333333333333</v>
      </c>
      <c r="O3367" s="194">
        <f t="shared" si="158"/>
        <v>4.8611111111111105E-2</v>
      </c>
    </row>
    <row r="3368" spans="1:15" ht="12.75" customHeight="1">
      <c r="A3368" s="188" t="s">
        <v>620</v>
      </c>
      <c r="B3368" s="188" t="s">
        <v>4996</v>
      </c>
      <c r="C3368" s="188" t="s">
        <v>678</v>
      </c>
      <c r="D3368" s="188" t="s">
        <v>5053</v>
      </c>
      <c r="E3368" s="189">
        <v>39352</v>
      </c>
      <c r="F3368" s="190">
        <v>0</v>
      </c>
      <c r="G3368" s="190">
        <v>149.91999999999999</v>
      </c>
      <c r="H3368" s="191">
        <v>1394</v>
      </c>
      <c r="I3368" s="191">
        <v>562.20000000000005</v>
      </c>
      <c r="J3368" s="188" t="s">
        <v>624</v>
      </c>
      <c r="K3368" s="188" t="s">
        <v>571</v>
      </c>
      <c r="L3368" s="188" t="s">
        <v>3944</v>
      </c>
      <c r="M3368" s="192">
        <f t="shared" si="156"/>
        <v>15</v>
      </c>
      <c r="N3368" s="193">
        <f t="shared" si="157"/>
        <v>0.74386339381003197</v>
      </c>
      <c r="O3368" s="194">
        <f t="shared" si="158"/>
        <v>4.9590892920668796E-2</v>
      </c>
    </row>
    <row r="3369" spans="1:15" ht="12.75" customHeight="1">
      <c r="A3369" s="188" t="s">
        <v>620</v>
      </c>
      <c r="B3369" s="188" t="s">
        <v>4996</v>
      </c>
      <c r="C3369" s="188" t="s">
        <v>678</v>
      </c>
      <c r="D3369" s="188" t="s">
        <v>5054</v>
      </c>
      <c r="E3369" s="189">
        <v>39632</v>
      </c>
      <c r="F3369" s="190">
        <v>0</v>
      </c>
      <c r="G3369" s="190">
        <v>55.52</v>
      </c>
      <c r="H3369" s="191">
        <v>729</v>
      </c>
      <c r="I3369" s="191">
        <v>208.2</v>
      </c>
      <c r="J3369" s="188" t="s">
        <v>624</v>
      </c>
      <c r="K3369" s="188" t="s">
        <v>1344</v>
      </c>
      <c r="L3369" s="188" t="s">
        <v>5055</v>
      </c>
      <c r="M3369" s="192">
        <f t="shared" si="156"/>
        <v>21</v>
      </c>
      <c r="N3369" s="193">
        <f t="shared" si="157"/>
        <v>1.0504322766570606</v>
      </c>
      <c r="O3369" s="194">
        <f t="shared" si="158"/>
        <v>5.0020584602717175E-2</v>
      </c>
    </row>
    <row r="3370" spans="1:15" ht="12.75" customHeight="1">
      <c r="A3370" s="188" t="s">
        <v>620</v>
      </c>
      <c r="B3370" s="188" t="s">
        <v>4996</v>
      </c>
      <c r="C3370" s="188" t="s">
        <v>678</v>
      </c>
      <c r="D3370" s="188" t="s">
        <v>5056</v>
      </c>
      <c r="E3370" s="189">
        <v>39447</v>
      </c>
      <c r="F3370" s="190">
        <v>0</v>
      </c>
      <c r="G3370" s="190">
        <v>32.479999999999997</v>
      </c>
      <c r="H3370" s="191">
        <v>305</v>
      </c>
      <c r="I3370" s="191">
        <v>121.8</v>
      </c>
      <c r="J3370" s="188" t="s">
        <v>624</v>
      </c>
      <c r="K3370" s="188" t="s">
        <v>571</v>
      </c>
      <c r="L3370" s="188" t="s">
        <v>515</v>
      </c>
      <c r="M3370" s="192">
        <f t="shared" si="156"/>
        <v>15</v>
      </c>
      <c r="N3370" s="193">
        <f t="shared" si="157"/>
        <v>0.75123152709359609</v>
      </c>
      <c r="O3370" s="194">
        <f t="shared" si="158"/>
        <v>5.0082101806239739E-2</v>
      </c>
    </row>
    <row r="3371" spans="1:15" ht="12.75" customHeight="1">
      <c r="A3371" s="188" t="s">
        <v>620</v>
      </c>
      <c r="B3371" s="188" t="s">
        <v>4996</v>
      </c>
      <c r="C3371" s="188" t="s">
        <v>678</v>
      </c>
      <c r="D3371" s="188" t="s">
        <v>5057</v>
      </c>
      <c r="E3371" s="189">
        <v>39447</v>
      </c>
      <c r="F3371" s="190">
        <v>0</v>
      </c>
      <c r="G3371" s="190">
        <v>11.2</v>
      </c>
      <c r="H3371" s="191">
        <v>150</v>
      </c>
      <c r="I3371" s="191">
        <v>42</v>
      </c>
      <c r="J3371" s="188" t="s">
        <v>624</v>
      </c>
      <c r="K3371" s="188" t="s">
        <v>1344</v>
      </c>
      <c r="L3371" s="188" t="s">
        <v>563</v>
      </c>
      <c r="M3371" s="192">
        <f t="shared" si="156"/>
        <v>21</v>
      </c>
      <c r="N3371" s="193">
        <f t="shared" si="157"/>
        <v>1.0714285714285714</v>
      </c>
      <c r="O3371" s="194">
        <f t="shared" si="158"/>
        <v>5.1020408163265307E-2</v>
      </c>
    </row>
    <row r="3372" spans="1:15" ht="12.75" customHeight="1">
      <c r="A3372" s="188" t="s">
        <v>620</v>
      </c>
      <c r="B3372" s="188" t="s">
        <v>4996</v>
      </c>
      <c r="C3372" s="188" t="s">
        <v>678</v>
      </c>
      <c r="D3372" s="188" t="s">
        <v>5058</v>
      </c>
      <c r="E3372" s="189">
        <v>39310</v>
      </c>
      <c r="F3372" s="190">
        <v>0</v>
      </c>
      <c r="G3372" s="190">
        <v>81.28</v>
      </c>
      <c r="H3372" s="191">
        <v>789.13</v>
      </c>
      <c r="I3372" s="191">
        <v>304.8</v>
      </c>
      <c r="J3372" s="188" t="s">
        <v>624</v>
      </c>
      <c r="K3372" s="188" t="s">
        <v>571</v>
      </c>
      <c r="L3372" s="188" t="s">
        <v>1240</v>
      </c>
      <c r="M3372" s="192">
        <f t="shared" si="156"/>
        <v>15</v>
      </c>
      <c r="N3372" s="193">
        <f t="shared" si="157"/>
        <v>0.77670275590551185</v>
      </c>
      <c r="O3372" s="194">
        <f t="shared" si="158"/>
        <v>5.1780183727034121E-2</v>
      </c>
    </row>
    <row r="3373" spans="1:15" ht="12.75" customHeight="1">
      <c r="A3373" s="188" t="s">
        <v>620</v>
      </c>
      <c r="B3373" s="188" t="s">
        <v>4996</v>
      </c>
      <c r="C3373" s="188" t="s">
        <v>678</v>
      </c>
      <c r="D3373" s="188" t="s">
        <v>5059</v>
      </c>
      <c r="E3373" s="189">
        <v>39373</v>
      </c>
      <c r="F3373" s="190">
        <v>0</v>
      </c>
      <c r="G3373" s="190">
        <v>42.08</v>
      </c>
      <c r="H3373" s="191">
        <v>572</v>
      </c>
      <c r="I3373" s="191">
        <v>157.80000000000001</v>
      </c>
      <c r="J3373" s="188" t="s">
        <v>624</v>
      </c>
      <c r="K3373" s="188" t="s">
        <v>1344</v>
      </c>
      <c r="L3373" s="188" t="s">
        <v>5060</v>
      </c>
      <c r="M3373" s="192">
        <f t="shared" si="156"/>
        <v>21</v>
      </c>
      <c r="N3373" s="193">
        <f t="shared" si="157"/>
        <v>1.0874524714828897</v>
      </c>
      <c r="O3373" s="194">
        <f t="shared" si="158"/>
        <v>5.1783451022994746E-2</v>
      </c>
    </row>
    <row r="3374" spans="1:15" ht="12.75" customHeight="1">
      <c r="A3374" s="188" t="s">
        <v>620</v>
      </c>
      <c r="B3374" s="188" t="s">
        <v>4996</v>
      </c>
      <c r="C3374" s="188" t="s">
        <v>678</v>
      </c>
      <c r="D3374" s="188" t="s">
        <v>5061</v>
      </c>
      <c r="E3374" s="189">
        <v>39339</v>
      </c>
      <c r="F3374" s="190">
        <v>0</v>
      </c>
      <c r="G3374" s="190">
        <v>149.84</v>
      </c>
      <c r="H3374" s="191">
        <v>1458</v>
      </c>
      <c r="I3374" s="191">
        <v>561.9</v>
      </c>
      <c r="J3374" s="188" t="s">
        <v>624</v>
      </c>
      <c r="K3374" s="188" t="s">
        <v>571</v>
      </c>
      <c r="L3374" s="188" t="s">
        <v>5062</v>
      </c>
      <c r="M3374" s="192">
        <f t="shared" si="156"/>
        <v>15</v>
      </c>
      <c r="N3374" s="193">
        <f t="shared" si="157"/>
        <v>0.77843032568072612</v>
      </c>
      <c r="O3374" s="194">
        <f t="shared" si="158"/>
        <v>5.1895355045381744E-2</v>
      </c>
    </row>
    <row r="3375" spans="1:15" ht="12.75" customHeight="1">
      <c r="A3375" s="188" t="s">
        <v>620</v>
      </c>
      <c r="B3375" s="188" t="s">
        <v>4996</v>
      </c>
      <c r="C3375" s="188" t="s">
        <v>678</v>
      </c>
      <c r="D3375" s="188" t="s">
        <v>5063</v>
      </c>
      <c r="E3375" s="189">
        <v>39534</v>
      </c>
      <c r="F3375" s="190">
        <v>0</v>
      </c>
      <c r="G3375" s="190">
        <v>37.6</v>
      </c>
      <c r="H3375" s="191">
        <v>367</v>
      </c>
      <c r="I3375" s="191">
        <v>141</v>
      </c>
      <c r="J3375" s="188" t="s">
        <v>624</v>
      </c>
      <c r="K3375" s="188" t="s">
        <v>571</v>
      </c>
      <c r="L3375" s="188" t="s">
        <v>5064</v>
      </c>
      <c r="M3375" s="192">
        <f t="shared" si="156"/>
        <v>15</v>
      </c>
      <c r="N3375" s="193">
        <f t="shared" si="157"/>
        <v>0.7808510638297872</v>
      </c>
      <c r="O3375" s="194">
        <f t="shared" si="158"/>
        <v>5.205673758865248E-2</v>
      </c>
    </row>
    <row r="3376" spans="1:15" ht="12.75" customHeight="1">
      <c r="A3376" s="188" t="s">
        <v>620</v>
      </c>
      <c r="B3376" s="188" t="s">
        <v>4996</v>
      </c>
      <c r="C3376" s="188" t="s">
        <v>678</v>
      </c>
      <c r="D3376" s="188" t="s">
        <v>5065</v>
      </c>
      <c r="E3376" s="189">
        <v>39527</v>
      </c>
      <c r="F3376" s="190">
        <v>0</v>
      </c>
      <c r="G3376" s="190">
        <v>14.4</v>
      </c>
      <c r="H3376" s="191">
        <v>141</v>
      </c>
      <c r="I3376" s="191">
        <v>54</v>
      </c>
      <c r="J3376" s="188" t="s">
        <v>624</v>
      </c>
      <c r="K3376" s="188" t="s">
        <v>571</v>
      </c>
      <c r="L3376" s="188" t="s">
        <v>302</v>
      </c>
      <c r="M3376" s="192">
        <f t="shared" si="156"/>
        <v>15</v>
      </c>
      <c r="N3376" s="193">
        <f t="shared" si="157"/>
        <v>0.78333333333333333</v>
      </c>
      <c r="O3376" s="194">
        <f t="shared" si="158"/>
        <v>5.2222222222222218E-2</v>
      </c>
    </row>
    <row r="3377" spans="1:15" ht="12.75" customHeight="1">
      <c r="A3377" s="188" t="s">
        <v>620</v>
      </c>
      <c r="B3377" s="188" t="s">
        <v>4996</v>
      </c>
      <c r="C3377" s="188" t="s">
        <v>678</v>
      </c>
      <c r="D3377" s="188" t="s">
        <v>5066</v>
      </c>
      <c r="E3377" s="189">
        <v>39353</v>
      </c>
      <c r="F3377" s="190">
        <v>0</v>
      </c>
      <c r="G3377" s="190">
        <v>177.92</v>
      </c>
      <c r="H3377" s="191">
        <v>2486</v>
      </c>
      <c r="I3377" s="191">
        <v>667.2</v>
      </c>
      <c r="J3377" s="188" t="s">
        <v>624</v>
      </c>
      <c r="K3377" s="188" t="s">
        <v>1344</v>
      </c>
      <c r="L3377" s="188" t="s">
        <v>5067</v>
      </c>
      <c r="M3377" s="192">
        <f t="shared" si="156"/>
        <v>21</v>
      </c>
      <c r="N3377" s="193">
        <f t="shared" si="157"/>
        <v>1.1178057553956835</v>
      </c>
      <c r="O3377" s="194">
        <f t="shared" si="158"/>
        <v>5.3228845495032547E-2</v>
      </c>
    </row>
    <row r="3378" spans="1:15" ht="12.75" customHeight="1">
      <c r="A3378" s="188" t="s">
        <v>620</v>
      </c>
      <c r="B3378" s="188" t="s">
        <v>4996</v>
      </c>
      <c r="C3378" s="188" t="s">
        <v>678</v>
      </c>
      <c r="D3378" s="188" t="s">
        <v>5068</v>
      </c>
      <c r="E3378" s="189">
        <v>39447</v>
      </c>
      <c r="F3378" s="190">
        <v>0</v>
      </c>
      <c r="G3378" s="190">
        <v>113.6</v>
      </c>
      <c r="H3378" s="191">
        <v>1590.4</v>
      </c>
      <c r="I3378" s="191">
        <v>426</v>
      </c>
      <c r="J3378" s="188" t="s">
        <v>624</v>
      </c>
      <c r="K3378" s="188" t="s">
        <v>1344</v>
      </c>
      <c r="L3378" s="188" t="s">
        <v>2301</v>
      </c>
      <c r="M3378" s="192">
        <f t="shared" si="156"/>
        <v>21</v>
      </c>
      <c r="N3378" s="193">
        <f t="shared" si="157"/>
        <v>1.1200000000000001</v>
      </c>
      <c r="O3378" s="194">
        <f t="shared" si="158"/>
        <v>5.3333333333333337E-2</v>
      </c>
    </row>
    <row r="3379" spans="1:15" ht="12.75" customHeight="1">
      <c r="A3379" s="188" t="s">
        <v>620</v>
      </c>
      <c r="B3379" s="188" t="s">
        <v>4996</v>
      </c>
      <c r="C3379" s="188" t="s">
        <v>678</v>
      </c>
      <c r="D3379" s="188" t="s">
        <v>5069</v>
      </c>
      <c r="E3379" s="189">
        <v>39471</v>
      </c>
      <c r="F3379" s="190">
        <v>0</v>
      </c>
      <c r="G3379" s="190">
        <v>20</v>
      </c>
      <c r="H3379" s="191">
        <v>200</v>
      </c>
      <c r="I3379" s="191">
        <v>75</v>
      </c>
      <c r="J3379" s="188" t="s">
        <v>624</v>
      </c>
      <c r="K3379" s="188" t="s">
        <v>571</v>
      </c>
      <c r="L3379" s="188" t="s">
        <v>2387</v>
      </c>
      <c r="M3379" s="192">
        <f t="shared" si="156"/>
        <v>15</v>
      </c>
      <c r="N3379" s="193">
        <f t="shared" si="157"/>
        <v>0.8</v>
      </c>
      <c r="O3379" s="194">
        <f t="shared" si="158"/>
        <v>5.3333333333333337E-2</v>
      </c>
    </row>
    <row r="3380" spans="1:15" ht="12.75" customHeight="1">
      <c r="A3380" s="188" t="s">
        <v>620</v>
      </c>
      <c r="B3380" s="188" t="s">
        <v>4996</v>
      </c>
      <c r="C3380" s="188" t="s">
        <v>678</v>
      </c>
      <c r="D3380" s="188" t="s">
        <v>5070</v>
      </c>
      <c r="E3380" s="189">
        <v>39317</v>
      </c>
      <c r="F3380" s="190">
        <v>0</v>
      </c>
      <c r="G3380" s="190">
        <v>76.88</v>
      </c>
      <c r="H3380" s="191">
        <v>1081.99</v>
      </c>
      <c r="I3380" s="191">
        <v>288.3</v>
      </c>
      <c r="J3380" s="188" t="s">
        <v>624</v>
      </c>
      <c r="K3380" s="188" t="s">
        <v>1344</v>
      </c>
      <c r="L3380" s="188" t="s">
        <v>5071</v>
      </c>
      <c r="M3380" s="192">
        <f t="shared" si="156"/>
        <v>21</v>
      </c>
      <c r="N3380" s="193">
        <f t="shared" si="157"/>
        <v>1.1259001040582726</v>
      </c>
      <c r="O3380" s="194">
        <f t="shared" si="158"/>
        <v>5.3614290669441553E-2</v>
      </c>
    </row>
    <row r="3381" spans="1:15" ht="12.75" customHeight="1">
      <c r="A3381" s="188" t="s">
        <v>620</v>
      </c>
      <c r="B3381" s="188" t="s">
        <v>4996</v>
      </c>
      <c r="C3381" s="188" t="s">
        <v>678</v>
      </c>
      <c r="D3381" s="188" t="s">
        <v>5072</v>
      </c>
      <c r="E3381" s="189">
        <v>39269</v>
      </c>
      <c r="F3381" s="190">
        <v>0</v>
      </c>
      <c r="G3381" s="190">
        <v>17.440000000000001</v>
      </c>
      <c r="H3381" s="191">
        <v>333.54</v>
      </c>
      <c r="I3381" s="191">
        <v>65.400000000000006</v>
      </c>
      <c r="J3381" s="188" t="s">
        <v>624</v>
      </c>
      <c r="K3381" s="188" t="s">
        <v>1357</v>
      </c>
      <c r="L3381" s="188" t="s">
        <v>498</v>
      </c>
      <c r="M3381" s="192">
        <f t="shared" si="156"/>
        <v>28</v>
      </c>
      <c r="N3381" s="193">
        <f t="shared" si="157"/>
        <v>1.53</v>
      </c>
      <c r="O3381" s="194">
        <f t="shared" si="158"/>
        <v>5.4642857142857146E-2</v>
      </c>
    </row>
    <row r="3382" spans="1:15" ht="12.75" customHeight="1">
      <c r="A3382" s="188" t="s">
        <v>620</v>
      </c>
      <c r="B3382" s="188" t="s">
        <v>4996</v>
      </c>
      <c r="C3382" s="188" t="s">
        <v>678</v>
      </c>
      <c r="D3382" s="188" t="s">
        <v>5073</v>
      </c>
      <c r="E3382" s="189">
        <v>39447</v>
      </c>
      <c r="F3382" s="190">
        <v>0</v>
      </c>
      <c r="G3382" s="190">
        <v>171.68</v>
      </c>
      <c r="H3382" s="191">
        <v>2468</v>
      </c>
      <c r="I3382" s="191">
        <v>643.79999999999995</v>
      </c>
      <c r="J3382" s="188" t="s">
        <v>624</v>
      </c>
      <c r="K3382" s="188" t="s">
        <v>1344</v>
      </c>
      <c r="L3382" s="188" t="s">
        <v>5074</v>
      </c>
      <c r="M3382" s="192">
        <f t="shared" si="156"/>
        <v>21</v>
      </c>
      <c r="N3382" s="193">
        <f t="shared" si="157"/>
        <v>1.1500465983224604</v>
      </c>
      <c r="O3382" s="194">
        <f t="shared" si="158"/>
        <v>5.4764123729640971E-2</v>
      </c>
    </row>
    <row r="3383" spans="1:15" ht="12.75" customHeight="1">
      <c r="A3383" s="188" t="s">
        <v>620</v>
      </c>
      <c r="B3383" s="188" t="s">
        <v>4996</v>
      </c>
      <c r="C3383" s="188" t="s">
        <v>678</v>
      </c>
      <c r="D3383" s="188" t="s">
        <v>5075</v>
      </c>
      <c r="E3383" s="189">
        <v>39464</v>
      </c>
      <c r="F3383" s="190">
        <v>0</v>
      </c>
      <c r="G3383" s="190">
        <v>79.599999999999994</v>
      </c>
      <c r="H3383" s="191">
        <v>1172</v>
      </c>
      <c r="I3383" s="191">
        <v>298.5</v>
      </c>
      <c r="J3383" s="188" t="s">
        <v>624</v>
      </c>
      <c r="K3383" s="188" t="s">
        <v>1344</v>
      </c>
      <c r="L3383" s="188" t="s">
        <v>4432</v>
      </c>
      <c r="M3383" s="192">
        <f t="shared" si="156"/>
        <v>21</v>
      </c>
      <c r="N3383" s="193">
        <f t="shared" si="157"/>
        <v>1.1778894472361809</v>
      </c>
      <c r="O3383" s="194">
        <f t="shared" si="158"/>
        <v>5.608997367791338E-2</v>
      </c>
    </row>
    <row r="3384" spans="1:15" ht="12.75" customHeight="1">
      <c r="A3384" s="188" t="s">
        <v>620</v>
      </c>
      <c r="B3384" s="188" t="s">
        <v>4996</v>
      </c>
      <c r="C3384" s="188" t="s">
        <v>678</v>
      </c>
      <c r="D3384" s="188" t="s">
        <v>5076</v>
      </c>
      <c r="E3384" s="189">
        <v>39219</v>
      </c>
      <c r="F3384" s="190">
        <v>0</v>
      </c>
      <c r="G3384" s="190">
        <v>79.2</v>
      </c>
      <c r="H3384" s="191">
        <v>851.4</v>
      </c>
      <c r="I3384" s="191">
        <v>297</v>
      </c>
      <c r="J3384" s="188" t="s">
        <v>624</v>
      </c>
      <c r="K3384" s="188" t="s">
        <v>571</v>
      </c>
      <c r="L3384" s="188" t="s">
        <v>738</v>
      </c>
      <c r="M3384" s="192">
        <f t="shared" si="156"/>
        <v>15</v>
      </c>
      <c r="N3384" s="193">
        <f t="shared" si="157"/>
        <v>0.86</v>
      </c>
      <c r="O3384" s="194">
        <f t="shared" si="158"/>
        <v>5.7333333333333333E-2</v>
      </c>
    </row>
    <row r="3385" spans="1:15" ht="12.75" customHeight="1">
      <c r="A3385" s="188" t="s">
        <v>620</v>
      </c>
      <c r="B3385" s="188" t="s">
        <v>4996</v>
      </c>
      <c r="C3385" s="188" t="s">
        <v>678</v>
      </c>
      <c r="D3385" s="188" t="s">
        <v>5077</v>
      </c>
      <c r="E3385" s="189">
        <v>39625</v>
      </c>
      <c r="F3385" s="190">
        <v>0</v>
      </c>
      <c r="G3385" s="190">
        <v>8.8000000000000007</v>
      </c>
      <c r="H3385" s="191">
        <v>95</v>
      </c>
      <c r="I3385" s="191">
        <v>33</v>
      </c>
      <c r="J3385" s="188" t="s">
        <v>624</v>
      </c>
      <c r="K3385" s="188" t="s">
        <v>571</v>
      </c>
      <c r="L3385" s="188" t="s">
        <v>4271</v>
      </c>
      <c r="M3385" s="192">
        <f t="shared" si="156"/>
        <v>15</v>
      </c>
      <c r="N3385" s="193">
        <f t="shared" si="157"/>
        <v>0.86363636363636365</v>
      </c>
      <c r="O3385" s="194">
        <f t="shared" si="158"/>
        <v>5.7575757575757579E-2</v>
      </c>
    </row>
    <row r="3386" spans="1:15" ht="12.75" customHeight="1">
      <c r="A3386" s="188" t="s">
        <v>620</v>
      </c>
      <c r="B3386" s="188" t="s">
        <v>4996</v>
      </c>
      <c r="C3386" s="188" t="s">
        <v>678</v>
      </c>
      <c r="D3386" s="188" t="s">
        <v>5078</v>
      </c>
      <c r="E3386" s="189">
        <v>39310</v>
      </c>
      <c r="F3386" s="190">
        <v>0</v>
      </c>
      <c r="G3386" s="190">
        <v>102.24</v>
      </c>
      <c r="H3386" s="191">
        <v>1107</v>
      </c>
      <c r="I3386" s="191">
        <v>383.4</v>
      </c>
      <c r="J3386" s="188" t="s">
        <v>624</v>
      </c>
      <c r="K3386" s="188" t="s">
        <v>571</v>
      </c>
      <c r="L3386" s="188" t="s">
        <v>958</v>
      </c>
      <c r="M3386" s="192">
        <f t="shared" si="156"/>
        <v>15</v>
      </c>
      <c r="N3386" s="193">
        <f t="shared" si="157"/>
        <v>0.86619718309859151</v>
      </c>
      <c r="O3386" s="194">
        <f t="shared" si="158"/>
        <v>5.7746478873239436E-2</v>
      </c>
    </row>
    <row r="3387" spans="1:15" ht="12.75" customHeight="1">
      <c r="A3387" s="188" t="s">
        <v>620</v>
      </c>
      <c r="B3387" s="188" t="s">
        <v>4996</v>
      </c>
      <c r="C3387" s="188" t="s">
        <v>678</v>
      </c>
      <c r="D3387" s="188" t="s">
        <v>5079</v>
      </c>
      <c r="E3387" s="189">
        <v>39373</v>
      </c>
      <c r="F3387" s="190">
        <v>0</v>
      </c>
      <c r="G3387" s="190">
        <v>116</v>
      </c>
      <c r="H3387" s="191">
        <v>1263</v>
      </c>
      <c r="I3387" s="191">
        <v>435</v>
      </c>
      <c r="J3387" s="188" t="s">
        <v>624</v>
      </c>
      <c r="K3387" s="188" t="s">
        <v>571</v>
      </c>
      <c r="L3387" s="188" t="s">
        <v>920</v>
      </c>
      <c r="M3387" s="192">
        <f t="shared" si="156"/>
        <v>15</v>
      </c>
      <c r="N3387" s="193">
        <f t="shared" si="157"/>
        <v>0.87103448275862072</v>
      </c>
      <c r="O3387" s="194">
        <f t="shared" si="158"/>
        <v>5.8068965517241382E-2</v>
      </c>
    </row>
    <row r="3388" spans="1:15" ht="12.75" customHeight="1">
      <c r="A3388" s="188" t="s">
        <v>620</v>
      </c>
      <c r="B3388" s="188" t="s">
        <v>4996</v>
      </c>
      <c r="C3388" s="188" t="s">
        <v>678</v>
      </c>
      <c r="D3388" s="188" t="s">
        <v>5080</v>
      </c>
      <c r="E3388" s="189">
        <v>39219</v>
      </c>
      <c r="F3388" s="190">
        <v>0</v>
      </c>
      <c r="G3388" s="190">
        <v>85.12</v>
      </c>
      <c r="H3388" s="191">
        <v>1298.08</v>
      </c>
      <c r="I3388" s="191">
        <v>319.2</v>
      </c>
      <c r="J3388" s="188" t="s">
        <v>624</v>
      </c>
      <c r="K3388" s="188" t="s">
        <v>1344</v>
      </c>
      <c r="L3388" s="188" t="s">
        <v>2626</v>
      </c>
      <c r="M3388" s="192">
        <f t="shared" si="156"/>
        <v>21</v>
      </c>
      <c r="N3388" s="193">
        <f t="shared" si="157"/>
        <v>1.22</v>
      </c>
      <c r="O3388" s="194">
        <f t="shared" si="158"/>
        <v>5.8095238095238096E-2</v>
      </c>
    </row>
    <row r="3389" spans="1:15" ht="12.75" customHeight="1">
      <c r="A3389" s="188" t="s">
        <v>620</v>
      </c>
      <c r="B3389" s="188" t="s">
        <v>4996</v>
      </c>
      <c r="C3389" s="188" t="s">
        <v>678</v>
      </c>
      <c r="D3389" s="188" t="s">
        <v>5081</v>
      </c>
      <c r="E3389" s="189">
        <v>39447</v>
      </c>
      <c r="F3389" s="190">
        <v>0</v>
      </c>
      <c r="G3389" s="190">
        <v>48.8</v>
      </c>
      <c r="H3389" s="191">
        <v>755</v>
      </c>
      <c r="I3389" s="191">
        <v>183</v>
      </c>
      <c r="J3389" s="188" t="s">
        <v>624</v>
      </c>
      <c r="K3389" s="188" t="s">
        <v>1344</v>
      </c>
      <c r="L3389" s="188" t="s">
        <v>5082</v>
      </c>
      <c r="M3389" s="192">
        <f t="shared" si="156"/>
        <v>21</v>
      </c>
      <c r="N3389" s="193">
        <f t="shared" si="157"/>
        <v>1.2377049180327868</v>
      </c>
      <c r="O3389" s="194">
        <f t="shared" si="158"/>
        <v>5.8938329430132705E-2</v>
      </c>
    </row>
    <row r="3390" spans="1:15" ht="12.75" customHeight="1">
      <c r="A3390" s="188" t="s">
        <v>620</v>
      </c>
      <c r="B3390" s="188" t="s">
        <v>4996</v>
      </c>
      <c r="C3390" s="188" t="s">
        <v>678</v>
      </c>
      <c r="D3390" s="188" t="s">
        <v>5083</v>
      </c>
      <c r="E3390" s="189">
        <v>39436</v>
      </c>
      <c r="F3390" s="190">
        <v>0</v>
      </c>
      <c r="G3390" s="190">
        <v>96</v>
      </c>
      <c r="H3390" s="191">
        <v>1000</v>
      </c>
      <c r="I3390" s="191">
        <v>360</v>
      </c>
      <c r="J3390" s="188" t="s">
        <v>624</v>
      </c>
      <c r="K3390" s="188" t="s">
        <v>1052</v>
      </c>
      <c r="L3390" s="188" t="s">
        <v>632</v>
      </c>
      <c r="M3390" s="192">
        <f t="shared" si="156"/>
        <v>14</v>
      </c>
      <c r="N3390" s="193">
        <f t="shared" si="157"/>
        <v>0.83333333333333337</v>
      </c>
      <c r="O3390" s="194">
        <f t="shared" si="158"/>
        <v>5.9523809523809527E-2</v>
      </c>
    </row>
    <row r="3391" spans="1:15" ht="12.75" customHeight="1">
      <c r="A3391" s="188" t="s">
        <v>620</v>
      </c>
      <c r="B3391" s="188" t="s">
        <v>4996</v>
      </c>
      <c r="C3391" s="188" t="s">
        <v>678</v>
      </c>
      <c r="D3391" s="188" t="s">
        <v>5084</v>
      </c>
      <c r="E3391" s="189">
        <v>39507</v>
      </c>
      <c r="F3391" s="190">
        <v>0</v>
      </c>
      <c r="G3391" s="190">
        <v>89.6</v>
      </c>
      <c r="H3391" s="191">
        <v>1000</v>
      </c>
      <c r="I3391" s="191">
        <v>336</v>
      </c>
      <c r="J3391" s="188" t="s">
        <v>624</v>
      </c>
      <c r="K3391" s="188" t="s">
        <v>571</v>
      </c>
      <c r="L3391" s="188" t="s">
        <v>825</v>
      </c>
      <c r="M3391" s="192">
        <f t="shared" si="156"/>
        <v>15</v>
      </c>
      <c r="N3391" s="193">
        <f t="shared" si="157"/>
        <v>0.8928571428571429</v>
      </c>
      <c r="O3391" s="194">
        <f t="shared" si="158"/>
        <v>5.9523809523809527E-2</v>
      </c>
    </row>
    <row r="3392" spans="1:15" ht="12.75" customHeight="1">
      <c r="A3392" s="188" t="s">
        <v>620</v>
      </c>
      <c r="B3392" s="188" t="s">
        <v>4996</v>
      </c>
      <c r="C3392" s="188" t="s">
        <v>678</v>
      </c>
      <c r="D3392" s="188" t="s">
        <v>5085</v>
      </c>
      <c r="E3392" s="189">
        <v>39422</v>
      </c>
      <c r="F3392" s="190">
        <v>0</v>
      </c>
      <c r="G3392" s="190">
        <v>24.32</v>
      </c>
      <c r="H3392" s="191">
        <v>200</v>
      </c>
      <c r="I3392" s="191">
        <v>91.2</v>
      </c>
      <c r="J3392" s="188" t="s">
        <v>624</v>
      </c>
      <c r="K3392" s="188" t="s">
        <v>639</v>
      </c>
      <c r="L3392" s="188" t="s">
        <v>4888</v>
      </c>
      <c r="M3392" s="192">
        <f t="shared" si="156"/>
        <v>11</v>
      </c>
      <c r="N3392" s="193">
        <f t="shared" si="157"/>
        <v>0.65789473684210531</v>
      </c>
      <c r="O3392" s="194">
        <f t="shared" si="158"/>
        <v>5.9808612440191394E-2</v>
      </c>
    </row>
    <row r="3393" spans="1:15" ht="12.75" customHeight="1">
      <c r="A3393" s="188" t="s">
        <v>620</v>
      </c>
      <c r="B3393" s="188" t="s">
        <v>4996</v>
      </c>
      <c r="C3393" s="188" t="s">
        <v>678</v>
      </c>
      <c r="D3393" s="188" t="s">
        <v>5085</v>
      </c>
      <c r="E3393" s="189">
        <v>39562</v>
      </c>
      <c r="F3393" s="190">
        <v>0</v>
      </c>
      <c r="G3393" s="190">
        <v>-21.89</v>
      </c>
      <c r="H3393" s="191">
        <v>200</v>
      </c>
      <c r="I3393" s="191">
        <v>91.2</v>
      </c>
      <c r="J3393" s="188" t="s">
        <v>624</v>
      </c>
      <c r="K3393" s="188" t="s">
        <v>639</v>
      </c>
      <c r="L3393" s="188" t="s">
        <v>4888</v>
      </c>
      <c r="M3393" s="192">
        <f t="shared" si="156"/>
        <v>11</v>
      </c>
      <c r="N3393" s="193">
        <f t="shared" si="157"/>
        <v>0.65789473684210531</v>
      </c>
      <c r="O3393" s="194">
        <f t="shared" si="158"/>
        <v>5.9808612440191394E-2</v>
      </c>
    </row>
    <row r="3394" spans="1:15" ht="12.75" customHeight="1">
      <c r="A3394" s="188" t="s">
        <v>620</v>
      </c>
      <c r="B3394" s="188" t="s">
        <v>4996</v>
      </c>
      <c r="C3394" s="188" t="s">
        <v>678</v>
      </c>
      <c r="D3394" s="188" t="s">
        <v>5085</v>
      </c>
      <c r="E3394" s="189">
        <v>39562</v>
      </c>
      <c r="F3394" s="190">
        <v>0</v>
      </c>
      <c r="G3394" s="190">
        <v>21.89</v>
      </c>
      <c r="H3394" s="191">
        <v>200</v>
      </c>
      <c r="I3394" s="191">
        <v>91.2</v>
      </c>
      <c r="J3394" s="188" t="s">
        <v>624</v>
      </c>
      <c r="K3394" s="188" t="s">
        <v>639</v>
      </c>
      <c r="L3394" s="188" t="s">
        <v>4888</v>
      </c>
      <c r="M3394" s="192">
        <f t="shared" ref="M3394:M3457" si="159">K3394-J3394</f>
        <v>11</v>
      </c>
      <c r="N3394" s="193">
        <f t="shared" ref="N3394:N3457" si="160">H3394/L3394</f>
        <v>0.65789473684210531</v>
      </c>
      <c r="O3394" s="194">
        <f t="shared" ref="O3394:O3457" si="161">N3394/M3394</f>
        <v>5.9808612440191394E-2</v>
      </c>
    </row>
    <row r="3395" spans="1:15" ht="12.75" customHeight="1">
      <c r="A3395" s="188" t="s">
        <v>620</v>
      </c>
      <c r="B3395" s="188" t="s">
        <v>4996</v>
      </c>
      <c r="C3395" s="188" t="s">
        <v>678</v>
      </c>
      <c r="D3395" s="188" t="s">
        <v>5086</v>
      </c>
      <c r="E3395" s="189">
        <v>39576</v>
      </c>
      <c r="F3395" s="190">
        <v>0</v>
      </c>
      <c r="G3395" s="190">
        <v>35.36</v>
      </c>
      <c r="H3395" s="191">
        <v>560.07000000000005</v>
      </c>
      <c r="I3395" s="191">
        <v>132.6</v>
      </c>
      <c r="J3395" s="188" t="s">
        <v>624</v>
      </c>
      <c r="K3395" s="188" t="s">
        <v>1344</v>
      </c>
      <c r="L3395" s="188" t="s">
        <v>5087</v>
      </c>
      <c r="M3395" s="192">
        <f t="shared" si="159"/>
        <v>21</v>
      </c>
      <c r="N3395" s="193">
        <f t="shared" si="160"/>
        <v>1.2671266968325794</v>
      </c>
      <c r="O3395" s="194">
        <f t="shared" si="161"/>
        <v>6.0339366515837115E-2</v>
      </c>
    </row>
    <row r="3396" spans="1:15" ht="12.75" customHeight="1">
      <c r="A3396" s="188" t="s">
        <v>620</v>
      </c>
      <c r="B3396" s="188" t="s">
        <v>4996</v>
      </c>
      <c r="C3396" s="188" t="s">
        <v>678</v>
      </c>
      <c r="D3396" s="188" t="s">
        <v>5088</v>
      </c>
      <c r="E3396" s="189">
        <v>39541</v>
      </c>
      <c r="F3396" s="190">
        <v>0</v>
      </c>
      <c r="G3396" s="190">
        <v>46.4</v>
      </c>
      <c r="H3396" s="191">
        <v>456</v>
      </c>
      <c r="I3396" s="191">
        <v>174</v>
      </c>
      <c r="J3396" s="188" t="s">
        <v>624</v>
      </c>
      <c r="K3396" s="188" t="s">
        <v>652</v>
      </c>
      <c r="L3396" s="188" t="s">
        <v>517</v>
      </c>
      <c r="M3396" s="192">
        <f t="shared" si="159"/>
        <v>13</v>
      </c>
      <c r="N3396" s="193">
        <f t="shared" si="160"/>
        <v>0.78620689655172415</v>
      </c>
      <c r="O3396" s="194">
        <f t="shared" si="161"/>
        <v>6.0477453580901855E-2</v>
      </c>
    </row>
    <row r="3397" spans="1:15" ht="12.75" customHeight="1">
      <c r="A3397" s="188" t="s">
        <v>620</v>
      </c>
      <c r="B3397" s="188" t="s">
        <v>4996</v>
      </c>
      <c r="C3397" s="188" t="s">
        <v>678</v>
      </c>
      <c r="D3397" s="188" t="s">
        <v>5089</v>
      </c>
      <c r="E3397" s="189">
        <v>39380</v>
      </c>
      <c r="F3397" s="190">
        <v>0</v>
      </c>
      <c r="G3397" s="190">
        <v>23.52</v>
      </c>
      <c r="H3397" s="191">
        <v>374</v>
      </c>
      <c r="I3397" s="191">
        <v>88.2</v>
      </c>
      <c r="J3397" s="188" t="s">
        <v>624</v>
      </c>
      <c r="K3397" s="188" t="s">
        <v>1344</v>
      </c>
      <c r="L3397" s="188" t="s">
        <v>5090</v>
      </c>
      <c r="M3397" s="192">
        <f t="shared" si="159"/>
        <v>21</v>
      </c>
      <c r="N3397" s="193">
        <f t="shared" si="160"/>
        <v>1.272108843537415</v>
      </c>
      <c r="O3397" s="194">
        <f t="shared" si="161"/>
        <v>6.0576611597019762E-2</v>
      </c>
    </row>
    <row r="3398" spans="1:15" ht="12.75" customHeight="1">
      <c r="A3398" s="188" t="s">
        <v>620</v>
      </c>
      <c r="B3398" s="188" t="s">
        <v>4996</v>
      </c>
      <c r="C3398" s="188" t="s">
        <v>678</v>
      </c>
      <c r="D3398" s="188" t="s">
        <v>5091</v>
      </c>
      <c r="E3398" s="189">
        <v>39395</v>
      </c>
      <c r="F3398" s="190">
        <v>0</v>
      </c>
      <c r="G3398" s="190">
        <v>73.040000000000006</v>
      </c>
      <c r="H3398" s="191">
        <v>1384</v>
      </c>
      <c r="I3398" s="191">
        <v>273.89999999999998</v>
      </c>
      <c r="J3398" s="188" t="s">
        <v>624</v>
      </c>
      <c r="K3398" s="188" t="s">
        <v>427</v>
      </c>
      <c r="L3398" s="188" t="s">
        <v>4902</v>
      </c>
      <c r="M3398" s="192">
        <f t="shared" si="159"/>
        <v>25</v>
      </c>
      <c r="N3398" s="193">
        <f t="shared" si="160"/>
        <v>1.5158817086527929</v>
      </c>
      <c r="O3398" s="194">
        <f t="shared" si="161"/>
        <v>6.0635268346111715E-2</v>
      </c>
    </row>
    <row r="3399" spans="1:15" ht="12.75" customHeight="1">
      <c r="A3399" s="188" t="s">
        <v>620</v>
      </c>
      <c r="B3399" s="188" t="s">
        <v>4996</v>
      </c>
      <c r="C3399" s="188" t="s">
        <v>678</v>
      </c>
      <c r="D3399" s="188" t="s">
        <v>5092</v>
      </c>
      <c r="E3399" s="189">
        <v>39576</v>
      </c>
      <c r="F3399" s="190">
        <v>0</v>
      </c>
      <c r="G3399" s="190">
        <v>68.8</v>
      </c>
      <c r="H3399" s="191">
        <v>790</v>
      </c>
      <c r="I3399" s="191">
        <v>258</v>
      </c>
      <c r="J3399" s="188" t="s">
        <v>624</v>
      </c>
      <c r="K3399" s="188" t="s">
        <v>571</v>
      </c>
      <c r="L3399" s="188" t="s">
        <v>1783</v>
      </c>
      <c r="M3399" s="192">
        <f t="shared" si="159"/>
        <v>15</v>
      </c>
      <c r="N3399" s="193">
        <f t="shared" si="160"/>
        <v>0.91860465116279066</v>
      </c>
      <c r="O3399" s="194">
        <f t="shared" si="161"/>
        <v>6.1240310077519379E-2</v>
      </c>
    </row>
    <row r="3400" spans="1:15" ht="12.75" customHeight="1">
      <c r="A3400" s="188" t="s">
        <v>620</v>
      </c>
      <c r="B3400" s="188" t="s">
        <v>4996</v>
      </c>
      <c r="C3400" s="188" t="s">
        <v>678</v>
      </c>
      <c r="D3400" s="188" t="s">
        <v>5093</v>
      </c>
      <c r="E3400" s="189">
        <v>39345</v>
      </c>
      <c r="F3400" s="190">
        <v>0</v>
      </c>
      <c r="G3400" s="190">
        <v>164.64</v>
      </c>
      <c r="H3400" s="191">
        <v>1893.98</v>
      </c>
      <c r="I3400" s="191">
        <v>617.4</v>
      </c>
      <c r="J3400" s="188" t="s">
        <v>624</v>
      </c>
      <c r="K3400" s="188" t="s">
        <v>571</v>
      </c>
      <c r="L3400" s="188" t="s">
        <v>5094</v>
      </c>
      <c r="M3400" s="192">
        <f t="shared" si="159"/>
        <v>15</v>
      </c>
      <c r="N3400" s="193">
        <f t="shared" si="160"/>
        <v>0.92030126336248785</v>
      </c>
      <c r="O3400" s="194">
        <f t="shared" si="161"/>
        <v>6.1353417557499193E-2</v>
      </c>
    </row>
    <row r="3401" spans="1:15" ht="12.75" customHeight="1">
      <c r="A3401" s="188" t="s">
        <v>620</v>
      </c>
      <c r="B3401" s="188" t="s">
        <v>4996</v>
      </c>
      <c r="C3401" s="188" t="s">
        <v>678</v>
      </c>
      <c r="D3401" s="188" t="s">
        <v>5095</v>
      </c>
      <c r="E3401" s="189">
        <v>39568</v>
      </c>
      <c r="F3401" s="190">
        <v>0</v>
      </c>
      <c r="G3401" s="190">
        <v>102.4</v>
      </c>
      <c r="H3401" s="191">
        <v>870</v>
      </c>
      <c r="I3401" s="191">
        <v>384</v>
      </c>
      <c r="J3401" s="188" t="s">
        <v>624</v>
      </c>
      <c r="K3401" s="188" t="s">
        <v>639</v>
      </c>
      <c r="L3401" s="188" t="s">
        <v>994</v>
      </c>
      <c r="M3401" s="192">
        <f t="shared" si="159"/>
        <v>11</v>
      </c>
      <c r="N3401" s="193">
        <f t="shared" si="160"/>
        <v>0.6796875</v>
      </c>
      <c r="O3401" s="194">
        <f t="shared" si="161"/>
        <v>6.1789772727272728E-2</v>
      </c>
    </row>
    <row r="3402" spans="1:15" ht="12.75" customHeight="1">
      <c r="A3402" s="188" t="s">
        <v>620</v>
      </c>
      <c r="B3402" s="188" t="s">
        <v>4996</v>
      </c>
      <c r="C3402" s="188" t="s">
        <v>678</v>
      </c>
      <c r="D3402" s="188" t="s">
        <v>5096</v>
      </c>
      <c r="E3402" s="189">
        <v>39240</v>
      </c>
      <c r="F3402" s="190">
        <v>0</v>
      </c>
      <c r="G3402" s="190">
        <v>94.08</v>
      </c>
      <c r="H3402" s="191">
        <v>1100.03</v>
      </c>
      <c r="I3402" s="191">
        <v>352.8</v>
      </c>
      <c r="J3402" s="188" t="s">
        <v>624</v>
      </c>
      <c r="K3402" s="188" t="s">
        <v>571</v>
      </c>
      <c r="L3402" s="188" t="s">
        <v>1190</v>
      </c>
      <c r="M3402" s="192">
        <f t="shared" si="159"/>
        <v>15</v>
      </c>
      <c r="N3402" s="193">
        <f t="shared" si="160"/>
        <v>0.93539965986394558</v>
      </c>
      <c r="O3402" s="194">
        <f t="shared" si="161"/>
        <v>6.2359977324263037E-2</v>
      </c>
    </row>
    <row r="3403" spans="1:15" ht="12.75" customHeight="1">
      <c r="A3403" s="188" t="s">
        <v>620</v>
      </c>
      <c r="B3403" s="188" t="s">
        <v>4996</v>
      </c>
      <c r="C3403" s="188" t="s">
        <v>678</v>
      </c>
      <c r="D3403" s="188" t="s">
        <v>5097</v>
      </c>
      <c r="E3403" s="189">
        <v>39507</v>
      </c>
      <c r="F3403" s="190">
        <v>0</v>
      </c>
      <c r="G3403" s="190">
        <v>46.4</v>
      </c>
      <c r="H3403" s="191">
        <v>760</v>
      </c>
      <c r="I3403" s="191">
        <v>174</v>
      </c>
      <c r="J3403" s="188" t="s">
        <v>624</v>
      </c>
      <c r="K3403" s="188" t="s">
        <v>1344</v>
      </c>
      <c r="L3403" s="188" t="s">
        <v>517</v>
      </c>
      <c r="M3403" s="192">
        <f t="shared" si="159"/>
        <v>21</v>
      </c>
      <c r="N3403" s="193">
        <f t="shared" si="160"/>
        <v>1.3103448275862069</v>
      </c>
      <c r="O3403" s="194">
        <f t="shared" si="161"/>
        <v>6.2397372742200329E-2</v>
      </c>
    </row>
    <row r="3404" spans="1:15" ht="12.75" customHeight="1">
      <c r="A3404" s="188" t="s">
        <v>620</v>
      </c>
      <c r="B3404" s="188" t="s">
        <v>4996</v>
      </c>
      <c r="C3404" s="188" t="s">
        <v>678</v>
      </c>
      <c r="D3404" s="188" t="s">
        <v>5098</v>
      </c>
      <c r="E3404" s="189">
        <v>39212</v>
      </c>
      <c r="F3404" s="190">
        <v>0</v>
      </c>
      <c r="G3404" s="190">
        <v>221.28</v>
      </c>
      <c r="H3404" s="191">
        <v>4314.96</v>
      </c>
      <c r="I3404" s="191">
        <v>829.8</v>
      </c>
      <c r="J3404" s="188" t="s">
        <v>624</v>
      </c>
      <c r="K3404" s="188" t="s">
        <v>427</v>
      </c>
      <c r="L3404" s="188" t="s">
        <v>5099</v>
      </c>
      <c r="M3404" s="192">
        <f t="shared" si="159"/>
        <v>25</v>
      </c>
      <c r="N3404" s="193">
        <f t="shared" si="160"/>
        <v>1.56</v>
      </c>
      <c r="O3404" s="194">
        <f t="shared" si="161"/>
        <v>6.2400000000000004E-2</v>
      </c>
    </row>
    <row r="3405" spans="1:15" ht="12.75" customHeight="1">
      <c r="A3405" s="188" t="s">
        <v>620</v>
      </c>
      <c r="B3405" s="188" t="s">
        <v>4996</v>
      </c>
      <c r="C3405" s="188" t="s">
        <v>678</v>
      </c>
      <c r="D3405" s="188" t="s">
        <v>5100</v>
      </c>
      <c r="E3405" s="189">
        <v>39520</v>
      </c>
      <c r="F3405" s="190">
        <v>0</v>
      </c>
      <c r="G3405" s="190">
        <v>117.2</v>
      </c>
      <c r="H3405" s="191">
        <v>1375</v>
      </c>
      <c r="I3405" s="191">
        <v>439.5</v>
      </c>
      <c r="J3405" s="188" t="s">
        <v>624</v>
      </c>
      <c r="K3405" s="188" t="s">
        <v>571</v>
      </c>
      <c r="L3405" s="188" t="s">
        <v>3098</v>
      </c>
      <c r="M3405" s="192">
        <f t="shared" si="159"/>
        <v>15</v>
      </c>
      <c r="N3405" s="193">
        <f t="shared" si="160"/>
        <v>0.93856655290102387</v>
      </c>
      <c r="O3405" s="194">
        <f t="shared" si="161"/>
        <v>6.2571103526734922E-2</v>
      </c>
    </row>
    <row r="3406" spans="1:15" ht="12.75" customHeight="1">
      <c r="A3406" s="188" t="s">
        <v>620</v>
      </c>
      <c r="B3406" s="188" t="s">
        <v>4996</v>
      </c>
      <c r="C3406" s="188" t="s">
        <v>678</v>
      </c>
      <c r="D3406" s="188" t="s">
        <v>5101</v>
      </c>
      <c r="E3406" s="189">
        <v>39387</v>
      </c>
      <c r="F3406" s="190">
        <v>0</v>
      </c>
      <c r="G3406" s="190">
        <v>44.8</v>
      </c>
      <c r="H3406" s="191">
        <v>742</v>
      </c>
      <c r="I3406" s="191">
        <v>168</v>
      </c>
      <c r="J3406" s="188" t="s">
        <v>624</v>
      </c>
      <c r="K3406" s="188" t="s">
        <v>1344</v>
      </c>
      <c r="L3406" s="188" t="s">
        <v>2142</v>
      </c>
      <c r="M3406" s="192">
        <f t="shared" si="159"/>
        <v>21</v>
      </c>
      <c r="N3406" s="193">
        <f t="shared" si="160"/>
        <v>1.325</v>
      </c>
      <c r="O3406" s="194">
        <f t="shared" si="161"/>
        <v>6.3095238095238093E-2</v>
      </c>
    </row>
    <row r="3407" spans="1:15" ht="12.75" customHeight="1">
      <c r="A3407" s="188" t="s">
        <v>620</v>
      </c>
      <c r="B3407" s="188" t="s">
        <v>4996</v>
      </c>
      <c r="C3407" s="188" t="s">
        <v>678</v>
      </c>
      <c r="D3407" s="188" t="s">
        <v>5102</v>
      </c>
      <c r="E3407" s="189">
        <v>39513</v>
      </c>
      <c r="F3407" s="190">
        <v>0</v>
      </c>
      <c r="G3407" s="190">
        <v>30.16</v>
      </c>
      <c r="H3407" s="191">
        <v>500</v>
      </c>
      <c r="I3407" s="191">
        <v>113.1</v>
      </c>
      <c r="J3407" s="188" t="s">
        <v>624</v>
      </c>
      <c r="K3407" s="188" t="s">
        <v>1344</v>
      </c>
      <c r="L3407" s="188" t="s">
        <v>3318</v>
      </c>
      <c r="M3407" s="192">
        <f t="shared" si="159"/>
        <v>21</v>
      </c>
      <c r="N3407" s="193">
        <f t="shared" si="160"/>
        <v>1.3262599469496021</v>
      </c>
      <c r="O3407" s="194">
        <f t="shared" si="161"/>
        <v>6.3155235569028675E-2</v>
      </c>
    </row>
    <row r="3408" spans="1:15" ht="12.75" customHeight="1">
      <c r="A3408" s="188" t="s">
        <v>620</v>
      </c>
      <c r="B3408" s="188" t="s">
        <v>4996</v>
      </c>
      <c r="C3408" s="188" t="s">
        <v>678</v>
      </c>
      <c r="D3408" s="188" t="s">
        <v>5103</v>
      </c>
      <c r="E3408" s="189">
        <v>39219</v>
      </c>
      <c r="F3408" s="190">
        <v>0</v>
      </c>
      <c r="G3408" s="190">
        <v>84</v>
      </c>
      <c r="H3408" s="191">
        <v>997.5</v>
      </c>
      <c r="I3408" s="191">
        <v>315</v>
      </c>
      <c r="J3408" s="188" t="s">
        <v>624</v>
      </c>
      <c r="K3408" s="188" t="s">
        <v>571</v>
      </c>
      <c r="L3408" s="188" t="s">
        <v>1139</v>
      </c>
      <c r="M3408" s="192">
        <f t="shared" si="159"/>
        <v>15</v>
      </c>
      <c r="N3408" s="193">
        <f t="shared" si="160"/>
        <v>0.95</v>
      </c>
      <c r="O3408" s="194">
        <f t="shared" si="161"/>
        <v>6.3333333333333325E-2</v>
      </c>
    </row>
    <row r="3409" spans="1:15" ht="12.75" customHeight="1">
      <c r="A3409" s="188" t="s">
        <v>620</v>
      </c>
      <c r="B3409" s="188" t="s">
        <v>4996</v>
      </c>
      <c r="C3409" s="188" t="s">
        <v>678</v>
      </c>
      <c r="D3409" s="188" t="s">
        <v>5104</v>
      </c>
      <c r="E3409" s="189">
        <v>39289</v>
      </c>
      <c r="F3409" s="190">
        <v>0</v>
      </c>
      <c r="G3409" s="190">
        <v>111.68</v>
      </c>
      <c r="H3409" s="191">
        <v>1333.04</v>
      </c>
      <c r="I3409" s="191">
        <v>418.8</v>
      </c>
      <c r="J3409" s="188" t="s">
        <v>624</v>
      </c>
      <c r="K3409" s="188" t="s">
        <v>571</v>
      </c>
      <c r="L3409" s="188" t="s">
        <v>2138</v>
      </c>
      <c r="M3409" s="192">
        <f t="shared" si="159"/>
        <v>15</v>
      </c>
      <c r="N3409" s="193">
        <f t="shared" si="160"/>
        <v>0.95489971346704872</v>
      </c>
      <c r="O3409" s="194">
        <f t="shared" si="161"/>
        <v>6.3659980897803253E-2</v>
      </c>
    </row>
    <row r="3410" spans="1:15" ht="12.75" customHeight="1">
      <c r="A3410" s="188" t="s">
        <v>620</v>
      </c>
      <c r="B3410" s="188" t="s">
        <v>4996</v>
      </c>
      <c r="C3410" s="188" t="s">
        <v>678</v>
      </c>
      <c r="D3410" s="188" t="s">
        <v>5105</v>
      </c>
      <c r="E3410" s="189">
        <v>39632</v>
      </c>
      <c r="F3410" s="190">
        <v>0</v>
      </c>
      <c r="G3410" s="190">
        <v>128.4</v>
      </c>
      <c r="H3410" s="191">
        <v>1555</v>
      </c>
      <c r="I3410" s="191">
        <v>481.5</v>
      </c>
      <c r="J3410" s="188" t="s">
        <v>624</v>
      </c>
      <c r="K3410" s="188" t="s">
        <v>571</v>
      </c>
      <c r="L3410" s="188" t="s">
        <v>4053</v>
      </c>
      <c r="M3410" s="192">
        <f t="shared" si="159"/>
        <v>15</v>
      </c>
      <c r="N3410" s="193">
        <f t="shared" si="160"/>
        <v>0.96884735202492211</v>
      </c>
      <c r="O3410" s="194">
        <f t="shared" si="161"/>
        <v>6.4589823468328145E-2</v>
      </c>
    </row>
    <row r="3411" spans="1:15" ht="12.75" customHeight="1">
      <c r="A3411" s="188" t="s">
        <v>620</v>
      </c>
      <c r="B3411" s="188" t="s">
        <v>4996</v>
      </c>
      <c r="C3411" s="188" t="s">
        <v>678</v>
      </c>
      <c r="D3411" s="188" t="s">
        <v>5106</v>
      </c>
      <c r="E3411" s="189">
        <v>39548</v>
      </c>
      <c r="F3411" s="190">
        <v>0</v>
      </c>
      <c r="G3411" s="190">
        <v>112</v>
      </c>
      <c r="H3411" s="191">
        <v>1178</v>
      </c>
      <c r="I3411" s="191">
        <v>420</v>
      </c>
      <c r="J3411" s="188" t="s">
        <v>624</v>
      </c>
      <c r="K3411" s="188" t="s">
        <v>652</v>
      </c>
      <c r="L3411" s="188" t="s">
        <v>754</v>
      </c>
      <c r="M3411" s="192">
        <f t="shared" si="159"/>
        <v>13</v>
      </c>
      <c r="N3411" s="193">
        <f t="shared" si="160"/>
        <v>0.84142857142857141</v>
      </c>
      <c r="O3411" s="194">
        <f t="shared" si="161"/>
        <v>6.4725274725274728E-2</v>
      </c>
    </row>
    <row r="3412" spans="1:15" ht="12.75" customHeight="1">
      <c r="A3412" s="188" t="s">
        <v>620</v>
      </c>
      <c r="B3412" s="188" t="s">
        <v>4996</v>
      </c>
      <c r="C3412" s="188" t="s">
        <v>678</v>
      </c>
      <c r="D3412" s="188" t="s">
        <v>5107</v>
      </c>
      <c r="E3412" s="189">
        <v>39373</v>
      </c>
      <c r="F3412" s="190">
        <v>0</v>
      </c>
      <c r="G3412" s="190">
        <v>88</v>
      </c>
      <c r="H3412" s="191">
        <v>1000</v>
      </c>
      <c r="I3412" s="191">
        <v>330</v>
      </c>
      <c r="J3412" s="188" t="s">
        <v>624</v>
      </c>
      <c r="K3412" s="188" t="s">
        <v>1052</v>
      </c>
      <c r="L3412" s="188" t="s">
        <v>557</v>
      </c>
      <c r="M3412" s="192">
        <f t="shared" si="159"/>
        <v>14</v>
      </c>
      <c r="N3412" s="193">
        <f t="shared" si="160"/>
        <v>0.90909090909090906</v>
      </c>
      <c r="O3412" s="194">
        <f t="shared" si="161"/>
        <v>6.4935064935064929E-2</v>
      </c>
    </row>
    <row r="3413" spans="1:15" ht="12.75" customHeight="1">
      <c r="A3413" s="188" t="s">
        <v>620</v>
      </c>
      <c r="B3413" s="188" t="s">
        <v>4996</v>
      </c>
      <c r="C3413" s="188" t="s">
        <v>678</v>
      </c>
      <c r="D3413" s="188" t="s">
        <v>5108</v>
      </c>
      <c r="E3413" s="189">
        <v>39373</v>
      </c>
      <c r="F3413" s="190">
        <v>0</v>
      </c>
      <c r="G3413" s="190">
        <v>87.68</v>
      </c>
      <c r="H3413" s="191">
        <v>1644</v>
      </c>
      <c r="I3413" s="191">
        <v>328.8</v>
      </c>
      <c r="J3413" s="188" t="s">
        <v>624</v>
      </c>
      <c r="K3413" s="188" t="s">
        <v>522</v>
      </c>
      <c r="L3413" s="188" t="s">
        <v>5109</v>
      </c>
      <c r="M3413" s="192">
        <f t="shared" si="159"/>
        <v>23</v>
      </c>
      <c r="N3413" s="193">
        <f t="shared" si="160"/>
        <v>1.5</v>
      </c>
      <c r="O3413" s="194">
        <f t="shared" si="161"/>
        <v>6.5217391304347824E-2</v>
      </c>
    </row>
    <row r="3414" spans="1:15" ht="12.75" customHeight="1">
      <c r="A3414" s="188" t="s">
        <v>620</v>
      </c>
      <c r="B3414" s="188" t="s">
        <v>4996</v>
      </c>
      <c r="C3414" s="188" t="s">
        <v>678</v>
      </c>
      <c r="D3414" s="188" t="s">
        <v>5110</v>
      </c>
      <c r="E3414" s="189">
        <v>39447</v>
      </c>
      <c r="F3414" s="190">
        <v>0</v>
      </c>
      <c r="G3414" s="190">
        <v>76.8</v>
      </c>
      <c r="H3414" s="191">
        <v>814</v>
      </c>
      <c r="I3414" s="191">
        <v>288</v>
      </c>
      <c r="J3414" s="188" t="s">
        <v>624</v>
      </c>
      <c r="K3414" s="188" t="s">
        <v>652</v>
      </c>
      <c r="L3414" s="188" t="s">
        <v>1146</v>
      </c>
      <c r="M3414" s="192">
        <f t="shared" si="159"/>
        <v>13</v>
      </c>
      <c r="N3414" s="193">
        <f t="shared" si="160"/>
        <v>0.84791666666666665</v>
      </c>
      <c r="O3414" s="194">
        <f t="shared" si="161"/>
        <v>6.5224358974358979E-2</v>
      </c>
    </row>
    <row r="3415" spans="1:15" ht="12.75" customHeight="1">
      <c r="A3415" s="188" t="s">
        <v>620</v>
      </c>
      <c r="B3415" s="188" t="s">
        <v>4996</v>
      </c>
      <c r="C3415" s="188" t="s">
        <v>678</v>
      </c>
      <c r="D3415" s="188" t="s">
        <v>5111</v>
      </c>
      <c r="E3415" s="189">
        <v>39499</v>
      </c>
      <c r="F3415" s="190">
        <v>0</v>
      </c>
      <c r="G3415" s="190">
        <v>266.24</v>
      </c>
      <c r="H3415" s="191">
        <v>4579.84</v>
      </c>
      <c r="I3415" s="191">
        <v>998.4</v>
      </c>
      <c r="J3415" s="188" t="s">
        <v>624</v>
      </c>
      <c r="K3415" s="188" t="s">
        <v>1344</v>
      </c>
      <c r="L3415" s="188" t="s">
        <v>5112</v>
      </c>
      <c r="M3415" s="192">
        <f t="shared" si="159"/>
        <v>21</v>
      </c>
      <c r="N3415" s="193">
        <f t="shared" si="160"/>
        <v>1.3761538461538463</v>
      </c>
      <c r="O3415" s="194">
        <f t="shared" si="161"/>
        <v>6.5531135531135543E-2</v>
      </c>
    </row>
    <row r="3416" spans="1:15" ht="12.75" customHeight="1">
      <c r="A3416" s="188" t="s">
        <v>620</v>
      </c>
      <c r="B3416" s="188" t="s">
        <v>4996</v>
      </c>
      <c r="C3416" s="188" t="s">
        <v>678</v>
      </c>
      <c r="D3416" s="188" t="s">
        <v>5113</v>
      </c>
      <c r="E3416" s="189">
        <v>39443</v>
      </c>
      <c r="F3416" s="190">
        <v>0</v>
      </c>
      <c r="G3416" s="190">
        <v>65.680000000000007</v>
      </c>
      <c r="H3416" s="191">
        <v>1148</v>
      </c>
      <c r="I3416" s="191">
        <v>246.3</v>
      </c>
      <c r="J3416" s="188" t="s">
        <v>624</v>
      </c>
      <c r="K3416" s="188" t="s">
        <v>1344</v>
      </c>
      <c r="L3416" s="188" t="s">
        <v>5114</v>
      </c>
      <c r="M3416" s="192">
        <f t="shared" si="159"/>
        <v>21</v>
      </c>
      <c r="N3416" s="193">
        <f t="shared" si="160"/>
        <v>1.3982947624847746</v>
      </c>
      <c r="O3416" s="194">
        <f t="shared" si="161"/>
        <v>6.658546488022736E-2</v>
      </c>
    </row>
    <row r="3417" spans="1:15" ht="12.75" customHeight="1">
      <c r="A3417" s="188" t="s">
        <v>620</v>
      </c>
      <c r="B3417" s="188" t="s">
        <v>4996</v>
      </c>
      <c r="C3417" s="188" t="s">
        <v>678</v>
      </c>
      <c r="D3417" s="188" t="s">
        <v>5115</v>
      </c>
      <c r="E3417" s="189">
        <v>39247</v>
      </c>
      <c r="F3417" s="190">
        <v>0</v>
      </c>
      <c r="G3417" s="190">
        <v>27.2</v>
      </c>
      <c r="H3417" s="191">
        <v>340</v>
      </c>
      <c r="I3417" s="191">
        <v>102</v>
      </c>
      <c r="J3417" s="188" t="s">
        <v>624</v>
      </c>
      <c r="K3417" s="188" t="s">
        <v>571</v>
      </c>
      <c r="L3417" s="188" t="s">
        <v>3397</v>
      </c>
      <c r="M3417" s="192">
        <f t="shared" si="159"/>
        <v>15</v>
      </c>
      <c r="N3417" s="193">
        <f t="shared" si="160"/>
        <v>1</v>
      </c>
      <c r="O3417" s="194">
        <f t="shared" si="161"/>
        <v>6.6666666666666666E-2</v>
      </c>
    </row>
    <row r="3418" spans="1:15" ht="12.75" customHeight="1">
      <c r="A3418" s="188" t="s">
        <v>620</v>
      </c>
      <c r="B3418" s="188" t="s">
        <v>4996</v>
      </c>
      <c r="C3418" s="188" t="s">
        <v>678</v>
      </c>
      <c r="D3418" s="188" t="s">
        <v>5116</v>
      </c>
      <c r="E3418" s="189">
        <v>39436</v>
      </c>
      <c r="F3418" s="190">
        <v>0</v>
      </c>
      <c r="G3418" s="190">
        <v>148</v>
      </c>
      <c r="H3418" s="191">
        <v>1850</v>
      </c>
      <c r="I3418" s="191">
        <v>555</v>
      </c>
      <c r="J3418" s="188" t="s">
        <v>624</v>
      </c>
      <c r="K3418" s="188" t="s">
        <v>571</v>
      </c>
      <c r="L3418" s="188" t="s">
        <v>1736</v>
      </c>
      <c r="M3418" s="192">
        <f t="shared" si="159"/>
        <v>15</v>
      </c>
      <c r="N3418" s="193">
        <f t="shared" si="160"/>
        <v>1</v>
      </c>
      <c r="O3418" s="194">
        <f t="shared" si="161"/>
        <v>6.6666666666666666E-2</v>
      </c>
    </row>
    <row r="3419" spans="1:15" ht="12.75" customHeight="1">
      <c r="A3419" s="188" t="s">
        <v>620</v>
      </c>
      <c r="B3419" s="188" t="s">
        <v>4996</v>
      </c>
      <c r="C3419" s="188" t="s">
        <v>678</v>
      </c>
      <c r="D3419" s="188" t="s">
        <v>5117</v>
      </c>
      <c r="E3419" s="189">
        <v>39447</v>
      </c>
      <c r="F3419" s="190">
        <v>0</v>
      </c>
      <c r="G3419" s="190">
        <v>65.2</v>
      </c>
      <c r="H3419" s="191">
        <v>815</v>
      </c>
      <c r="I3419" s="191">
        <v>244.5</v>
      </c>
      <c r="J3419" s="188" t="s">
        <v>624</v>
      </c>
      <c r="K3419" s="188" t="s">
        <v>571</v>
      </c>
      <c r="L3419" s="188" t="s">
        <v>3041</v>
      </c>
      <c r="M3419" s="192">
        <f t="shared" si="159"/>
        <v>15</v>
      </c>
      <c r="N3419" s="193">
        <f t="shared" si="160"/>
        <v>1</v>
      </c>
      <c r="O3419" s="194">
        <f t="shared" si="161"/>
        <v>6.6666666666666666E-2</v>
      </c>
    </row>
    <row r="3420" spans="1:15" ht="12.75" customHeight="1">
      <c r="A3420" s="188" t="s">
        <v>620</v>
      </c>
      <c r="B3420" s="188" t="s">
        <v>4996</v>
      </c>
      <c r="C3420" s="188" t="s">
        <v>678</v>
      </c>
      <c r="D3420" s="188" t="s">
        <v>5118</v>
      </c>
      <c r="E3420" s="189">
        <v>39520</v>
      </c>
      <c r="F3420" s="190">
        <v>0</v>
      </c>
      <c r="G3420" s="190">
        <v>168</v>
      </c>
      <c r="H3420" s="191">
        <v>2100</v>
      </c>
      <c r="I3420" s="191">
        <v>630</v>
      </c>
      <c r="J3420" s="188" t="s">
        <v>624</v>
      </c>
      <c r="K3420" s="188" t="s">
        <v>571</v>
      </c>
      <c r="L3420" s="188" t="s">
        <v>701</v>
      </c>
      <c r="M3420" s="192">
        <f t="shared" si="159"/>
        <v>15</v>
      </c>
      <c r="N3420" s="193">
        <f t="shared" si="160"/>
        <v>1</v>
      </c>
      <c r="O3420" s="194">
        <f t="shared" si="161"/>
        <v>6.6666666666666666E-2</v>
      </c>
    </row>
    <row r="3421" spans="1:15" ht="12.75" customHeight="1">
      <c r="A3421" s="188" t="s">
        <v>620</v>
      </c>
      <c r="B3421" s="188" t="s">
        <v>4996</v>
      </c>
      <c r="C3421" s="188" t="s">
        <v>678</v>
      </c>
      <c r="D3421" s="188" t="s">
        <v>5119</v>
      </c>
      <c r="E3421" s="189">
        <v>39527</v>
      </c>
      <c r="F3421" s="190">
        <v>0</v>
      </c>
      <c r="G3421" s="190">
        <v>128.80000000000001</v>
      </c>
      <c r="H3421" s="191">
        <v>1860</v>
      </c>
      <c r="I3421" s="191">
        <v>483</v>
      </c>
      <c r="J3421" s="188" t="s">
        <v>624</v>
      </c>
      <c r="K3421" s="188" t="s">
        <v>571</v>
      </c>
      <c r="L3421" s="188" t="s">
        <v>904</v>
      </c>
      <c r="M3421" s="192">
        <f t="shared" si="159"/>
        <v>15</v>
      </c>
      <c r="N3421" s="193">
        <f t="shared" si="160"/>
        <v>1</v>
      </c>
      <c r="O3421" s="194">
        <f t="shared" si="161"/>
        <v>6.6666666666666666E-2</v>
      </c>
    </row>
    <row r="3422" spans="1:15" ht="12.75" customHeight="1">
      <c r="A3422" s="188" t="s">
        <v>620</v>
      </c>
      <c r="B3422" s="188" t="s">
        <v>4996</v>
      </c>
      <c r="C3422" s="188" t="s">
        <v>678</v>
      </c>
      <c r="D3422" s="188" t="s">
        <v>5120</v>
      </c>
      <c r="E3422" s="189">
        <v>39597</v>
      </c>
      <c r="F3422" s="190">
        <v>0</v>
      </c>
      <c r="G3422" s="190">
        <v>237.2</v>
      </c>
      <c r="H3422" s="191">
        <v>2965</v>
      </c>
      <c r="I3422" s="191">
        <v>889.5</v>
      </c>
      <c r="J3422" s="188" t="s">
        <v>624</v>
      </c>
      <c r="K3422" s="188" t="s">
        <v>571</v>
      </c>
      <c r="L3422" s="188" t="s">
        <v>5121</v>
      </c>
      <c r="M3422" s="192">
        <f t="shared" si="159"/>
        <v>15</v>
      </c>
      <c r="N3422" s="193">
        <f t="shared" si="160"/>
        <v>1</v>
      </c>
      <c r="O3422" s="194">
        <f t="shared" si="161"/>
        <v>6.6666666666666666E-2</v>
      </c>
    </row>
    <row r="3423" spans="1:15" ht="12.75" customHeight="1">
      <c r="A3423" s="188" t="s">
        <v>620</v>
      </c>
      <c r="B3423" s="188" t="s">
        <v>4996</v>
      </c>
      <c r="C3423" s="188" t="s">
        <v>678</v>
      </c>
      <c r="D3423" s="188" t="s">
        <v>5122</v>
      </c>
      <c r="E3423" s="189">
        <v>39597</v>
      </c>
      <c r="F3423" s="190">
        <v>0</v>
      </c>
      <c r="G3423" s="190">
        <v>16</v>
      </c>
      <c r="H3423" s="191">
        <v>200</v>
      </c>
      <c r="I3423" s="191">
        <v>60</v>
      </c>
      <c r="J3423" s="188" t="s">
        <v>624</v>
      </c>
      <c r="K3423" s="188" t="s">
        <v>571</v>
      </c>
      <c r="L3423" s="188" t="s">
        <v>1322</v>
      </c>
      <c r="M3423" s="192">
        <f t="shared" si="159"/>
        <v>15</v>
      </c>
      <c r="N3423" s="193">
        <f t="shared" si="160"/>
        <v>1</v>
      </c>
      <c r="O3423" s="194">
        <f t="shared" si="161"/>
        <v>6.6666666666666666E-2</v>
      </c>
    </row>
    <row r="3424" spans="1:15" ht="12.75" customHeight="1">
      <c r="A3424" s="188" t="s">
        <v>620</v>
      </c>
      <c r="B3424" s="188" t="s">
        <v>4996</v>
      </c>
      <c r="C3424" s="188" t="s">
        <v>678</v>
      </c>
      <c r="D3424" s="188" t="s">
        <v>5123</v>
      </c>
      <c r="E3424" s="189">
        <v>39632</v>
      </c>
      <c r="F3424" s="190">
        <v>0</v>
      </c>
      <c r="G3424" s="190">
        <v>136.4</v>
      </c>
      <c r="H3424" s="191">
        <v>1705</v>
      </c>
      <c r="I3424" s="191">
        <v>511.5</v>
      </c>
      <c r="J3424" s="188" t="s">
        <v>624</v>
      </c>
      <c r="K3424" s="188" t="s">
        <v>571</v>
      </c>
      <c r="L3424" s="188" t="s">
        <v>5124</v>
      </c>
      <c r="M3424" s="192">
        <f t="shared" si="159"/>
        <v>15</v>
      </c>
      <c r="N3424" s="193">
        <f t="shared" si="160"/>
        <v>1</v>
      </c>
      <c r="O3424" s="194">
        <f t="shared" si="161"/>
        <v>6.6666666666666666E-2</v>
      </c>
    </row>
    <row r="3425" spans="1:15" ht="12.75" customHeight="1">
      <c r="A3425" s="188" t="s">
        <v>620</v>
      </c>
      <c r="B3425" s="188" t="s">
        <v>4996</v>
      </c>
      <c r="C3425" s="188" t="s">
        <v>678</v>
      </c>
      <c r="D3425" s="188" t="s">
        <v>5125</v>
      </c>
      <c r="E3425" s="189">
        <v>39353</v>
      </c>
      <c r="F3425" s="190">
        <v>0</v>
      </c>
      <c r="G3425" s="190">
        <v>100.16</v>
      </c>
      <c r="H3425" s="191">
        <v>1107.02</v>
      </c>
      <c r="I3425" s="191">
        <v>375.6</v>
      </c>
      <c r="J3425" s="188" t="s">
        <v>624</v>
      </c>
      <c r="K3425" s="188" t="s">
        <v>571</v>
      </c>
      <c r="L3425" s="188" t="s">
        <v>3928</v>
      </c>
      <c r="M3425" s="192">
        <f t="shared" si="159"/>
        <v>15</v>
      </c>
      <c r="N3425" s="193">
        <f t="shared" si="160"/>
        <v>1.0000180668473351</v>
      </c>
      <c r="O3425" s="194">
        <f t="shared" si="161"/>
        <v>6.666787112315567E-2</v>
      </c>
    </row>
    <row r="3426" spans="1:15" ht="12.75" customHeight="1">
      <c r="A3426" s="188" t="s">
        <v>620</v>
      </c>
      <c r="B3426" s="188" t="s">
        <v>4996</v>
      </c>
      <c r="C3426" s="188" t="s">
        <v>678</v>
      </c>
      <c r="D3426" s="188" t="s">
        <v>5126</v>
      </c>
      <c r="E3426" s="189">
        <v>39282</v>
      </c>
      <c r="F3426" s="190">
        <v>0</v>
      </c>
      <c r="G3426" s="190">
        <v>131.84</v>
      </c>
      <c r="H3426" s="191">
        <v>1649.98</v>
      </c>
      <c r="I3426" s="191">
        <v>494.4</v>
      </c>
      <c r="J3426" s="188" t="s">
        <v>624</v>
      </c>
      <c r="K3426" s="188" t="s">
        <v>571</v>
      </c>
      <c r="L3426" s="188" t="s">
        <v>1645</v>
      </c>
      <c r="M3426" s="192">
        <f t="shared" si="159"/>
        <v>15</v>
      </c>
      <c r="N3426" s="193">
        <f t="shared" si="160"/>
        <v>1.0012014563106797</v>
      </c>
      <c r="O3426" s="194">
        <f t="shared" si="161"/>
        <v>6.6746763754045313E-2</v>
      </c>
    </row>
    <row r="3427" spans="1:15" ht="12.75" customHeight="1">
      <c r="A3427" s="188" t="s">
        <v>620</v>
      </c>
      <c r="B3427" s="188" t="s">
        <v>4996</v>
      </c>
      <c r="C3427" s="188" t="s">
        <v>678</v>
      </c>
      <c r="D3427" s="188" t="s">
        <v>5127</v>
      </c>
      <c r="E3427" s="189">
        <v>39261</v>
      </c>
      <c r="F3427" s="190">
        <v>0</v>
      </c>
      <c r="G3427" s="190">
        <v>43.12</v>
      </c>
      <c r="H3427" s="191">
        <v>398.86</v>
      </c>
      <c r="I3427" s="191">
        <v>161.69999999999999</v>
      </c>
      <c r="J3427" s="188" t="s">
        <v>624</v>
      </c>
      <c r="K3427" s="188" t="s">
        <v>639</v>
      </c>
      <c r="L3427" s="188" t="s">
        <v>5128</v>
      </c>
      <c r="M3427" s="192">
        <f t="shared" si="159"/>
        <v>11</v>
      </c>
      <c r="N3427" s="193">
        <f t="shared" si="160"/>
        <v>0.74</v>
      </c>
      <c r="O3427" s="194">
        <f t="shared" si="161"/>
        <v>6.7272727272727276E-2</v>
      </c>
    </row>
    <row r="3428" spans="1:15" ht="12.75" customHeight="1">
      <c r="A3428" s="188" t="s">
        <v>620</v>
      </c>
      <c r="B3428" s="188" t="s">
        <v>4996</v>
      </c>
      <c r="C3428" s="188" t="s">
        <v>678</v>
      </c>
      <c r="D3428" s="188" t="s">
        <v>5129</v>
      </c>
      <c r="E3428" s="189">
        <v>39303</v>
      </c>
      <c r="F3428" s="190">
        <v>0</v>
      </c>
      <c r="G3428" s="190">
        <v>88.96</v>
      </c>
      <c r="H3428" s="191">
        <v>974</v>
      </c>
      <c r="I3428" s="191">
        <v>333.6</v>
      </c>
      <c r="J3428" s="188" t="s">
        <v>624</v>
      </c>
      <c r="K3428" s="188" t="s">
        <v>652</v>
      </c>
      <c r="L3428" s="188" t="s">
        <v>2800</v>
      </c>
      <c r="M3428" s="192">
        <f t="shared" si="159"/>
        <v>13</v>
      </c>
      <c r="N3428" s="193">
        <f t="shared" si="160"/>
        <v>0.87589928057553956</v>
      </c>
      <c r="O3428" s="194">
        <f t="shared" si="161"/>
        <v>6.7376867736579971E-2</v>
      </c>
    </row>
    <row r="3429" spans="1:15" ht="12.75" customHeight="1">
      <c r="A3429" s="188" t="s">
        <v>620</v>
      </c>
      <c r="B3429" s="188" t="s">
        <v>4996</v>
      </c>
      <c r="C3429" s="188" t="s">
        <v>678</v>
      </c>
      <c r="D3429" s="188" t="s">
        <v>5130</v>
      </c>
      <c r="E3429" s="189">
        <v>39534</v>
      </c>
      <c r="F3429" s="190">
        <v>0</v>
      </c>
      <c r="G3429" s="190">
        <v>46.4</v>
      </c>
      <c r="H3429" s="191">
        <v>595</v>
      </c>
      <c r="I3429" s="191">
        <v>174</v>
      </c>
      <c r="J3429" s="188" t="s">
        <v>624</v>
      </c>
      <c r="K3429" s="188" t="s">
        <v>571</v>
      </c>
      <c r="L3429" s="188" t="s">
        <v>517</v>
      </c>
      <c r="M3429" s="192">
        <f t="shared" si="159"/>
        <v>15</v>
      </c>
      <c r="N3429" s="193">
        <f t="shared" si="160"/>
        <v>1.0258620689655173</v>
      </c>
      <c r="O3429" s="194">
        <f t="shared" si="161"/>
        <v>6.8390804597701152E-2</v>
      </c>
    </row>
    <row r="3430" spans="1:15" ht="12.75" customHeight="1">
      <c r="A3430" s="188" t="s">
        <v>620</v>
      </c>
      <c r="B3430" s="188" t="s">
        <v>4996</v>
      </c>
      <c r="C3430" s="188" t="s">
        <v>678</v>
      </c>
      <c r="D3430" s="188" t="s">
        <v>5131</v>
      </c>
      <c r="E3430" s="189">
        <v>39541</v>
      </c>
      <c r="F3430" s="190">
        <v>0</v>
      </c>
      <c r="G3430" s="190">
        <v>57.12</v>
      </c>
      <c r="H3430" s="191">
        <v>735</v>
      </c>
      <c r="I3430" s="191">
        <v>214.2</v>
      </c>
      <c r="J3430" s="188" t="s">
        <v>624</v>
      </c>
      <c r="K3430" s="188" t="s">
        <v>571</v>
      </c>
      <c r="L3430" s="188" t="s">
        <v>2796</v>
      </c>
      <c r="M3430" s="192">
        <f t="shared" si="159"/>
        <v>15</v>
      </c>
      <c r="N3430" s="193">
        <f t="shared" si="160"/>
        <v>1.0294117647058822</v>
      </c>
      <c r="O3430" s="194">
        <f t="shared" si="161"/>
        <v>6.8627450980392149E-2</v>
      </c>
    </row>
    <row r="3431" spans="1:15" ht="12.75" customHeight="1">
      <c r="A3431" s="188" t="s">
        <v>620</v>
      </c>
      <c r="B3431" s="188" t="s">
        <v>4996</v>
      </c>
      <c r="C3431" s="188" t="s">
        <v>678</v>
      </c>
      <c r="D3431" s="188" t="s">
        <v>5132</v>
      </c>
      <c r="E3431" s="189">
        <v>39282</v>
      </c>
      <c r="F3431" s="190">
        <v>0</v>
      </c>
      <c r="G3431" s="190">
        <v>141.28</v>
      </c>
      <c r="H3431" s="191">
        <v>1578.98</v>
      </c>
      <c r="I3431" s="191">
        <v>529.79999999999995</v>
      </c>
      <c r="J3431" s="188" t="s">
        <v>624</v>
      </c>
      <c r="K3431" s="188" t="s">
        <v>652</v>
      </c>
      <c r="L3431" s="188" t="s">
        <v>5133</v>
      </c>
      <c r="M3431" s="192">
        <f t="shared" si="159"/>
        <v>13</v>
      </c>
      <c r="N3431" s="193">
        <f t="shared" si="160"/>
        <v>0.89409966024915066</v>
      </c>
      <c r="O3431" s="194">
        <f t="shared" si="161"/>
        <v>6.8776896942242358E-2</v>
      </c>
    </row>
    <row r="3432" spans="1:15" ht="12.75" customHeight="1">
      <c r="A3432" s="188" t="s">
        <v>620</v>
      </c>
      <c r="B3432" s="188" t="s">
        <v>4996</v>
      </c>
      <c r="C3432" s="188" t="s">
        <v>678</v>
      </c>
      <c r="D3432" s="188" t="s">
        <v>5134</v>
      </c>
      <c r="E3432" s="189">
        <v>39359</v>
      </c>
      <c r="F3432" s="190">
        <v>0</v>
      </c>
      <c r="G3432" s="190">
        <v>76</v>
      </c>
      <c r="H3432" s="191">
        <v>987.5</v>
      </c>
      <c r="I3432" s="191">
        <v>285</v>
      </c>
      <c r="J3432" s="188" t="s">
        <v>624</v>
      </c>
      <c r="K3432" s="188" t="s">
        <v>571</v>
      </c>
      <c r="L3432" s="188" t="s">
        <v>1164</v>
      </c>
      <c r="M3432" s="192">
        <f t="shared" si="159"/>
        <v>15</v>
      </c>
      <c r="N3432" s="193">
        <f t="shared" si="160"/>
        <v>1.0394736842105263</v>
      </c>
      <c r="O3432" s="194">
        <f t="shared" si="161"/>
        <v>6.9298245614035095E-2</v>
      </c>
    </row>
    <row r="3433" spans="1:15" ht="12.75" customHeight="1">
      <c r="A3433" s="188" t="s">
        <v>620</v>
      </c>
      <c r="B3433" s="188" t="s">
        <v>4996</v>
      </c>
      <c r="C3433" s="188" t="s">
        <v>678</v>
      </c>
      <c r="D3433" s="188" t="s">
        <v>5135</v>
      </c>
      <c r="E3433" s="189">
        <v>39548</v>
      </c>
      <c r="F3433" s="190">
        <v>0</v>
      </c>
      <c r="G3433" s="190">
        <v>304.56</v>
      </c>
      <c r="H3433" s="191">
        <v>3967</v>
      </c>
      <c r="I3433" s="191">
        <v>1142.0999999999999</v>
      </c>
      <c r="J3433" s="188" t="s">
        <v>624</v>
      </c>
      <c r="K3433" s="188" t="s">
        <v>571</v>
      </c>
      <c r="L3433" s="188" t="s">
        <v>5136</v>
      </c>
      <c r="M3433" s="192">
        <f t="shared" si="159"/>
        <v>15</v>
      </c>
      <c r="N3433" s="193">
        <f t="shared" si="160"/>
        <v>1.0420278434462831</v>
      </c>
      <c r="O3433" s="194">
        <f t="shared" si="161"/>
        <v>6.9468522896418874E-2</v>
      </c>
    </row>
    <row r="3434" spans="1:15" ht="12.75" customHeight="1">
      <c r="A3434" s="188" t="s">
        <v>620</v>
      </c>
      <c r="B3434" s="188" t="s">
        <v>4996</v>
      </c>
      <c r="C3434" s="188" t="s">
        <v>678</v>
      </c>
      <c r="D3434" s="188" t="s">
        <v>5137</v>
      </c>
      <c r="E3434" s="189">
        <v>39373</v>
      </c>
      <c r="F3434" s="190">
        <v>0</v>
      </c>
      <c r="G3434" s="190">
        <v>136</v>
      </c>
      <c r="H3434" s="191">
        <v>1537</v>
      </c>
      <c r="I3434" s="191">
        <v>510</v>
      </c>
      <c r="J3434" s="188" t="s">
        <v>624</v>
      </c>
      <c r="K3434" s="188" t="s">
        <v>652</v>
      </c>
      <c r="L3434" s="188" t="s">
        <v>833</v>
      </c>
      <c r="M3434" s="192">
        <f t="shared" si="159"/>
        <v>13</v>
      </c>
      <c r="N3434" s="193">
        <f t="shared" si="160"/>
        <v>0.90411764705882358</v>
      </c>
      <c r="O3434" s="194">
        <f t="shared" si="161"/>
        <v>6.9547511312217203E-2</v>
      </c>
    </row>
    <row r="3435" spans="1:15" ht="12.75" customHeight="1">
      <c r="A3435" s="188" t="s">
        <v>620</v>
      </c>
      <c r="B3435" s="188" t="s">
        <v>4996</v>
      </c>
      <c r="C3435" s="188" t="s">
        <v>678</v>
      </c>
      <c r="D3435" s="188" t="s">
        <v>5138</v>
      </c>
      <c r="E3435" s="189">
        <v>39289</v>
      </c>
      <c r="F3435" s="190">
        <v>0</v>
      </c>
      <c r="G3435" s="190">
        <v>114.08</v>
      </c>
      <c r="H3435" s="191">
        <v>1491.03</v>
      </c>
      <c r="I3435" s="191">
        <v>427.8</v>
      </c>
      <c r="J3435" s="188" t="s">
        <v>624</v>
      </c>
      <c r="K3435" s="188" t="s">
        <v>571</v>
      </c>
      <c r="L3435" s="188" t="s">
        <v>4396</v>
      </c>
      <c r="M3435" s="192">
        <f t="shared" si="159"/>
        <v>15</v>
      </c>
      <c r="N3435" s="193">
        <f t="shared" si="160"/>
        <v>1.0456030855539973</v>
      </c>
      <c r="O3435" s="194">
        <f t="shared" si="161"/>
        <v>6.9706872370266487E-2</v>
      </c>
    </row>
    <row r="3436" spans="1:15" ht="12.75" customHeight="1">
      <c r="A3436" s="188" t="s">
        <v>620</v>
      </c>
      <c r="B3436" s="188" t="s">
        <v>4996</v>
      </c>
      <c r="C3436" s="188" t="s">
        <v>678</v>
      </c>
      <c r="D3436" s="188" t="s">
        <v>5139</v>
      </c>
      <c r="E3436" s="189">
        <v>39254</v>
      </c>
      <c r="F3436" s="190">
        <v>0</v>
      </c>
      <c r="G3436" s="190">
        <v>126.72</v>
      </c>
      <c r="H3436" s="191">
        <v>1660.03</v>
      </c>
      <c r="I3436" s="191">
        <v>475.2</v>
      </c>
      <c r="J3436" s="188" t="s">
        <v>624</v>
      </c>
      <c r="K3436" s="188" t="s">
        <v>571</v>
      </c>
      <c r="L3436" s="188" t="s">
        <v>2312</v>
      </c>
      <c r="M3436" s="192">
        <f t="shared" si="159"/>
        <v>15</v>
      </c>
      <c r="N3436" s="193">
        <f t="shared" si="160"/>
        <v>1.0479987373737374</v>
      </c>
      <c r="O3436" s="194">
        <f t="shared" si="161"/>
        <v>6.9866582491582493E-2</v>
      </c>
    </row>
    <row r="3437" spans="1:15" ht="12.75" customHeight="1">
      <c r="A3437" s="188" t="s">
        <v>620</v>
      </c>
      <c r="B3437" s="188" t="s">
        <v>4996</v>
      </c>
      <c r="C3437" s="188" t="s">
        <v>678</v>
      </c>
      <c r="D3437" s="188" t="s">
        <v>5140</v>
      </c>
      <c r="E3437" s="189">
        <v>39269</v>
      </c>
      <c r="F3437" s="190">
        <v>0</v>
      </c>
      <c r="G3437" s="190">
        <v>83.2</v>
      </c>
      <c r="H3437" s="191">
        <v>1090.02</v>
      </c>
      <c r="I3437" s="191">
        <v>312</v>
      </c>
      <c r="J3437" s="188" t="s">
        <v>624</v>
      </c>
      <c r="K3437" s="188" t="s">
        <v>571</v>
      </c>
      <c r="L3437" s="188" t="s">
        <v>808</v>
      </c>
      <c r="M3437" s="192">
        <f t="shared" si="159"/>
        <v>15</v>
      </c>
      <c r="N3437" s="193">
        <f t="shared" si="160"/>
        <v>1.0480961538461537</v>
      </c>
      <c r="O3437" s="194">
        <f t="shared" si="161"/>
        <v>6.9873076923076913E-2</v>
      </c>
    </row>
    <row r="3438" spans="1:15" ht="12.75" customHeight="1">
      <c r="A3438" s="188" t="s">
        <v>620</v>
      </c>
      <c r="B3438" s="188" t="s">
        <v>4996</v>
      </c>
      <c r="C3438" s="188" t="s">
        <v>678</v>
      </c>
      <c r="D3438" s="188" t="s">
        <v>5141</v>
      </c>
      <c r="E3438" s="189">
        <v>39583</v>
      </c>
      <c r="F3438" s="190">
        <v>0</v>
      </c>
      <c r="G3438" s="190">
        <v>104</v>
      </c>
      <c r="H3438" s="191">
        <v>1363</v>
      </c>
      <c r="I3438" s="191">
        <v>390</v>
      </c>
      <c r="J3438" s="188" t="s">
        <v>624</v>
      </c>
      <c r="K3438" s="188" t="s">
        <v>571</v>
      </c>
      <c r="L3438" s="188" t="s">
        <v>699</v>
      </c>
      <c r="M3438" s="192">
        <f t="shared" si="159"/>
        <v>15</v>
      </c>
      <c r="N3438" s="193">
        <f t="shared" si="160"/>
        <v>1.0484615384615386</v>
      </c>
      <c r="O3438" s="194">
        <f t="shared" si="161"/>
        <v>6.9897435897435897E-2</v>
      </c>
    </row>
    <row r="3439" spans="1:15" ht="12.75" customHeight="1">
      <c r="A3439" s="188" t="s">
        <v>620</v>
      </c>
      <c r="B3439" s="188" t="s">
        <v>4996</v>
      </c>
      <c r="C3439" s="188" t="s">
        <v>678</v>
      </c>
      <c r="D3439" s="188" t="s">
        <v>5142</v>
      </c>
      <c r="E3439" s="189">
        <v>39429</v>
      </c>
      <c r="F3439" s="190">
        <v>0</v>
      </c>
      <c r="G3439" s="190">
        <v>99.84</v>
      </c>
      <c r="H3439" s="191">
        <v>1310</v>
      </c>
      <c r="I3439" s="191">
        <v>374.4</v>
      </c>
      <c r="J3439" s="188" t="s">
        <v>624</v>
      </c>
      <c r="K3439" s="188" t="s">
        <v>571</v>
      </c>
      <c r="L3439" s="188" t="s">
        <v>2101</v>
      </c>
      <c r="M3439" s="192">
        <f t="shared" si="159"/>
        <v>15</v>
      </c>
      <c r="N3439" s="193">
        <f t="shared" si="160"/>
        <v>1.0496794871794872</v>
      </c>
      <c r="O3439" s="194">
        <f t="shared" si="161"/>
        <v>6.997863247863248E-2</v>
      </c>
    </row>
    <row r="3440" spans="1:15" ht="12.75" customHeight="1">
      <c r="A3440" s="188" t="s">
        <v>620</v>
      </c>
      <c r="B3440" s="188" t="s">
        <v>4996</v>
      </c>
      <c r="C3440" s="188" t="s">
        <v>678</v>
      </c>
      <c r="D3440" s="188" t="s">
        <v>5143</v>
      </c>
      <c r="E3440" s="189">
        <v>39269</v>
      </c>
      <c r="F3440" s="190">
        <v>0</v>
      </c>
      <c r="G3440" s="190">
        <v>108.8</v>
      </c>
      <c r="H3440" s="191">
        <v>1428</v>
      </c>
      <c r="I3440" s="191">
        <v>408</v>
      </c>
      <c r="J3440" s="188" t="s">
        <v>624</v>
      </c>
      <c r="K3440" s="188" t="s">
        <v>571</v>
      </c>
      <c r="L3440" s="188" t="s">
        <v>774</v>
      </c>
      <c r="M3440" s="192">
        <f t="shared" si="159"/>
        <v>15</v>
      </c>
      <c r="N3440" s="193">
        <f t="shared" si="160"/>
        <v>1.05</v>
      </c>
      <c r="O3440" s="194">
        <f t="shared" si="161"/>
        <v>7.0000000000000007E-2</v>
      </c>
    </row>
    <row r="3441" spans="1:15" ht="12.75" customHeight="1">
      <c r="A3441" s="188" t="s">
        <v>620</v>
      </c>
      <c r="B3441" s="188" t="s">
        <v>4996</v>
      </c>
      <c r="C3441" s="188" t="s">
        <v>678</v>
      </c>
      <c r="D3441" s="188" t="s">
        <v>5144</v>
      </c>
      <c r="E3441" s="189">
        <v>39353</v>
      </c>
      <c r="F3441" s="190">
        <v>0</v>
      </c>
      <c r="G3441" s="190">
        <v>152</v>
      </c>
      <c r="H3441" s="191">
        <v>1995</v>
      </c>
      <c r="I3441" s="191">
        <v>570</v>
      </c>
      <c r="J3441" s="188" t="s">
        <v>624</v>
      </c>
      <c r="K3441" s="188" t="s">
        <v>571</v>
      </c>
      <c r="L3441" s="188" t="s">
        <v>1673</v>
      </c>
      <c r="M3441" s="192">
        <f t="shared" si="159"/>
        <v>15</v>
      </c>
      <c r="N3441" s="193">
        <f t="shared" si="160"/>
        <v>1.05</v>
      </c>
      <c r="O3441" s="194">
        <f t="shared" si="161"/>
        <v>7.0000000000000007E-2</v>
      </c>
    </row>
    <row r="3442" spans="1:15" ht="12.75" customHeight="1">
      <c r="A3442" s="188" t="s">
        <v>620</v>
      </c>
      <c r="B3442" s="188" t="s">
        <v>4996</v>
      </c>
      <c r="C3442" s="188" t="s">
        <v>678</v>
      </c>
      <c r="D3442" s="188" t="s">
        <v>5145</v>
      </c>
      <c r="E3442" s="189">
        <v>39507</v>
      </c>
      <c r="F3442" s="190">
        <v>0</v>
      </c>
      <c r="G3442" s="190">
        <v>136.96</v>
      </c>
      <c r="H3442" s="191">
        <v>1559</v>
      </c>
      <c r="I3442" s="191">
        <v>513.6</v>
      </c>
      <c r="J3442" s="188" t="s">
        <v>624</v>
      </c>
      <c r="K3442" s="188" t="s">
        <v>652</v>
      </c>
      <c r="L3442" s="188" t="s">
        <v>2655</v>
      </c>
      <c r="M3442" s="192">
        <f t="shared" si="159"/>
        <v>13</v>
      </c>
      <c r="N3442" s="193">
        <f t="shared" si="160"/>
        <v>0.91063084112149528</v>
      </c>
      <c r="O3442" s="194">
        <f t="shared" si="161"/>
        <v>7.0048526240115025E-2</v>
      </c>
    </row>
    <row r="3443" spans="1:15" ht="12.75" customHeight="1">
      <c r="A3443" s="188" t="s">
        <v>620</v>
      </c>
      <c r="B3443" s="188" t="s">
        <v>4996</v>
      </c>
      <c r="C3443" s="188" t="s">
        <v>678</v>
      </c>
      <c r="D3443" s="188" t="s">
        <v>5146</v>
      </c>
      <c r="E3443" s="189">
        <v>39447</v>
      </c>
      <c r="F3443" s="190">
        <v>0</v>
      </c>
      <c r="G3443" s="190">
        <v>52.88</v>
      </c>
      <c r="H3443" s="191">
        <v>695</v>
      </c>
      <c r="I3443" s="191">
        <v>198.3</v>
      </c>
      <c r="J3443" s="188" t="s">
        <v>624</v>
      </c>
      <c r="K3443" s="188" t="s">
        <v>571</v>
      </c>
      <c r="L3443" s="188" t="s">
        <v>5147</v>
      </c>
      <c r="M3443" s="192">
        <f t="shared" si="159"/>
        <v>15</v>
      </c>
      <c r="N3443" s="193">
        <f t="shared" si="160"/>
        <v>1.0514372163388805</v>
      </c>
      <c r="O3443" s="194">
        <f t="shared" si="161"/>
        <v>7.0095814422592037E-2</v>
      </c>
    </row>
    <row r="3444" spans="1:15" ht="12.75" customHeight="1">
      <c r="A3444" s="188" t="s">
        <v>620</v>
      </c>
      <c r="B3444" s="188" t="s">
        <v>4996</v>
      </c>
      <c r="C3444" s="188" t="s">
        <v>678</v>
      </c>
      <c r="D3444" s="188" t="s">
        <v>5148</v>
      </c>
      <c r="E3444" s="189">
        <v>39507</v>
      </c>
      <c r="F3444" s="190">
        <v>0</v>
      </c>
      <c r="G3444" s="190">
        <v>161.28</v>
      </c>
      <c r="H3444" s="191">
        <v>2120</v>
      </c>
      <c r="I3444" s="191">
        <v>604.79999999999995</v>
      </c>
      <c r="J3444" s="188" t="s">
        <v>624</v>
      </c>
      <c r="K3444" s="188" t="s">
        <v>571</v>
      </c>
      <c r="L3444" s="188" t="s">
        <v>4199</v>
      </c>
      <c r="M3444" s="192">
        <f t="shared" si="159"/>
        <v>15</v>
      </c>
      <c r="N3444" s="193">
        <f t="shared" si="160"/>
        <v>1.0515873015873016</v>
      </c>
      <c r="O3444" s="194">
        <f t="shared" si="161"/>
        <v>7.0105820105820102E-2</v>
      </c>
    </row>
    <row r="3445" spans="1:15" ht="12.75" customHeight="1">
      <c r="A3445" s="188" t="s">
        <v>620</v>
      </c>
      <c r="B3445" s="188" t="s">
        <v>4996</v>
      </c>
      <c r="C3445" s="188" t="s">
        <v>678</v>
      </c>
      <c r="D3445" s="188" t="s">
        <v>5149</v>
      </c>
      <c r="E3445" s="189">
        <v>39568</v>
      </c>
      <c r="F3445" s="190">
        <v>0</v>
      </c>
      <c r="G3445" s="190">
        <v>118.24</v>
      </c>
      <c r="H3445" s="191">
        <v>1555</v>
      </c>
      <c r="I3445" s="191">
        <v>443.4</v>
      </c>
      <c r="J3445" s="188" t="s">
        <v>624</v>
      </c>
      <c r="K3445" s="188" t="s">
        <v>571</v>
      </c>
      <c r="L3445" s="188" t="s">
        <v>1135</v>
      </c>
      <c r="M3445" s="192">
        <f t="shared" si="159"/>
        <v>15</v>
      </c>
      <c r="N3445" s="193">
        <f t="shared" si="160"/>
        <v>1.0520974289580514</v>
      </c>
      <c r="O3445" s="194">
        <f t="shared" si="161"/>
        <v>7.0139828597203427E-2</v>
      </c>
    </row>
    <row r="3446" spans="1:15" ht="12.75" customHeight="1">
      <c r="A3446" s="188" t="s">
        <v>620</v>
      </c>
      <c r="B3446" s="188" t="s">
        <v>4996</v>
      </c>
      <c r="C3446" s="188" t="s">
        <v>678</v>
      </c>
      <c r="D3446" s="188" t="s">
        <v>5150</v>
      </c>
      <c r="E3446" s="189">
        <v>39527</v>
      </c>
      <c r="F3446" s="190">
        <v>0</v>
      </c>
      <c r="G3446" s="190">
        <v>62.72</v>
      </c>
      <c r="H3446" s="191">
        <v>825</v>
      </c>
      <c r="I3446" s="191">
        <v>235.2</v>
      </c>
      <c r="J3446" s="188" t="s">
        <v>624</v>
      </c>
      <c r="K3446" s="188" t="s">
        <v>571</v>
      </c>
      <c r="L3446" s="188" t="s">
        <v>713</v>
      </c>
      <c r="M3446" s="192">
        <f t="shared" si="159"/>
        <v>15</v>
      </c>
      <c r="N3446" s="193">
        <f t="shared" si="160"/>
        <v>1.052295918367347</v>
      </c>
      <c r="O3446" s="194">
        <f t="shared" si="161"/>
        <v>7.0153061224489804E-2</v>
      </c>
    </row>
    <row r="3447" spans="1:15" ht="12.75" customHeight="1">
      <c r="A3447" s="188" t="s">
        <v>620</v>
      </c>
      <c r="B3447" s="188" t="s">
        <v>4996</v>
      </c>
      <c r="C3447" s="188" t="s">
        <v>678</v>
      </c>
      <c r="D3447" s="188" t="s">
        <v>5151</v>
      </c>
      <c r="E3447" s="189">
        <v>39395</v>
      </c>
      <c r="F3447" s="190">
        <v>0</v>
      </c>
      <c r="G3447" s="190">
        <v>99.2</v>
      </c>
      <c r="H3447" s="191">
        <v>1305</v>
      </c>
      <c r="I3447" s="191">
        <v>372</v>
      </c>
      <c r="J3447" s="188" t="s">
        <v>624</v>
      </c>
      <c r="K3447" s="188" t="s">
        <v>571</v>
      </c>
      <c r="L3447" s="188" t="s">
        <v>1449</v>
      </c>
      <c r="M3447" s="192">
        <f t="shared" si="159"/>
        <v>15</v>
      </c>
      <c r="N3447" s="193">
        <f t="shared" si="160"/>
        <v>1.0524193548387097</v>
      </c>
      <c r="O3447" s="194">
        <f t="shared" si="161"/>
        <v>7.0161290322580644E-2</v>
      </c>
    </row>
    <row r="3448" spans="1:15" ht="12.75" customHeight="1">
      <c r="A3448" s="188" t="s">
        <v>620</v>
      </c>
      <c r="B3448" s="188" t="s">
        <v>4996</v>
      </c>
      <c r="C3448" s="188" t="s">
        <v>678</v>
      </c>
      <c r="D3448" s="188" t="s">
        <v>5152</v>
      </c>
      <c r="E3448" s="189">
        <v>39447</v>
      </c>
      <c r="F3448" s="190">
        <v>0</v>
      </c>
      <c r="G3448" s="190">
        <v>106.4</v>
      </c>
      <c r="H3448" s="191">
        <v>1400</v>
      </c>
      <c r="I3448" s="191">
        <v>399</v>
      </c>
      <c r="J3448" s="188" t="s">
        <v>624</v>
      </c>
      <c r="K3448" s="188" t="s">
        <v>571</v>
      </c>
      <c r="L3448" s="188" t="s">
        <v>3803</v>
      </c>
      <c r="M3448" s="192">
        <f t="shared" si="159"/>
        <v>15</v>
      </c>
      <c r="N3448" s="193">
        <f t="shared" si="160"/>
        <v>1.0526315789473684</v>
      </c>
      <c r="O3448" s="194">
        <f t="shared" si="161"/>
        <v>7.0175438596491224E-2</v>
      </c>
    </row>
    <row r="3449" spans="1:15" ht="12.75" customHeight="1">
      <c r="A3449" s="188" t="s">
        <v>620</v>
      </c>
      <c r="B3449" s="188" t="s">
        <v>4996</v>
      </c>
      <c r="C3449" s="188" t="s">
        <v>678</v>
      </c>
      <c r="D3449" s="188" t="s">
        <v>5153</v>
      </c>
      <c r="E3449" s="189">
        <v>39443</v>
      </c>
      <c r="F3449" s="190">
        <v>0</v>
      </c>
      <c r="G3449" s="190">
        <v>119.12</v>
      </c>
      <c r="H3449" s="191">
        <v>2202.4499999999998</v>
      </c>
      <c r="I3449" s="191">
        <v>446.7</v>
      </c>
      <c r="J3449" s="188" t="s">
        <v>624</v>
      </c>
      <c r="K3449" s="188" t="s">
        <v>1344</v>
      </c>
      <c r="L3449" s="188" t="s">
        <v>3129</v>
      </c>
      <c r="M3449" s="192">
        <f t="shared" si="159"/>
        <v>21</v>
      </c>
      <c r="N3449" s="193">
        <f t="shared" si="160"/>
        <v>1.4791470785762255</v>
      </c>
      <c r="O3449" s="194">
        <f t="shared" si="161"/>
        <v>7.0435575170296458E-2</v>
      </c>
    </row>
    <row r="3450" spans="1:15" ht="12.75" customHeight="1">
      <c r="A3450" s="188" t="s">
        <v>620</v>
      </c>
      <c r="B3450" s="188" t="s">
        <v>4996</v>
      </c>
      <c r="C3450" s="188" t="s">
        <v>678</v>
      </c>
      <c r="D3450" s="188" t="s">
        <v>5154</v>
      </c>
      <c r="E3450" s="189">
        <v>39447</v>
      </c>
      <c r="F3450" s="190">
        <v>0</v>
      </c>
      <c r="G3450" s="190">
        <v>144</v>
      </c>
      <c r="H3450" s="191">
        <v>1905</v>
      </c>
      <c r="I3450" s="191">
        <v>540</v>
      </c>
      <c r="J3450" s="188" t="s">
        <v>624</v>
      </c>
      <c r="K3450" s="188" t="s">
        <v>571</v>
      </c>
      <c r="L3450" s="188" t="s">
        <v>718</v>
      </c>
      <c r="M3450" s="192">
        <f t="shared" si="159"/>
        <v>15</v>
      </c>
      <c r="N3450" s="193">
        <f t="shared" si="160"/>
        <v>1.0583333333333333</v>
      </c>
      <c r="O3450" s="194">
        <f t="shared" si="161"/>
        <v>7.0555555555555552E-2</v>
      </c>
    </row>
    <row r="3451" spans="1:15" ht="12.75" customHeight="1">
      <c r="A3451" s="188" t="s">
        <v>620</v>
      </c>
      <c r="B3451" s="188" t="s">
        <v>4996</v>
      </c>
      <c r="C3451" s="188" t="s">
        <v>678</v>
      </c>
      <c r="D3451" s="188" t="s">
        <v>5155</v>
      </c>
      <c r="E3451" s="189">
        <v>39471</v>
      </c>
      <c r="F3451" s="190">
        <v>0</v>
      </c>
      <c r="G3451" s="190">
        <v>104</v>
      </c>
      <c r="H3451" s="191">
        <v>1300</v>
      </c>
      <c r="I3451" s="191">
        <v>390</v>
      </c>
      <c r="J3451" s="188" t="s">
        <v>624</v>
      </c>
      <c r="K3451" s="188" t="s">
        <v>1052</v>
      </c>
      <c r="L3451" s="188" t="s">
        <v>699</v>
      </c>
      <c r="M3451" s="192">
        <f t="shared" si="159"/>
        <v>14</v>
      </c>
      <c r="N3451" s="193">
        <f t="shared" si="160"/>
        <v>1</v>
      </c>
      <c r="O3451" s="194">
        <f t="shared" si="161"/>
        <v>7.1428571428571425E-2</v>
      </c>
    </row>
    <row r="3452" spans="1:15" ht="12.75" customHeight="1">
      <c r="A3452" s="188" t="s">
        <v>620</v>
      </c>
      <c r="B3452" s="188" t="s">
        <v>4996</v>
      </c>
      <c r="C3452" s="188" t="s">
        <v>678</v>
      </c>
      <c r="D3452" s="188" t="s">
        <v>5156</v>
      </c>
      <c r="E3452" s="189">
        <v>39447</v>
      </c>
      <c r="F3452" s="190">
        <v>0</v>
      </c>
      <c r="G3452" s="190">
        <v>40</v>
      </c>
      <c r="H3452" s="191">
        <v>500</v>
      </c>
      <c r="I3452" s="191">
        <v>150</v>
      </c>
      <c r="J3452" s="188" t="s">
        <v>624</v>
      </c>
      <c r="K3452" s="188" t="s">
        <v>1052</v>
      </c>
      <c r="L3452" s="188" t="s">
        <v>858</v>
      </c>
      <c r="M3452" s="192">
        <f t="shared" si="159"/>
        <v>14</v>
      </c>
      <c r="N3452" s="193">
        <f t="shared" si="160"/>
        <v>1</v>
      </c>
      <c r="O3452" s="194">
        <f t="shared" si="161"/>
        <v>7.1428571428571425E-2</v>
      </c>
    </row>
    <row r="3453" spans="1:15" ht="12.75" customHeight="1">
      <c r="A3453" s="188" t="s">
        <v>620</v>
      </c>
      <c r="B3453" s="188" t="s">
        <v>4996</v>
      </c>
      <c r="C3453" s="188" t="s">
        <v>678</v>
      </c>
      <c r="D3453" s="188" t="s">
        <v>5157</v>
      </c>
      <c r="E3453" s="189">
        <v>39478</v>
      </c>
      <c r="F3453" s="190">
        <v>0</v>
      </c>
      <c r="G3453" s="190">
        <v>88</v>
      </c>
      <c r="H3453" s="191">
        <v>1100</v>
      </c>
      <c r="I3453" s="191">
        <v>330</v>
      </c>
      <c r="J3453" s="188" t="s">
        <v>624</v>
      </c>
      <c r="K3453" s="188" t="s">
        <v>1052</v>
      </c>
      <c r="L3453" s="188" t="s">
        <v>557</v>
      </c>
      <c r="M3453" s="192">
        <f t="shared" si="159"/>
        <v>14</v>
      </c>
      <c r="N3453" s="193">
        <f t="shared" si="160"/>
        <v>1</v>
      </c>
      <c r="O3453" s="194">
        <f t="shared" si="161"/>
        <v>7.1428571428571425E-2</v>
      </c>
    </row>
    <row r="3454" spans="1:15" ht="12.75" customHeight="1">
      <c r="A3454" s="188" t="s">
        <v>620</v>
      </c>
      <c r="B3454" s="188" t="s">
        <v>4996</v>
      </c>
      <c r="C3454" s="188" t="s">
        <v>678</v>
      </c>
      <c r="D3454" s="188" t="s">
        <v>5158</v>
      </c>
      <c r="E3454" s="189">
        <v>39513</v>
      </c>
      <c r="F3454" s="190">
        <v>0</v>
      </c>
      <c r="G3454" s="190">
        <v>104</v>
      </c>
      <c r="H3454" s="191">
        <v>1300</v>
      </c>
      <c r="I3454" s="191">
        <v>390</v>
      </c>
      <c r="J3454" s="188" t="s">
        <v>624</v>
      </c>
      <c r="K3454" s="188" t="s">
        <v>1052</v>
      </c>
      <c r="L3454" s="188" t="s">
        <v>699</v>
      </c>
      <c r="M3454" s="192">
        <f t="shared" si="159"/>
        <v>14</v>
      </c>
      <c r="N3454" s="193">
        <f t="shared" si="160"/>
        <v>1</v>
      </c>
      <c r="O3454" s="194">
        <f t="shared" si="161"/>
        <v>7.1428571428571425E-2</v>
      </c>
    </row>
    <row r="3455" spans="1:15" ht="12.75" customHeight="1">
      <c r="A3455" s="188" t="s">
        <v>620</v>
      </c>
      <c r="B3455" s="188" t="s">
        <v>4996</v>
      </c>
      <c r="C3455" s="188" t="s">
        <v>678</v>
      </c>
      <c r="D3455" s="188" t="s">
        <v>5159</v>
      </c>
      <c r="E3455" s="189">
        <v>39618</v>
      </c>
      <c r="F3455" s="190">
        <v>0</v>
      </c>
      <c r="G3455" s="190">
        <v>60.8</v>
      </c>
      <c r="H3455" s="191">
        <v>760</v>
      </c>
      <c r="I3455" s="191">
        <v>228</v>
      </c>
      <c r="J3455" s="188" t="s">
        <v>624</v>
      </c>
      <c r="K3455" s="188" t="s">
        <v>1052</v>
      </c>
      <c r="L3455" s="188" t="s">
        <v>759</v>
      </c>
      <c r="M3455" s="192">
        <f t="shared" si="159"/>
        <v>14</v>
      </c>
      <c r="N3455" s="193">
        <f t="shared" si="160"/>
        <v>1</v>
      </c>
      <c r="O3455" s="194">
        <f t="shared" si="161"/>
        <v>7.1428571428571425E-2</v>
      </c>
    </row>
    <row r="3456" spans="1:15" ht="12.75" customHeight="1">
      <c r="A3456" s="188" t="s">
        <v>620</v>
      </c>
      <c r="B3456" s="188" t="s">
        <v>4996</v>
      </c>
      <c r="C3456" s="188" t="s">
        <v>678</v>
      </c>
      <c r="D3456" s="188" t="s">
        <v>5160</v>
      </c>
      <c r="E3456" s="189">
        <v>39471</v>
      </c>
      <c r="F3456" s="190">
        <v>0</v>
      </c>
      <c r="G3456" s="190">
        <v>103.36</v>
      </c>
      <c r="H3456" s="191">
        <v>1201.2</v>
      </c>
      <c r="I3456" s="191">
        <v>387.6</v>
      </c>
      <c r="J3456" s="188" t="s">
        <v>624</v>
      </c>
      <c r="K3456" s="188" t="s">
        <v>652</v>
      </c>
      <c r="L3456" s="188" t="s">
        <v>1069</v>
      </c>
      <c r="M3456" s="192">
        <f t="shared" si="159"/>
        <v>13</v>
      </c>
      <c r="N3456" s="193">
        <f t="shared" si="160"/>
        <v>0.92972136222910218</v>
      </c>
      <c r="O3456" s="194">
        <f t="shared" si="161"/>
        <v>7.1517027863777088E-2</v>
      </c>
    </row>
    <row r="3457" spans="1:15" ht="12.75" customHeight="1">
      <c r="A3457" s="188" t="s">
        <v>620</v>
      </c>
      <c r="B3457" s="188" t="s">
        <v>4996</v>
      </c>
      <c r="C3457" s="188" t="s">
        <v>678</v>
      </c>
      <c r="D3457" s="188" t="s">
        <v>5161</v>
      </c>
      <c r="E3457" s="189">
        <v>39436</v>
      </c>
      <c r="F3457" s="190">
        <v>0</v>
      </c>
      <c r="G3457" s="190">
        <v>134.4</v>
      </c>
      <c r="H3457" s="191">
        <v>1562.5</v>
      </c>
      <c r="I3457" s="191">
        <v>504</v>
      </c>
      <c r="J3457" s="188" t="s">
        <v>624</v>
      </c>
      <c r="K3457" s="188" t="s">
        <v>652</v>
      </c>
      <c r="L3457" s="188" t="s">
        <v>2325</v>
      </c>
      <c r="M3457" s="192">
        <f t="shared" si="159"/>
        <v>13</v>
      </c>
      <c r="N3457" s="193">
        <f t="shared" si="160"/>
        <v>0.93005952380952384</v>
      </c>
      <c r="O3457" s="194">
        <f t="shared" si="161"/>
        <v>7.1543040293040289E-2</v>
      </c>
    </row>
    <row r="3458" spans="1:15" ht="12.75" customHeight="1">
      <c r="A3458" s="188" t="s">
        <v>620</v>
      </c>
      <c r="B3458" s="188" t="s">
        <v>4996</v>
      </c>
      <c r="C3458" s="188" t="s">
        <v>678</v>
      </c>
      <c r="D3458" s="188" t="s">
        <v>5162</v>
      </c>
      <c r="E3458" s="189">
        <v>39275</v>
      </c>
      <c r="F3458" s="190">
        <v>0</v>
      </c>
      <c r="G3458" s="190">
        <v>62.4</v>
      </c>
      <c r="H3458" s="191">
        <v>1170</v>
      </c>
      <c r="I3458" s="191">
        <v>234</v>
      </c>
      <c r="J3458" s="188" t="s">
        <v>624</v>
      </c>
      <c r="K3458" s="188" t="s">
        <v>652</v>
      </c>
      <c r="L3458" s="188" t="s">
        <v>2144</v>
      </c>
      <c r="M3458" s="192">
        <f t="shared" ref="M3458:M3521" si="162">K3458-J3458</f>
        <v>13</v>
      </c>
      <c r="N3458" s="193">
        <f t="shared" ref="N3458:N3521" si="163">H3458/L3458</f>
        <v>0.94202898550724634</v>
      </c>
      <c r="O3458" s="194">
        <f t="shared" ref="O3458:O3521" si="164">N3458/M3458</f>
        <v>7.2463768115942032E-2</v>
      </c>
    </row>
    <row r="3459" spans="1:15" ht="12.75" customHeight="1">
      <c r="A3459" s="188" t="s">
        <v>620</v>
      </c>
      <c r="B3459" s="188" t="s">
        <v>4996</v>
      </c>
      <c r="C3459" s="188" t="s">
        <v>678</v>
      </c>
      <c r="D3459" s="188" t="s">
        <v>5163</v>
      </c>
      <c r="E3459" s="189">
        <v>39590</v>
      </c>
      <c r="F3459" s="190">
        <v>0</v>
      </c>
      <c r="G3459" s="190">
        <v>70.959999999999994</v>
      </c>
      <c r="H3459" s="191">
        <v>708</v>
      </c>
      <c r="I3459" s="191">
        <v>266.10000000000002</v>
      </c>
      <c r="J3459" s="188" t="s">
        <v>624</v>
      </c>
      <c r="K3459" s="188" t="s">
        <v>639</v>
      </c>
      <c r="L3459" s="188" t="s">
        <v>3323</v>
      </c>
      <c r="M3459" s="192">
        <f t="shared" si="162"/>
        <v>11</v>
      </c>
      <c r="N3459" s="193">
        <f t="shared" si="163"/>
        <v>0.79819616685456596</v>
      </c>
      <c r="O3459" s="194">
        <f t="shared" si="164"/>
        <v>7.2563287895869633E-2</v>
      </c>
    </row>
    <row r="3460" spans="1:15" ht="12.75" customHeight="1">
      <c r="A3460" s="188" t="s">
        <v>620</v>
      </c>
      <c r="B3460" s="188" t="s">
        <v>4996</v>
      </c>
      <c r="C3460" s="188" t="s">
        <v>678</v>
      </c>
      <c r="D3460" s="188" t="s">
        <v>5164</v>
      </c>
      <c r="E3460" s="189">
        <v>39471</v>
      </c>
      <c r="F3460" s="190">
        <v>0</v>
      </c>
      <c r="G3460" s="190">
        <v>48.8</v>
      </c>
      <c r="H3460" s="191">
        <v>487</v>
      </c>
      <c r="I3460" s="191">
        <v>183</v>
      </c>
      <c r="J3460" s="188" t="s">
        <v>624</v>
      </c>
      <c r="K3460" s="188" t="s">
        <v>639</v>
      </c>
      <c r="L3460" s="188" t="s">
        <v>5082</v>
      </c>
      <c r="M3460" s="192">
        <f t="shared" si="162"/>
        <v>11</v>
      </c>
      <c r="N3460" s="193">
        <f t="shared" si="163"/>
        <v>0.79836065573770487</v>
      </c>
      <c r="O3460" s="194">
        <f t="shared" si="164"/>
        <v>7.2578241430700449E-2</v>
      </c>
    </row>
    <row r="3461" spans="1:15" ht="12.75" customHeight="1">
      <c r="A3461" s="188" t="s">
        <v>620</v>
      </c>
      <c r="B3461" s="188" t="s">
        <v>4996</v>
      </c>
      <c r="C3461" s="188" t="s">
        <v>678</v>
      </c>
      <c r="D3461" s="188" t="s">
        <v>5165</v>
      </c>
      <c r="E3461" s="189">
        <v>39568</v>
      </c>
      <c r="F3461" s="190">
        <v>0</v>
      </c>
      <c r="G3461" s="190">
        <v>41.6</v>
      </c>
      <c r="H3461" s="191">
        <v>569</v>
      </c>
      <c r="I3461" s="191">
        <v>156</v>
      </c>
      <c r="J3461" s="188" t="s">
        <v>624</v>
      </c>
      <c r="K3461" s="188" t="s">
        <v>571</v>
      </c>
      <c r="L3461" s="188" t="s">
        <v>4109</v>
      </c>
      <c r="M3461" s="192">
        <f t="shared" si="162"/>
        <v>15</v>
      </c>
      <c r="N3461" s="193">
        <f t="shared" si="163"/>
        <v>1.0942307692307693</v>
      </c>
      <c r="O3461" s="194">
        <f t="shared" si="164"/>
        <v>7.2948717948717962E-2</v>
      </c>
    </row>
    <row r="3462" spans="1:15" ht="12.75" customHeight="1">
      <c r="A3462" s="188" t="s">
        <v>620</v>
      </c>
      <c r="B3462" s="188" t="s">
        <v>4996</v>
      </c>
      <c r="C3462" s="188" t="s">
        <v>678</v>
      </c>
      <c r="D3462" s="188" t="s">
        <v>5166</v>
      </c>
      <c r="E3462" s="189">
        <v>39541</v>
      </c>
      <c r="F3462" s="190">
        <v>0</v>
      </c>
      <c r="G3462" s="190">
        <v>84.48</v>
      </c>
      <c r="H3462" s="191">
        <v>1003</v>
      </c>
      <c r="I3462" s="191">
        <v>316.8</v>
      </c>
      <c r="J3462" s="188" t="s">
        <v>624</v>
      </c>
      <c r="K3462" s="188" t="s">
        <v>652</v>
      </c>
      <c r="L3462" s="188" t="s">
        <v>1354</v>
      </c>
      <c r="M3462" s="192">
        <f t="shared" si="162"/>
        <v>13</v>
      </c>
      <c r="N3462" s="193">
        <f t="shared" si="163"/>
        <v>0.94981060606060608</v>
      </c>
      <c r="O3462" s="194">
        <f t="shared" si="164"/>
        <v>7.3062354312354319E-2</v>
      </c>
    </row>
    <row r="3463" spans="1:15" ht="12.75" customHeight="1">
      <c r="A3463" s="188" t="s">
        <v>620</v>
      </c>
      <c r="B3463" s="188" t="s">
        <v>4996</v>
      </c>
      <c r="C3463" s="188" t="s">
        <v>678</v>
      </c>
      <c r="D3463" s="188" t="s">
        <v>5167</v>
      </c>
      <c r="E3463" s="189">
        <v>39507</v>
      </c>
      <c r="F3463" s="190">
        <v>0</v>
      </c>
      <c r="G3463" s="190">
        <v>100.48</v>
      </c>
      <c r="H3463" s="191">
        <v>1193</v>
      </c>
      <c r="I3463" s="191">
        <v>376.8</v>
      </c>
      <c r="J3463" s="188" t="s">
        <v>624</v>
      </c>
      <c r="K3463" s="188" t="s">
        <v>652</v>
      </c>
      <c r="L3463" s="188" t="s">
        <v>5168</v>
      </c>
      <c r="M3463" s="192">
        <f t="shared" si="162"/>
        <v>13</v>
      </c>
      <c r="N3463" s="193">
        <f t="shared" si="163"/>
        <v>0.94984076433121023</v>
      </c>
      <c r="O3463" s="194">
        <f t="shared" si="164"/>
        <v>7.3064674179323857E-2</v>
      </c>
    </row>
    <row r="3464" spans="1:15" ht="12.75" customHeight="1">
      <c r="A3464" s="188" t="s">
        <v>620</v>
      </c>
      <c r="B3464" s="188" t="s">
        <v>4996</v>
      </c>
      <c r="C3464" s="188" t="s">
        <v>678</v>
      </c>
      <c r="D3464" s="188" t="s">
        <v>5169</v>
      </c>
      <c r="E3464" s="189">
        <v>39401</v>
      </c>
      <c r="F3464" s="190">
        <v>0</v>
      </c>
      <c r="G3464" s="190">
        <v>130.88</v>
      </c>
      <c r="H3464" s="191">
        <v>1554</v>
      </c>
      <c r="I3464" s="191">
        <v>490.8</v>
      </c>
      <c r="J3464" s="188" t="s">
        <v>624</v>
      </c>
      <c r="K3464" s="188" t="s">
        <v>652</v>
      </c>
      <c r="L3464" s="188" t="s">
        <v>4126</v>
      </c>
      <c r="M3464" s="192">
        <f t="shared" si="162"/>
        <v>13</v>
      </c>
      <c r="N3464" s="193">
        <f t="shared" si="163"/>
        <v>0.94987775061124691</v>
      </c>
      <c r="O3464" s="194">
        <f t="shared" si="164"/>
        <v>7.306751927778822E-2</v>
      </c>
    </row>
    <row r="3465" spans="1:15" ht="12.75" customHeight="1">
      <c r="A3465" s="188" t="s">
        <v>620</v>
      </c>
      <c r="B3465" s="188" t="s">
        <v>4996</v>
      </c>
      <c r="C3465" s="188" t="s">
        <v>678</v>
      </c>
      <c r="D3465" s="188" t="s">
        <v>5170</v>
      </c>
      <c r="E3465" s="189">
        <v>39562</v>
      </c>
      <c r="F3465" s="190">
        <v>0</v>
      </c>
      <c r="G3465" s="190">
        <v>94.72</v>
      </c>
      <c r="H3465" s="191">
        <v>1125</v>
      </c>
      <c r="I3465" s="191">
        <v>355.2</v>
      </c>
      <c r="J3465" s="188" t="s">
        <v>624</v>
      </c>
      <c r="K3465" s="188" t="s">
        <v>652</v>
      </c>
      <c r="L3465" s="188" t="s">
        <v>3156</v>
      </c>
      <c r="M3465" s="192">
        <f t="shared" si="162"/>
        <v>13</v>
      </c>
      <c r="N3465" s="193">
        <f t="shared" si="163"/>
        <v>0.95016891891891897</v>
      </c>
      <c r="O3465" s="194">
        <f t="shared" si="164"/>
        <v>7.3089916839916849E-2</v>
      </c>
    </row>
    <row r="3466" spans="1:15" ht="12.75" customHeight="1">
      <c r="A3466" s="188" t="s">
        <v>620</v>
      </c>
      <c r="B3466" s="188" t="s">
        <v>4996</v>
      </c>
      <c r="C3466" s="188" t="s">
        <v>678</v>
      </c>
      <c r="D3466" s="188" t="s">
        <v>5171</v>
      </c>
      <c r="E3466" s="189">
        <v>39331</v>
      </c>
      <c r="F3466" s="190">
        <v>0</v>
      </c>
      <c r="G3466" s="190">
        <v>101.12</v>
      </c>
      <c r="H3466" s="191">
        <v>1201.05</v>
      </c>
      <c r="I3466" s="191">
        <v>379.2</v>
      </c>
      <c r="J3466" s="188" t="s">
        <v>624</v>
      </c>
      <c r="K3466" s="188" t="s">
        <v>652</v>
      </c>
      <c r="L3466" s="188" t="s">
        <v>2151</v>
      </c>
      <c r="M3466" s="192">
        <f t="shared" si="162"/>
        <v>13</v>
      </c>
      <c r="N3466" s="193">
        <f t="shared" si="163"/>
        <v>0.95019778481012651</v>
      </c>
      <c r="O3466" s="194">
        <f t="shared" si="164"/>
        <v>7.3092137293086654E-2</v>
      </c>
    </row>
    <row r="3467" spans="1:15" ht="12.75" customHeight="1">
      <c r="A3467" s="188" t="s">
        <v>620</v>
      </c>
      <c r="B3467" s="188" t="s">
        <v>4996</v>
      </c>
      <c r="C3467" s="188" t="s">
        <v>678</v>
      </c>
      <c r="D3467" s="188" t="s">
        <v>5172</v>
      </c>
      <c r="E3467" s="189">
        <v>39331</v>
      </c>
      <c r="F3467" s="190">
        <v>0</v>
      </c>
      <c r="G3467" s="190">
        <v>96.8</v>
      </c>
      <c r="H3467" s="191">
        <v>1330.03</v>
      </c>
      <c r="I3467" s="191">
        <v>363</v>
      </c>
      <c r="J3467" s="188" t="s">
        <v>624</v>
      </c>
      <c r="K3467" s="188" t="s">
        <v>571</v>
      </c>
      <c r="L3467" s="188" t="s">
        <v>2441</v>
      </c>
      <c r="M3467" s="192">
        <f t="shared" si="162"/>
        <v>15</v>
      </c>
      <c r="N3467" s="193">
        <f t="shared" si="163"/>
        <v>1.099198347107438</v>
      </c>
      <c r="O3467" s="194">
        <f t="shared" si="164"/>
        <v>7.3279889807162532E-2</v>
      </c>
    </row>
    <row r="3468" spans="1:15" ht="12.75" customHeight="1">
      <c r="A3468" s="188" t="s">
        <v>620</v>
      </c>
      <c r="B3468" s="188" t="s">
        <v>4996</v>
      </c>
      <c r="C3468" s="188" t="s">
        <v>678</v>
      </c>
      <c r="D3468" s="188" t="s">
        <v>5173</v>
      </c>
      <c r="E3468" s="189">
        <v>39568</v>
      </c>
      <c r="F3468" s="190">
        <v>0</v>
      </c>
      <c r="G3468" s="190">
        <v>112</v>
      </c>
      <c r="H3468" s="191">
        <v>1540</v>
      </c>
      <c r="I3468" s="191">
        <v>420</v>
      </c>
      <c r="J3468" s="188" t="s">
        <v>624</v>
      </c>
      <c r="K3468" s="188" t="s">
        <v>571</v>
      </c>
      <c r="L3468" s="188" t="s">
        <v>754</v>
      </c>
      <c r="M3468" s="192">
        <f t="shared" si="162"/>
        <v>15</v>
      </c>
      <c r="N3468" s="193">
        <f t="shared" si="163"/>
        <v>1.1000000000000001</v>
      </c>
      <c r="O3468" s="194">
        <f t="shared" si="164"/>
        <v>7.3333333333333334E-2</v>
      </c>
    </row>
    <row r="3469" spans="1:15" ht="12.75" customHeight="1">
      <c r="A3469" s="188" t="s">
        <v>620</v>
      </c>
      <c r="B3469" s="188" t="s">
        <v>4996</v>
      </c>
      <c r="C3469" s="188" t="s">
        <v>678</v>
      </c>
      <c r="D3469" s="188" t="s">
        <v>5174</v>
      </c>
      <c r="E3469" s="189">
        <v>39352</v>
      </c>
      <c r="F3469" s="190">
        <v>0</v>
      </c>
      <c r="G3469" s="190">
        <v>72</v>
      </c>
      <c r="H3469" s="191">
        <v>1000</v>
      </c>
      <c r="I3469" s="191">
        <v>270</v>
      </c>
      <c r="J3469" s="188" t="s">
        <v>624</v>
      </c>
      <c r="K3469" s="188" t="s">
        <v>571</v>
      </c>
      <c r="L3469" s="188" t="s">
        <v>740</v>
      </c>
      <c r="M3469" s="192">
        <f t="shared" si="162"/>
        <v>15</v>
      </c>
      <c r="N3469" s="193">
        <f t="shared" si="163"/>
        <v>1.1111111111111112</v>
      </c>
      <c r="O3469" s="194">
        <f t="shared" si="164"/>
        <v>7.4074074074074084E-2</v>
      </c>
    </row>
    <row r="3470" spans="1:15" ht="12.75" customHeight="1">
      <c r="A3470" s="188" t="s">
        <v>620</v>
      </c>
      <c r="B3470" s="188" t="s">
        <v>4996</v>
      </c>
      <c r="C3470" s="188" t="s">
        <v>678</v>
      </c>
      <c r="D3470" s="188" t="s">
        <v>5175</v>
      </c>
      <c r="E3470" s="189">
        <v>39520</v>
      </c>
      <c r="F3470" s="190">
        <v>0</v>
      </c>
      <c r="G3470" s="190">
        <v>14.4</v>
      </c>
      <c r="H3470" s="191">
        <v>201.88</v>
      </c>
      <c r="I3470" s="191">
        <v>54</v>
      </c>
      <c r="J3470" s="188" t="s">
        <v>624</v>
      </c>
      <c r="K3470" s="188" t="s">
        <v>571</v>
      </c>
      <c r="L3470" s="188" t="s">
        <v>302</v>
      </c>
      <c r="M3470" s="192">
        <f t="shared" si="162"/>
        <v>15</v>
      </c>
      <c r="N3470" s="193">
        <f t="shared" si="163"/>
        <v>1.1215555555555556</v>
      </c>
      <c r="O3470" s="194">
        <f t="shared" si="164"/>
        <v>7.4770370370370376E-2</v>
      </c>
    </row>
    <row r="3471" spans="1:15" ht="12.75" customHeight="1">
      <c r="A3471" s="188" t="s">
        <v>620</v>
      </c>
      <c r="B3471" s="188" t="s">
        <v>4996</v>
      </c>
      <c r="C3471" s="188" t="s">
        <v>678</v>
      </c>
      <c r="D3471" s="188" t="s">
        <v>5176</v>
      </c>
      <c r="E3471" s="189">
        <v>39373</v>
      </c>
      <c r="F3471" s="190">
        <v>0</v>
      </c>
      <c r="G3471" s="190">
        <v>88.32</v>
      </c>
      <c r="H3471" s="191">
        <v>1240</v>
      </c>
      <c r="I3471" s="191">
        <v>331.2</v>
      </c>
      <c r="J3471" s="188" t="s">
        <v>624</v>
      </c>
      <c r="K3471" s="188" t="s">
        <v>571</v>
      </c>
      <c r="L3471" s="188" t="s">
        <v>1030</v>
      </c>
      <c r="M3471" s="192">
        <f t="shared" si="162"/>
        <v>15</v>
      </c>
      <c r="N3471" s="193">
        <f t="shared" si="163"/>
        <v>1.1231884057971016</v>
      </c>
      <c r="O3471" s="194">
        <f t="shared" si="164"/>
        <v>7.487922705314011E-2</v>
      </c>
    </row>
    <row r="3472" spans="1:15" ht="12.75" customHeight="1">
      <c r="A3472" s="188" t="s">
        <v>620</v>
      </c>
      <c r="B3472" s="188" t="s">
        <v>4996</v>
      </c>
      <c r="C3472" s="188" t="s">
        <v>678</v>
      </c>
      <c r="D3472" s="188" t="s">
        <v>5177</v>
      </c>
      <c r="E3472" s="189">
        <v>39353</v>
      </c>
      <c r="F3472" s="190">
        <v>0</v>
      </c>
      <c r="G3472" s="190">
        <v>85.76</v>
      </c>
      <c r="H3472" s="191">
        <v>1207</v>
      </c>
      <c r="I3472" s="191">
        <v>321.60000000000002</v>
      </c>
      <c r="J3472" s="188" t="s">
        <v>624</v>
      </c>
      <c r="K3472" s="188" t="s">
        <v>571</v>
      </c>
      <c r="L3472" s="188" t="s">
        <v>5178</v>
      </c>
      <c r="M3472" s="192">
        <f t="shared" si="162"/>
        <v>15</v>
      </c>
      <c r="N3472" s="193">
        <f t="shared" si="163"/>
        <v>1.1259328358208955</v>
      </c>
      <c r="O3472" s="194">
        <f t="shared" si="164"/>
        <v>7.5062189054726364E-2</v>
      </c>
    </row>
    <row r="3473" spans="1:15" ht="12.75" customHeight="1">
      <c r="A3473" s="188" t="s">
        <v>620</v>
      </c>
      <c r="B3473" s="188" t="s">
        <v>4996</v>
      </c>
      <c r="C3473" s="188" t="s">
        <v>678</v>
      </c>
      <c r="D3473" s="188" t="s">
        <v>5179</v>
      </c>
      <c r="E3473" s="189">
        <v>39226</v>
      </c>
      <c r="F3473" s="190">
        <v>0</v>
      </c>
      <c r="G3473" s="190">
        <v>144.63999999999999</v>
      </c>
      <c r="H3473" s="191">
        <v>1768.95</v>
      </c>
      <c r="I3473" s="191">
        <v>542.4</v>
      </c>
      <c r="J3473" s="188" t="s">
        <v>624</v>
      </c>
      <c r="K3473" s="188" t="s">
        <v>652</v>
      </c>
      <c r="L3473" s="188" t="s">
        <v>5180</v>
      </c>
      <c r="M3473" s="192">
        <f t="shared" si="162"/>
        <v>13</v>
      </c>
      <c r="N3473" s="193">
        <f t="shared" si="163"/>
        <v>0.97840154867256635</v>
      </c>
      <c r="O3473" s="194">
        <f t="shared" si="164"/>
        <v>7.5261657590197414E-2</v>
      </c>
    </row>
    <row r="3474" spans="1:15" ht="12.75" customHeight="1">
      <c r="A3474" s="188" t="s">
        <v>620</v>
      </c>
      <c r="B3474" s="188" t="s">
        <v>4996</v>
      </c>
      <c r="C3474" s="188" t="s">
        <v>678</v>
      </c>
      <c r="D3474" s="188" t="s">
        <v>5181</v>
      </c>
      <c r="E3474" s="189">
        <v>39324</v>
      </c>
      <c r="F3474" s="190">
        <v>0</v>
      </c>
      <c r="G3474" s="190">
        <v>84</v>
      </c>
      <c r="H3474" s="191">
        <v>950.04</v>
      </c>
      <c r="I3474" s="191">
        <v>315</v>
      </c>
      <c r="J3474" s="188" t="s">
        <v>624</v>
      </c>
      <c r="K3474" s="188" t="s">
        <v>361</v>
      </c>
      <c r="L3474" s="188" t="s">
        <v>1139</v>
      </c>
      <c r="M3474" s="192">
        <f t="shared" si="162"/>
        <v>12</v>
      </c>
      <c r="N3474" s="193">
        <f t="shared" si="163"/>
        <v>0.90479999999999994</v>
      </c>
      <c r="O3474" s="194">
        <f t="shared" si="164"/>
        <v>7.5399999999999995E-2</v>
      </c>
    </row>
    <row r="3475" spans="1:15" ht="12.75" customHeight="1">
      <c r="A3475" s="188" t="s">
        <v>620</v>
      </c>
      <c r="B3475" s="188" t="s">
        <v>4996</v>
      </c>
      <c r="C3475" s="188" t="s">
        <v>678</v>
      </c>
      <c r="D3475" s="188" t="s">
        <v>5182</v>
      </c>
      <c r="E3475" s="189">
        <v>39415</v>
      </c>
      <c r="F3475" s="190">
        <v>0</v>
      </c>
      <c r="G3475" s="190">
        <v>150.08000000000001</v>
      </c>
      <c r="H3475" s="191">
        <v>1841</v>
      </c>
      <c r="I3475" s="191">
        <v>562.79999999999995</v>
      </c>
      <c r="J3475" s="188" t="s">
        <v>624</v>
      </c>
      <c r="K3475" s="188" t="s">
        <v>652</v>
      </c>
      <c r="L3475" s="188" t="s">
        <v>1120</v>
      </c>
      <c r="M3475" s="192">
        <f t="shared" si="162"/>
        <v>13</v>
      </c>
      <c r="N3475" s="193">
        <f t="shared" si="163"/>
        <v>0.98134328358208955</v>
      </c>
      <c r="O3475" s="194">
        <f t="shared" si="164"/>
        <v>7.548794489092997E-2</v>
      </c>
    </row>
    <row r="3476" spans="1:15" ht="12.75" customHeight="1">
      <c r="A3476" s="188" t="s">
        <v>620</v>
      </c>
      <c r="B3476" s="188" t="s">
        <v>4996</v>
      </c>
      <c r="C3476" s="188" t="s">
        <v>678</v>
      </c>
      <c r="D3476" s="188" t="s">
        <v>5183</v>
      </c>
      <c r="E3476" s="189">
        <v>39345</v>
      </c>
      <c r="F3476" s="190">
        <v>0</v>
      </c>
      <c r="G3476" s="190">
        <v>35.840000000000003</v>
      </c>
      <c r="H3476" s="191">
        <v>508</v>
      </c>
      <c r="I3476" s="191">
        <v>134.4</v>
      </c>
      <c r="J3476" s="188" t="s">
        <v>624</v>
      </c>
      <c r="K3476" s="188" t="s">
        <v>571</v>
      </c>
      <c r="L3476" s="188" t="s">
        <v>3221</v>
      </c>
      <c r="M3476" s="192">
        <f t="shared" si="162"/>
        <v>15</v>
      </c>
      <c r="N3476" s="193">
        <f t="shared" si="163"/>
        <v>1.1339285714285714</v>
      </c>
      <c r="O3476" s="194">
        <f t="shared" si="164"/>
        <v>7.559523809523809E-2</v>
      </c>
    </row>
    <row r="3477" spans="1:15" ht="12.75" customHeight="1">
      <c r="A3477" s="188" t="s">
        <v>620</v>
      </c>
      <c r="B3477" s="188" t="s">
        <v>4996</v>
      </c>
      <c r="C3477" s="188" t="s">
        <v>678</v>
      </c>
      <c r="D3477" s="188" t="s">
        <v>5184</v>
      </c>
      <c r="E3477" s="189">
        <v>39366</v>
      </c>
      <c r="F3477" s="190">
        <v>0</v>
      </c>
      <c r="G3477" s="190">
        <v>85.04</v>
      </c>
      <c r="H3477" s="191">
        <v>1048</v>
      </c>
      <c r="I3477" s="191">
        <v>318.89999999999998</v>
      </c>
      <c r="J3477" s="188" t="s">
        <v>624</v>
      </c>
      <c r="K3477" s="188" t="s">
        <v>652</v>
      </c>
      <c r="L3477" s="188" t="s">
        <v>2096</v>
      </c>
      <c r="M3477" s="192">
        <f t="shared" si="162"/>
        <v>13</v>
      </c>
      <c r="N3477" s="193">
        <f t="shared" si="163"/>
        <v>0.98588899341486358</v>
      </c>
      <c r="O3477" s="194">
        <f t="shared" si="164"/>
        <v>7.5837614878066423E-2</v>
      </c>
    </row>
    <row r="3478" spans="1:15" ht="12.75" customHeight="1">
      <c r="A3478" s="188" t="s">
        <v>620</v>
      </c>
      <c r="B3478" s="188" t="s">
        <v>4996</v>
      </c>
      <c r="C3478" s="188" t="s">
        <v>678</v>
      </c>
      <c r="D3478" s="188" t="s">
        <v>5185</v>
      </c>
      <c r="E3478" s="189">
        <v>39447</v>
      </c>
      <c r="F3478" s="190">
        <v>0</v>
      </c>
      <c r="G3478" s="190">
        <v>149.76</v>
      </c>
      <c r="H3478" s="191">
        <v>2137</v>
      </c>
      <c r="I3478" s="191">
        <v>561.6</v>
      </c>
      <c r="J3478" s="188" t="s">
        <v>624</v>
      </c>
      <c r="K3478" s="188" t="s">
        <v>571</v>
      </c>
      <c r="L3478" s="188" t="s">
        <v>2534</v>
      </c>
      <c r="M3478" s="192">
        <f t="shared" si="162"/>
        <v>15</v>
      </c>
      <c r="N3478" s="193">
        <f t="shared" si="163"/>
        <v>1.141559829059829</v>
      </c>
      <c r="O3478" s="194">
        <f t="shared" si="164"/>
        <v>7.6103988603988607E-2</v>
      </c>
    </row>
    <row r="3479" spans="1:15" ht="12.75" customHeight="1">
      <c r="A3479" s="188" t="s">
        <v>620</v>
      </c>
      <c r="B3479" s="188" t="s">
        <v>4996</v>
      </c>
      <c r="C3479" s="188" t="s">
        <v>678</v>
      </c>
      <c r="D3479" s="188" t="s">
        <v>5186</v>
      </c>
      <c r="E3479" s="189">
        <v>39261</v>
      </c>
      <c r="F3479" s="190">
        <v>0</v>
      </c>
      <c r="G3479" s="190">
        <v>152.96</v>
      </c>
      <c r="H3479" s="191">
        <v>1894.03</v>
      </c>
      <c r="I3479" s="191">
        <v>573.6</v>
      </c>
      <c r="J3479" s="188" t="s">
        <v>624</v>
      </c>
      <c r="K3479" s="188" t="s">
        <v>652</v>
      </c>
      <c r="L3479" s="188" t="s">
        <v>5187</v>
      </c>
      <c r="M3479" s="192">
        <f t="shared" si="162"/>
        <v>13</v>
      </c>
      <c r="N3479" s="193">
        <f t="shared" si="163"/>
        <v>0.99060146443514641</v>
      </c>
      <c r="O3479" s="194">
        <f t="shared" si="164"/>
        <v>7.6200112648857413E-2</v>
      </c>
    </row>
    <row r="3480" spans="1:15" ht="12.75" customHeight="1">
      <c r="A3480" s="188" t="s">
        <v>620</v>
      </c>
      <c r="B3480" s="188" t="s">
        <v>4996</v>
      </c>
      <c r="C3480" s="188" t="s">
        <v>678</v>
      </c>
      <c r="D3480" s="188" t="s">
        <v>5188</v>
      </c>
      <c r="E3480" s="189">
        <v>39310</v>
      </c>
      <c r="F3480" s="190">
        <v>0</v>
      </c>
      <c r="G3480" s="190">
        <v>100.64</v>
      </c>
      <c r="H3480" s="191">
        <v>1995.94</v>
      </c>
      <c r="I3480" s="191">
        <v>377.4</v>
      </c>
      <c r="J3480" s="188" t="s">
        <v>624</v>
      </c>
      <c r="K3480" s="188" t="s">
        <v>652</v>
      </c>
      <c r="L3480" s="188" t="s">
        <v>5189</v>
      </c>
      <c r="M3480" s="192">
        <f t="shared" si="162"/>
        <v>13</v>
      </c>
      <c r="N3480" s="193">
        <f t="shared" si="163"/>
        <v>0.99996993987975957</v>
      </c>
      <c r="O3480" s="194">
        <f t="shared" si="164"/>
        <v>7.6920764606135353E-2</v>
      </c>
    </row>
    <row r="3481" spans="1:15" ht="12.75" customHeight="1">
      <c r="A3481" s="188" t="s">
        <v>620</v>
      </c>
      <c r="B3481" s="188" t="s">
        <v>4996</v>
      </c>
      <c r="C3481" s="188" t="s">
        <v>678</v>
      </c>
      <c r="D3481" s="188" t="s">
        <v>5190</v>
      </c>
      <c r="E3481" s="189">
        <v>39331</v>
      </c>
      <c r="F3481" s="190">
        <v>0</v>
      </c>
      <c r="G3481" s="190">
        <v>136</v>
      </c>
      <c r="H3481" s="191">
        <v>1700</v>
      </c>
      <c r="I3481" s="191">
        <v>510</v>
      </c>
      <c r="J3481" s="188" t="s">
        <v>624</v>
      </c>
      <c r="K3481" s="188" t="s">
        <v>652</v>
      </c>
      <c r="L3481" s="188" t="s">
        <v>833</v>
      </c>
      <c r="M3481" s="192">
        <f t="shared" si="162"/>
        <v>13</v>
      </c>
      <c r="N3481" s="193">
        <f t="shared" si="163"/>
        <v>1</v>
      </c>
      <c r="O3481" s="194">
        <f t="shared" si="164"/>
        <v>7.6923076923076927E-2</v>
      </c>
    </row>
    <row r="3482" spans="1:15" ht="12.75" customHeight="1">
      <c r="A3482" s="188" t="s">
        <v>620</v>
      </c>
      <c r="B3482" s="188" t="s">
        <v>4996</v>
      </c>
      <c r="C3482" s="188" t="s">
        <v>678</v>
      </c>
      <c r="D3482" s="188" t="s">
        <v>5191</v>
      </c>
      <c r="E3482" s="189">
        <v>39387</v>
      </c>
      <c r="F3482" s="190">
        <v>0</v>
      </c>
      <c r="G3482" s="190">
        <v>101.6</v>
      </c>
      <c r="H3482" s="191">
        <v>1270</v>
      </c>
      <c r="I3482" s="191">
        <v>381</v>
      </c>
      <c r="J3482" s="188" t="s">
        <v>387</v>
      </c>
      <c r="K3482" s="188" t="s">
        <v>571</v>
      </c>
      <c r="L3482" s="188" t="s">
        <v>1090</v>
      </c>
      <c r="M3482" s="192">
        <f t="shared" si="162"/>
        <v>13</v>
      </c>
      <c r="N3482" s="193">
        <f t="shared" si="163"/>
        <v>1</v>
      </c>
      <c r="O3482" s="194">
        <f t="shared" si="164"/>
        <v>7.6923076923076927E-2</v>
      </c>
    </row>
    <row r="3483" spans="1:15" ht="12.75" customHeight="1">
      <c r="A3483" s="188" t="s">
        <v>620</v>
      </c>
      <c r="B3483" s="188" t="s">
        <v>4996</v>
      </c>
      <c r="C3483" s="188" t="s">
        <v>678</v>
      </c>
      <c r="D3483" s="188" t="s">
        <v>5192</v>
      </c>
      <c r="E3483" s="189">
        <v>39401</v>
      </c>
      <c r="F3483" s="190">
        <v>0</v>
      </c>
      <c r="G3483" s="190">
        <v>81.92</v>
      </c>
      <c r="H3483" s="191">
        <v>1024</v>
      </c>
      <c r="I3483" s="191">
        <v>307.2</v>
      </c>
      <c r="J3483" s="188" t="s">
        <v>624</v>
      </c>
      <c r="K3483" s="188" t="s">
        <v>652</v>
      </c>
      <c r="L3483" s="188" t="s">
        <v>507</v>
      </c>
      <c r="M3483" s="192">
        <f t="shared" si="162"/>
        <v>13</v>
      </c>
      <c r="N3483" s="193">
        <f t="shared" si="163"/>
        <v>1</v>
      </c>
      <c r="O3483" s="194">
        <f t="shared" si="164"/>
        <v>7.6923076923076927E-2</v>
      </c>
    </row>
    <row r="3484" spans="1:15" ht="12.75" customHeight="1">
      <c r="A3484" s="188" t="s">
        <v>620</v>
      </c>
      <c r="B3484" s="188" t="s">
        <v>4996</v>
      </c>
      <c r="C3484" s="188" t="s">
        <v>678</v>
      </c>
      <c r="D3484" s="188" t="s">
        <v>5193</v>
      </c>
      <c r="E3484" s="189">
        <v>39422</v>
      </c>
      <c r="F3484" s="190">
        <v>0</v>
      </c>
      <c r="G3484" s="190">
        <v>99.84</v>
      </c>
      <c r="H3484" s="191">
        <v>1374</v>
      </c>
      <c r="I3484" s="191">
        <v>374.4</v>
      </c>
      <c r="J3484" s="188" t="s">
        <v>624</v>
      </c>
      <c r="K3484" s="188" t="s">
        <v>652</v>
      </c>
      <c r="L3484" s="188" t="s">
        <v>1746</v>
      </c>
      <c r="M3484" s="192">
        <f t="shared" si="162"/>
        <v>13</v>
      </c>
      <c r="N3484" s="193">
        <f t="shared" si="163"/>
        <v>1</v>
      </c>
      <c r="O3484" s="194">
        <f t="shared" si="164"/>
        <v>7.6923076923076927E-2</v>
      </c>
    </row>
    <row r="3485" spans="1:15" ht="12.75" customHeight="1">
      <c r="A3485" s="188" t="s">
        <v>620</v>
      </c>
      <c r="B3485" s="188" t="s">
        <v>4996</v>
      </c>
      <c r="C3485" s="188" t="s">
        <v>678</v>
      </c>
      <c r="D3485" s="188" t="s">
        <v>5194</v>
      </c>
      <c r="E3485" s="189">
        <v>39507</v>
      </c>
      <c r="F3485" s="190">
        <v>0</v>
      </c>
      <c r="G3485" s="190">
        <v>80.64</v>
      </c>
      <c r="H3485" s="191">
        <v>1008</v>
      </c>
      <c r="I3485" s="191">
        <v>302.39999999999998</v>
      </c>
      <c r="J3485" s="188" t="s">
        <v>624</v>
      </c>
      <c r="K3485" s="188" t="s">
        <v>652</v>
      </c>
      <c r="L3485" s="188" t="s">
        <v>736</v>
      </c>
      <c r="M3485" s="192">
        <f t="shared" si="162"/>
        <v>13</v>
      </c>
      <c r="N3485" s="193">
        <f t="shared" si="163"/>
        <v>1</v>
      </c>
      <c r="O3485" s="194">
        <f t="shared" si="164"/>
        <v>7.6923076923076927E-2</v>
      </c>
    </row>
    <row r="3486" spans="1:15" ht="12.75" customHeight="1">
      <c r="A3486" s="188" t="s">
        <v>620</v>
      </c>
      <c r="B3486" s="188" t="s">
        <v>4996</v>
      </c>
      <c r="C3486" s="188" t="s">
        <v>678</v>
      </c>
      <c r="D3486" s="188" t="s">
        <v>5195</v>
      </c>
      <c r="E3486" s="189">
        <v>39527</v>
      </c>
      <c r="F3486" s="190">
        <v>0</v>
      </c>
      <c r="G3486" s="190">
        <v>22.8</v>
      </c>
      <c r="H3486" s="191">
        <v>300</v>
      </c>
      <c r="I3486" s="191">
        <v>85.5</v>
      </c>
      <c r="J3486" s="188" t="s">
        <v>624</v>
      </c>
      <c r="K3486" s="188" t="s">
        <v>652</v>
      </c>
      <c r="L3486" s="188" t="s">
        <v>1315</v>
      </c>
      <c r="M3486" s="192">
        <f t="shared" si="162"/>
        <v>13</v>
      </c>
      <c r="N3486" s="193">
        <f t="shared" si="163"/>
        <v>1</v>
      </c>
      <c r="O3486" s="194">
        <f t="shared" si="164"/>
        <v>7.6923076923076927E-2</v>
      </c>
    </row>
    <row r="3487" spans="1:15" ht="12.75" customHeight="1">
      <c r="A3487" s="188" t="s">
        <v>620</v>
      </c>
      <c r="B3487" s="188" t="s">
        <v>4996</v>
      </c>
      <c r="C3487" s="188" t="s">
        <v>678</v>
      </c>
      <c r="D3487" s="188" t="s">
        <v>5196</v>
      </c>
      <c r="E3487" s="189">
        <v>39625</v>
      </c>
      <c r="F3487" s="190">
        <v>0</v>
      </c>
      <c r="G3487" s="190">
        <v>105.92</v>
      </c>
      <c r="H3487" s="191">
        <v>1324</v>
      </c>
      <c r="I3487" s="191">
        <v>397.2</v>
      </c>
      <c r="J3487" s="188" t="s">
        <v>720</v>
      </c>
      <c r="K3487" s="188" t="s">
        <v>879</v>
      </c>
      <c r="L3487" s="188" t="s">
        <v>663</v>
      </c>
      <c r="M3487" s="192">
        <f t="shared" si="162"/>
        <v>13</v>
      </c>
      <c r="N3487" s="193">
        <f t="shared" si="163"/>
        <v>1</v>
      </c>
      <c r="O3487" s="194">
        <f t="shared" si="164"/>
        <v>7.6923076923076927E-2</v>
      </c>
    </row>
    <row r="3488" spans="1:15" ht="12.75" customHeight="1">
      <c r="A3488" s="188" t="s">
        <v>620</v>
      </c>
      <c r="B3488" s="188" t="s">
        <v>4996</v>
      </c>
      <c r="C3488" s="188" t="s">
        <v>678</v>
      </c>
      <c r="D3488" s="188" t="s">
        <v>5197</v>
      </c>
      <c r="E3488" s="189">
        <v>39625</v>
      </c>
      <c r="F3488" s="190">
        <v>0</v>
      </c>
      <c r="G3488" s="190">
        <v>60</v>
      </c>
      <c r="H3488" s="191">
        <v>900</v>
      </c>
      <c r="I3488" s="191">
        <v>225</v>
      </c>
      <c r="J3488" s="188" t="s">
        <v>624</v>
      </c>
      <c r="K3488" s="188" t="s">
        <v>652</v>
      </c>
      <c r="L3488" s="188" t="s">
        <v>740</v>
      </c>
      <c r="M3488" s="192">
        <f t="shared" si="162"/>
        <v>13</v>
      </c>
      <c r="N3488" s="193">
        <f t="shared" si="163"/>
        <v>1</v>
      </c>
      <c r="O3488" s="194">
        <f t="shared" si="164"/>
        <v>7.6923076923076927E-2</v>
      </c>
    </row>
    <row r="3489" spans="1:15" ht="12.75" customHeight="1">
      <c r="A3489" s="188" t="s">
        <v>620</v>
      </c>
      <c r="B3489" s="188" t="s">
        <v>4996</v>
      </c>
      <c r="C3489" s="188" t="s">
        <v>678</v>
      </c>
      <c r="D3489" s="188" t="s">
        <v>5198</v>
      </c>
      <c r="E3489" s="189">
        <v>39401</v>
      </c>
      <c r="F3489" s="190">
        <v>0</v>
      </c>
      <c r="G3489" s="190">
        <v>65.92</v>
      </c>
      <c r="H3489" s="191">
        <v>1287.01</v>
      </c>
      <c r="I3489" s="191">
        <v>247.2</v>
      </c>
      <c r="J3489" s="188" t="s">
        <v>624</v>
      </c>
      <c r="K3489" s="188" t="s">
        <v>652</v>
      </c>
      <c r="L3489" s="188" t="s">
        <v>2516</v>
      </c>
      <c r="M3489" s="192">
        <f t="shared" si="162"/>
        <v>13</v>
      </c>
      <c r="N3489" s="193">
        <f t="shared" si="163"/>
        <v>1.0000077700077701</v>
      </c>
      <c r="O3489" s="194">
        <f t="shared" si="164"/>
        <v>7.6923674615982318E-2</v>
      </c>
    </row>
    <row r="3490" spans="1:15" ht="12.75" customHeight="1">
      <c r="A3490" s="188" t="s">
        <v>620</v>
      </c>
      <c r="B3490" s="188" t="s">
        <v>4996</v>
      </c>
      <c r="C3490" s="188" t="s">
        <v>678</v>
      </c>
      <c r="D3490" s="188" t="s">
        <v>5199</v>
      </c>
      <c r="E3490" s="189">
        <v>39345</v>
      </c>
      <c r="F3490" s="190">
        <v>0</v>
      </c>
      <c r="G3490" s="190">
        <v>90.8</v>
      </c>
      <c r="H3490" s="191">
        <v>1100.04</v>
      </c>
      <c r="I3490" s="191">
        <v>340.5</v>
      </c>
      <c r="J3490" s="188" t="s">
        <v>624</v>
      </c>
      <c r="K3490" s="188" t="s">
        <v>652</v>
      </c>
      <c r="L3490" s="188" t="s">
        <v>557</v>
      </c>
      <c r="M3490" s="192">
        <f t="shared" si="162"/>
        <v>13</v>
      </c>
      <c r="N3490" s="193">
        <f t="shared" si="163"/>
        <v>1.0000363636363636</v>
      </c>
      <c r="O3490" s="194">
        <f t="shared" si="164"/>
        <v>7.6925874125874122E-2</v>
      </c>
    </row>
    <row r="3491" spans="1:15" ht="12.75" customHeight="1">
      <c r="A3491" s="188" t="s">
        <v>620</v>
      </c>
      <c r="B3491" s="188" t="s">
        <v>4996</v>
      </c>
      <c r="C3491" s="188" t="s">
        <v>678</v>
      </c>
      <c r="D3491" s="188" t="s">
        <v>5200</v>
      </c>
      <c r="E3491" s="189">
        <v>39429</v>
      </c>
      <c r="F3491" s="190">
        <v>0</v>
      </c>
      <c r="G3491" s="190">
        <v>173.36</v>
      </c>
      <c r="H3491" s="191">
        <v>2176</v>
      </c>
      <c r="I3491" s="191">
        <v>650.1</v>
      </c>
      <c r="J3491" s="188" t="s">
        <v>387</v>
      </c>
      <c r="K3491" s="188" t="s">
        <v>571</v>
      </c>
      <c r="L3491" s="188" t="s">
        <v>5201</v>
      </c>
      <c r="M3491" s="192">
        <f t="shared" si="162"/>
        <v>13</v>
      </c>
      <c r="N3491" s="193">
        <f t="shared" si="163"/>
        <v>1.0041532071988926</v>
      </c>
      <c r="O3491" s="194">
        <f t="shared" si="164"/>
        <v>7.7242554399914815E-2</v>
      </c>
    </row>
    <row r="3492" spans="1:15" ht="12.75" customHeight="1">
      <c r="A3492" s="188" t="s">
        <v>620</v>
      </c>
      <c r="B3492" s="188" t="s">
        <v>4996</v>
      </c>
      <c r="C3492" s="188" t="s">
        <v>678</v>
      </c>
      <c r="D3492" s="188" t="s">
        <v>5202</v>
      </c>
      <c r="E3492" s="189">
        <v>39219</v>
      </c>
      <c r="F3492" s="190">
        <v>0</v>
      </c>
      <c r="G3492" s="190">
        <v>28.8</v>
      </c>
      <c r="H3492" s="191">
        <v>417.6</v>
      </c>
      <c r="I3492" s="191">
        <v>108</v>
      </c>
      <c r="J3492" s="188" t="s">
        <v>624</v>
      </c>
      <c r="K3492" s="188" t="s">
        <v>571</v>
      </c>
      <c r="L3492" s="188" t="s">
        <v>3362</v>
      </c>
      <c r="M3492" s="192">
        <f t="shared" si="162"/>
        <v>15</v>
      </c>
      <c r="N3492" s="193">
        <f t="shared" si="163"/>
        <v>1.1600000000000001</v>
      </c>
      <c r="O3492" s="194">
        <f t="shared" si="164"/>
        <v>7.7333333333333337E-2</v>
      </c>
    </row>
    <row r="3493" spans="1:15" ht="12.75" customHeight="1">
      <c r="A3493" s="188" t="s">
        <v>620</v>
      </c>
      <c r="B3493" s="188" t="s">
        <v>4996</v>
      </c>
      <c r="C3493" s="188" t="s">
        <v>678</v>
      </c>
      <c r="D3493" s="188" t="s">
        <v>5203</v>
      </c>
      <c r="E3493" s="189">
        <v>39352</v>
      </c>
      <c r="F3493" s="190">
        <v>0</v>
      </c>
      <c r="G3493" s="190">
        <v>24</v>
      </c>
      <c r="H3493" s="191">
        <v>350</v>
      </c>
      <c r="I3493" s="191">
        <v>90</v>
      </c>
      <c r="J3493" s="188" t="s">
        <v>624</v>
      </c>
      <c r="K3493" s="188" t="s">
        <v>571</v>
      </c>
      <c r="L3493" s="188" t="s">
        <v>1315</v>
      </c>
      <c r="M3493" s="192">
        <f t="shared" si="162"/>
        <v>15</v>
      </c>
      <c r="N3493" s="193">
        <f t="shared" si="163"/>
        <v>1.1666666666666667</v>
      </c>
      <c r="O3493" s="194">
        <f t="shared" si="164"/>
        <v>7.7777777777777779E-2</v>
      </c>
    </row>
    <row r="3494" spans="1:15" ht="12.75" customHeight="1">
      <c r="A3494" s="188" t="s">
        <v>620</v>
      </c>
      <c r="B3494" s="188" t="s">
        <v>4996</v>
      </c>
      <c r="C3494" s="188" t="s">
        <v>678</v>
      </c>
      <c r="D3494" s="188" t="s">
        <v>5204</v>
      </c>
      <c r="E3494" s="189">
        <v>39254</v>
      </c>
      <c r="F3494" s="190">
        <v>0</v>
      </c>
      <c r="G3494" s="190">
        <v>140.80000000000001</v>
      </c>
      <c r="H3494" s="191">
        <v>2057.9699999999998</v>
      </c>
      <c r="I3494" s="191">
        <v>528</v>
      </c>
      <c r="J3494" s="188" t="s">
        <v>624</v>
      </c>
      <c r="K3494" s="188" t="s">
        <v>571</v>
      </c>
      <c r="L3494" s="188" t="s">
        <v>1496</v>
      </c>
      <c r="M3494" s="192">
        <f t="shared" si="162"/>
        <v>15</v>
      </c>
      <c r="N3494" s="193">
        <f t="shared" si="163"/>
        <v>1.1693011363636363</v>
      </c>
      <c r="O3494" s="194">
        <f t="shared" si="164"/>
        <v>7.7953409090909087E-2</v>
      </c>
    </row>
    <row r="3495" spans="1:15" ht="12.75" customHeight="1">
      <c r="A3495" s="188" t="s">
        <v>620</v>
      </c>
      <c r="B3495" s="188" t="s">
        <v>4996</v>
      </c>
      <c r="C3495" s="188" t="s">
        <v>678</v>
      </c>
      <c r="D3495" s="188" t="s">
        <v>5205</v>
      </c>
      <c r="E3495" s="189">
        <v>39247</v>
      </c>
      <c r="F3495" s="190">
        <v>0</v>
      </c>
      <c r="G3495" s="190">
        <v>112.8</v>
      </c>
      <c r="H3495" s="191">
        <v>1433.97</v>
      </c>
      <c r="I3495" s="191">
        <v>423</v>
      </c>
      <c r="J3495" s="188" t="s">
        <v>624</v>
      </c>
      <c r="K3495" s="188" t="s">
        <v>652</v>
      </c>
      <c r="L3495" s="188" t="s">
        <v>2061</v>
      </c>
      <c r="M3495" s="192">
        <f t="shared" si="162"/>
        <v>13</v>
      </c>
      <c r="N3495" s="193">
        <f t="shared" si="163"/>
        <v>1.0170000000000001</v>
      </c>
      <c r="O3495" s="194">
        <f t="shared" si="164"/>
        <v>7.8230769230769243E-2</v>
      </c>
    </row>
    <row r="3496" spans="1:15" ht="12.75" customHeight="1">
      <c r="A3496" s="188" t="s">
        <v>620</v>
      </c>
      <c r="B3496" s="188" t="s">
        <v>4996</v>
      </c>
      <c r="C3496" s="188" t="s">
        <v>678</v>
      </c>
      <c r="D3496" s="188" t="s">
        <v>5206</v>
      </c>
      <c r="E3496" s="189">
        <v>39422</v>
      </c>
      <c r="F3496" s="190">
        <v>0</v>
      </c>
      <c r="G3496" s="190">
        <v>140</v>
      </c>
      <c r="H3496" s="191">
        <v>1792</v>
      </c>
      <c r="I3496" s="191">
        <v>525</v>
      </c>
      <c r="J3496" s="188" t="s">
        <v>624</v>
      </c>
      <c r="K3496" s="188" t="s">
        <v>652</v>
      </c>
      <c r="L3496" s="188" t="s">
        <v>727</v>
      </c>
      <c r="M3496" s="192">
        <f t="shared" si="162"/>
        <v>13</v>
      </c>
      <c r="N3496" s="193">
        <f t="shared" si="163"/>
        <v>1.024</v>
      </c>
      <c r="O3496" s="194">
        <f t="shared" si="164"/>
        <v>7.8769230769230772E-2</v>
      </c>
    </row>
    <row r="3497" spans="1:15" ht="12.75" customHeight="1">
      <c r="A3497" s="188" t="s">
        <v>620</v>
      </c>
      <c r="B3497" s="188" t="s">
        <v>4996</v>
      </c>
      <c r="C3497" s="188" t="s">
        <v>678</v>
      </c>
      <c r="D3497" s="188" t="s">
        <v>5207</v>
      </c>
      <c r="E3497" s="189">
        <v>39247</v>
      </c>
      <c r="F3497" s="190">
        <v>0</v>
      </c>
      <c r="G3497" s="190">
        <v>162.88</v>
      </c>
      <c r="H3497" s="191">
        <v>2086.9</v>
      </c>
      <c r="I3497" s="191">
        <v>610.79999999999995</v>
      </c>
      <c r="J3497" s="188" t="s">
        <v>624</v>
      </c>
      <c r="K3497" s="188" t="s">
        <v>652</v>
      </c>
      <c r="L3497" s="188" t="s">
        <v>4111</v>
      </c>
      <c r="M3497" s="192">
        <f t="shared" si="162"/>
        <v>13</v>
      </c>
      <c r="N3497" s="193">
        <f t="shared" si="163"/>
        <v>1.0250000000000001</v>
      </c>
      <c r="O3497" s="194">
        <f t="shared" si="164"/>
        <v>7.8846153846153857E-2</v>
      </c>
    </row>
    <row r="3498" spans="1:15" ht="12.75" customHeight="1">
      <c r="A3498" s="188" t="s">
        <v>620</v>
      </c>
      <c r="B3498" s="188" t="s">
        <v>4996</v>
      </c>
      <c r="C3498" s="188" t="s">
        <v>678</v>
      </c>
      <c r="D3498" s="188" t="s">
        <v>5208</v>
      </c>
      <c r="E3498" s="189">
        <v>39507</v>
      </c>
      <c r="F3498" s="190">
        <v>0</v>
      </c>
      <c r="G3498" s="190">
        <v>116.48</v>
      </c>
      <c r="H3498" s="191">
        <v>1495</v>
      </c>
      <c r="I3498" s="191">
        <v>436.8</v>
      </c>
      <c r="J3498" s="188" t="s">
        <v>624</v>
      </c>
      <c r="K3498" s="188" t="s">
        <v>652</v>
      </c>
      <c r="L3498" s="188" t="s">
        <v>1383</v>
      </c>
      <c r="M3498" s="192">
        <f t="shared" si="162"/>
        <v>13</v>
      </c>
      <c r="N3498" s="193">
        <f t="shared" si="163"/>
        <v>1.0267857142857142</v>
      </c>
      <c r="O3498" s="194">
        <f t="shared" si="164"/>
        <v>7.898351648351648E-2</v>
      </c>
    </row>
    <row r="3499" spans="1:15" ht="12.75" customHeight="1">
      <c r="A3499" s="188" t="s">
        <v>620</v>
      </c>
      <c r="B3499" s="188" t="s">
        <v>4996</v>
      </c>
      <c r="C3499" s="188" t="s">
        <v>678</v>
      </c>
      <c r="D3499" s="188" t="s">
        <v>5209</v>
      </c>
      <c r="E3499" s="189">
        <v>39289</v>
      </c>
      <c r="F3499" s="190">
        <v>0</v>
      </c>
      <c r="G3499" s="190">
        <v>145.28</v>
      </c>
      <c r="H3499" s="191">
        <v>2167.0300000000002</v>
      </c>
      <c r="I3499" s="191">
        <v>544.79999999999995</v>
      </c>
      <c r="J3499" s="188" t="s">
        <v>624</v>
      </c>
      <c r="K3499" s="188" t="s">
        <v>571</v>
      </c>
      <c r="L3499" s="188" t="s">
        <v>272</v>
      </c>
      <c r="M3499" s="192">
        <f t="shared" si="162"/>
        <v>15</v>
      </c>
      <c r="N3499" s="193">
        <f t="shared" si="163"/>
        <v>1.1932984581497799</v>
      </c>
      <c r="O3499" s="194">
        <f t="shared" si="164"/>
        <v>7.9553230543318657E-2</v>
      </c>
    </row>
    <row r="3500" spans="1:15" ht="12.75" customHeight="1">
      <c r="A3500" s="188" t="s">
        <v>620</v>
      </c>
      <c r="B3500" s="188" t="s">
        <v>4996</v>
      </c>
      <c r="C3500" s="188" t="s">
        <v>678</v>
      </c>
      <c r="D3500" s="188" t="s">
        <v>5210</v>
      </c>
      <c r="E3500" s="189">
        <v>39275</v>
      </c>
      <c r="F3500" s="190">
        <v>0</v>
      </c>
      <c r="G3500" s="190">
        <v>68.72</v>
      </c>
      <c r="H3500" s="191">
        <v>901.01</v>
      </c>
      <c r="I3500" s="191">
        <v>257.7</v>
      </c>
      <c r="J3500" s="188" t="s">
        <v>624</v>
      </c>
      <c r="K3500" s="188" t="s">
        <v>652</v>
      </c>
      <c r="L3500" s="188" t="s">
        <v>5211</v>
      </c>
      <c r="M3500" s="192">
        <f t="shared" si="162"/>
        <v>13</v>
      </c>
      <c r="N3500" s="193">
        <f t="shared" si="163"/>
        <v>1.0489057043073342</v>
      </c>
      <c r="O3500" s="194">
        <f t="shared" si="164"/>
        <v>8.0685054177487253E-2</v>
      </c>
    </row>
    <row r="3501" spans="1:15" ht="12.75" customHeight="1">
      <c r="A3501" s="188" t="s">
        <v>620</v>
      </c>
      <c r="B3501" s="188" t="s">
        <v>4996</v>
      </c>
      <c r="C3501" s="188" t="s">
        <v>678</v>
      </c>
      <c r="D3501" s="188" t="s">
        <v>5212</v>
      </c>
      <c r="E3501" s="189">
        <v>39639</v>
      </c>
      <c r="F3501" s="190">
        <v>0</v>
      </c>
      <c r="G3501" s="190">
        <v>143.04</v>
      </c>
      <c r="H3501" s="191">
        <v>1877</v>
      </c>
      <c r="I3501" s="191">
        <v>536.4</v>
      </c>
      <c r="J3501" s="188" t="s">
        <v>624</v>
      </c>
      <c r="K3501" s="188" t="s">
        <v>652</v>
      </c>
      <c r="L3501" s="188" t="s">
        <v>406</v>
      </c>
      <c r="M3501" s="192">
        <f t="shared" si="162"/>
        <v>13</v>
      </c>
      <c r="N3501" s="193">
        <f t="shared" si="163"/>
        <v>1.0497762863534676</v>
      </c>
      <c r="O3501" s="194">
        <f t="shared" si="164"/>
        <v>8.0752022027189813E-2</v>
      </c>
    </row>
    <row r="3502" spans="1:15" ht="12.75" customHeight="1">
      <c r="A3502" s="188" t="s">
        <v>620</v>
      </c>
      <c r="B3502" s="188" t="s">
        <v>4996</v>
      </c>
      <c r="C3502" s="188" t="s">
        <v>678</v>
      </c>
      <c r="D3502" s="188" t="s">
        <v>5213</v>
      </c>
      <c r="E3502" s="189">
        <v>39296</v>
      </c>
      <c r="F3502" s="190">
        <v>0</v>
      </c>
      <c r="G3502" s="190">
        <v>9.2799999999999994</v>
      </c>
      <c r="H3502" s="191">
        <v>178</v>
      </c>
      <c r="I3502" s="191">
        <v>34.799999999999997</v>
      </c>
      <c r="J3502" s="188" t="s">
        <v>624</v>
      </c>
      <c r="K3502" s="188" t="s">
        <v>667</v>
      </c>
      <c r="L3502" s="188" t="s">
        <v>430</v>
      </c>
      <c r="M3502" s="192">
        <f t="shared" si="162"/>
        <v>19</v>
      </c>
      <c r="N3502" s="193">
        <f t="shared" si="163"/>
        <v>1.5344827586206897</v>
      </c>
      <c r="O3502" s="194">
        <f t="shared" si="164"/>
        <v>8.0762250453720513E-2</v>
      </c>
    </row>
    <row r="3503" spans="1:15" ht="12.75" customHeight="1">
      <c r="A3503" s="188" t="s">
        <v>620</v>
      </c>
      <c r="B3503" s="188" t="s">
        <v>4996</v>
      </c>
      <c r="C3503" s="188" t="s">
        <v>678</v>
      </c>
      <c r="D3503" s="188" t="s">
        <v>5214</v>
      </c>
      <c r="E3503" s="189">
        <v>39296</v>
      </c>
      <c r="F3503" s="190">
        <v>0</v>
      </c>
      <c r="G3503" s="190">
        <v>108.32</v>
      </c>
      <c r="H3503" s="191">
        <v>1421.97</v>
      </c>
      <c r="I3503" s="191">
        <v>406.2</v>
      </c>
      <c r="J3503" s="188" t="s">
        <v>624</v>
      </c>
      <c r="K3503" s="188" t="s">
        <v>652</v>
      </c>
      <c r="L3503" s="188" t="s">
        <v>4130</v>
      </c>
      <c r="M3503" s="192">
        <f t="shared" si="162"/>
        <v>13</v>
      </c>
      <c r="N3503" s="193">
        <f t="shared" si="163"/>
        <v>1.0501994091580502</v>
      </c>
      <c r="O3503" s="194">
        <f t="shared" si="164"/>
        <v>8.0784569935234626E-2</v>
      </c>
    </row>
    <row r="3504" spans="1:15" ht="12.75" customHeight="1">
      <c r="A3504" s="188" t="s">
        <v>620</v>
      </c>
      <c r="B3504" s="188" t="s">
        <v>4996</v>
      </c>
      <c r="C3504" s="188" t="s">
        <v>678</v>
      </c>
      <c r="D3504" s="188" t="s">
        <v>5215</v>
      </c>
      <c r="E3504" s="189">
        <v>39447</v>
      </c>
      <c r="F3504" s="190">
        <v>0</v>
      </c>
      <c r="G3504" s="190">
        <v>106.08</v>
      </c>
      <c r="H3504" s="191">
        <v>1393</v>
      </c>
      <c r="I3504" s="191">
        <v>397.8</v>
      </c>
      <c r="J3504" s="188" t="s">
        <v>624</v>
      </c>
      <c r="K3504" s="188" t="s">
        <v>652</v>
      </c>
      <c r="L3504" s="188" t="s">
        <v>4507</v>
      </c>
      <c r="M3504" s="192">
        <f t="shared" si="162"/>
        <v>13</v>
      </c>
      <c r="N3504" s="193">
        <f t="shared" si="163"/>
        <v>1.05052790346908</v>
      </c>
      <c r="O3504" s="194">
        <f t="shared" si="164"/>
        <v>8.0809838728390773E-2</v>
      </c>
    </row>
    <row r="3505" spans="1:15" ht="12.75" customHeight="1">
      <c r="A3505" s="188" t="s">
        <v>620</v>
      </c>
      <c r="B3505" s="188" t="s">
        <v>4996</v>
      </c>
      <c r="C3505" s="188" t="s">
        <v>678</v>
      </c>
      <c r="D3505" s="188" t="s">
        <v>5216</v>
      </c>
      <c r="E3505" s="189">
        <v>39247</v>
      </c>
      <c r="F3505" s="190">
        <v>0</v>
      </c>
      <c r="G3505" s="190">
        <v>110.08</v>
      </c>
      <c r="H3505" s="191">
        <v>1447.96</v>
      </c>
      <c r="I3505" s="191">
        <v>412.8</v>
      </c>
      <c r="J3505" s="188" t="s">
        <v>624</v>
      </c>
      <c r="K3505" s="188" t="s">
        <v>652</v>
      </c>
      <c r="L3505" s="188" t="s">
        <v>4408</v>
      </c>
      <c r="M3505" s="192">
        <f t="shared" si="162"/>
        <v>13</v>
      </c>
      <c r="N3505" s="193">
        <f t="shared" si="163"/>
        <v>1.052296511627907</v>
      </c>
      <c r="O3505" s="194">
        <f t="shared" si="164"/>
        <v>8.0945885509839E-2</v>
      </c>
    </row>
    <row r="3506" spans="1:15" ht="12.75" customHeight="1">
      <c r="A3506" s="188" t="s">
        <v>620</v>
      </c>
      <c r="B3506" s="188" t="s">
        <v>4996</v>
      </c>
      <c r="C3506" s="188" t="s">
        <v>678</v>
      </c>
      <c r="D3506" s="188" t="s">
        <v>5217</v>
      </c>
      <c r="E3506" s="189">
        <v>39562</v>
      </c>
      <c r="F3506" s="190">
        <v>0</v>
      </c>
      <c r="G3506" s="190">
        <v>124.56</v>
      </c>
      <c r="H3506" s="191">
        <v>2647</v>
      </c>
      <c r="I3506" s="191">
        <v>467.1</v>
      </c>
      <c r="J3506" s="188" t="s">
        <v>624</v>
      </c>
      <c r="K3506" s="188" t="s">
        <v>1344</v>
      </c>
      <c r="L3506" s="188" t="s">
        <v>5218</v>
      </c>
      <c r="M3506" s="192">
        <f t="shared" si="162"/>
        <v>21</v>
      </c>
      <c r="N3506" s="193">
        <f t="shared" si="163"/>
        <v>1.7000642260757868</v>
      </c>
      <c r="O3506" s="194">
        <f t="shared" si="164"/>
        <v>8.0955439336942228E-2</v>
      </c>
    </row>
    <row r="3507" spans="1:15" ht="12.75" customHeight="1">
      <c r="A3507" s="188" t="s">
        <v>620</v>
      </c>
      <c r="B3507" s="188" t="s">
        <v>4996</v>
      </c>
      <c r="C3507" s="188" t="s">
        <v>678</v>
      </c>
      <c r="D3507" s="188" t="s">
        <v>5219</v>
      </c>
      <c r="E3507" s="189">
        <v>39520</v>
      </c>
      <c r="F3507" s="190">
        <v>0</v>
      </c>
      <c r="G3507" s="190">
        <v>76.8</v>
      </c>
      <c r="H3507" s="191">
        <v>1166</v>
      </c>
      <c r="I3507" s="191">
        <v>288</v>
      </c>
      <c r="J3507" s="188" t="s">
        <v>624</v>
      </c>
      <c r="K3507" s="188" t="s">
        <v>571</v>
      </c>
      <c r="L3507" s="188" t="s">
        <v>1146</v>
      </c>
      <c r="M3507" s="192">
        <f t="shared" si="162"/>
        <v>15</v>
      </c>
      <c r="N3507" s="193">
        <f t="shared" si="163"/>
        <v>1.2145833333333333</v>
      </c>
      <c r="O3507" s="194">
        <f t="shared" si="164"/>
        <v>8.0972222222222223E-2</v>
      </c>
    </row>
    <row r="3508" spans="1:15" ht="12.75" customHeight="1">
      <c r="A3508" s="188" t="s">
        <v>620</v>
      </c>
      <c r="B3508" s="188" t="s">
        <v>4996</v>
      </c>
      <c r="C3508" s="188" t="s">
        <v>678</v>
      </c>
      <c r="D3508" s="188" t="s">
        <v>5220</v>
      </c>
      <c r="E3508" s="189">
        <v>39289</v>
      </c>
      <c r="F3508" s="190">
        <v>0</v>
      </c>
      <c r="G3508" s="190">
        <v>19.2</v>
      </c>
      <c r="H3508" s="191">
        <v>254.4</v>
      </c>
      <c r="I3508" s="191">
        <v>72</v>
      </c>
      <c r="J3508" s="188" t="s">
        <v>624</v>
      </c>
      <c r="K3508" s="188" t="s">
        <v>652</v>
      </c>
      <c r="L3508" s="188" t="s">
        <v>3940</v>
      </c>
      <c r="M3508" s="192">
        <f t="shared" si="162"/>
        <v>13</v>
      </c>
      <c r="N3508" s="193">
        <f t="shared" si="163"/>
        <v>1.06</v>
      </c>
      <c r="O3508" s="194">
        <f t="shared" si="164"/>
        <v>8.1538461538461546E-2</v>
      </c>
    </row>
    <row r="3509" spans="1:15" ht="12.75" customHeight="1">
      <c r="A3509" s="188" t="s">
        <v>620</v>
      </c>
      <c r="B3509" s="188" t="s">
        <v>4996</v>
      </c>
      <c r="C3509" s="188" t="s">
        <v>678</v>
      </c>
      <c r="D3509" s="188" t="s">
        <v>5221</v>
      </c>
      <c r="E3509" s="189">
        <v>39310</v>
      </c>
      <c r="F3509" s="190">
        <v>0</v>
      </c>
      <c r="G3509" s="190">
        <v>175.44</v>
      </c>
      <c r="H3509" s="191">
        <v>2325.9</v>
      </c>
      <c r="I3509" s="191">
        <v>657.9</v>
      </c>
      <c r="J3509" s="188" t="s">
        <v>387</v>
      </c>
      <c r="K3509" s="188" t="s">
        <v>571</v>
      </c>
      <c r="L3509" s="188" t="s">
        <v>5222</v>
      </c>
      <c r="M3509" s="192">
        <f t="shared" si="162"/>
        <v>13</v>
      </c>
      <c r="N3509" s="193">
        <f t="shared" si="163"/>
        <v>1.0606019151846786</v>
      </c>
      <c r="O3509" s="194">
        <f t="shared" si="164"/>
        <v>8.1584762706513742E-2</v>
      </c>
    </row>
    <row r="3510" spans="1:15" ht="12.75" customHeight="1">
      <c r="A3510" s="188" t="s">
        <v>620</v>
      </c>
      <c r="B3510" s="188" t="s">
        <v>4996</v>
      </c>
      <c r="C3510" s="188" t="s">
        <v>678</v>
      </c>
      <c r="D3510" s="188" t="s">
        <v>5223</v>
      </c>
      <c r="E3510" s="189">
        <v>39261</v>
      </c>
      <c r="F3510" s="190">
        <v>0</v>
      </c>
      <c r="G3510" s="190">
        <v>110.56</v>
      </c>
      <c r="H3510" s="191">
        <v>1243.94</v>
      </c>
      <c r="I3510" s="191">
        <v>414.6</v>
      </c>
      <c r="J3510" s="188" t="s">
        <v>624</v>
      </c>
      <c r="K3510" s="188" t="s">
        <v>639</v>
      </c>
      <c r="L3510" s="188" t="s">
        <v>3524</v>
      </c>
      <c r="M3510" s="192">
        <f t="shared" si="162"/>
        <v>11</v>
      </c>
      <c r="N3510" s="193">
        <f t="shared" si="163"/>
        <v>0.90010130246020259</v>
      </c>
      <c r="O3510" s="194">
        <f t="shared" si="164"/>
        <v>8.1827391132745689E-2</v>
      </c>
    </row>
    <row r="3511" spans="1:15" ht="12.75" customHeight="1">
      <c r="A3511" s="188" t="s">
        <v>620</v>
      </c>
      <c r="B3511" s="188" t="s">
        <v>4996</v>
      </c>
      <c r="C3511" s="188" t="s">
        <v>678</v>
      </c>
      <c r="D3511" s="188" t="s">
        <v>5224</v>
      </c>
      <c r="E3511" s="189">
        <v>39352</v>
      </c>
      <c r="F3511" s="190">
        <v>0</v>
      </c>
      <c r="G3511" s="190">
        <v>172.48</v>
      </c>
      <c r="H3511" s="191">
        <v>2309.94</v>
      </c>
      <c r="I3511" s="191">
        <v>646.79999999999995</v>
      </c>
      <c r="J3511" s="188" t="s">
        <v>624</v>
      </c>
      <c r="K3511" s="188" t="s">
        <v>652</v>
      </c>
      <c r="L3511" s="188" t="s">
        <v>5225</v>
      </c>
      <c r="M3511" s="192">
        <f t="shared" si="162"/>
        <v>13</v>
      </c>
      <c r="N3511" s="193">
        <f t="shared" si="163"/>
        <v>1.0714007421150278</v>
      </c>
      <c r="O3511" s="194">
        <f t="shared" si="164"/>
        <v>8.2415441701155986E-2</v>
      </c>
    </row>
    <row r="3512" spans="1:15" ht="12.75" customHeight="1">
      <c r="A3512" s="188" t="s">
        <v>620</v>
      </c>
      <c r="B3512" s="188" t="s">
        <v>4996</v>
      </c>
      <c r="C3512" s="188" t="s">
        <v>678</v>
      </c>
      <c r="D3512" s="188" t="s">
        <v>5226</v>
      </c>
      <c r="E3512" s="189">
        <v>39331</v>
      </c>
      <c r="F3512" s="190">
        <v>0</v>
      </c>
      <c r="G3512" s="190">
        <v>35.200000000000003</v>
      </c>
      <c r="H3512" s="191">
        <v>471.99</v>
      </c>
      <c r="I3512" s="191">
        <v>132</v>
      </c>
      <c r="J3512" s="188" t="s">
        <v>624</v>
      </c>
      <c r="K3512" s="188" t="s">
        <v>652</v>
      </c>
      <c r="L3512" s="188" t="s">
        <v>705</v>
      </c>
      <c r="M3512" s="192">
        <f t="shared" si="162"/>
        <v>13</v>
      </c>
      <c r="N3512" s="193">
        <f t="shared" si="163"/>
        <v>1.0727045454545454</v>
      </c>
      <c r="O3512" s="194">
        <f t="shared" si="164"/>
        <v>8.2515734265734261E-2</v>
      </c>
    </row>
    <row r="3513" spans="1:15" ht="12.75" customHeight="1">
      <c r="A3513" s="188" t="s">
        <v>620</v>
      </c>
      <c r="B3513" s="188" t="s">
        <v>4996</v>
      </c>
      <c r="C3513" s="188" t="s">
        <v>678</v>
      </c>
      <c r="D3513" s="188" t="s">
        <v>5227</v>
      </c>
      <c r="E3513" s="189">
        <v>39485</v>
      </c>
      <c r="F3513" s="190">
        <v>0</v>
      </c>
      <c r="G3513" s="190">
        <v>12.96</v>
      </c>
      <c r="H3513" s="191">
        <v>201</v>
      </c>
      <c r="I3513" s="191">
        <v>48.6</v>
      </c>
      <c r="J3513" s="188" t="s">
        <v>624</v>
      </c>
      <c r="K3513" s="188" t="s">
        <v>571</v>
      </c>
      <c r="L3513" s="188" t="s">
        <v>5228</v>
      </c>
      <c r="M3513" s="192">
        <f t="shared" si="162"/>
        <v>15</v>
      </c>
      <c r="N3513" s="193">
        <f t="shared" si="163"/>
        <v>1.2407407407407407</v>
      </c>
      <c r="O3513" s="194">
        <f t="shared" si="164"/>
        <v>8.2716049382716053E-2</v>
      </c>
    </row>
    <row r="3514" spans="1:15" ht="12.75" customHeight="1">
      <c r="A3514" s="188" t="s">
        <v>620</v>
      </c>
      <c r="B3514" s="188" t="s">
        <v>4996</v>
      </c>
      <c r="C3514" s="188" t="s">
        <v>678</v>
      </c>
      <c r="D3514" s="188" t="s">
        <v>5229</v>
      </c>
      <c r="E3514" s="189">
        <v>39513</v>
      </c>
      <c r="F3514" s="190">
        <v>0</v>
      </c>
      <c r="G3514" s="190">
        <v>113.44</v>
      </c>
      <c r="H3514" s="191">
        <v>1765</v>
      </c>
      <c r="I3514" s="191">
        <v>425.4</v>
      </c>
      <c r="J3514" s="188" t="s">
        <v>624</v>
      </c>
      <c r="K3514" s="188" t="s">
        <v>571</v>
      </c>
      <c r="L3514" s="188" t="s">
        <v>5230</v>
      </c>
      <c r="M3514" s="192">
        <f t="shared" si="162"/>
        <v>15</v>
      </c>
      <c r="N3514" s="193">
        <f t="shared" si="163"/>
        <v>1.2447108603667136</v>
      </c>
      <c r="O3514" s="194">
        <f t="shared" si="164"/>
        <v>8.2980724024447575E-2</v>
      </c>
    </row>
    <row r="3515" spans="1:15" ht="12.75" customHeight="1">
      <c r="A3515" s="188" t="s">
        <v>620</v>
      </c>
      <c r="B3515" s="188" t="s">
        <v>4996</v>
      </c>
      <c r="C3515" s="188" t="s">
        <v>678</v>
      </c>
      <c r="D3515" s="188" t="s">
        <v>5231</v>
      </c>
      <c r="E3515" s="189">
        <v>39447</v>
      </c>
      <c r="F3515" s="190">
        <v>0</v>
      </c>
      <c r="G3515" s="190">
        <v>75.2</v>
      </c>
      <c r="H3515" s="191">
        <v>1019</v>
      </c>
      <c r="I3515" s="191">
        <v>282</v>
      </c>
      <c r="J3515" s="188" t="s">
        <v>624</v>
      </c>
      <c r="K3515" s="188" t="s">
        <v>652</v>
      </c>
      <c r="L3515" s="188" t="s">
        <v>810</v>
      </c>
      <c r="M3515" s="192">
        <f t="shared" si="162"/>
        <v>13</v>
      </c>
      <c r="N3515" s="193">
        <f t="shared" si="163"/>
        <v>1.0840425531914895</v>
      </c>
      <c r="O3515" s="194">
        <f t="shared" si="164"/>
        <v>8.3387888707037644E-2</v>
      </c>
    </row>
    <row r="3516" spans="1:15" ht="12.75" customHeight="1">
      <c r="A3516" s="188" t="s">
        <v>620</v>
      </c>
      <c r="B3516" s="188" t="s">
        <v>4996</v>
      </c>
      <c r="C3516" s="188" t="s">
        <v>678</v>
      </c>
      <c r="D3516" s="188" t="s">
        <v>5232</v>
      </c>
      <c r="E3516" s="189">
        <v>39359</v>
      </c>
      <c r="F3516" s="190">
        <v>0</v>
      </c>
      <c r="G3516" s="190">
        <v>23.6</v>
      </c>
      <c r="H3516" s="191">
        <v>369</v>
      </c>
      <c r="I3516" s="191">
        <v>88.5</v>
      </c>
      <c r="J3516" s="188" t="s">
        <v>624</v>
      </c>
      <c r="K3516" s="188" t="s">
        <v>571</v>
      </c>
      <c r="L3516" s="188" t="s">
        <v>5233</v>
      </c>
      <c r="M3516" s="192">
        <f t="shared" si="162"/>
        <v>15</v>
      </c>
      <c r="N3516" s="193">
        <f t="shared" si="163"/>
        <v>1.2508474576271187</v>
      </c>
      <c r="O3516" s="194">
        <f t="shared" si="164"/>
        <v>8.338983050847458E-2</v>
      </c>
    </row>
    <row r="3517" spans="1:15" ht="12.75" customHeight="1">
      <c r="A3517" s="188" t="s">
        <v>620</v>
      </c>
      <c r="B3517" s="188" t="s">
        <v>4996</v>
      </c>
      <c r="C3517" s="188" t="s">
        <v>678</v>
      </c>
      <c r="D3517" s="188" t="s">
        <v>5234</v>
      </c>
      <c r="E3517" s="189">
        <v>39611</v>
      </c>
      <c r="F3517" s="190">
        <v>0</v>
      </c>
      <c r="G3517" s="190">
        <v>44</v>
      </c>
      <c r="H3517" s="191">
        <v>688</v>
      </c>
      <c r="I3517" s="191">
        <v>165</v>
      </c>
      <c r="J3517" s="188" t="s">
        <v>624</v>
      </c>
      <c r="K3517" s="188" t="s">
        <v>571</v>
      </c>
      <c r="L3517" s="188" t="s">
        <v>1873</v>
      </c>
      <c r="M3517" s="192">
        <f t="shared" si="162"/>
        <v>15</v>
      </c>
      <c r="N3517" s="193">
        <f t="shared" si="163"/>
        <v>1.250909090909091</v>
      </c>
      <c r="O3517" s="194">
        <f t="shared" si="164"/>
        <v>8.3393939393939395E-2</v>
      </c>
    </row>
    <row r="3518" spans="1:15" ht="12.75" customHeight="1">
      <c r="A3518" s="188" t="s">
        <v>620</v>
      </c>
      <c r="B3518" s="188" t="s">
        <v>4996</v>
      </c>
      <c r="C3518" s="188" t="s">
        <v>678</v>
      </c>
      <c r="D3518" s="188" t="s">
        <v>5235</v>
      </c>
      <c r="E3518" s="189">
        <v>39583</v>
      </c>
      <c r="F3518" s="190">
        <v>0</v>
      </c>
      <c r="G3518" s="190">
        <v>69.2</v>
      </c>
      <c r="H3518" s="191">
        <v>1010</v>
      </c>
      <c r="I3518" s="191">
        <v>259.5</v>
      </c>
      <c r="J3518" s="188" t="s">
        <v>624</v>
      </c>
      <c r="K3518" s="188" t="s">
        <v>1052</v>
      </c>
      <c r="L3518" s="188" t="s">
        <v>1838</v>
      </c>
      <c r="M3518" s="192">
        <f t="shared" si="162"/>
        <v>14</v>
      </c>
      <c r="N3518" s="193">
        <f t="shared" si="163"/>
        <v>1.1676300578034682</v>
      </c>
      <c r="O3518" s="194">
        <f t="shared" si="164"/>
        <v>8.3402146985962017E-2</v>
      </c>
    </row>
    <row r="3519" spans="1:15" ht="12.75" customHeight="1">
      <c r="A3519" s="188" t="s">
        <v>620</v>
      </c>
      <c r="B3519" s="188" t="s">
        <v>4996</v>
      </c>
      <c r="C3519" s="188" t="s">
        <v>678</v>
      </c>
      <c r="D3519" s="188" t="s">
        <v>5236</v>
      </c>
      <c r="E3519" s="189">
        <v>39261</v>
      </c>
      <c r="F3519" s="190">
        <v>0</v>
      </c>
      <c r="G3519" s="190">
        <v>92</v>
      </c>
      <c r="H3519" s="191">
        <v>1246.95</v>
      </c>
      <c r="I3519" s="191">
        <v>345</v>
      </c>
      <c r="J3519" s="188" t="s">
        <v>624</v>
      </c>
      <c r="K3519" s="188" t="s">
        <v>652</v>
      </c>
      <c r="L3519" s="188" t="s">
        <v>697</v>
      </c>
      <c r="M3519" s="192">
        <f t="shared" si="162"/>
        <v>13</v>
      </c>
      <c r="N3519" s="193">
        <f t="shared" si="163"/>
        <v>1.084304347826087</v>
      </c>
      <c r="O3519" s="194">
        <f t="shared" si="164"/>
        <v>8.3408026755852849E-2</v>
      </c>
    </row>
    <row r="3520" spans="1:15" ht="12.75" customHeight="1">
      <c r="A3520" s="188" t="s">
        <v>620</v>
      </c>
      <c r="B3520" s="188" t="s">
        <v>4996</v>
      </c>
      <c r="C3520" s="188" t="s">
        <v>678</v>
      </c>
      <c r="D3520" s="188" t="s">
        <v>5237</v>
      </c>
      <c r="E3520" s="189">
        <v>39359</v>
      </c>
      <c r="F3520" s="190">
        <v>0</v>
      </c>
      <c r="G3520" s="190">
        <v>121.76</v>
      </c>
      <c r="H3520" s="191">
        <v>1655</v>
      </c>
      <c r="I3520" s="191">
        <v>456.6</v>
      </c>
      <c r="J3520" s="188" t="s">
        <v>624</v>
      </c>
      <c r="K3520" s="188" t="s">
        <v>652</v>
      </c>
      <c r="L3520" s="188" t="s">
        <v>559</v>
      </c>
      <c r="M3520" s="192">
        <f t="shared" si="162"/>
        <v>13</v>
      </c>
      <c r="N3520" s="193">
        <f t="shared" si="163"/>
        <v>1.0873850197109067</v>
      </c>
      <c r="O3520" s="194">
        <f t="shared" si="164"/>
        <v>8.3645001516223588E-2</v>
      </c>
    </row>
    <row r="3521" spans="1:15" ht="12.75" customHeight="1">
      <c r="A3521" s="188" t="s">
        <v>620</v>
      </c>
      <c r="B3521" s="188" t="s">
        <v>4996</v>
      </c>
      <c r="C3521" s="188" t="s">
        <v>678</v>
      </c>
      <c r="D3521" s="188" t="s">
        <v>5238</v>
      </c>
      <c r="E3521" s="189">
        <v>39492</v>
      </c>
      <c r="F3521" s="190">
        <v>0</v>
      </c>
      <c r="G3521" s="190">
        <v>176</v>
      </c>
      <c r="H3521" s="191">
        <v>2400</v>
      </c>
      <c r="I3521" s="191">
        <v>660</v>
      </c>
      <c r="J3521" s="188" t="s">
        <v>624</v>
      </c>
      <c r="K3521" s="188" t="s">
        <v>652</v>
      </c>
      <c r="L3521" s="188" t="s">
        <v>938</v>
      </c>
      <c r="M3521" s="192">
        <f t="shared" si="162"/>
        <v>13</v>
      </c>
      <c r="N3521" s="193">
        <f t="shared" si="163"/>
        <v>1.0909090909090908</v>
      </c>
      <c r="O3521" s="194">
        <f t="shared" si="164"/>
        <v>8.3916083916083906E-2</v>
      </c>
    </row>
    <row r="3522" spans="1:15" ht="12.75" customHeight="1">
      <c r="A3522" s="188" t="s">
        <v>620</v>
      </c>
      <c r="B3522" s="188" t="s">
        <v>4996</v>
      </c>
      <c r="C3522" s="188" t="s">
        <v>678</v>
      </c>
      <c r="D3522" s="188" t="s">
        <v>5239</v>
      </c>
      <c r="E3522" s="189">
        <v>39387</v>
      </c>
      <c r="F3522" s="190">
        <v>0</v>
      </c>
      <c r="G3522" s="190">
        <v>170.8</v>
      </c>
      <c r="H3522" s="191">
        <v>2688</v>
      </c>
      <c r="I3522" s="191">
        <v>640.5</v>
      </c>
      <c r="J3522" s="188" t="s">
        <v>720</v>
      </c>
      <c r="K3522" s="188" t="s">
        <v>667</v>
      </c>
      <c r="L3522" s="188" t="s">
        <v>5240</v>
      </c>
      <c r="M3522" s="192">
        <f t="shared" ref="M3522:M3585" si="165">K3522-J3522</f>
        <v>15</v>
      </c>
      <c r="N3522" s="193">
        <f t="shared" ref="N3522:N3585" si="166">H3522/L3522</f>
        <v>1.2590163934426231</v>
      </c>
      <c r="O3522" s="194">
        <f t="shared" ref="O3522:O3585" si="167">N3522/M3522</f>
        <v>8.3934426229508211E-2</v>
      </c>
    </row>
    <row r="3523" spans="1:15" ht="12.75" customHeight="1">
      <c r="A3523" s="188" t="s">
        <v>620</v>
      </c>
      <c r="B3523" s="188" t="s">
        <v>4996</v>
      </c>
      <c r="C3523" s="188" t="s">
        <v>678</v>
      </c>
      <c r="D3523" s="188" t="s">
        <v>5241</v>
      </c>
      <c r="E3523" s="189">
        <v>39625</v>
      </c>
      <c r="F3523" s="190">
        <v>0</v>
      </c>
      <c r="G3523" s="190">
        <v>95.6</v>
      </c>
      <c r="H3523" s="191">
        <v>1505</v>
      </c>
      <c r="I3523" s="191">
        <v>358.5</v>
      </c>
      <c r="J3523" s="188" t="s">
        <v>624</v>
      </c>
      <c r="K3523" s="188" t="s">
        <v>571</v>
      </c>
      <c r="L3523" s="188" t="s">
        <v>4602</v>
      </c>
      <c r="M3523" s="192">
        <f t="shared" si="165"/>
        <v>15</v>
      </c>
      <c r="N3523" s="193">
        <f t="shared" si="166"/>
        <v>1.2594142259414225</v>
      </c>
      <c r="O3523" s="194">
        <f t="shared" si="167"/>
        <v>8.3960948396094831E-2</v>
      </c>
    </row>
    <row r="3524" spans="1:15" ht="12.75" customHeight="1">
      <c r="A3524" s="188" t="s">
        <v>620</v>
      </c>
      <c r="B3524" s="188" t="s">
        <v>4996</v>
      </c>
      <c r="C3524" s="188" t="s">
        <v>678</v>
      </c>
      <c r="D3524" s="188" t="s">
        <v>5242</v>
      </c>
      <c r="E3524" s="189">
        <v>39562</v>
      </c>
      <c r="F3524" s="190">
        <v>0</v>
      </c>
      <c r="G3524" s="190">
        <v>112</v>
      </c>
      <c r="H3524" s="191">
        <v>1647</v>
      </c>
      <c r="I3524" s="191">
        <v>420</v>
      </c>
      <c r="J3524" s="188" t="s">
        <v>624</v>
      </c>
      <c r="K3524" s="188" t="s">
        <v>1052</v>
      </c>
      <c r="L3524" s="188" t="s">
        <v>754</v>
      </c>
      <c r="M3524" s="192">
        <f t="shared" si="165"/>
        <v>14</v>
      </c>
      <c r="N3524" s="193">
        <f t="shared" si="166"/>
        <v>1.1764285714285714</v>
      </c>
      <c r="O3524" s="194">
        <f t="shared" si="167"/>
        <v>8.4030612244897954E-2</v>
      </c>
    </row>
    <row r="3525" spans="1:15" ht="12.75" customHeight="1">
      <c r="A3525" s="188" t="s">
        <v>620</v>
      </c>
      <c r="B3525" s="188" t="s">
        <v>4996</v>
      </c>
      <c r="C3525" s="188" t="s">
        <v>678</v>
      </c>
      <c r="D3525" s="188" t="s">
        <v>5243</v>
      </c>
      <c r="E3525" s="189">
        <v>39247</v>
      </c>
      <c r="F3525" s="190">
        <v>0</v>
      </c>
      <c r="G3525" s="190">
        <v>95.2</v>
      </c>
      <c r="H3525" s="191">
        <v>1299.96</v>
      </c>
      <c r="I3525" s="191">
        <v>357</v>
      </c>
      <c r="J3525" s="188" t="s">
        <v>624</v>
      </c>
      <c r="K3525" s="188" t="s">
        <v>652</v>
      </c>
      <c r="L3525" s="188" t="s">
        <v>519</v>
      </c>
      <c r="M3525" s="192">
        <f t="shared" si="165"/>
        <v>13</v>
      </c>
      <c r="N3525" s="193">
        <f t="shared" si="166"/>
        <v>1.0924033613445379</v>
      </c>
      <c r="O3525" s="194">
        <f t="shared" si="167"/>
        <v>8.4031027795733682E-2</v>
      </c>
    </row>
    <row r="3526" spans="1:15" ht="12.75" customHeight="1">
      <c r="A3526" s="188" t="s">
        <v>620</v>
      </c>
      <c r="B3526" s="188" t="s">
        <v>4996</v>
      </c>
      <c r="C3526" s="188" t="s">
        <v>678</v>
      </c>
      <c r="D3526" s="188" t="s">
        <v>5244</v>
      </c>
      <c r="E3526" s="189">
        <v>39366</v>
      </c>
      <c r="F3526" s="190">
        <v>0</v>
      </c>
      <c r="G3526" s="190">
        <v>77.680000000000007</v>
      </c>
      <c r="H3526" s="191">
        <v>1062</v>
      </c>
      <c r="I3526" s="191">
        <v>291.3</v>
      </c>
      <c r="J3526" s="188" t="s">
        <v>624</v>
      </c>
      <c r="K3526" s="188" t="s">
        <v>652</v>
      </c>
      <c r="L3526" s="188" t="s">
        <v>1926</v>
      </c>
      <c r="M3526" s="192">
        <f t="shared" si="165"/>
        <v>13</v>
      </c>
      <c r="N3526" s="193">
        <f t="shared" si="166"/>
        <v>1.0937178166838311</v>
      </c>
      <c r="O3526" s="194">
        <f t="shared" si="167"/>
        <v>8.4132139744910087E-2</v>
      </c>
    </row>
    <row r="3527" spans="1:15" ht="12.75" customHeight="1">
      <c r="A3527" s="188" t="s">
        <v>620</v>
      </c>
      <c r="B3527" s="188" t="s">
        <v>4996</v>
      </c>
      <c r="C3527" s="188" t="s">
        <v>678</v>
      </c>
      <c r="D3527" s="188" t="s">
        <v>5245</v>
      </c>
      <c r="E3527" s="189">
        <v>39269</v>
      </c>
      <c r="F3527" s="190">
        <v>0</v>
      </c>
      <c r="G3527" s="190">
        <v>76.16</v>
      </c>
      <c r="H3527" s="191">
        <v>1047.01</v>
      </c>
      <c r="I3527" s="191">
        <v>285.60000000000002</v>
      </c>
      <c r="J3527" s="188" t="s">
        <v>624</v>
      </c>
      <c r="K3527" s="188" t="s">
        <v>652</v>
      </c>
      <c r="L3527" s="188" t="s">
        <v>4304</v>
      </c>
      <c r="M3527" s="192">
        <f t="shared" si="165"/>
        <v>13</v>
      </c>
      <c r="N3527" s="193">
        <f t="shared" si="166"/>
        <v>1.0998004201680671</v>
      </c>
      <c r="O3527" s="194">
        <f t="shared" si="167"/>
        <v>8.460003232062055E-2</v>
      </c>
    </row>
    <row r="3528" spans="1:15" ht="12.75" customHeight="1">
      <c r="A3528" s="188" t="s">
        <v>620</v>
      </c>
      <c r="B3528" s="188" t="s">
        <v>4996</v>
      </c>
      <c r="C3528" s="188" t="s">
        <v>678</v>
      </c>
      <c r="D3528" s="188" t="s">
        <v>5246</v>
      </c>
      <c r="E3528" s="189">
        <v>39282</v>
      </c>
      <c r="F3528" s="190">
        <v>0</v>
      </c>
      <c r="G3528" s="190">
        <v>49.68</v>
      </c>
      <c r="H3528" s="191">
        <v>683.04</v>
      </c>
      <c r="I3528" s="191">
        <v>186.3</v>
      </c>
      <c r="J3528" s="188" t="s">
        <v>624</v>
      </c>
      <c r="K3528" s="188" t="s">
        <v>652</v>
      </c>
      <c r="L3528" s="188" t="s">
        <v>4113</v>
      </c>
      <c r="M3528" s="192">
        <f t="shared" si="165"/>
        <v>13</v>
      </c>
      <c r="N3528" s="193">
        <f t="shared" si="166"/>
        <v>1.0999033816425121</v>
      </c>
      <c r="O3528" s="194">
        <f t="shared" si="167"/>
        <v>8.4607952434039388E-2</v>
      </c>
    </row>
    <row r="3529" spans="1:15" ht="12.75" customHeight="1">
      <c r="A3529" s="188" t="s">
        <v>620</v>
      </c>
      <c r="B3529" s="188" t="s">
        <v>4996</v>
      </c>
      <c r="C3529" s="188" t="s">
        <v>678</v>
      </c>
      <c r="D3529" s="188" t="s">
        <v>5247</v>
      </c>
      <c r="E3529" s="189">
        <v>39407</v>
      </c>
      <c r="F3529" s="190">
        <v>0</v>
      </c>
      <c r="G3529" s="190">
        <v>124</v>
      </c>
      <c r="H3529" s="191">
        <v>1710</v>
      </c>
      <c r="I3529" s="191">
        <v>465</v>
      </c>
      <c r="J3529" s="188" t="s">
        <v>624</v>
      </c>
      <c r="K3529" s="188" t="s">
        <v>652</v>
      </c>
      <c r="L3529" s="188" t="s">
        <v>1474</v>
      </c>
      <c r="M3529" s="192">
        <f t="shared" si="165"/>
        <v>13</v>
      </c>
      <c r="N3529" s="193">
        <f t="shared" si="166"/>
        <v>1.1032258064516129</v>
      </c>
      <c r="O3529" s="194">
        <f t="shared" si="167"/>
        <v>8.4863523573200997E-2</v>
      </c>
    </row>
    <row r="3530" spans="1:15" ht="12.75" customHeight="1">
      <c r="A3530" s="188" t="s">
        <v>620</v>
      </c>
      <c r="B3530" s="188" t="s">
        <v>4996</v>
      </c>
      <c r="C3530" s="188" t="s">
        <v>678</v>
      </c>
      <c r="D3530" s="188" t="s">
        <v>5248</v>
      </c>
      <c r="E3530" s="189">
        <v>39639</v>
      </c>
      <c r="F3530" s="190">
        <v>0</v>
      </c>
      <c r="G3530" s="190">
        <v>95.04</v>
      </c>
      <c r="H3530" s="191">
        <v>1318</v>
      </c>
      <c r="I3530" s="191">
        <v>356.4</v>
      </c>
      <c r="J3530" s="188" t="s">
        <v>624</v>
      </c>
      <c r="K3530" s="188" t="s">
        <v>652</v>
      </c>
      <c r="L3530" s="188" t="s">
        <v>790</v>
      </c>
      <c r="M3530" s="192">
        <f t="shared" si="165"/>
        <v>13</v>
      </c>
      <c r="N3530" s="193">
        <f t="shared" si="166"/>
        <v>1.1094276094276094</v>
      </c>
      <c r="O3530" s="194">
        <f t="shared" si="167"/>
        <v>8.5340585340585334E-2</v>
      </c>
    </row>
    <row r="3531" spans="1:15" ht="12.75" customHeight="1">
      <c r="A3531" s="188" t="s">
        <v>620</v>
      </c>
      <c r="B3531" s="188" t="s">
        <v>4996</v>
      </c>
      <c r="C3531" s="188" t="s">
        <v>678</v>
      </c>
      <c r="D3531" s="188" t="s">
        <v>5249</v>
      </c>
      <c r="E3531" s="189">
        <v>39317</v>
      </c>
      <c r="F3531" s="190">
        <v>0</v>
      </c>
      <c r="G3531" s="190">
        <v>76</v>
      </c>
      <c r="H3531" s="191">
        <v>974.99</v>
      </c>
      <c r="I3531" s="191">
        <v>285</v>
      </c>
      <c r="J3531" s="188" t="s">
        <v>624</v>
      </c>
      <c r="K3531" s="188" t="s">
        <v>361</v>
      </c>
      <c r="L3531" s="188" t="s">
        <v>1164</v>
      </c>
      <c r="M3531" s="192">
        <f t="shared" si="165"/>
        <v>12</v>
      </c>
      <c r="N3531" s="193">
        <f t="shared" si="166"/>
        <v>1.0263052631578948</v>
      </c>
      <c r="O3531" s="194">
        <f t="shared" si="167"/>
        <v>8.5525438596491241E-2</v>
      </c>
    </row>
    <row r="3532" spans="1:15" ht="12.75" customHeight="1">
      <c r="A3532" s="188" t="s">
        <v>620</v>
      </c>
      <c r="B3532" s="188" t="s">
        <v>4996</v>
      </c>
      <c r="C3532" s="188" t="s">
        <v>678</v>
      </c>
      <c r="D3532" s="188" t="s">
        <v>5250</v>
      </c>
      <c r="E3532" s="189">
        <v>39366</v>
      </c>
      <c r="F3532" s="190">
        <v>0</v>
      </c>
      <c r="G3532" s="190">
        <v>98.64</v>
      </c>
      <c r="H3532" s="191">
        <v>1583.72</v>
      </c>
      <c r="I3532" s="191">
        <v>369.9</v>
      </c>
      <c r="J3532" s="188" t="s">
        <v>624</v>
      </c>
      <c r="K3532" s="188" t="s">
        <v>571</v>
      </c>
      <c r="L3532" s="188" t="s">
        <v>1226</v>
      </c>
      <c r="M3532" s="192">
        <f t="shared" si="165"/>
        <v>15</v>
      </c>
      <c r="N3532" s="193">
        <f t="shared" si="166"/>
        <v>1.2844444444444445</v>
      </c>
      <c r="O3532" s="194">
        <f t="shared" si="167"/>
        <v>8.5629629629629639E-2</v>
      </c>
    </row>
    <row r="3533" spans="1:15" ht="12.75" customHeight="1">
      <c r="A3533" s="188" t="s">
        <v>620</v>
      </c>
      <c r="B3533" s="188" t="s">
        <v>4996</v>
      </c>
      <c r="C3533" s="188" t="s">
        <v>678</v>
      </c>
      <c r="D3533" s="188" t="s">
        <v>5251</v>
      </c>
      <c r="E3533" s="189">
        <v>39373</v>
      </c>
      <c r="F3533" s="190">
        <v>0</v>
      </c>
      <c r="G3533" s="190">
        <v>91.36</v>
      </c>
      <c r="H3533" s="191">
        <v>1275</v>
      </c>
      <c r="I3533" s="191">
        <v>342.6</v>
      </c>
      <c r="J3533" s="188" t="s">
        <v>624</v>
      </c>
      <c r="K3533" s="188" t="s">
        <v>652</v>
      </c>
      <c r="L3533" s="188" t="s">
        <v>2543</v>
      </c>
      <c r="M3533" s="192">
        <f t="shared" si="165"/>
        <v>13</v>
      </c>
      <c r="N3533" s="193">
        <f t="shared" si="166"/>
        <v>1.1164623467600701</v>
      </c>
      <c r="O3533" s="194">
        <f t="shared" si="167"/>
        <v>8.5881718981543856E-2</v>
      </c>
    </row>
    <row r="3534" spans="1:15" ht="12.75" customHeight="1">
      <c r="A3534" s="188" t="s">
        <v>620</v>
      </c>
      <c r="B3534" s="188" t="s">
        <v>4996</v>
      </c>
      <c r="C3534" s="188" t="s">
        <v>678</v>
      </c>
      <c r="D3534" s="188" t="s">
        <v>5252</v>
      </c>
      <c r="E3534" s="189">
        <v>39436</v>
      </c>
      <c r="F3534" s="190">
        <v>0</v>
      </c>
      <c r="G3534" s="190">
        <v>151.04</v>
      </c>
      <c r="H3534" s="191">
        <v>2441</v>
      </c>
      <c r="I3534" s="191">
        <v>566.4</v>
      </c>
      <c r="J3534" s="188" t="s">
        <v>624</v>
      </c>
      <c r="K3534" s="188" t="s">
        <v>571</v>
      </c>
      <c r="L3534" s="188" t="s">
        <v>5253</v>
      </c>
      <c r="M3534" s="192">
        <f t="shared" si="165"/>
        <v>15</v>
      </c>
      <c r="N3534" s="193">
        <f t="shared" si="166"/>
        <v>1.2929025423728813</v>
      </c>
      <c r="O3534" s="194">
        <f t="shared" si="167"/>
        <v>8.6193502824858756E-2</v>
      </c>
    </row>
    <row r="3535" spans="1:15" ht="12.75" customHeight="1">
      <c r="A3535" s="188" t="s">
        <v>620</v>
      </c>
      <c r="B3535" s="188" t="s">
        <v>4996</v>
      </c>
      <c r="C3535" s="188" t="s">
        <v>678</v>
      </c>
      <c r="D3535" s="188" t="s">
        <v>5254</v>
      </c>
      <c r="E3535" s="189">
        <v>39485</v>
      </c>
      <c r="F3535" s="190">
        <v>0</v>
      </c>
      <c r="G3535" s="190">
        <v>56.4</v>
      </c>
      <c r="H3535" s="191">
        <v>790</v>
      </c>
      <c r="I3535" s="191">
        <v>211.5</v>
      </c>
      <c r="J3535" s="188" t="s">
        <v>624</v>
      </c>
      <c r="K3535" s="188" t="s">
        <v>652</v>
      </c>
      <c r="L3535" s="188" t="s">
        <v>435</v>
      </c>
      <c r="M3535" s="192">
        <f t="shared" si="165"/>
        <v>13</v>
      </c>
      <c r="N3535" s="193">
        <f t="shared" si="166"/>
        <v>1.1205673758865249</v>
      </c>
      <c r="O3535" s="194">
        <f t="shared" si="167"/>
        <v>8.6197490452809611E-2</v>
      </c>
    </row>
    <row r="3536" spans="1:15" ht="12.75" customHeight="1">
      <c r="A3536" s="188" t="s">
        <v>620</v>
      </c>
      <c r="B3536" s="188" t="s">
        <v>4996</v>
      </c>
      <c r="C3536" s="188" t="s">
        <v>678</v>
      </c>
      <c r="D3536" s="188" t="s">
        <v>5255</v>
      </c>
      <c r="E3536" s="189">
        <v>39625</v>
      </c>
      <c r="F3536" s="190">
        <v>0</v>
      </c>
      <c r="G3536" s="190">
        <v>62.96</v>
      </c>
      <c r="H3536" s="191">
        <v>883</v>
      </c>
      <c r="I3536" s="191">
        <v>236.1</v>
      </c>
      <c r="J3536" s="188" t="s">
        <v>624</v>
      </c>
      <c r="K3536" s="188" t="s">
        <v>652</v>
      </c>
      <c r="L3536" s="188" t="s">
        <v>2945</v>
      </c>
      <c r="M3536" s="192">
        <f t="shared" si="165"/>
        <v>13</v>
      </c>
      <c r="N3536" s="193">
        <f t="shared" si="166"/>
        <v>1.121982210927573</v>
      </c>
      <c r="O3536" s="194">
        <f t="shared" si="167"/>
        <v>8.6306323917505617E-2</v>
      </c>
    </row>
    <row r="3537" spans="1:15" ht="12.75" customHeight="1">
      <c r="A3537" s="188" t="s">
        <v>620</v>
      </c>
      <c r="B3537" s="188" t="s">
        <v>4996</v>
      </c>
      <c r="C3537" s="188" t="s">
        <v>678</v>
      </c>
      <c r="D3537" s="188" t="s">
        <v>5256</v>
      </c>
      <c r="E3537" s="189">
        <v>39331</v>
      </c>
      <c r="F3537" s="190">
        <v>0</v>
      </c>
      <c r="G3537" s="190">
        <v>153.6</v>
      </c>
      <c r="H3537" s="191">
        <v>2496</v>
      </c>
      <c r="I3537" s="191">
        <v>576</v>
      </c>
      <c r="J3537" s="188" t="s">
        <v>624</v>
      </c>
      <c r="K3537" s="188" t="s">
        <v>571</v>
      </c>
      <c r="L3537" s="188" t="s">
        <v>640</v>
      </c>
      <c r="M3537" s="192">
        <f t="shared" si="165"/>
        <v>15</v>
      </c>
      <c r="N3537" s="193">
        <f t="shared" si="166"/>
        <v>1.3</v>
      </c>
      <c r="O3537" s="194">
        <f t="shared" si="167"/>
        <v>8.666666666666667E-2</v>
      </c>
    </row>
    <row r="3538" spans="1:15" ht="12.75" customHeight="1">
      <c r="A3538" s="188" t="s">
        <v>620</v>
      </c>
      <c r="B3538" s="188" t="s">
        <v>4996</v>
      </c>
      <c r="C3538" s="188" t="s">
        <v>678</v>
      </c>
      <c r="D3538" s="188" t="s">
        <v>5257</v>
      </c>
      <c r="E3538" s="189">
        <v>39331</v>
      </c>
      <c r="F3538" s="190">
        <v>0</v>
      </c>
      <c r="G3538" s="190">
        <v>73.599999999999994</v>
      </c>
      <c r="H3538" s="191">
        <v>1038.04</v>
      </c>
      <c r="I3538" s="191">
        <v>276</v>
      </c>
      <c r="J3538" s="188" t="s">
        <v>624</v>
      </c>
      <c r="K3538" s="188" t="s">
        <v>652</v>
      </c>
      <c r="L3538" s="188" t="s">
        <v>2411</v>
      </c>
      <c r="M3538" s="192">
        <f t="shared" si="165"/>
        <v>13</v>
      </c>
      <c r="N3538" s="193">
        <f t="shared" si="166"/>
        <v>1.128304347826087</v>
      </c>
      <c r="O3538" s="194">
        <f t="shared" si="167"/>
        <v>8.6792642140468237E-2</v>
      </c>
    </row>
    <row r="3539" spans="1:15" ht="12.75" customHeight="1">
      <c r="A3539" s="188" t="s">
        <v>620</v>
      </c>
      <c r="B3539" s="188" t="s">
        <v>4996</v>
      </c>
      <c r="C3539" s="188" t="s">
        <v>678</v>
      </c>
      <c r="D3539" s="188" t="s">
        <v>5258</v>
      </c>
      <c r="E3539" s="189">
        <v>39317</v>
      </c>
      <c r="F3539" s="190">
        <v>0</v>
      </c>
      <c r="G3539" s="190">
        <v>73.92</v>
      </c>
      <c r="H3539" s="191">
        <v>1205.9100000000001</v>
      </c>
      <c r="I3539" s="191">
        <v>277.2</v>
      </c>
      <c r="J3539" s="188" t="s">
        <v>624</v>
      </c>
      <c r="K3539" s="188" t="s">
        <v>571</v>
      </c>
      <c r="L3539" s="188" t="s">
        <v>1976</v>
      </c>
      <c r="M3539" s="192">
        <f t="shared" si="165"/>
        <v>15</v>
      </c>
      <c r="N3539" s="193">
        <f t="shared" si="166"/>
        <v>1.3050974025974027</v>
      </c>
      <c r="O3539" s="194">
        <f t="shared" si="167"/>
        <v>8.7006493506493518E-2</v>
      </c>
    </row>
    <row r="3540" spans="1:15" ht="12.75" customHeight="1">
      <c r="A3540" s="188" t="s">
        <v>620</v>
      </c>
      <c r="B3540" s="188" t="s">
        <v>4996</v>
      </c>
      <c r="C3540" s="188" t="s">
        <v>678</v>
      </c>
      <c r="D3540" s="188" t="s">
        <v>5259</v>
      </c>
      <c r="E3540" s="189">
        <v>39625</v>
      </c>
      <c r="F3540" s="190">
        <v>0</v>
      </c>
      <c r="G3540" s="190">
        <v>68.56</v>
      </c>
      <c r="H3540" s="191">
        <v>971</v>
      </c>
      <c r="I3540" s="191">
        <v>257.10000000000002</v>
      </c>
      <c r="J3540" s="188" t="s">
        <v>624</v>
      </c>
      <c r="K3540" s="188" t="s">
        <v>652</v>
      </c>
      <c r="L3540" s="188" t="s">
        <v>5260</v>
      </c>
      <c r="M3540" s="192">
        <f t="shared" si="165"/>
        <v>13</v>
      </c>
      <c r="N3540" s="193">
        <f t="shared" si="166"/>
        <v>1.1330221703617269</v>
      </c>
      <c r="O3540" s="194">
        <f t="shared" si="167"/>
        <v>8.7155551566286682E-2</v>
      </c>
    </row>
    <row r="3541" spans="1:15" ht="12.75" customHeight="1">
      <c r="A3541" s="188" t="s">
        <v>620</v>
      </c>
      <c r="B3541" s="188" t="s">
        <v>4996</v>
      </c>
      <c r="C3541" s="188" t="s">
        <v>678</v>
      </c>
      <c r="D3541" s="188" t="s">
        <v>5261</v>
      </c>
      <c r="E3541" s="189">
        <v>39583</v>
      </c>
      <c r="F3541" s="190">
        <v>0</v>
      </c>
      <c r="G3541" s="190">
        <v>144</v>
      </c>
      <c r="H3541" s="191">
        <v>2200</v>
      </c>
      <c r="I3541" s="191">
        <v>540</v>
      </c>
      <c r="J3541" s="188" t="s">
        <v>624</v>
      </c>
      <c r="K3541" s="188" t="s">
        <v>1052</v>
      </c>
      <c r="L3541" s="188" t="s">
        <v>718</v>
      </c>
      <c r="M3541" s="192">
        <f t="shared" si="165"/>
        <v>14</v>
      </c>
      <c r="N3541" s="193">
        <f t="shared" si="166"/>
        <v>1.2222222222222223</v>
      </c>
      <c r="O3541" s="194">
        <f t="shared" si="167"/>
        <v>8.7301587301587311E-2</v>
      </c>
    </row>
    <row r="3542" spans="1:15" ht="12.75" customHeight="1">
      <c r="A3542" s="188" t="s">
        <v>620</v>
      </c>
      <c r="B3542" s="188" t="s">
        <v>4996</v>
      </c>
      <c r="C3542" s="188" t="s">
        <v>678</v>
      </c>
      <c r="D3542" s="188" t="s">
        <v>5262</v>
      </c>
      <c r="E3542" s="189">
        <v>39339</v>
      </c>
      <c r="F3542" s="190">
        <v>0</v>
      </c>
      <c r="G3542" s="190">
        <v>90.88</v>
      </c>
      <c r="H3542" s="191">
        <v>1294</v>
      </c>
      <c r="I3542" s="191">
        <v>340.8</v>
      </c>
      <c r="J3542" s="188" t="s">
        <v>624</v>
      </c>
      <c r="K3542" s="188" t="s">
        <v>652</v>
      </c>
      <c r="L3542" s="188" t="s">
        <v>899</v>
      </c>
      <c r="M3542" s="192">
        <f t="shared" si="165"/>
        <v>13</v>
      </c>
      <c r="N3542" s="193">
        <f t="shared" si="166"/>
        <v>1.1390845070422535</v>
      </c>
      <c r="O3542" s="194">
        <f t="shared" si="167"/>
        <v>8.762188515709643E-2</v>
      </c>
    </row>
    <row r="3543" spans="1:15" ht="12.75" customHeight="1">
      <c r="A3543" s="188" t="s">
        <v>620</v>
      </c>
      <c r="B3543" s="188" t="s">
        <v>4996</v>
      </c>
      <c r="C3543" s="188" t="s">
        <v>678</v>
      </c>
      <c r="D3543" s="188" t="s">
        <v>5263</v>
      </c>
      <c r="E3543" s="189">
        <v>39261</v>
      </c>
      <c r="F3543" s="190">
        <v>0</v>
      </c>
      <c r="G3543" s="190">
        <v>132</v>
      </c>
      <c r="H3543" s="191">
        <v>1880.01</v>
      </c>
      <c r="I3543" s="191">
        <v>495</v>
      </c>
      <c r="J3543" s="188" t="s">
        <v>624</v>
      </c>
      <c r="K3543" s="188" t="s">
        <v>652</v>
      </c>
      <c r="L3543" s="188" t="s">
        <v>885</v>
      </c>
      <c r="M3543" s="192">
        <f t="shared" si="165"/>
        <v>13</v>
      </c>
      <c r="N3543" s="193">
        <f t="shared" si="166"/>
        <v>1.1394</v>
      </c>
      <c r="O3543" s="194">
        <f t="shared" si="167"/>
        <v>8.7646153846153846E-2</v>
      </c>
    </row>
    <row r="3544" spans="1:15" ht="12.75" customHeight="1">
      <c r="A3544" s="188" t="s">
        <v>620</v>
      </c>
      <c r="B3544" s="188" t="s">
        <v>4996</v>
      </c>
      <c r="C3544" s="188" t="s">
        <v>678</v>
      </c>
      <c r="D3544" s="188" t="s">
        <v>5264</v>
      </c>
      <c r="E3544" s="189">
        <v>39401</v>
      </c>
      <c r="F3544" s="190">
        <v>0</v>
      </c>
      <c r="G3544" s="190">
        <v>114.8</v>
      </c>
      <c r="H3544" s="191">
        <v>1894</v>
      </c>
      <c r="I3544" s="191">
        <v>430.5</v>
      </c>
      <c r="J3544" s="188" t="s">
        <v>624</v>
      </c>
      <c r="K3544" s="188" t="s">
        <v>571</v>
      </c>
      <c r="L3544" s="188" t="s">
        <v>4636</v>
      </c>
      <c r="M3544" s="192">
        <f t="shared" si="165"/>
        <v>15</v>
      </c>
      <c r="N3544" s="193">
        <f t="shared" si="166"/>
        <v>1.3198606271777003</v>
      </c>
      <c r="O3544" s="194">
        <f t="shared" si="167"/>
        <v>8.7990708478513355E-2</v>
      </c>
    </row>
    <row r="3545" spans="1:15" ht="12.75" customHeight="1">
      <c r="A3545" s="188" t="s">
        <v>620</v>
      </c>
      <c r="B3545" s="188" t="s">
        <v>4996</v>
      </c>
      <c r="C3545" s="188" t="s">
        <v>678</v>
      </c>
      <c r="D3545" s="188" t="s">
        <v>5265</v>
      </c>
      <c r="E3545" s="189">
        <v>39310</v>
      </c>
      <c r="F3545" s="190">
        <v>0</v>
      </c>
      <c r="G3545" s="190">
        <v>60.32</v>
      </c>
      <c r="H3545" s="191">
        <v>864.01</v>
      </c>
      <c r="I3545" s="191">
        <v>226.2</v>
      </c>
      <c r="J3545" s="188" t="s">
        <v>624</v>
      </c>
      <c r="K3545" s="188" t="s">
        <v>652</v>
      </c>
      <c r="L3545" s="188" t="s">
        <v>5266</v>
      </c>
      <c r="M3545" s="192">
        <f t="shared" si="165"/>
        <v>13</v>
      </c>
      <c r="N3545" s="193">
        <f t="shared" si="166"/>
        <v>1.1459018567639256</v>
      </c>
      <c r="O3545" s="194">
        <f t="shared" si="167"/>
        <v>8.8146296674148125E-2</v>
      </c>
    </row>
    <row r="3546" spans="1:15" ht="12.75" customHeight="1">
      <c r="A3546" s="188" t="s">
        <v>620</v>
      </c>
      <c r="B3546" s="188" t="s">
        <v>4996</v>
      </c>
      <c r="C3546" s="188" t="s">
        <v>678</v>
      </c>
      <c r="D3546" s="188" t="s">
        <v>5267</v>
      </c>
      <c r="E3546" s="189">
        <v>39507</v>
      </c>
      <c r="F3546" s="190">
        <v>0</v>
      </c>
      <c r="G3546" s="190">
        <v>62.4</v>
      </c>
      <c r="H3546" s="191">
        <v>895</v>
      </c>
      <c r="I3546" s="191">
        <v>234</v>
      </c>
      <c r="J3546" s="188" t="s">
        <v>624</v>
      </c>
      <c r="K3546" s="188" t="s">
        <v>652</v>
      </c>
      <c r="L3546" s="188" t="s">
        <v>656</v>
      </c>
      <c r="M3546" s="192">
        <f t="shared" si="165"/>
        <v>13</v>
      </c>
      <c r="N3546" s="193">
        <f t="shared" si="166"/>
        <v>1.1474358974358974</v>
      </c>
      <c r="O3546" s="194">
        <f t="shared" si="167"/>
        <v>8.8264299802761334E-2</v>
      </c>
    </row>
    <row r="3547" spans="1:15" ht="12.75" customHeight="1">
      <c r="A3547" s="188" t="s">
        <v>620</v>
      </c>
      <c r="B3547" s="188" t="s">
        <v>4996</v>
      </c>
      <c r="C3547" s="188" t="s">
        <v>678</v>
      </c>
      <c r="D3547" s="188" t="s">
        <v>5268</v>
      </c>
      <c r="E3547" s="189">
        <v>39275</v>
      </c>
      <c r="F3547" s="190">
        <v>0</v>
      </c>
      <c r="G3547" s="190">
        <v>104.08</v>
      </c>
      <c r="H3547" s="191">
        <v>1493.94</v>
      </c>
      <c r="I3547" s="191">
        <v>390.3</v>
      </c>
      <c r="J3547" s="188" t="s">
        <v>624</v>
      </c>
      <c r="K3547" s="188" t="s">
        <v>652</v>
      </c>
      <c r="L3547" s="188" t="s">
        <v>5269</v>
      </c>
      <c r="M3547" s="192">
        <f t="shared" si="165"/>
        <v>13</v>
      </c>
      <c r="N3547" s="193">
        <f t="shared" si="166"/>
        <v>1.1483013066871637</v>
      </c>
      <c r="O3547" s="194">
        <f t="shared" si="167"/>
        <v>8.8330869745166435E-2</v>
      </c>
    </row>
    <row r="3548" spans="1:15" ht="12.75" customHeight="1">
      <c r="A3548" s="188" t="s">
        <v>620</v>
      </c>
      <c r="B3548" s="188" t="s">
        <v>4996</v>
      </c>
      <c r="C3548" s="188" t="s">
        <v>678</v>
      </c>
      <c r="D3548" s="188" t="s">
        <v>5270</v>
      </c>
      <c r="E3548" s="189">
        <v>39583</v>
      </c>
      <c r="F3548" s="190">
        <v>0</v>
      </c>
      <c r="G3548" s="190">
        <v>92.4</v>
      </c>
      <c r="H3548" s="191">
        <v>1328</v>
      </c>
      <c r="I3548" s="191">
        <v>346.5</v>
      </c>
      <c r="J3548" s="188" t="s">
        <v>624</v>
      </c>
      <c r="K3548" s="188" t="s">
        <v>652</v>
      </c>
      <c r="L3548" s="188" t="s">
        <v>1291</v>
      </c>
      <c r="M3548" s="192">
        <f t="shared" si="165"/>
        <v>13</v>
      </c>
      <c r="N3548" s="193">
        <f t="shared" si="166"/>
        <v>1.1497835497835498</v>
      </c>
      <c r="O3548" s="194">
        <f t="shared" si="167"/>
        <v>8.8444888444888445E-2</v>
      </c>
    </row>
    <row r="3549" spans="1:15" ht="12.75" customHeight="1">
      <c r="A3549" s="188" t="s">
        <v>620</v>
      </c>
      <c r="B3549" s="188" t="s">
        <v>4996</v>
      </c>
      <c r="C3549" s="188" t="s">
        <v>678</v>
      </c>
      <c r="D3549" s="188" t="s">
        <v>5271</v>
      </c>
      <c r="E3549" s="189">
        <v>39219</v>
      </c>
      <c r="F3549" s="190">
        <v>0</v>
      </c>
      <c r="G3549" s="190">
        <v>72</v>
      </c>
      <c r="H3549" s="191">
        <v>1035</v>
      </c>
      <c r="I3549" s="191">
        <v>270</v>
      </c>
      <c r="J3549" s="188" t="s">
        <v>624</v>
      </c>
      <c r="K3549" s="188" t="s">
        <v>652</v>
      </c>
      <c r="L3549" s="188" t="s">
        <v>740</v>
      </c>
      <c r="M3549" s="192">
        <f t="shared" si="165"/>
        <v>13</v>
      </c>
      <c r="N3549" s="193">
        <f t="shared" si="166"/>
        <v>1.1499999999999999</v>
      </c>
      <c r="O3549" s="194">
        <f t="shared" si="167"/>
        <v>8.8461538461538453E-2</v>
      </c>
    </row>
    <row r="3550" spans="1:15" ht="12.75" customHeight="1">
      <c r="A3550" s="188" t="s">
        <v>620</v>
      </c>
      <c r="B3550" s="188" t="s">
        <v>4996</v>
      </c>
      <c r="C3550" s="188" t="s">
        <v>678</v>
      </c>
      <c r="D3550" s="188" t="s">
        <v>5272</v>
      </c>
      <c r="E3550" s="189">
        <v>39407</v>
      </c>
      <c r="F3550" s="190">
        <v>0</v>
      </c>
      <c r="G3550" s="190">
        <v>157.6</v>
      </c>
      <c r="H3550" s="191">
        <v>2448</v>
      </c>
      <c r="I3550" s="191">
        <v>591</v>
      </c>
      <c r="J3550" s="188" t="s">
        <v>624</v>
      </c>
      <c r="K3550" s="188" t="s">
        <v>1052</v>
      </c>
      <c r="L3550" s="188" t="s">
        <v>4155</v>
      </c>
      <c r="M3550" s="192">
        <f t="shared" si="165"/>
        <v>14</v>
      </c>
      <c r="N3550" s="193">
        <f t="shared" si="166"/>
        <v>1.2426395939086294</v>
      </c>
      <c r="O3550" s="194">
        <f t="shared" si="167"/>
        <v>8.8759970993473533E-2</v>
      </c>
    </row>
    <row r="3551" spans="1:15" ht="12.75" customHeight="1">
      <c r="A3551" s="188" t="s">
        <v>620</v>
      </c>
      <c r="B3551" s="188" t="s">
        <v>4996</v>
      </c>
      <c r="C3551" s="188" t="s">
        <v>678</v>
      </c>
      <c r="D3551" s="188" t="s">
        <v>5273</v>
      </c>
      <c r="E3551" s="189">
        <v>39429</v>
      </c>
      <c r="F3551" s="190">
        <v>0</v>
      </c>
      <c r="G3551" s="190">
        <v>224.88</v>
      </c>
      <c r="H3551" s="191">
        <v>3747</v>
      </c>
      <c r="I3551" s="191">
        <v>843.3</v>
      </c>
      <c r="J3551" s="188" t="s">
        <v>624</v>
      </c>
      <c r="K3551" s="188" t="s">
        <v>571</v>
      </c>
      <c r="L3551" s="188" t="s">
        <v>5274</v>
      </c>
      <c r="M3551" s="192">
        <f t="shared" si="165"/>
        <v>15</v>
      </c>
      <c r="N3551" s="193">
        <f t="shared" si="166"/>
        <v>1.3329775880469583</v>
      </c>
      <c r="O3551" s="194">
        <f t="shared" si="167"/>
        <v>8.8865172536463893E-2</v>
      </c>
    </row>
    <row r="3552" spans="1:15" ht="12.75" customHeight="1">
      <c r="A3552" s="188" t="s">
        <v>620</v>
      </c>
      <c r="B3552" s="188" t="s">
        <v>4996</v>
      </c>
      <c r="C3552" s="188" t="s">
        <v>678</v>
      </c>
      <c r="D3552" s="188" t="s">
        <v>5275</v>
      </c>
      <c r="E3552" s="189">
        <v>39407</v>
      </c>
      <c r="F3552" s="190">
        <v>0</v>
      </c>
      <c r="G3552" s="190">
        <v>122.8</v>
      </c>
      <c r="H3552" s="191">
        <v>2050</v>
      </c>
      <c r="I3552" s="191">
        <v>460.5</v>
      </c>
      <c r="J3552" s="188" t="s">
        <v>624</v>
      </c>
      <c r="K3552" s="188" t="s">
        <v>571</v>
      </c>
      <c r="L3552" s="188" t="s">
        <v>2226</v>
      </c>
      <c r="M3552" s="192">
        <f t="shared" si="165"/>
        <v>15</v>
      </c>
      <c r="N3552" s="193">
        <f t="shared" si="166"/>
        <v>1.3355048859934853</v>
      </c>
      <c r="O3552" s="194">
        <f t="shared" si="167"/>
        <v>8.9033659066232354E-2</v>
      </c>
    </row>
    <row r="3553" spans="1:15" ht="12.75" customHeight="1">
      <c r="A3553" s="188" t="s">
        <v>620</v>
      </c>
      <c r="B3553" s="188" t="s">
        <v>4996</v>
      </c>
      <c r="C3553" s="188" t="s">
        <v>678</v>
      </c>
      <c r="D3553" s="188" t="s">
        <v>5276</v>
      </c>
      <c r="E3553" s="189">
        <v>39303</v>
      </c>
      <c r="F3553" s="190">
        <v>0</v>
      </c>
      <c r="G3553" s="190">
        <v>95.36</v>
      </c>
      <c r="H3553" s="191">
        <v>1382</v>
      </c>
      <c r="I3553" s="191">
        <v>357.6</v>
      </c>
      <c r="J3553" s="188" t="s">
        <v>624</v>
      </c>
      <c r="K3553" s="188" t="s">
        <v>652</v>
      </c>
      <c r="L3553" s="188" t="s">
        <v>3753</v>
      </c>
      <c r="M3553" s="192">
        <f t="shared" si="165"/>
        <v>13</v>
      </c>
      <c r="N3553" s="193">
        <f t="shared" si="166"/>
        <v>1.1593959731543624</v>
      </c>
      <c r="O3553" s="194">
        <f t="shared" si="167"/>
        <v>8.9184305627258639E-2</v>
      </c>
    </row>
    <row r="3554" spans="1:15" ht="12.75" customHeight="1">
      <c r="A3554" s="188" t="s">
        <v>620</v>
      </c>
      <c r="B3554" s="188" t="s">
        <v>4996</v>
      </c>
      <c r="C3554" s="188" t="s">
        <v>678</v>
      </c>
      <c r="D3554" s="188" t="s">
        <v>5277</v>
      </c>
      <c r="E3554" s="189">
        <v>39527</v>
      </c>
      <c r="F3554" s="190">
        <v>0</v>
      </c>
      <c r="G3554" s="190">
        <v>82.4</v>
      </c>
      <c r="H3554" s="191">
        <v>1195</v>
      </c>
      <c r="I3554" s="191">
        <v>309</v>
      </c>
      <c r="J3554" s="188" t="s">
        <v>624</v>
      </c>
      <c r="K3554" s="188" t="s">
        <v>652</v>
      </c>
      <c r="L3554" s="188" t="s">
        <v>298</v>
      </c>
      <c r="M3554" s="192">
        <f t="shared" si="165"/>
        <v>13</v>
      </c>
      <c r="N3554" s="193">
        <f t="shared" si="166"/>
        <v>1.1601941747572815</v>
      </c>
      <c r="O3554" s="194">
        <f t="shared" si="167"/>
        <v>8.9245705750560109E-2</v>
      </c>
    </row>
    <row r="3555" spans="1:15" ht="12.75" customHeight="1">
      <c r="A3555" s="188" t="s">
        <v>620</v>
      </c>
      <c r="B3555" s="188" t="s">
        <v>4996</v>
      </c>
      <c r="C3555" s="188" t="s">
        <v>678</v>
      </c>
      <c r="D3555" s="188" t="s">
        <v>5278</v>
      </c>
      <c r="E3555" s="189">
        <v>39331</v>
      </c>
      <c r="F3555" s="190">
        <v>0</v>
      </c>
      <c r="G3555" s="190">
        <v>119.2</v>
      </c>
      <c r="H3555" s="191">
        <v>1730.04</v>
      </c>
      <c r="I3555" s="191">
        <v>447</v>
      </c>
      <c r="J3555" s="188" t="s">
        <v>624</v>
      </c>
      <c r="K3555" s="188" t="s">
        <v>652</v>
      </c>
      <c r="L3555" s="188" t="s">
        <v>2546</v>
      </c>
      <c r="M3555" s="192">
        <f t="shared" si="165"/>
        <v>13</v>
      </c>
      <c r="N3555" s="193">
        <f t="shared" si="166"/>
        <v>1.1611006711409395</v>
      </c>
      <c r="O3555" s="194">
        <f t="shared" si="167"/>
        <v>8.9315436241610729E-2</v>
      </c>
    </row>
    <row r="3556" spans="1:15" ht="12.75" customHeight="1">
      <c r="A3556" s="188" t="s">
        <v>620</v>
      </c>
      <c r="B3556" s="188" t="s">
        <v>4996</v>
      </c>
      <c r="C3556" s="188" t="s">
        <v>678</v>
      </c>
      <c r="D3556" s="188" t="s">
        <v>5279</v>
      </c>
      <c r="E3556" s="189">
        <v>39447</v>
      </c>
      <c r="F3556" s="190">
        <v>0</v>
      </c>
      <c r="G3556" s="190">
        <v>103.28</v>
      </c>
      <c r="H3556" s="191">
        <v>1500</v>
      </c>
      <c r="I3556" s="191">
        <v>387.3</v>
      </c>
      <c r="J3556" s="188" t="s">
        <v>624</v>
      </c>
      <c r="K3556" s="188" t="s">
        <v>652</v>
      </c>
      <c r="L3556" s="188" t="s">
        <v>1862</v>
      </c>
      <c r="M3556" s="192">
        <f t="shared" si="165"/>
        <v>13</v>
      </c>
      <c r="N3556" s="193">
        <f t="shared" si="166"/>
        <v>1.1618900077459333</v>
      </c>
      <c r="O3556" s="194">
        <f t="shared" si="167"/>
        <v>8.9376154441994871E-2</v>
      </c>
    </row>
    <row r="3557" spans="1:15" ht="12.75" customHeight="1">
      <c r="A3557" s="188" t="s">
        <v>620</v>
      </c>
      <c r="B3557" s="188" t="s">
        <v>4996</v>
      </c>
      <c r="C3557" s="188" t="s">
        <v>678</v>
      </c>
      <c r="D3557" s="188" t="s">
        <v>5280</v>
      </c>
      <c r="E3557" s="189">
        <v>39471</v>
      </c>
      <c r="F3557" s="190">
        <v>0</v>
      </c>
      <c r="G3557" s="190">
        <v>92.16</v>
      </c>
      <c r="H3557" s="191">
        <v>1547</v>
      </c>
      <c r="I3557" s="191">
        <v>345.6</v>
      </c>
      <c r="J3557" s="188" t="s">
        <v>624</v>
      </c>
      <c r="K3557" s="188" t="s">
        <v>571</v>
      </c>
      <c r="L3557" s="188" t="s">
        <v>952</v>
      </c>
      <c r="M3557" s="192">
        <f t="shared" si="165"/>
        <v>15</v>
      </c>
      <c r="N3557" s="193">
        <f t="shared" si="166"/>
        <v>1.3428819444444444</v>
      </c>
      <c r="O3557" s="194">
        <f t="shared" si="167"/>
        <v>8.9525462962962959E-2</v>
      </c>
    </row>
    <row r="3558" spans="1:15" ht="12.75" customHeight="1">
      <c r="A3558" s="188" t="s">
        <v>620</v>
      </c>
      <c r="B3558" s="188" t="s">
        <v>4996</v>
      </c>
      <c r="C3558" s="188" t="s">
        <v>678</v>
      </c>
      <c r="D3558" s="188" t="s">
        <v>5281</v>
      </c>
      <c r="E3558" s="189">
        <v>39240</v>
      </c>
      <c r="F3558" s="190">
        <v>0</v>
      </c>
      <c r="G3558" s="190">
        <v>86.8</v>
      </c>
      <c r="H3558" s="191">
        <v>1265</v>
      </c>
      <c r="I3558" s="191">
        <v>325.5</v>
      </c>
      <c r="J3558" s="188" t="s">
        <v>624</v>
      </c>
      <c r="K3558" s="188" t="s">
        <v>652</v>
      </c>
      <c r="L3558" s="188" t="s">
        <v>3248</v>
      </c>
      <c r="M3558" s="192">
        <f t="shared" si="165"/>
        <v>13</v>
      </c>
      <c r="N3558" s="193">
        <f t="shared" si="166"/>
        <v>1.1658986175115207</v>
      </c>
      <c r="O3558" s="194">
        <f t="shared" si="167"/>
        <v>8.9684509039347743E-2</v>
      </c>
    </row>
    <row r="3559" spans="1:15" ht="12.75" customHeight="1">
      <c r="A3559" s="188" t="s">
        <v>620</v>
      </c>
      <c r="B3559" s="188" t="s">
        <v>4996</v>
      </c>
      <c r="C3559" s="188" t="s">
        <v>678</v>
      </c>
      <c r="D3559" s="188" t="s">
        <v>5282</v>
      </c>
      <c r="E3559" s="189">
        <v>39282</v>
      </c>
      <c r="F3559" s="190">
        <v>0</v>
      </c>
      <c r="G3559" s="190">
        <v>35.6</v>
      </c>
      <c r="H3559" s="191">
        <v>519</v>
      </c>
      <c r="I3559" s="191">
        <v>133.5</v>
      </c>
      <c r="J3559" s="188" t="s">
        <v>624</v>
      </c>
      <c r="K3559" s="188" t="s">
        <v>652</v>
      </c>
      <c r="L3559" s="188" t="s">
        <v>5283</v>
      </c>
      <c r="M3559" s="192">
        <f t="shared" si="165"/>
        <v>13</v>
      </c>
      <c r="N3559" s="193">
        <f t="shared" si="166"/>
        <v>1.1662921348314608</v>
      </c>
      <c r="O3559" s="194">
        <f t="shared" si="167"/>
        <v>8.9714779602420053E-2</v>
      </c>
    </row>
    <row r="3560" spans="1:15" ht="12.75" customHeight="1">
      <c r="A3560" s="188" t="s">
        <v>620</v>
      </c>
      <c r="B3560" s="188" t="s">
        <v>4996</v>
      </c>
      <c r="C3560" s="188" t="s">
        <v>678</v>
      </c>
      <c r="D3560" s="188" t="s">
        <v>5284</v>
      </c>
      <c r="E3560" s="189">
        <v>39447</v>
      </c>
      <c r="F3560" s="190">
        <v>0</v>
      </c>
      <c r="G3560" s="190">
        <v>136.80000000000001</v>
      </c>
      <c r="H3560" s="191">
        <v>1998</v>
      </c>
      <c r="I3560" s="191">
        <v>513</v>
      </c>
      <c r="J3560" s="188" t="s">
        <v>624</v>
      </c>
      <c r="K3560" s="188" t="s">
        <v>652</v>
      </c>
      <c r="L3560" s="188" t="s">
        <v>462</v>
      </c>
      <c r="M3560" s="192">
        <f t="shared" si="165"/>
        <v>13</v>
      </c>
      <c r="N3560" s="193">
        <f t="shared" si="166"/>
        <v>1.168421052631579</v>
      </c>
      <c r="O3560" s="194">
        <f t="shared" si="167"/>
        <v>8.9878542510121465E-2</v>
      </c>
    </row>
    <row r="3561" spans="1:15" ht="12.75" customHeight="1">
      <c r="A3561" s="188" t="s">
        <v>620</v>
      </c>
      <c r="B3561" s="188" t="s">
        <v>4996</v>
      </c>
      <c r="C3561" s="188" t="s">
        <v>678</v>
      </c>
      <c r="D3561" s="188" t="s">
        <v>5285</v>
      </c>
      <c r="E3561" s="189">
        <v>39534</v>
      </c>
      <c r="F3561" s="190">
        <v>0</v>
      </c>
      <c r="G3561" s="190">
        <v>74.88</v>
      </c>
      <c r="H3561" s="191">
        <v>1263</v>
      </c>
      <c r="I3561" s="191">
        <v>280.8</v>
      </c>
      <c r="J3561" s="188" t="s">
        <v>624</v>
      </c>
      <c r="K3561" s="188" t="s">
        <v>571</v>
      </c>
      <c r="L3561" s="188" t="s">
        <v>1618</v>
      </c>
      <c r="M3561" s="192">
        <f t="shared" si="165"/>
        <v>15</v>
      </c>
      <c r="N3561" s="193">
        <f t="shared" si="166"/>
        <v>1.3493589743589745</v>
      </c>
      <c r="O3561" s="194">
        <f t="shared" si="167"/>
        <v>8.9957264957264957E-2</v>
      </c>
    </row>
    <row r="3562" spans="1:15" ht="12.75" customHeight="1">
      <c r="A3562" s="188" t="s">
        <v>620</v>
      </c>
      <c r="B3562" s="188" t="s">
        <v>4996</v>
      </c>
      <c r="C3562" s="188" t="s">
        <v>678</v>
      </c>
      <c r="D3562" s="188" t="s">
        <v>5286</v>
      </c>
      <c r="E3562" s="189">
        <v>39447</v>
      </c>
      <c r="F3562" s="190">
        <v>0</v>
      </c>
      <c r="G3562" s="190">
        <v>91.52</v>
      </c>
      <c r="H3562" s="191">
        <v>1544</v>
      </c>
      <c r="I3562" s="191">
        <v>343.2</v>
      </c>
      <c r="J3562" s="188" t="s">
        <v>624</v>
      </c>
      <c r="K3562" s="188" t="s">
        <v>571</v>
      </c>
      <c r="L3562" s="188" t="s">
        <v>990</v>
      </c>
      <c r="M3562" s="192">
        <f t="shared" si="165"/>
        <v>15</v>
      </c>
      <c r="N3562" s="193">
        <f t="shared" si="166"/>
        <v>1.3496503496503496</v>
      </c>
      <c r="O3562" s="194">
        <f t="shared" si="167"/>
        <v>8.9976689976689977E-2</v>
      </c>
    </row>
    <row r="3563" spans="1:15" ht="12.75" customHeight="1">
      <c r="A3563" s="188" t="s">
        <v>620</v>
      </c>
      <c r="B3563" s="188" t="s">
        <v>4996</v>
      </c>
      <c r="C3563" s="188" t="s">
        <v>678</v>
      </c>
      <c r="D3563" s="188" t="s">
        <v>5287</v>
      </c>
      <c r="E3563" s="189">
        <v>39471</v>
      </c>
      <c r="F3563" s="190">
        <v>0</v>
      </c>
      <c r="G3563" s="190">
        <v>48.96</v>
      </c>
      <c r="H3563" s="191">
        <v>826</v>
      </c>
      <c r="I3563" s="191">
        <v>183.6</v>
      </c>
      <c r="J3563" s="188" t="s">
        <v>624</v>
      </c>
      <c r="K3563" s="188" t="s">
        <v>571</v>
      </c>
      <c r="L3563" s="188" t="s">
        <v>3085</v>
      </c>
      <c r="M3563" s="192">
        <f t="shared" si="165"/>
        <v>15</v>
      </c>
      <c r="N3563" s="193">
        <f t="shared" si="166"/>
        <v>1.3496732026143792</v>
      </c>
      <c r="O3563" s="194">
        <f t="shared" si="167"/>
        <v>8.9978213507625276E-2</v>
      </c>
    </row>
    <row r="3564" spans="1:15" ht="12.75" customHeight="1">
      <c r="A3564" s="188" t="s">
        <v>620</v>
      </c>
      <c r="B3564" s="188" t="s">
        <v>4996</v>
      </c>
      <c r="C3564" s="188" t="s">
        <v>678</v>
      </c>
      <c r="D3564" s="188" t="s">
        <v>5288</v>
      </c>
      <c r="E3564" s="189">
        <v>39436</v>
      </c>
      <c r="F3564" s="190">
        <v>0</v>
      </c>
      <c r="G3564" s="190">
        <v>120</v>
      </c>
      <c r="H3564" s="191">
        <v>1350</v>
      </c>
      <c r="I3564" s="191">
        <v>450</v>
      </c>
      <c r="J3564" s="188" t="s">
        <v>720</v>
      </c>
      <c r="K3564" s="188" t="s">
        <v>1052</v>
      </c>
      <c r="L3564" s="188" t="s">
        <v>746</v>
      </c>
      <c r="M3564" s="192">
        <f t="shared" si="165"/>
        <v>10</v>
      </c>
      <c r="N3564" s="193">
        <f t="shared" si="166"/>
        <v>0.9</v>
      </c>
      <c r="O3564" s="194">
        <f t="shared" si="167"/>
        <v>0.09</v>
      </c>
    </row>
    <row r="3565" spans="1:15" ht="12.75" customHeight="1">
      <c r="A3565" s="188" t="s">
        <v>620</v>
      </c>
      <c r="B3565" s="188" t="s">
        <v>4996</v>
      </c>
      <c r="C3565" s="188" t="s">
        <v>678</v>
      </c>
      <c r="D3565" s="188" t="s">
        <v>5289</v>
      </c>
      <c r="E3565" s="189">
        <v>39507</v>
      </c>
      <c r="F3565" s="190">
        <v>0</v>
      </c>
      <c r="G3565" s="190">
        <v>126</v>
      </c>
      <c r="H3565" s="191">
        <v>2126.4</v>
      </c>
      <c r="I3565" s="191">
        <v>472.5</v>
      </c>
      <c r="J3565" s="188" t="s">
        <v>624</v>
      </c>
      <c r="K3565" s="188" t="s">
        <v>571</v>
      </c>
      <c r="L3565" s="188" t="s">
        <v>1729</v>
      </c>
      <c r="M3565" s="192">
        <f t="shared" si="165"/>
        <v>15</v>
      </c>
      <c r="N3565" s="193">
        <f t="shared" si="166"/>
        <v>1.3500952380952382</v>
      </c>
      <c r="O3565" s="194">
        <f t="shared" si="167"/>
        <v>9.0006349206349215E-2</v>
      </c>
    </row>
    <row r="3566" spans="1:15" ht="12.75" customHeight="1">
      <c r="A3566" s="188" t="s">
        <v>620</v>
      </c>
      <c r="B3566" s="188" t="s">
        <v>4996</v>
      </c>
      <c r="C3566" s="188" t="s">
        <v>678</v>
      </c>
      <c r="D3566" s="188" t="s">
        <v>5290</v>
      </c>
      <c r="E3566" s="189">
        <v>39520</v>
      </c>
      <c r="F3566" s="190">
        <v>0</v>
      </c>
      <c r="G3566" s="190">
        <v>60</v>
      </c>
      <c r="H3566" s="191">
        <v>880</v>
      </c>
      <c r="I3566" s="191">
        <v>225</v>
      </c>
      <c r="J3566" s="188" t="s">
        <v>624</v>
      </c>
      <c r="K3566" s="188" t="s">
        <v>652</v>
      </c>
      <c r="L3566" s="188" t="s">
        <v>1058</v>
      </c>
      <c r="M3566" s="192">
        <f t="shared" si="165"/>
        <v>13</v>
      </c>
      <c r="N3566" s="193">
        <f t="shared" si="166"/>
        <v>1.1733333333333333</v>
      </c>
      <c r="O3566" s="194">
        <f t="shared" si="167"/>
        <v>9.0256410256410263E-2</v>
      </c>
    </row>
    <row r="3567" spans="1:15" ht="12.75" customHeight="1">
      <c r="A3567" s="188" t="s">
        <v>620</v>
      </c>
      <c r="B3567" s="188" t="s">
        <v>4996</v>
      </c>
      <c r="C3567" s="188" t="s">
        <v>678</v>
      </c>
      <c r="D3567" s="188" t="s">
        <v>5291</v>
      </c>
      <c r="E3567" s="189">
        <v>39345</v>
      </c>
      <c r="F3567" s="190">
        <v>0</v>
      </c>
      <c r="G3567" s="190">
        <v>143.36000000000001</v>
      </c>
      <c r="H3567" s="191">
        <v>2110.98</v>
      </c>
      <c r="I3567" s="191">
        <v>537.6</v>
      </c>
      <c r="J3567" s="188" t="s">
        <v>624</v>
      </c>
      <c r="K3567" s="188" t="s">
        <v>652</v>
      </c>
      <c r="L3567" s="188" t="s">
        <v>3394</v>
      </c>
      <c r="M3567" s="192">
        <f t="shared" si="165"/>
        <v>13</v>
      </c>
      <c r="N3567" s="193">
        <f t="shared" si="166"/>
        <v>1.1780022321428572</v>
      </c>
      <c r="O3567" s="194">
        <f t="shared" si="167"/>
        <v>9.0615556318681317E-2</v>
      </c>
    </row>
    <row r="3568" spans="1:15" ht="12.75" customHeight="1">
      <c r="A3568" s="188" t="s">
        <v>620</v>
      </c>
      <c r="B3568" s="188" t="s">
        <v>4996</v>
      </c>
      <c r="C3568" s="188" t="s">
        <v>678</v>
      </c>
      <c r="D3568" s="188" t="s">
        <v>5292</v>
      </c>
      <c r="E3568" s="189">
        <v>39303</v>
      </c>
      <c r="F3568" s="190">
        <v>0</v>
      </c>
      <c r="G3568" s="190">
        <v>100.8</v>
      </c>
      <c r="H3568" s="191">
        <v>1485.04</v>
      </c>
      <c r="I3568" s="191">
        <v>378</v>
      </c>
      <c r="J3568" s="188" t="s">
        <v>624</v>
      </c>
      <c r="K3568" s="188" t="s">
        <v>652</v>
      </c>
      <c r="L3568" s="188" t="s">
        <v>680</v>
      </c>
      <c r="M3568" s="192">
        <f t="shared" si="165"/>
        <v>13</v>
      </c>
      <c r="N3568" s="193">
        <f t="shared" si="166"/>
        <v>1.1786031746031747</v>
      </c>
      <c r="O3568" s="194">
        <f t="shared" si="167"/>
        <v>9.0661782661782667E-2</v>
      </c>
    </row>
    <row r="3569" spans="1:15" ht="12.75" customHeight="1">
      <c r="A3569" s="188" t="s">
        <v>620</v>
      </c>
      <c r="B3569" s="188" t="s">
        <v>4996</v>
      </c>
      <c r="C3569" s="188" t="s">
        <v>678</v>
      </c>
      <c r="D3569" s="188" t="s">
        <v>5293</v>
      </c>
      <c r="E3569" s="189">
        <v>39331</v>
      </c>
      <c r="F3569" s="190">
        <v>0</v>
      </c>
      <c r="G3569" s="190">
        <v>155.6</v>
      </c>
      <c r="H3569" s="191">
        <v>2292.96</v>
      </c>
      <c r="I3569" s="191">
        <v>583.5</v>
      </c>
      <c r="J3569" s="188" t="s">
        <v>624</v>
      </c>
      <c r="K3569" s="188" t="s">
        <v>652</v>
      </c>
      <c r="L3569" s="188" t="s">
        <v>5294</v>
      </c>
      <c r="M3569" s="192">
        <f t="shared" si="165"/>
        <v>13</v>
      </c>
      <c r="N3569" s="193">
        <f t="shared" si="166"/>
        <v>1.1788997429305912</v>
      </c>
      <c r="O3569" s="194">
        <f t="shared" si="167"/>
        <v>9.0684595610045479E-2</v>
      </c>
    </row>
    <row r="3570" spans="1:15" ht="12.75" customHeight="1">
      <c r="A3570" s="188" t="s">
        <v>620</v>
      </c>
      <c r="B3570" s="188" t="s">
        <v>4996</v>
      </c>
      <c r="C3570" s="188" t="s">
        <v>678</v>
      </c>
      <c r="D3570" s="188" t="s">
        <v>5295</v>
      </c>
      <c r="E3570" s="189">
        <v>39422</v>
      </c>
      <c r="F3570" s="190">
        <v>0</v>
      </c>
      <c r="G3570" s="190">
        <v>69.599999999999994</v>
      </c>
      <c r="H3570" s="191">
        <v>1186</v>
      </c>
      <c r="I3570" s="191">
        <v>261</v>
      </c>
      <c r="J3570" s="188" t="s">
        <v>624</v>
      </c>
      <c r="K3570" s="188" t="s">
        <v>571</v>
      </c>
      <c r="L3570" s="188" t="s">
        <v>1979</v>
      </c>
      <c r="M3570" s="192">
        <f t="shared" si="165"/>
        <v>15</v>
      </c>
      <c r="N3570" s="193">
        <f t="shared" si="166"/>
        <v>1.3632183908045976</v>
      </c>
      <c r="O3570" s="194">
        <f t="shared" si="167"/>
        <v>9.0881226053639838E-2</v>
      </c>
    </row>
    <row r="3571" spans="1:15" ht="12.75" customHeight="1">
      <c r="A3571" s="188" t="s">
        <v>620</v>
      </c>
      <c r="B3571" s="188" t="s">
        <v>4996</v>
      </c>
      <c r="C3571" s="188" t="s">
        <v>678</v>
      </c>
      <c r="D3571" s="188" t="s">
        <v>5296</v>
      </c>
      <c r="E3571" s="189">
        <v>39429</v>
      </c>
      <c r="F3571" s="190">
        <v>0</v>
      </c>
      <c r="G3571" s="190">
        <v>98</v>
      </c>
      <c r="H3571" s="191">
        <v>1506</v>
      </c>
      <c r="I3571" s="191">
        <v>367.5</v>
      </c>
      <c r="J3571" s="188" t="s">
        <v>624</v>
      </c>
      <c r="K3571" s="188" t="s">
        <v>639</v>
      </c>
      <c r="L3571" s="188" t="s">
        <v>4074</v>
      </c>
      <c r="M3571" s="192">
        <f t="shared" si="165"/>
        <v>11</v>
      </c>
      <c r="N3571" s="193">
        <f t="shared" si="166"/>
        <v>1</v>
      </c>
      <c r="O3571" s="194">
        <f t="shared" si="167"/>
        <v>9.0909090909090912E-2</v>
      </c>
    </row>
    <row r="3572" spans="1:15" ht="12.75" customHeight="1">
      <c r="A3572" s="188" t="s">
        <v>620</v>
      </c>
      <c r="B3572" s="188" t="s">
        <v>4996</v>
      </c>
      <c r="C3572" s="188" t="s">
        <v>678</v>
      </c>
      <c r="D3572" s="188" t="s">
        <v>5297</v>
      </c>
      <c r="E3572" s="189">
        <v>39447</v>
      </c>
      <c r="F3572" s="190">
        <v>0</v>
      </c>
      <c r="G3572" s="190">
        <v>92.48</v>
      </c>
      <c r="H3572" s="191">
        <v>1156</v>
      </c>
      <c r="I3572" s="191">
        <v>346.8</v>
      </c>
      <c r="J3572" s="188" t="s">
        <v>624</v>
      </c>
      <c r="K3572" s="188" t="s">
        <v>639</v>
      </c>
      <c r="L3572" s="188" t="s">
        <v>4845</v>
      </c>
      <c r="M3572" s="192">
        <f t="shared" si="165"/>
        <v>11</v>
      </c>
      <c r="N3572" s="193">
        <f t="shared" si="166"/>
        <v>1</v>
      </c>
      <c r="O3572" s="194">
        <f t="shared" si="167"/>
        <v>9.0909090909090912E-2</v>
      </c>
    </row>
    <row r="3573" spans="1:15" ht="12.75" customHeight="1">
      <c r="A3573" s="188" t="s">
        <v>620</v>
      </c>
      <c r="B3573" s="188" t="s">
        <v>4996</v>
      </c>
      <c r="C3573" s="188" t="s">
        <v>678</v>
      </c>
      <c r="D3573" s="188" t="s">
        <v>5298</v>
      </c>
      <c r="E3573" s="189">
        <v>39478</v>
      </c>
      <c r="F3573" s="190">
        <v>0</v>
      </c>
      <c r="G3573" s="190">
        <v>106.32</v>
      </c>
      <c r="H3573" s="191">
        <v>1329</v>
      </c>
      <c r="I3573" s="191">
        <v>398.7</v>
      </c>
      <c r="J3573" s="188" t="s">
        <v>624</v>
      </c>
      <c r="K3573" s="188" t="s">
        <v>639</v>
      </c>
      <c r="L3573" s="188" t="s">
        <v>5299</v>
      </c>
      <c r="M3573" s="192">
        <f t="shared" si="165"/>
        <v>11</v>
      </c>
      <c r="N3573" s="193">
        <f t="shared" si="166"/>
        <v>1</v>
      </c>
      <c r="O3573" s="194">
        <f t="shared" si="167"/>
        <v>9.0909090909090912E-2</v>
      </c>
    </row>
    <row r="3574" spans="1:15" ht="12.75" customHeight="1">
      <c r="A3574" s="188" t="s">
        <v>620</v>
      </c>
      <c r="B3574" s="188" t="s">
        <v>4996</v>
      </c>
      <c r="C3574" s="188" t="s">
        <v>678</v>
      </c>
      <c r="D3574" s="188" t="s">
        <v>5300</v>
      </c>
      <c r="E3574" s="189">
        <v>39261</v>
      </c>
      <c r="F3574" s="190">
        <v>0</v>
      </c>
      <c r="G3574" s="190">
        <v>111.36</v>
      </c>
      <c r="H3574" s="191">
        <v>1647.01</v>
      </c>
      <c r="I3574" s="191">
        <v>417.6</v>
      </c>
      <c r="J3574" s="188" t="s">
        <v>624</v>
      </c>
      <c r="K3574" s="188" t="s">
        <v>652</v>
      </c>
      <c r="L3574" s="188" t="s">
        <v>2728</v>
      </c>
      <c r="M3574" s="192">
        <f t="shared" si="165"/>
        <v>13</v>
      </c>
      <c r="N3574" s="193">
        <f t="shared" si="166"/>
        <v>1.1831968390804597</v>
      </c>
      <c r="O3574" s="194">
        <f t="shared" si="167"/>
        <v>9.101514146772767E-2</v>
      </c>
    </row>
    <row r="3575" spans="1:15" ht="12.75" customHeight="1">
      <c r="A3575" s="188" t="s">
        <v>620</v>
      </c>
      <c r="B3575" s="188" t="s">
        <v>4996</v>
      </c>
      <c r="C3575" s="188" t="s">
        <v>678</v>
      </c>
      <c r="D3575" s="188" t="s">
        <v>5301</v>
      </c>
      <c r="E3575" s="189">
        <v>39353</v>
      </c>
      <c r="F3575" s="190">
        <v>0</v>
      </c>
      <c r="G3575" s="190">
        <v>49.68</v>
      </c>
      <c r="H3575" s="191">
        <v>850.77</v>
      </c>
      <c r="I3575" s="191">
        <v>186.3</v>
      </c>
      <c r="J3575" s="188" t="s">
        <v>624</v>
      </c>
      <c r="K3575" s="188" t="s">
        <v>571</v>
      </c>
      <c r="L3575" s="188" t="s">
        <v>4113</v>
      </c>
      <c r="M3575" s="192">
        <f t="shared" si="165"/>
        <v>15</v>
      </c>
      <c r="N3575" s="193">
        <f t="shared" si="166"/>
        <v>1.3699999999999999</v>
      </c>
      <c r="O3575" s="194">
        <f t="shared" si="167"/>
        <v>9.1333333333333322E-2</v>
      </c>
    </row>
    <row r="3576" spans="1:15" ht="12.75" customHeight="1">
      <c r="A3576" s="188" t="s">
        <v>620</v>
      </c>
      <c r="B3576" s="188" t="s">
        <v>4996</v>
      </c>
      <c r="C3576" s="188" t="s">
        <v>678</v>
      </c>
      <c r="D3576" s="188" t="s">
        <v>5302</v>
      </c>
      <c r="E3576" s="189">
        <v>39395</v>
      </c>
      <c r="F3576" s="190">
        <v>0</v>
      </c>
      <c r="G3576" s="190">
        <v>81.52</v>
      </c>
      <c r="H3576" s="191">
        <v>1396.03</v>
      </c>
      <c r="I3576" s="191">
        <v>305.7</v>
      </c>
      <c r="J3576" s="188" t="s">
        <v>624</v>
      </c>
      <c r="K3576" s="188" t="s">
        <v>571</v>
      </c>
      <c r="L3576" s="188" t="s">
        <v>5303</v>
      </c>
      <c r="M3576" s="192">
        <f t="shared" si="165"/>
        <v>15</v>
      </c>
      <c r="N3576" s="193">
        <f t="shared" si="166"/>
        <v>1.3699999999999999</v>
      </c>
      <c r="O3576" s="194">
        <f t="shared" si="167"/>
        <v>9.1333333333333322E-2</v>
      </c>
    </row>
    <row r="3577" spans="1:15" ht="12.75" customHeight="1">
      <c r="A3577" s="188" t="s">
        <v>620</v>
      </c>
      <c r="B3577" s="188" t="s">
        <v>4996</v>
      </c>
      <c r="C3577" s="188" t="s">
        <v>678</v>
      </c>
      <c r="D3577" s="188" t="s">
        <v>5304</v>
      </c>
      <c r="E3577" s="189">
        <v>39436</v>
      </c>
      <c r="F3577" s="190">
        <v>0</v>
      </c>
      <c r="G3577" s="190">
        <v>134.47999999999999</v>
      </c>
      <c r="H3577" s="191">
        <v>2302.9699999999998</v>
      </c>
      <c r="I3577" s="191">
        <v>504.3</v>
      </c>
      <c r="J3577" s="188" t="s">
        <v>624</v>
      </c>
      <c r="K3577" s="188" t="s">
        <v>571</v>
      </c>
      <c r="L3577" s="188" t="s">
        <v>5305</v>
      </c>
      <c r="M3577" s="192">
        <f t="shared" si="165"/>
        <v>15</v>
      </c>
      <c r="N3577" s="193">
        <f t="shared" si="166"/>
        <v>1.3699999999999999</v>
      </c>
      <c r="O3577" s="194">
        <f t="shared" si="167"/>
        <v>9.1333333333333322E-2</v>
      </c>
    </row>
    <row r="3578" spans="1:15" ht="12.75" customHeight="1">
      <c r="A3578" s="188" t="s">
        <v>620</v>
      </c>
      <c r="B3578" s="188" t="s">
        <v>4996</v>
      </c>
      <c r="C3578" s="188" t="s">
        <v>678</v>
      </c>
      <c r="D3578" s="188" t="s">
        <v>5306</v>
      </c>
      <c r="E3578" s="189">
        <v>39422</v>
      </c>
      <c r="F3578" s="190">
        <v>0</v>
      </c>
      <c r="G3578" s="190">
        <v>81.84</v>
      </c>
      <c r="H3578" s="191">
        <v>1401.51</v>
      </c>
      <c r="I3578" s="191">
        <v>306.89999999999998</v>
      </c>
      <c r="J3578" s="188" t="s">
        <v>624</v>
      </c>
      <c r="K3578" s="188" t="s">
        <v>571</v>
      </c>
      <c r="L3578" s="188" t="s">
        <v>4860</v>
      </c>
      <c r="M3578" s="192">
        <f t="shared" si="165"/>
        <v>15</v>
      </c>
      <c r="N3578" s="193">
        <f t="shared" si="166"/>
        <v>1.3699999999999999</v>
      </c>
      <c r="O3578" s="194">
        <f t="shared" si="167"/>
        <v>9.1333333333333322E-2</v>
      </c>
    </row>
    <row r="3579" spans="1:15" ht="12.75" customHeight="1">
      <c r="A3579" s="188" t="s">
        <v>620</v>
      </c>
      <c r="B3579" s="188" t="s">
        <v>4996</v>
      </c>
      <c r="C3579" s="188" t="s">
        <v>678</v>
      </c>
      <c r="D3579" s="188" t="s">
        <v>5307</v>
      </c>
      <c r="E3579" s="189">
        <v>39447</v>
      </c>
      <c r="F3579" s="190">
        <v>0</v>
      </c>
      <c r="G3579" s="190">
        <v>102.56</v>
      </c>
      <c r="H3579" s="191">
        <v>1756.34</v>
      </c>
      <c r="I3579" s="191">
        <v>384.6</v>
      </c>
      <c r="J3579" s="188" t="s">
        <v>624</v>
      </c>
      <c r="K3579" s="188" t="s">
        <v>571</v>
      </c>
      <c r="L3579" s="188" t="s">
        <v>383</v>
      </c>
      <c r="M3579" s="192">
        <f t="shared" si="165"/>
        <v>15</v>
      </c>
      <c r="N3579" s="193">
        <f t="shared" si="166"/>
        <v>1.3699999999999999</v>
      </c>
      <c r="O3579" s="194">
        <f t="shared" si="167"/>
        <v>9.1333333333333322E-2</v>
      </c>
    </row>
    <row r="3580" spans="1:15" ht="12.75" customHeight="1">
      <c r="A3580" s="188" t="s">
        <v>620</v>
      </c>
      <c r="B3580" s="188" t="s">
        <v>4996</v>
      </c>
      <c r="C3580" s="188" t="s">
        <v>678</v>
      </c>
      <c r="D3580" s="188" t="s">
        <v>5308</v>
      </c>
      <c r="E3580" s="189">
        <v>39492</v>
      </c>
      <c r="F3580" s="190">
        <v>0</v>
      </c>
      <c r="G3580" s="190">
        <v>49.84</v>
      </c>
      <c r="H3580" s="191">
        <v>853.51</v>
      </c>
      <c r="I3580" s="191">
        <v>186.9</v>
      </c>
      <c r="J3580" s="188" t="s">
        <v>624</v>
      </c>
      <c r="K3580" s="188" t="s">
        <v>571</v>
      </c>
      <c r="L3580" s="188" t="s">
        <v>5309</v>
      </c>
      <c r="M3580" s="192">
        <f t="shared" si="165"/>
        <v>15</v>
      </c>
      <c r="N3580" s="193">
        <f t="shared" si="166"/>
        <v>1.3699999999999999</v>
      </c>
      <c r="O3580" s="194">
        <f t="shared" si="167"/>
        <v>9.1333333333333322E-2</v>
      </c>
    </row>
    <row r="3581" spans="1:15" ht="12.75" customHeight="1">
      <c r="A3581" s="188" t="s">
        <v>620</v>
      </c>
      <c r="B3581" s="188" t="s">
        <v>4996</v>
      </c>
      <c r="C3581" s="188" t="s">
        <v>678</v>
      </c>
      <c r="D3581" s="188" t="s">
        <v>5310</v>
      </c>
      <c r="E3581" s="189">
        <v>39507</v>
      </c>
      <c r="F3581" s="190">
        <v>0</v>
      </c>
      <c r="G3581" s="190">
        <v>99.36</v>
      </c>
      <c r="H3581" s="191">
        <v>1701.54</v>
      </c>
      <c r="I3581" s="191">
        <v>372.6</v>
      </c>
      <c r="J3581" s="188" t="s">
        <v>624</v>
      </c>
      <c r="K3581" s="188" t="s">
        <v>571</v>
      </c>
      <c r="L3581" s="188" t="s">
        <v>2144</v>
      </c>
      <c r="M3581" s="192">
        <f t="shared" si="165"/>
        <v>15</v>
      </c>
      <c r="N3581" s="193">
        <f t="shared" si="166"/>
        <v>1.3699999999999999</v>
      </c>
      <c r="O3581" s="194">
        <f t="shared" si="167"/>
        <v>9.1333333333333322E-2</v>
      </c>
    </row>
    <row r="3582" spans="1:15" ht="12.75" customHeight="1">
      <c r="A3582" s="188" t="s">
        <v>620</v>
      </c>
      <c r="B3582" s="188" t="s">
        <v>4996</v>
      </c>
      <c r="C3582" s="188" t="s">
        <v>678</v>
      </c>
      <c r="D3582" s="188" t="s">
        <v>5311</v>
      </c>
      <c r="E3582" s="189">
        <v>39507</v>
      </c>
      <c r="F3582" s="190">
        <v>0</v>
      </c>
      <c r="G3582" s="190">
        <v>79.2</v>
      </c>
      <c r="H3582" s="191">
        <v>1356.3</v>
      </c>
      <c r="I3582" s="191">
        <v>297</v>
      </c>
      <c r="J3582" s="188" t="s">
        <v>624</v>
      </c>
      <c r="K3582" s="188" t="s">
        <v>571</v>
      </c>
      <c r="L3582" s="188" t="s">
        <v>738</v>
      </c>
      <c r="M3582" s="192">
        <f t="shared" si="165"/>
        <v>15</v>
      </c>
      <c r="N3582" s="193">
        <f t="shared" si="166"/>
        <v>1.3699999999999999</v>
      </c>
      <c r="O3582" s="194">
        <f t="shared" si="167"/>
        <v>9.1333333333333322E-2</v>
      </c>
    </row>
    <row r="3583" spans="1:15" ht="12.75" customHeight="1">
      <c r="A3583" s="188" t="s">
        <v>620</v>
      </c>
      <c r="B3583" s="188" t="s">
        <v>4996</v>
      </c>
      <c r="C3583" s="188" t="s">
        <v>678</v>
      </c>
      <c r="D3583" s="188" t="s">
        <v>5312</v>
      </c>
      <c r="E3583" s="189">
        <v>39562</v>
      </c>
      <c r="F3583" s="190">
        <v>0</v>
      </c>
      <c r="G3583" s="190">
        <v>105.2</v>
      </c>
      <c r="H3583" s="191">
        <v>1801.55</v>
      </c>
      <c r="I3583" s="191">
        <v>394.5</v>
      </c>
      <c r="J3583" s="188" t="s">
        <v>624</v>
      </c>
      <c r="K3583" s="188" t="s">
        <v>571</v>
      </c>
      <c r="L3583" s="188" t="s">
        <v>4555</v>
      </c>
      <c r="M3583" s="192">
        <f t="shared" si="165"/>
        <v>15</v>
      </c>
      <c r="N3583" s="193">
        <f t="shared" si="166"/>
        <v>1.3699999999999999</v>
      </c>
      <c r="O3583" s="194">
        <f t="shared" si="167"/>
        <v>9.1333333333333322E-2</v>
      </c>
    </row>
    <row r="3584" spans="1:15" ht="12.75" customHeight="1">
      <c r="A3584" s="188" t="s">
        <v>620</v>
      </c>
      <c r="B3584" s="188" t="s">
        <v>4996</v>
      </c>
      <c r="C3584" s="188" t="s">
        <v>678</v>
      </c>
      <c r="D3584" s="188" t="s">
        <v>5313</v>
      </c>
      <c r="E3584" s="189">
        <v>39611</v>
      </c>
      <c r="F3584" s="190">
        <v>0</v>
      </c>
      <c r="G3584" s="190">
        <v>47.84</v>
      </c>
      <c r="H3584" s="191">
        <v>819.26</v>
      </c>
      <c r="I3584" s="191">
        <v>179.4</v>
      </c>
      <c r="J3584" s="188" t="s">
        <v>624</v>
      </c>
      <c r="K3584" s="188" t="s">
        <v>571</v>
      </c>
      <c r="L3584" s="188" t="s">
        <v>5314</v>
      </c>
      <c r="M3584" s="192">
        <f t="shared" si="165"/>
        <v>15</v>
      </c>
      <c r="N3584" s="193">
        <f t="shared" si="166"/>
        <v>1.3699999999999999</v>
      </c>
      <c r="O3584" s="194">
        <f t="shared" si="167"/>
        <v>9.1333333333333322E-2</v>
      </c>
    </row>
    <row r="3585" spans="1:15" ht="12.75" customHeight="1">
      <c r="A3585" s="188" t="s">
        <v>620</v>
      </c>
      <c r="B3585" s="188" t="s">
        <v>4996</v>
      </c>
      <c r="C3585" s="188" t="s">
        <v>678</v>
      </c>
      <c r="D3585" s="188" t="s">
        <v>5315</v>
      </c>
      <c r="E3585" s="189">
        <v>39618</v>
      </c>
      <c r="F3585" s="190">
        <v>0</v>
      </c>
      <c r="G3585" s="190">
        <v>74.56</v>
      </c>
      <c r="H3585" s="191">
        <v>1276.8399999999999</v>
      </c>
      <c r="I3585" s="191">
        <v>279.60000000000002</v>
      </c>
      <c r="J3585" s="188" t="s">
        <v>624</v>
      </c>
      <c r="K3585" s="188" t="s">
        <v>571</v>
      </c>
      <c r="L3585" s="188" t="s">
        <v>2674</v>
      </c>
      <c r="M3585" s="192">
        <f t="shared" si="165"/>
        <v>15</v>
      </c>
      <c r="N3585" s="193">
        <f t="shared" si="166"/>
        <v>1.3699999999999999</v>
      </c>
      <c r="O3585" s="194">
        <f t="shared" si="167"/>
        <v>9.1333333333333322E-2</v>
      </c>
    </row>
    <row r="3586" spans="1:15" ht="12.75" customHeight="1">
      <c r="A3586" s="188" t="s">
        <v>620</v>
      </c>
      <c r="B3586" s="188" t="s">
        <v>4996</v>
      </c>
      <c r="C3586" s="188" t="s">
        <v>678</v>
      </c>
      <c r="D3586" s="188" t="s">
        <v>5316</v>
      </c>
      <c r="E3586" s="189">
        <v>39611</v>
      </c>
      <c r="F3586" s="190">
        <v>0</v>
      </c>
      <c r="G3586" s="190">
        <v>14.96</v>
      </c>
      <c r="H3586" s="191">
        <v>256.19</v>
      </c>
      <c r="I3586" s="191">
        <v>56.1</v>
      </c>
      <c r="J3586" s="188" t="s">
        <v>624</v>
      </c>
      <c r="K3586" s="188" t="s">
        <v>571</v>
      </c>
      <c r="L3586" s="188" t="s">
        <v>1179</v>
      </c>
      <c r="M3586" s="192">
        <f t="shared" ref="M3586:M3649" si="168">K3586-J3586</f>
        <v>15</v>
      </c>
      <c r="N3586" s="193">
        <f t="shared" ref="N3586:N3649" si="169">H3586/L3586</f>
        <v>1.3699999999999999</v>
      </c>
      <c r="O3586" s="194">
        <f t="shared" ref="O3586:O3649" si="170">N3586/M3586</f>
        <v>9.1333333333333322E-2</v>
      </c>
    </row>
    <row r="3587" spans="1:15" ht="12.75" customHeight="1">
      <c r="A3587" s="188" t="s">
        <v>620</v>
      </c>
      <c r="B3587" s="188" t="s">
        <v>4996</v>
      </c>
      <c r="C3587" s="188" t="s">
        <v>678</v>
      </c>
      <c r="D3587" s="188" t="s">
        <v>5317</v>
      </c>
      <c r="E3587" s="189">
        <v>39611</v>
      </c>
      <c r="F3587" s="190">
        <v>0</v>
      </c>
      <c r="G3587" s="190">
        <v>85.36</v>
      </c>
      <c r="H3587" s="191">
        <v>1461.79</v>
      </c>
      <c r="I3587" s="191">
        <v>320.10000000000002</v>
      </c>
      <c r="J3587" s="188" t="s">
        <v>624</v>
      </c>
      <c r="K3587" s="188" t="s">
        <v>571</v>
      </c>
      <c r="L3587" s="188" t="s">
        <v>3050</v>
      </c>
      <c r="M3587" s="192">
        <f t="shared" si="168"/>
        <v>15</v>
      </c>
      <c r="N3587" s="193">
        <f t="shared" si="169"/>
        <v>1.3699999999999999</v>
      </c>
      <c r="O3587" s="194">
        <f t="shared" si="170"/>
        <v>9.1333333333333322E-2</v>
      </c>
    </row>
    <row r="3588" spans="1:15" ht="12.75" customHeight="1">
      <c r="A3588" s="188" t="s">
        <v>620</v>
      </c>
      <c r="B3588" s="188" t="s">
        <v>4996</v>
      </c>
      <c r="C3588" s="188" t="s">
        <v>678</v>
      </c>
      <c r="D3588" s="188" t="s">
        <v>5318</v>
      </c>
      <c r="E3588" s="189">
        <v>39212</v>
      </c>
      <c r="F3588" s="190">
        <v>0</v>
      </c>
      <c r="G3588" s="190">
        <v>46</v>
      </c>
      <c r="H3588" s="191">
        <v>787.75</v>
      </c>
      <c r="I3588" s="191">
        <v>172.5</v>
      </c>
      <c r="J3588" s="188" t="s">
        <v>624</v>
      </c>
      <c r="K3588" s="188" t="s">
        <v>571</v>
      </c>
      <c r="L3588" s="188" t="s">
        <v>2894</v>
      </c>
      <c r="M3588" s="192">
        <f t="shared" si="168"/>
        <v>15</v>
      </c>
      <c r="N3588" s="193">
        <f t="shared" si="169"/>
        <v>1.37</v>
      </c>
      <c r="O3588" s="194">
        <f t="shared" si="170"/>
        <v>9.1333333333333336E-2</v>
      </c>
    </row>
    <row r="3589" spans="1:15" ht="12.75" customHeight="1">
      <c r="A3589" s="188" t="s">
        <v>620</v>
      </c>
      <c r="B3589" s="188" t="s">
        <v>4996</v>
      </c>
      <c r="C3589" s="188" t="s">
        <v>678</v>
      </c>
      <c r="D3589" s="188" t="s">
        <v>5319</v>
      </c>
      <c r="E3589" s="189">
        <v>39296</v>
      </c>
      <c r="F3589" s="190">
        <v>0</v>
      </c>
      <c r="G3589" s="190">
        <v>133.52000000000001</v>
      </c>
      <c r="H3589" s="191">
        <v>2286.5300000000002</v>
      </c>
      <c r="I3589" s="191">
        <v>500.7</v>
      </c>
      <c r="J3589" s="188" t="s">
        <v>624</v>
      </c>
      <c r="K3589" s="188" t="s">
        <v>571</v>
      </c>
      <c r="L3589" s="188" t="s">
        <v>5320</v>
      </c>
      <c r="M3589" s="192">
        <f t="shared" si="168"/>
        <v>15</v>
      </c>
      <c r="N3589" s="193">
        <f t="shared" si="169"/>
        <v>1.37</v>
      </c>
      <c r="O3589" s="194">
        <f t="shared" si="170"/>
        <v>9.1333333333333336E-2</v>
      </c>
    </row>
    <row r="3590" spans="1:15" ht="12.75" customHeight="1">
      <c r="A3590" s="188" t="s">
        <v>620</v>
      </c>
      <c r="B3590" s="188" t="s">
        <v>4996</v>
      </c>
      <c r="C3590" s="188" t="s">
        <v>678</v>
      </c>
      <c r="D3590" s="188" t="s">
        <v>5321</v>
      </c>
      <c r="E3590" s="189">
        <v>39447</v>
      </c>
      <c r="F3590" s="190">
        <v>0</v>
      </c>
      <c r="G3590" s="190">
        <v>89.6</v>
      </c>
      <c r="H3590" s="191">
        <v>1534.4</v>
      </c>
      <c r="I3590" s="191">
        <v>336</v>
      </c>
      <c r="J3590" s="188" t="s">
        <v>624</v>
      </c>
      <c r="K3590" s="188" t="s">
        <v>571</v>
      </c>
      <c r="L3590" s="188" t="s">
        <v>825</v>
      </c>
      <c r="M3590" s="192">
        <f t="shared" si="168"/>
        <v>15</v>
      </c>
      <c r="N3590" s="193">
        <f t="shared" si="169"/>
        <v>1.37</v>
      </c>
      <c r="O3590" s="194">
        <f t="shared" si="170"/>
        <v>9.1333333333333336E-2</v>
      </c>
    </row>
    <row r="3591" spans="1:15" ht="12.75" customHeight="1">
      <c r="A3591" s="188" t="s">
        <v>620</v>
      </c>
      <c r="B3591" s="188" t="s">
        <v>4996</v>
      </c>
      <c r="C3591" s="188" t="s">
        <v>678</v>
      </c>
      <c r="D3591" s="188" t="s">
        <v>5322</v>
      </c>
      <c r="E3591" s="189">
        <v>39317</v>
      </c>
      <c r="F3591" s="190">
        <v>0</v>
      </c>
      <c r="G3591" s="190">
        <v>108.48</v>
      </c>
      <c r="H3591" s="191">
        <v>1857.72</v>
      </c>
      <c r="I3591" s="191">
        <v>406.8</v>
      </c>
      <c r="J3591" s="188" t="s">
        <v>624</v>
      </c>
      <c r="K3591" s="188" t="s">
        <v>571</v>
      </c>
      <c r="L3591" s="188" t="s">
        <v>4552</v>
      </c>
      <c r="M3591" s="192">
        <f t="shared" si="168"/>
        <v>15</v>
      </c>
      <c r="N3591" s="193">
        <f t="shared" si="169"/>
        <v>1.37</v>
      </c>
      <c r="O3591" s="194">
        <f t="shared" si="170"/>
        <v>9.1333333333333336E-2</v>
      </c>
    </row>
    <row r="3592" spans="1:15" ht="12.75" customHeight="1">
      <c r="A3592" s="188" t="s">
        <v>620</v>
      </c>
      <c r="B3592" s="188" t="s">
        <v>4996</v>
      </c>
      <c r="C3592" s="188" t="s">
        <v>678</v>
      </c>
      <c r="D3592" s="188" t="s">
        <v>5323</v>
      </c>
      <c r="E3592" s="189">
        <v>39407</v>
      </c>
      <c r="F3592" s="190">
        <v>0</v>
      </c>
      <c r="G3592" s="190">
        <v>105.28</v>
      </c>
      <c r="H3592" s="191">
        <v>1802.92</v>
      </c>
      <c r="I3592" s="191">
        <v>394.8</v>
      </c>
      <c r="J3592" s="188" t="s">
        <v>624</v>
      </c>
      <c r="K3592" s="188" t="s">
        <v>571</v>
      </c>
      <c r="L3592" s="188" t="s">
        <v>918</v>
      </c>
      <c r="M3592" s="192">
        <f t="shared" si="168"/>
        <v>15</v>
      </c>
      <c r="N3592" s="193">
        <f t="shared" si="169"/>
        <v>1.37</v>
      </c>
      <c r="O3592" s="194">
        <f t="shared" si="170"/>
        <v>9.1333333333333336E-2</v>
      </c>
    </row>
    <row r="3593" spans="1:15" ht="12.75" customHeight="1">
      <c r="A3593" s="188" t="s">
        <v>620</v>
      </c>
      <c r="B3593" s="188" t="s">
        <v>4996</v>
      </c>
      <c r="C3593" s="188" t="s">
        <v>678</v>
      </c>
      <c r="D3593" s="188" t="s">
        <v>5324</v>
      </c>
      <c r="E3593" s="189">
        <v>39407</v>
      </c>
      <c r="F3593" s="190">
        <v>0</v>
      </c>
      <c r="G3593" s="190">
        <v>86.8</v>
      </c>
      <c r="H3593" s="191">
        <v>1486.45</v>
      </c>
      <c r="I3593" s="191">
        <v>325.5</v>
      </c>
      <c r="J3593" s="188" t="s">
        <v>624</v>
      </c>
      <c r="K3593" s="188" t="s">
        <v>571</v>
      </c>
      <c r="L3593" s="188" t="s">
        <v>3248</v>
      </c>
      <c r="M3593" s="192">
        <f t="shared" si="168"/>
        <v>15</v>
      </c>
      <c r="N3593" s="193">
        <f t="shared" si="169"/>
        <v>1.37</v>
      </c>
      <c r="O3593" s="194">
        <f t="shared" si="170"/>
        <v>9.1333333333333336E-2</v>
      </c>
    </row>
    <row r="3594" spans="1:15" ht="12.75" customHeight="1">
      <c r="A3594" s="188" t="s">
        <v>620</v>
      </c>
      <c r="B3594" s="188" t="s">
        <v>4996</v>
      </c>
      <c r="C3594" s="188" t="s">
        <v>678</v>
      </c>
      <c r="D3594" s="188" t="s">
        <v>5325</v>
      </c>
      <c r="E3594" s="189">
        <v>39380</v>
      </c>
      <c r="F3594" s="190">
        <v>0</v>
      </c>
      <c r="G3594" s="190">
        <v>80</v>
      </c>
      <c r="H3594" s="191">
        <v>1370</v>
      </c>
      <c r="I3594" s="191">
        <v>300</v>
      </c>
      <c r="J3594" s="188" t="s">
        <v>624</v>
      </c>
      <c r="K3594" s="188" t="s">
        <v>571</v>
      </c>
      <c r="L3594" s="188" t="s">
        <v>636</v>
      </c>
      <c r="M3594" s="192">
        <f t="shared" si="168"/>
        <v>15</v>
      </c>
      <c r="N3594" s="193">
        <f t="shared" si="169"/>
        <v>1.37</v>
      </c>
      <c r="O3594" s="194">
        <f t="shared" si="170"/>
        <v>9.1333333333333336E-2</v>
      </c>
    </row>
    <row r="3595" spans="1:15" ht="12.75" customHeight="1">
      <c r="A3595" s="188" t="s">
        <v>620</v>
      </c>
      <c r="B3595" s="188" t="s">
        <v>4996</v>
      </c>
      <c r="C3595" s="188" t="s">
        <v>678</v>
      </c>
      <c r="D3595" s="188" t="s">
        <v>5326</v>
      </c>
      <c r="E3595" s="189">
        <v>39471</v>
      </c>
      <c r="F3595" s="190">
        <v>0</v>
      </c>
      <c r="G3595" s="190">
        <v>64.16</v>
      </c>
      <c r="H3595" s="191">
        <v>1098.74</v>
      </c>
      <c r="I3595" s="191">
        <v>240.6</v>
      </c>
      <c r="J3595" s="188" t="s">
        <v>624</v>
      </c>
      <c r="K3595" s="188" t="s">
        <v>571</v>
      </c>
      <c r="L3595" s="188" t="s">
        <v>5327</v>
      </c>
      <c r="M3595" s="192">
        <f t="shared" si="168"/>
        <v>15</v>
      </c>
      <c r="N3595" s="193">
        <f t="shared" si="169"/>
        <v>1.37</v>
      </c>
      <c r="O3595" s="194">
        <f t="shared" si="170"/>
        <v>9.1333333333333336E-2</v>
      </c>
    </row>
    <row r="3596" spans="1:15" ht="12.75" customHeight="1">
      <c r="A3596" s="188" t="s">
        <v>620</v>
      </c>
      <c r="B3596" s="188" t="s">
        <v>4996</v>
      </c>
      <c r="C3596" s="188" t="s">
        <v>678</v>
      </c>
      <c r="D3596" s="188" t="s">
        <v>5328</v>
      </c>
      <c r="E3596" s="189">
        <v>39485</v>
      </c>
      <c r="F3596" s="190">
        <v>0</v>
      </c>
      <c r="G3596" s="190">
        <v>93.76</v>
      </c>
      <c r="H3596" s="191">
        <v>1605.64</v>
      </c>
      <c r="I3596" s="191">
        <v>351.6</v>
      </c>
      <c r="J3596" s="188" t="s">
        <v>624</v>
      </c>
      <c r="K3596" s="188" t="s">
        <v>571</v>
      </c>
      <c r="L3596" s="188" t="s">
        <v>1738</v>
      </c>
      <c r="M3596" s="192">
        <f t="shared" si="168"/>
        <v>15</v>
      </c>
      <c r="N3596" s="193">
        <f t="shared" si="169"/>
        <v>1.37</v>
      </c>
      <c r="O3596" s="194">
        <f t="shared" si="170"/>
        <v>9.1333333333333336E-2</v>
      </c>
    </row>
    <row r="3597" spans="1:15" ht="12.75" customHeight="1">
      <c r="A3597" s="188" t="s">
        <v>620</v>
      </c>
      <c r="B3597" s="188" t="s">
        <v>4996</v>
      </c>
      <c r="C3597" s="188" t="s">
        <v>678</v>
      </c>
      <c r="D3597" s="188" t="s">
        <v>5329</v>
      </c>
      <c r="E3597" s="189">
        <v>39485</v>
      </c>
      <c r="F3597" s="190">
        <v>0</v>
      </c>
      <c r="G3597" s="190">
        <v>97.6</v>
      </c>
      <c r="H3597" s="191">
        <v>1671.4</v>
      </c>
      <c r="I3597" s="191">
        <v>366</v>
      </c>
      <c r="J3597" s="188" t="s">
        <v>624</v>
      </c>
      <c r="K3597" s="188" t="s">
        <v>571</v>
      </c>
      <c r="L3597" s="188" t="s">
        <v>689</v>
      </c>
      <c r="M3597" s="192">
        <f t="shared" si="168"/>
        <v>15</v>
      </c>
      <c r="N3597" s="193">
        <f t="shared" si="169"/>
        <v>1.37</v>
      </c>
      <c r="O3597" s="194">
        <f t="shared" si="170"/>
        <v>9.1333333333333336E-2</v>
      </c>
    </row>
    <row r="3598" spans="1:15" ht="12.75" customHeight="1">
      <c r="A3598" s="188" t="s">
        <v>620</v>
      </c>
      <c r="B3598" s="188" t="s">
        <v>4996</v>
      </c>
      <c r="C3598" s="188" t="s">
        <v>678</v>
      </c>
      <c r="D3598" s="188" t="s">
        <v>5330</v>
      </c>
      <c r="E3598" s="189">
        <v>39492</v>
      </c>
      <c r="F3598" s="190">
        <v>0</v>
      </c>
      <c r="G3598" s="190">
        <v>78.959999999999994</v>
      </c>
      <c r="H3598" s="191">
        <v>1352.19</v>
      </c>
      <c r="I3598" s="191">
        <v>296.10000000000002</v>
      </c>
      <c r="J3598" s="188" t="s">
        <v>624</v>
      </c>
      <c r="K3598" s="188" t="s">
        <v>571</v>
      </c>
      <c r="L3598" s="188" t="s">
        <v>5331</v>
      </c>
      <c r="M3598" s="192">
        <f t="shared" si="168"/>
        <v>15</v>
      </c>
      <c r="N3598" s="193">
        <f t="shared" si="169"/>
        <v>1.37</v>
      </c>
      <c r="O3598" s="194">
        <f t="shared" si="170"/>
        <v>9.1333333333333336E-2</v>
      </c>
    </row>
    <row r="3599" spans="1:15" ht="12.75" customHeight="1">
      <c r="A3599" s="188" t="s">
        <v>620</v>
      </c>
      <c r="B3599" s="188" t="s">
        <v>4996</v>
      </c>
      <c r="C3599" s="188" t="s">
        <v>678</v>
      </c>
      <c r="D3599" s="188" t="s">
        <v>5332</v>
      </c>
      <c r="E3599" s="189">
        <v>39562</v>
      </c>
      <c r="F3599" s="190">
        <v>0</v>
      </c>
      <c r="G3599" s="190">
        <v>168</v>
      </c>
      <c r="H3599" s="191">
        <v>2877</v>
      </c>
      <c r="I3599" s="191">
        <v>630</v>
      </c>
      <c r="J3599" s="188" t="s">
        <v>624</v>
      </c>
      <c r="K3599" s="188" t="s">
        <v>571</v>
      </c>
      <c r="L3599" s="188" t="s">
        <v>701</v>
      </c>
      <c r="M3599" s="192">
        <f t="shared" si="168"/>
        <v>15</v>
      </c>
      <c r="N3599" s="193">
        <f t="shared" si="169"/>
        <v>1.37</v>
      </c>
      <c r="O3599" s="194">
        <f t="shared" si="170"/>
        <v>9.1333333333333336E-2</v>
      </c>
    </row>
    <row r="3600" spans="1:15" ht="12.75" customHeight="1">
      <c r="A3600" s="188" t="s">
        <v>620</v>
      </c>
      <c r="B3600" s="188" t="s">
        <v>4996</v>
      </c>
      <c r="C3600" s="188" t="s">
        <v>678</v>
      </c>
      <c r="D3600" s="188" t="s">
        <v>5333</v>
      </c>
      <c r="E3600" s="189">
        <v>39555</v>
      </c>
      <c r="F3600" s="190">
        <v>0</v>
      </c>
      <c r="G3600" s="190">
        <v>114.48</v>
      </c>
      <c r="H3600" s="191">
        <v>1960.47</v>
      </c>
      <c r="I3600" s="191">
        <v>429.3</v>
      </c>
      <c r="J3600" s="188" t="s">
        <v>624</v>
      </c>
      <c r="K3600" s="188" t="s">
        <v>571</v>
      </c>
      <c r="L3600" s="188" t="s">
        <v>978</v>
      </c>
      <c r="M3600" s="192">
        <f t="shared" si="168"/>
        <v>15</v>
      </c>
      <c r="N3600" s="193">
        <f t="shared" si="169"/>
        <v>1.37</v>
      </c>
      <c r="O3600" s="194">
        <f t="shared" si="170"/>
        <v>9.1333333333333336E-2</v>
      </c>
    </row>
    <row r="3601" spans="1:15" ht="12.75" customHeight="1">
      <c r="A3601" s="188" t="s">
        <v>620</v>
      </c>
      <c r="B3601" s="188" t="s">
        <v>4996</v>
      </c>
      <c r="C3601" s="188" t="s">
        <v>678</v>
      </c>
      <c r="D3601" s="188" t="s">
        <v>5334</v>
      </c>
      <c r="E3601" s="189">
        <v>39576</v>
      </c>
      <c r="F3601" s="190">
        <v>0</v>
      </c>
      <c r="G3601" s="190">
        <v>72.64</v>
      </c>
      <c r="H3601" s="191">
        <v>1243.96</v>
      </c>
      <c r="I3601" s="191">
        <v>272.39999999999998</v>
      </c>
      <c r="J3601" s="188" t="s">
        <v>624</v>
      </c>
      <c r="K3601" s="188" t="s">
        <v>571</v>
      </c>
      <c r="L3601" s="188" t="s">
        <v>5335</v>
      </c>
      <c r="M3601" s="192">
        <f t="shared" si="168"/>
        <v>15</v>
      </c>
      <c r="N3601" s="193">
        <f t="shared" si="169"/>
        <v>1.37</v>
      </c>
      <c r="O3601" s="194">
        <f t="shared" si="170"/>
        <v>9.1333333333333336E-2</v>
      </c>
    </row>
    <row r="3602" spans="1:15" ht="12.75" customHeight="1">
      <c r="A3602" s="188" t="s">
        <v>620</v>
      </c>
      <c r="B3602" s="188" t="s">
        <v>4996</v>
      </c>
      <c r="C3602" s="188" t="s">
        <v>678</v>
      </c>
      <c r="D3602" s="188" t="s">
        <v>5336</v>
      </c>
      <c r="E3602" s="189">
        <v>39618</v>
      </c>
      <c r="F3602" s="190">
        <v>0</v>
      </c>
      <c r="G3602" s="190">
        <v>24</v>
      </c>
      <c r="H3602" s="191">
        <v>411</v>
      </c>
      <c r="I3602" s="191">
        <v>90</v>
      </c>
      <c r="J3602" s="188" t="s">
        <v>624</v>
      </c>
      <c r="K3602" s="188" t="s">
        <v>571</v>
      </c>
      <c r="L3602" s="188" t="s">
        <v>1315</v>
      </c>
      <c r="M3602" s="192">
        <f t="shared" si="168"/>
        <v>15</v>
      </c>
      <c r="N3602" s="193">
        <f t="shared" si="169"/>
        <v>1.37</v>
      </c>
      <c r="O3602" s="194">
        <f t="shared" si="170"/>
        <v>9.1333333333333336E-2</v>
      </c>
    </row>
    <row r="3603" spans="1:15" ht="12.75" customHeight="1">
      <c r="A3603" s="188" t="s">
        <v>620</v>
      </c>
      <c r="B3603" s="188" t="s">
        <v>4996</v>
      </c>
      <c r="C3603" s="188" t="s">
        <v>678</v>
      </c>
      <c r="D3603" s="188" t="s">
        <v>5337</v>
      </c>
      <c r="E3603" s="189">
        <v>39415</v>
      </c>
      <c r="F3603" s="190">
        <v>0</v>
      </c>
      <c r="G3603" s="190">
        <v>80.64</v>
      </c>
      <c r="H3603" s="191">
        <v>1380.98</v>
      </c>
      <c r="I3603" s="191">
        <v>302.39999999999998</v>
      </c>
      <c r="J3603" s="188" t="s">
        <v>624</v>
      </c>
      <c r="K3603" s="188" t="s">
        <v>571</v>
      </c>
      <c r="L3603" s="188" t="s">
        <v>736</v>
      </c>
      <c r="M3603" s="192">
        <f t="shared" si="168"/>
        <v>15</v>
      </c>
      <c r="N3603" s="193">
        <f t="shared" si="169"/>
        <v>1.3700198412698412</v>
      </c>
      <c r="O3603" s="194">
        <f t="shared" si="170"/>
        <v>9.1334656084656088E-2</v>
      </c>
    </row>
    <row r="3604" spans="1:15" ht="12.75" customHeight="1">
      <c r="A3604" s="188" t="s">
        <v>620</v>
      </c>
      <c r="B3604" s="188" t="s">
        <v>4996</v>
      </c>
      <c r="C3604" s="188" t="s">
        <v>678</v>
      </c>
      <c r="D3604" s="188" t="s">
        <v>5338</v>
      </c>
      <c r="E3604" s="189">
        <v>39548</v>
      </c>
      <c r="F3604" s="190">
        <v>0</v>
      </c>
      <c r="G3604" s="190">
        <v>87.2</v>
      </c>
      <c r="H3604" s="191">
        <v>1295</v>
      </c>
      <c r="I3604" s="191">
        <v>327</v>
      </c>
      <c r="J3604" s="188" t="s">
        <v>624</v>
      </c>
      <c r="K3604" s="188" t="s">
        <v>652</v>
      </c>
      <c r="L3604" s="188" t="s">
        <v>2826</v>
      </c>
      <c r="M3604" s="192">
        <f t="shared" si="168"/>
        <v>13</v>
      </c>
      <c r="N3604" s="193">
        <f t="shared" si="169"/>
        <v>1.1880733944954129</v>
      </c>
      <c r="O3604" s="194">
        <f t="shared" si="170"/>
        <v>9.1390261115031762E-2</v>
      </c>
    </row>
    <row r="3605" spans="1:15" ht="12.75" customHeight="1">
      <c r="A3605" s="188" t="s">
        <v>620</v>
      </c>
      <c r="B3605" s="188" t="s">
        <v>4996</v>
      </c>
      <c r="C3605" s="188" t="s">
        <v>678</v>
      </c>
      <c r="D3605" s="188" t="s">
        <v>5339</v>
      </c>
      <c r="E3605" s="189">
        <v>39625</v>
      </c>
      <c r="F3605" s="190">
        <v>0</v>
      </c>
      <c r="G3605" s="190">
        <v>66.400000000000006</v>
      </c>
      <c r="H3605" s="191">
        <v>987</v>
      </c>
      <c r="I3605" s="191">
        <v>249</v>
      </c>
      <c r="J3605" s="188" t="s">
        <v>624</v>
      </c>
      <c r="K3605" s="188" t="s">
        <v>652</v>
      </c>
      <c r="L3605" s="188" t="s">
        <v>1157</v>
      </c>
      <c r="M3605" s="192">
        <f t="shared" si="168"/>
        <v>13</v>
      </c>
      <c r="N3605" s="193">
        <f t="shared" si="169"/>
        <v>1.1891566265060241</v>
      </c>
      <c r="O3605" s="194">
        <f t="shared" si="170"/>
        <v>9.1473586654309547E-2</v>
      </c>
    </row>
    <row r="3606" spans="1:15" ht="12.75" customHeight="1">
      <c r="A3606" s="188" t="s">
        <v>620</v>
      </c>
      <c r="B3606" s="188" t="s">
        <v>4996</v>
      </c>
      <c r="C3606" s="188" t="s">
        <v>678</v>
      </c>
      <c r="D3606" s="188" t="s">
        <v>5340</v>
      </c>
      <c r="E3606" s="189">
        <v>39352</v>
      </c>
      <c r="F3606" s="190">
        <v>0</v>
      </c>
      <c r="G3606" s="190">
        <v>73.040000000000006</v>
      </c>
      <c r="H3606" s="191">
        <v>1086.01</v>
      </c>
      <c r="I3606" s="191">
        <v>273.89999999999998</v>
      </c>
      <c r="J3606" s="188" t="s">
        <v>624</v>
      </c>
      <c r="K3606" s="188" t="s">
        <v>652</v>
      </c>
      <c r="L3606" s="188" t="s">
        <v>4902</v>
      </c>
      <c r="M3606" s="192">
        <f t="shared" si="168"/>
        <v>13</v>
      </c>
      <c r="N3606" s="193">
        <f t="shared" si="169"/>
        <v>1.1894961664841184</v>
      </c>
      <c r="O3606" s="194">
        <f t="shared" si="170"/>
        <v>9.1499705114162957E-2</v>
      </c>
    </row>
    <row r="3607" spans="1:15" ht="12.75" customHeight="1">
      <c r="A3607" s="188" t="s">
        <v>620</v>
      </c>
      <c r="B3607" s="188" t="s">
        <v>4996</v>
      </c>
      <c r="C3607" s="188" t="s">
        <v>678</v>
      </c>
      <c r="D3607" s="188" t="s">
        <v>5341</v>
      </c>
      <c r="E3607" s="189">
        <v>39478</v>
      </c>
      <c r="F3607" s="190">
        <v>0</v>
      </c>
      <c r="G3607" s="190">
        <v>84</v>
      </c>
      <c r="H3607" s="191">
        <v>1250</v>
      </c>
      <c r="I3607" s="191">
        <v>315</v>
      </c>
      <c r="J3607" s="188" t="s">
        <v>624</v>
      </c>
      <c r="K3607" s="188" t="s">
        <v>652</v>
      </c>
      <c r="L3607" s="188" t="s">
        <v>1139</v>
      </c>
      <c r="M3607" s="192">
        <f t="shared" si="168"/>
        <v>13</v>
      </c>
      <c r="N3607" s="193">
        <f t="shared" si="169"/>
        <v>1.1904761904761905</v>
      </c>
      <c r="O3607" s="194">
        <f t="shared" si="170"/>
        <v>9.1575091575091569E-2</v>
      </c>
    </row>
    <row r="3608" spans="1:15" ht="12.75" customHeight="1">
      <c r="A3608" s="188" t="s">
        <v>620</v>
      </c>
      <c r="B3608" s="188" t="s">
        <v>4996</v>
      </c>
      <c r="C3608" s="188" t="s">
        <v>678</v>
      </c>
      <c r="D3608" s="188" t="s">
        <v>5342</v>
      </c>
      <c r="E3608" s="189">
        <v>39568</v>
      </c>
      <c r="F3608" s="190">
        <v>0</v>
      </c>
      <c r="G3608" s="190">
        <v>102</v>
      </c>
      <c r="H3608" s="191">
        <v>1751.79</v>
      </c>
      <c r="I3608" s="191">
        <v>382.5</v>
      </c>
      <c r="J3608" s="188" t="s">
        <v>624</v>
      </c>
      <c r="K3608" s="188" t="s">
        <v>571</v>
      </c>
      <c r="L3608" s="188" t="s">
        <v>847</v>
      </c>
      <c r="M3608" s="192">
        <f t="shared" si="168"/>
        <v>15</v>
      </c>
      <c r="N3608" s="193">
        <f t="shared" si="169"/>
        <v>1.3739529411764706</v>
      </c>
      <c r="O3608" s="194">
        <f t="shared" si="170"/>
        <v>9.159686274509804E-2</v>
      </c>
    </row>
    <row r="3609" spans="1:15" ht="12.75" customHeight="1">
      <c r="A3609" s="188" t="s">
        <v>620</v>
      </c>
      <c r="B3609" s="188" t="s">
        <v>4996</v>
      </c>
      <c r="C3609" s="188" t="s">
        <v>678</v>
      </c>
      <c r="D3609" s="188" t="s">
        <v>5343</v>
      </c>
      <c r="E3609" s="189">
        <v>39240</v>
      </c>
      <c r="F3609" s="190">
        <v>0</v>
      </c>
      <c r="G3609" s="190">
        <v>32</v>
      </c>
      <c r="H3609" s="191">
        <v>550</v>
      </c>
      <c r="I3609" s="191">
        <v>120</v>
      </c>
      <c r="J3609" s="188" t="s">
        <v>624</v>
      </c>
      <c r="K3609" s="188" t="s">
        <v>571</v>
      </c>
      <c r="L3609" s="188" t="s">
        <v>910</v>
      </c>
      <c r="M3609" s="192">
        <f t="shared" si="168"/>
        <v>15</v>
      </c>
      <c r="N3609" s="193">
        <f t="shared" si="169"/>
        <v>1.375</v>
      </c>
      <c r="O3609" s="194">
        <f t="shared" si="170"/>
        <v>9.166666666666666E-2</v>
      </c>
    </row>
    <row r="3610" spans="1:15" ht="12.75" customHeight="1">
      <c r="A3610" s="188" t="s">
        <v>620</v>
      </c>
      <c r="B3610" s="188" t="s">
        <v>4996</v>
      </c>
      <c r="C3610" s="188" t="s">
        <v>678</v>
      </c>
      <c r="D3610" s="188" t="s">
        <v>5344</v>
      </c>
      <c r="E3610" s="189">
        <v>39562</v>
      </c>
      <c r="F3610" s="190">
        <v>0</v>
      </c>
      <c r="G3610" s="190">
        <v>128</v>
      </c>
      <c r="H3610" s="191">
        <v>2200</v>
      </c>
      <c r="I3610" s="191">
        <v>480</v>
      </c>
      <c r="J3610" s="188" t="s">
        <v>624</v>
      </c>
      <c r="K3610" s="188" t="s">
        <v>571</v>
      </c>
      <c r="L3610" s="188" t="s">
        <v>625</v>
      </c>
      <c r="M3610" s="192">
        <f t="shared" si="168"/>
        <v>15</v>
      </c>
      <c r="N3610" s="193">
        <f t="shared" si="169"/>
        <v>1.375</v>
      </c>
      <c r="O3610" s="194">
        <f t="shared" si="170"/>
        <v>9.166666666666666E-2</v>
      </c>
    </row>
    <row r="3611" spans="1:15" ht="12.75" customHeight="1">
      <c r="A3611" s="188" t="s">
        <v>620</v>
      </c>
      <c r="B3611" s="188" t="s">
        <v>4996</v>
      </c>
      <c r="C3611" s="188" t="s">
        <v>678</v>
      </c>
      <c r="D3611" s="188" t="s">
        <v>5345</v>
      </c>
      <c r="E3611" s="189">
        <v>39541</v>
      </c>
      <c r="F3611" s="190">
        <v>0</v>
      </c>
      <c r="G3611" s="190">
        <v>104.32</v>
      </c>
      <c r="H3611" s="191">
        <v>1793.2</v>
      </c>
      <c r="I3611" s="191">
        <v>391.2</v>
      </c>
      <c r="J3611" s="188" t="s">
        <v>624</v>
      </c>
      <c r="K3611" s="188" t="s">
        <v>571</v>
      </c>
      <c r="L3611" s="188" t="s">
        <v>2241</v>
      </c>
      <c r="M3611" s="192">
        <f t="shared" si="168"/>
        <v>15</v>
      </c>
      <c r="N3611" s="193">
        <f t="shared" si="169"/>
        <v>1.3751533742331288</v>
      </c>
      <c r="O3611" s="194">
        <f t="shared" si="170"/>
        <v>9.1676891615541919E-2</v>
      </c>
    </row>
    <row r="3612" spans="1:15" ht="12.75" customHeight="1">
      <c r="A3612" s="188" t="s">
        <v>620</v>
      </c>
      <c r="B3612" s="188" t="s">
        <v>4996</v>
      </c>
      <c r="C3612" s="188" t="s">
        <v>678</v>
      </c>
      <c r="D3612" s="188" t="s">
        <v>5346</v>
      </c>
      <c r="E3612" s="189">
        <v>39407</v>
      </c>
      <c r="F3612" s="190">
        <v>0</v>
      </c>
      <c r="G3612" s="190">
        <v>81.92</v>
      </c>
      <c r="H3612" s="191">
        <v>1409.6</v>
      </c>
      <c r="I3612" s="191">
        <v>307.2</v>
      </c>
      <c r="J3612" s="188" t="s">
        <v>624</v>
      </c>
      <c r="K3612" s="188" t="s">
        <v>571</v>
      </c>
      <c r="L3612" s="188" t="s">
        <v>507</v>
      </c>
      <c r="M3612" s="192">
        <f t="shared" si="168"/>
        <v>15</v>
      </c>
      <c r="N3612" s="193">
        <f t="shared" si="169"/>
        <v>1.3765624999999999</v>
      </c>
      <c r="O3612" s="194">
        <f t="shared" si="170"/>
        <v>9.1770833333333329E-2</v>
      </c>
    </row>
    <row r="3613" spans="1:15" ht="12.75" customHeight="1">
      <c r="A3613" s="188" t="s">
        <v>620</v>
      </c>
      <c r="B3613" s="188" t="s">
        <v>4996</v>
      </c>
      <c r="C3613" s="188" t="s">
        <v>678</v>
      </c>
      <c r="D3613" s="188" t="s">
        <v>5347</v>
      </c>
      <c r="E3613" s="189">
        <v>39269</v>
      </c>
      <c r="F3613" s="190">
        <v>0</v>
      </c>
      <c r="G3613" s="190">
        <v>48</v>
      </c>
      <c r="H3613" s="191">
        <v>718.98</v>
      </c>
      <c r="I3613" s="191">
        <v>180</v>
      </c>
      <c r="J3613" s="188" t="s">
        <v>624</v>
      </c>
      <c r="K3613" s="188" t="s">
        <v>652</v>
      </c>
      <c r="L3613" s="188" t="s">
        <v>677</v>
      </c>
      <c r="M3613" s="192">
        <f t="shared" si="168"/>
        <v>13</v>
      </c>
      <c r="N3613" s="193">
        <f t="shared" si="169"/>
        <v>1.1982999999999999</v>
      </c>
      <c r="O3613" s="194">
        <f t="shared" si="170"/>
        <v>9.2176923076923073E-2</v>
      </c>
    </row>
    <row r="3614" spans="1:15" ht="12.75" customHeight="1">
      <c r="A3614" s="188" t="s">
        <v>620</v>
      </c>
      <c r="B3614" s="188" t="s">
        <v>4996</v>
      </c>
      <c r="C3614" s="188" t="s">
        <v>678</v>
      </c>
      <c r="D3614" s="188" t="s">
        <v>5348</v>
      </c>
      <c r="E3614" s="189">
        <v>39555</v>
      </c>
      <c r="F3614" s="190">
        <v>0</v>
      </c>
      <c r="G3614" s="190">
        <v>70.239999999999995</v>
      </c>
      <c r="H3614" s="191">
        <v>1053</v>
      </c>
      <c r="I3614" s="191">
        <v>263.39999999999998</v>
      </c>
      <c r="J3614" s="188" t="s">
        <v>624</v>
      </c>
      <c r="K3614" s="188" t="s">
        <v>652</v>
      </c>
      <c r="L3614" s="188" t="s">
        <v>1013</v>
      </c>
      <c r="M3614" s="192">
        <f t="shared" si="168"/>
        <v>13</v>
      </c>
      <c r="N3614" s="193">
        <f t="shared" si="169"/>
        <v>1.1993166287015946</v>
      </c>
      <c r="O3614" s="194">
        <f t="shared" si="170"/>
        <v>9.2255125284738046E-2</v>
      </c>
    </row>
    <row r="3615" spans="1:15" ht="12.75" customHeight="1">
      <c r="A3615" s="188" t="s">
        <v>620</v>
      </c>
      <c r="B3615" s="188" t="s">
        <v>4996</v>
      </c>
      <c r="C3615" s="188" t="s">
        <v>678</v>
      </c>
      <c r="D3615" s="188" t="s">
        <v>5349</v>
      </c>
      <c r="E3615" s="189">
        <v>39317</v>
      </c>
      <c r="F3615" s="190">
        <v>0</v>
      </c>
      <c r="G3615" s="190">
        <v>151.44</v>
      </c>
      <c r="H3615" s="191">
        <v>2619.91</v>
      </c>
      <c r="I3615" s="191">
        <v>567.9</v>
      </c>
      <c r="J3615" s="188" t="s">
        <v>624</v>
      </c>
      <c r="K3615" s="188" t="s">
        <v>571</v>
      </c>
      <c r="L3615" s="188" t="s">
        <v>5350</v>
      </c>
      <c r="M3615" s="192">
        <f t="shared" si="168"/>
        <v>15</v>
      </c>
      <c r="N3615" s="193">
        <f t="shared" si="169"/>
        <v>1.3839989434759641</v>
      </c>
      <c r="O3615" s="194">
        <f t="shared" si="170"/>
        <v>9.2266596231730932E-2</v>
      </c>
    </row>
    <row r="3616" spans="1:15" ht="12.75" customHeight="1">
      <c r="A3616" s="188" t="s">
        <v>620</v>
      </c>
      <c r="B3616" s="188" t="s">
        <v>4996</v>
      </c>
      <c r="C3616" s="188" t="s">
        <v>678</v>
      </c>
      <c r="D3616" s="188" t="s">
        <v>5351</v>
      </c>
      <c r="E3616" s="189">
        <v>39407</v>
      </c>
      <c r="F3616" s="190">
        <v>0</v>
      </c>
      <c r="G3616" s="190">
        <v>80</v>
      </c>
      <c r="H3616" s="191">
        <v>1200</v>
      </c>
      <c r="I3616" s="191">
        <v>300</v>
      </c>
      <c r="J3616" s="188" t="s">
        <v>624</v>
      </c>
      <c r="K3616" s="188" t="s">
        <v>652</v>
      </c>
      <c r="L3616" s="188" t="s">
        <v>636</v>
      </c>
      <c r="M3616" s="192">
        <f t="shared" si="168"/>
        <v>13</v>
      </c>
      <c r="N3616" s="193">
        <f t="shared" si="169"/>
        <v>1.2</v>
      </c>
      <c r="O3616" s="194">
        <f t="shared" si="170"/>
        <v>9.2307692307692299E-2</v>
      </c>
    </row>
    <row r="3617" spans="1:15" ht="12.75" customHeight="1">
      <c r="A3617" s="188" t="s">
        <v>620</v>
      </c>
      <c r="B3617" s="188" t="s">
        <v>4996</v>
      </c>
      <c r="C3617" s="188" t="s">
        <v>678</v>
      </c>
      <c r="D3617" s="188" t="s">
        <v>5352</v>
      </c>
      <c r="E3617" s="189">
        <v>39436</v>
      </c>
      <c r="F3617" s="190">
        <v>0</v>
      </c>
      <c r="G3617" s="190">
        <v>16</v>
      </c>
      <c r="H3617" s="191">
        <v>240</v>
      </c>
      <c r="I3617" s="191">
        <v>60</v>
      </c>
      <c r="J3617" s="188" t="s">
        <v>624</v>
      </c>
      <c r="K3617" s="188" t="s">
        <v>652</v>
      </c>
      <c r="L3617" s="188" t="s">
        <v>1322</v>
      </c>
      <c r="M3617" s="192">
        <f t="shared" si="168"/>
        <v>13</v>
      </c>
      <c r="N3617" s="193">
        <f t="shared" si="169"/>
        <v>1.2</v>
      </c>
      <c r="O3617" s="194">
        <f t="shared" si="170"/>
        <v>9.2307692307692299E-2</v>
      </c>
    </row>
    <row r="3618" spans="1:15" ht="12.75" customHeight="1">
      <c r="A3618" s="188" t="s">
        <v>620</v>
      </c>
      <c r="B3618" s="188" t="s">
        <v>4996</v>
      </c>
      <c r="C3618" s="188" t="s">
        <v>678</v>
      </c>
      <c r="D3618" s="188" t="s">
        <v>5353</v>
      </c>
      <c r="E3618" s="189">
        <v>39562</v>
      </c>
      <c r="F3618" s="190">
        <v>0</v>
      </c>
      <c r="G3618" s="190">
        <v>65.599999999999994</v>
      </c>
      <c r="H3618" s="191">
        <v>984</v>
      </c>
      <c r="I3618" s="191">
        <v>246</v>
      </c>
      <c r="J3618" s="188" t="s">
        <v>624</v>
      </c>
      <c r="K3618" s="188" t="s">
        <v>652</v>
      </c>
      <c r="L3618" s="188" t="s">
        <v>1003</v>
      </c>
      <c r="M3618" s="192">
        <f t="shared" si="168"/>
        <v>13</v>
      </c>
      <c r="N3618" s="193">
        <f t="shared" si="169"/>
        <v>1.2</v>
      </c>
      <c r="O3618" s="194">
        <f t="shared" si="170"/>
        <v>9.2307692307692299E-2</v>
      </c>
    </row>
    <row r="3619" spans="1:15" ht="12.75" customHeight="1">
      <c r="A3619" s="188" t="s">
        <v>620</v>
      </c>
      <c r="B3619" s="188" t="s">
        <v>4996</v>
      </c>
      <c r="C3619" s="188" t="s">
        <v>678</v>
      </c>
      <c r="D3619" s="188" t="s">
        <v>5354</v>
      </c>
      <c r="E3619" s="189">
        <v>39541</v>
      </c>
      <c r="F3619" s="190">
        <v>0</v>
      </c>
      <c r="G3619" s="190">
        <v>94.16</v>
      </c>
      <c r="H3619" s="191">
        <v>1197</v>
      </c>
      <c r="I3619" s="191">
        <v>353.1</v>
      </c>
      <c r="J3619" s="188" t="s">
        <v>624</v>
      </c>
      <c r="K3619" s="188" t="s">
        <v>639</v>
      </c>
      <c r="L3619" s="188" t="s">
        <v>3074</v>
      </c>
      <c r="M3619" s="192">
        <f t="shared" si="168"/>
        <v>11</v>
      </c>
      <c r="N3619" s="193">
        <f t="shared" si="169"/>
        <v>1.0169923534409515</v>
      </c>
      <c r="O3619" s="194">
        <f t="shared" si="170"/>
        <v>9.2453850312813779E-2</v>
      </c>
    </row>
    <row r="3620" spans="1:15" ht="12.75" customHeight="1">
      <c r="A3620" s="188" t="s">
        <v>620</v>
      </c>
      <c r="B3620" s="188" t="s">
        <v>4996</v>
      </c>
      <c r="C3620" s="188" t="s">
        <v>678</v>
      </c>
      <c r="D3620" s="188" t="s">
        <v>5355</v>
      </c>
      <c r="E3620" s="189">
        <v>39447</v>
      </c>
      <c r="F3620" s="190">
        <v>0</v>
      </c>
      <c r="G3620" s="190">
        <v>95.76</v>
      </c>
      <c r="H3620" s="191">
        <v>1660.61</v>
      </c>
      <c r="I3620" s="191">
        <v>359.1</v>
      </c>
      <c r="J3620" s="188" t="s">
        <v>624</v>
      </c>
      <c r="K3620" s="188" t="s">
        <v>571</v>
      </c>
      <c r="L3620" s="188" t="s">
        <v>5356</v>
      </c>
      <c r="M3620" s="192">
        <f t="shared" si="168"/>
        <v>15</v>
      </c>
      <c r="N3620" s="193">
        <f t="shared" si="169"/>
        <v>1.3873099415204677</v>
      </c>
      <c r="O3620" s="194">
        <f t="shared" si="170"/>
        <v>9.2487329434697854E-2</v>
      </c>
    </row>
    <row r="3621" spans="1:15" ht="12.75" customHeight="1">
      <c r="A3621" s="188" t="s">
        <v>620</v>
      </c>
      <c r="B3621" s="188" t="s">
        <v>4996</v>
      </c>
      <c r="C3621" s="188" t="s">
        <v>678</v>
      </c>
      <c r="D3621" s="188" t="s">
        <v>5357</v>
      </c>
      <c r="E3621" s="189">
        <v>39212</v>
      </c>
      <c r="F3621" s="190">
        <v>0</v>
      </c>
      <c r="G3621" s="190">
        <v>56.32</v>
      </c>
      <c r="H3621" s="191">
        <v>978.56</v>
      </c>
      <c r="I3621" s="191">
        <v>211.2</v>
      </c>
      <c r="J3621" s="188" t="s">
        <v>624</v>
      </c>
      <c r="K3621" s="188" t="s">
        <v>571</v>
      </c>
      <c r="L3621" s="188" t="s">
        <v>3244</v>
      </c>
      <c r="M3621" s="192">
        <f t="shared" si="168"/>
        <v>15</v>
      </c>
      <c r="N3621" s="193">
        <f t="shared" si="169"/>
        <v>1.39</v>
      </c>
      <c r="O3621" s="194">
        <f t="shared" si="170"/>
        <v>9.2666666666666661E-2</v>
      </c>
    </row>
    <row r="3622" spans="1:15" ht="12.75" customHeight="1">
      <c r="A3622" s="188" t="s">
        <v>620</v>
      </c>
      <c r="B3622" s="188" t="s">
        <v>4996</v>
      </c>
      <c r="C3622" s="188" t="s">
        <v>678</v>
      </c>
      <c r="D3622" s="188" t="s">
        <v>5358</v>
      </c>
      <c r="E3622" s="189">
        <v>39303</v>
      </c>
      <c r="F3622" s="190">
        <v>0</v>
      </c>
      <c r="G3622" s="190">
        <v>116.64</v>
      </c>
      <c r="H3622" s="191">
        <v>2026.62</v>
      </c>
      <c r="I3622" s="191">
        <v>437.4</v>
      </c>
      <c r="J3622" s="188" t="s">
        <v>624</v>
      </c>
      <c r="K3622" s="188" t="s">
        <v>571</v>
      </c>
      <c r="L3622" s="188" t="s">
        <v>5359</v>
      </c>
      <c r="M3622" s="192">
        <f t="shared" si="168"/>
        <v>15</v>
      </c>
      <c r="N3622" s="193">
        <f t="shared" si="169"/>
        <v>1.39</v>
      </c>
      <c r="O3622" s="194">
        <f t="shared" si="170"/>
        <v>9.2666666666666661E-2</v>
      </c>
    </row>
    <row r="3623" spans="1:15" ht="12.75" customHeight="1">
      <c r="A3623" s="188" t="s">
        <v>620</v>
      </c>
      <c r="B3623" s="188" t="s">
        <v>4996</v>
      </c>
      <c r="C3623" s="188" t="s">
        <v>678</v>
      </c>
      <c r="D3623" s="188" t="s">
        <v>5360</v>
      </c>
      <c r="E3623" s="189">
        <v>39576</v>
      </c>
      <c r="F3623" s="190">
        <v>0</v>
      </c>
      <c r="G3623" s="190">
        <v>73.44</v>
      </c>
      <c r="H3623" s="191">
        <v>1276.02</v>
      </c>
      <c r="I3623" s="191">
        <v>275.39999999999998</v>
      </c>
      <c r="J3623" s="188" t="s">
        <v>624</v>
      </c>
      <c r="K3623" s="188" t="s">
        <v>571</v>
      </c>
      <c r="L3623" s="188" t="s">
        <v>4529</v>
      </c>
      <c r="M3623" s="192">
        <f t="shared" si="168"/>
        <v>15</v>
      </c>
      <c r="N3623" s="193">
        <f t="shared" si="169"/>
        <v>1.39</v>
      </c>
      <c r="O3623" s="194">
        <f t="shared" si="170"/>
        <v>9.2666666666666661E-2</v>
      </c>
    </row>
    <row r="3624" spans="1:15" ht="12.75" customHeight="1">
      <c r="A3624" s="188" t="s">
        <v>620</v>
      </c>
      <c r="B3624" s="188" t="s">
        <v>4996</v>
      </c>
      <c r="C3624" s="188" t="s">
        <v>678</v>
      </c>
      <c r="D3624" s="188" t="s">
        <v>5361</v>
      </c>
      <c r="E3624" s="189">
        <v>39632</v>
      </c>
      <c r="F3624" s="190">
        <v>0</v>
      </c>
      <c r="G3624" s="190">
        <v>93.2</v>
      </c>
      <c r="H3624" s="191">
        <v>1619.35</v>
      </c>
      <c r="I3624" s="191">
        <v>349.5</v>
      </c>
      <c r="J3624" s="188" t="s">
        <v>624</v>
      </c>
      <c r="K3624" s="188" t="s">
        <v>571</v>
      </c>
      <c r="L3624" s="188" t="s">
        <v>2011</v>
      </c>
      <c r="M3624" s="192">
        <f t="shared" si="168"/>
        <v>15</v>
      </c>
      <c r="N3624" s="193">
        <f t="shared" si="169"/>
        <v>1.39</v>
      </c>
      <c r="O3624" s="194">
        <f t="shared" si="170"/>
        <v>9.2666666666666661E-2</v>
      </c>
    </row>
    <row r="3625" spans="1:15" ht="12.75" customHeight="1">
      <c r="A3625" s="188" t="s">
        <v>620</v>
      </c>
      <c r="B3625" s="188" t="s">
        <v>4996</v>
      </c>
      <c r="C3625" s="188" t="s">
        <v>678</v>
      </c>
      <c r="D3625" s="188" t="s">
        <v>5362</v>
      </c>
      <c r="E3625" s="189">
        <v>39289</v>
      </c>
      <c r="F3625" s="190">
        <v>0</v>
      </c>
      <c r="G3625" s="190">
        <v>65.12</v>
      </c>
      <c r="H3625" s="191">
        <v>1131.46</v>
      </c>
      <c r="I3625" s="191">
        <v>244.2</v>
      </c>
      <c r="J3625" s="188" t="s">
        <v>624</v>
      </c>
      <c r="K3625" s="188" t="s">
        <v>571</v>
      </c>
      <c r="L3625" s="188" t="s">
        <v>5363</v>
      </c>
      <c r="M3625" s="192">
        <f t="shared" si="168"/>
        <v>15</v>
      </c>
      <c r="N3625" s="193">
        <f t="shared" si="169"/>
        <v>1.3900000000000001</v>
      </c>
      <c r="O3625" s="194">
        <f t="shared" si="170"/>
        <v>9.2666666666666675E-2</v>
      </c>
    </row>
    <row r="3626" spans="1:15" ht="12.75" customHeight="1">
      <c r="A3626" s="188" t="s">
        <v>620</v>
      </c>
      <c r="B3626" s="188" t="s">
        <v>4996</v>
      </c>
      <c r="C3626" s="188" t="s">
        <v>678</v>
      </c>
      <c r="D3626" s="188" t="s">
        <v>5364</v>
      </c>
      <c r="E3626" s="189">
        <v>39632</v>
      </c>
      <c r="F3626" s="190">
        <v>0</v>
      </c>
      <c r="G3626" s="190">
        <v>95.68</v>
      </c>
      <c r="H3626" s="191">
        <v>1662.44</v>
      </c>
      <c r="I3626" s="191">
        <v>358.8</v>
      </c>
      <c r="J3626" s="188" t="s">
        <v>624</v>
      </c>
      <c r="K3626" s="188" t="s">
        <v>571</v>
      </c>
      <c r="L3626" s="188" t="s">
        <v>812</v>
      </c>
      <c r="M3626" s="192">
        <f t="shared" si="168"/>
        <v>15</v>
      </c>
      <c r="N3626" s="193">
        <f t="shared" si="169"/>
        <v>1.3900000000000001</v>
      </c>
      <c r="O3626" s="194">
        <f t="shared" si="170"/>
        <v>9.2666666666666675E-2</v>
      </c>
    </row>
    <row r="3627" spans="1:15" ht="12.75" customHeight="1">
      <c r="A3627" s="188" t="s">
        <v>620</v>
      </c>
      <c r="B3627" s="188" t="s">
        <v>4996</v>
      </c>
      <c r="C3627" s="188" t="s">
        <v>678</v>
      </c>
      <c r="D3627" s="188" t="s">
        <v>5365</v>
      </c>
      <c r="E3627" s="189">
        <v>39401</v>
      </c>
      <c r="F3627" s="190">
        <v>0</v>
      </c>
      <c r="G3627" s="190">
        <v>78.88</v>
      </c>
      <c r="H3627" s="191">
        <v>1188</v>
      </c>
      <c r="I3627" s="191">
        <v>295.8</v>
      </c>
      <c r="J3627" s="188" t="s">
        <v>624</v>
      </c>
      <c r="K3627" s="188" t="s">
        <v>652</v>
      </c>
      <c r="L3627" s="188" t="s">
        <v>3930</v>
      </c>
      <c r="M3627" s="192">
        <f t="shared" si="168"/>
        <v>13</v>
      </c>
      <c r="N3627" s="193">
        <f t="shared" si="169"/>
        <v>1.2048681541582149</v>
      </c>
      <c r="O3627" s="194">
        <f t="shared" si="170"/>
        <v>9.268216570447807E-2</v>
      </c>
    </row>
    <row r="3628" spans="1:15" ht="12.75" customHeight="1">
      <c r="A3628" s="188" t="s">
        <v>620</v>
      </c>
      <c r="B3628" s="188" t="s">
        <v>4996</v>
      </c>
      <c r="C3628" s="188" t="s">
        <v>678</v>
      </c>
      <c r="D3628" s="188" t="s">
        <v>5366</v>
      </c>
      <c r="E3628" s="189">
        <v>39436</v>
      </c>
      <c r="F3628" s="190">
        <v>0</v>
      </c>
      <c r="G3628" s="190">
        <v>72.239999999999995</v>
      </c>
      <c r="H3628" s="191">
        <v>1088</v>
      </c>
      <c r="I3628" s="191">
        <v>270.89999999999998</v>
      </c>
      <c r="J3628" s="188" t="s">
        <v>624</v>
      </c>
      <c r="K3628" s="188" t="s">
        <v>652</v>
      </c>
      <c r="L3628" s="188" t="s">
        <v>2572</v>
      </c>
      <c r="M3628" s="192">
        <f t="shared" si="168"/>
        <v>13</v>
      </c>
      <c r="N3628" s="193">
        <f t="shared" si="169"/>
        <v>1.2048726467331119</v>
      </c>
      <c r="O3628" s="194">
        <f t="shared" si="170"/>
        <v>9.2682511287162456E-2</v>
      </c>
    </row>
    <row r="3629" spans="1:15" ht="12.75" customHeight="1">
      <c r="A3629" s="188" t="s">
        <v>620</v>
      </c>
      <c r="B3629" s="188" t="s">
        <v>4996</v>
      </c>
      <c r="C3629" s="188" t="s">
        <v>678</v>
      </c>
      <c r="D3629" s="188" t="s">
        <v>5367</v>
      </c>
      <c r="E3629" s="189">
        <v>39471</v>
      </c>
      <c r="F3629" s="190">
        <v>0</v>
      </c>
      <c r="G3629" s="190">
        <v>74.16</v>
      </c>
      <c r="H3629" s="191">
        <v>947</v>
      </c>
      <c r="I3629" s="191">
        <v>278.10000000000002</v>
      </c>
      <c r="J3629" s="188" t="s">
        <v>624</v>
      </c>
      <c r="K3629" s="188" t="s">
        <v>639</v>
      </c>
      <c r="L3629" s="188" t="s">
        <v>5368</v>
      </c>
      <c r="M3629" s="192">
        <f t="shared" si="168"/>
        <v>11</v>
      </c>
      <c r="N3629" s="193">
        <f t="shared" si="169"/>
        <v>1.0215749730312838</v>
      </c>
      <c r="O3629" s="194">
        <f t="shared" si="170"/>
        <v>9.2870452093753067E-2</v>
      </c>
    </row>
    <row r="3630" spans="1:15" ht="12.75" customHeight="1">
      <c r="A3630" s="188" t="s">
        <v>620</v>
      </c>
      <c r="B3630" s="188" t="s">
        <v>4996</v>
      </c>
      <c r="C3630" s="188" t="s">
        <v>678</v>
      </c>
      <c r="D3630" s="188" t="s">
        <v>5369</v>
      </c>
      <c r="E3630" s="189">
        <v>39485</v>
      </c>
      <c r="F3630" s="190">
        <v>0</v>
      </c>
      <c r="G3630" s="190">
        <v>104.16</v>
      </c>
      <c r="H3630" s="191">
        <v>1575</v>
      </c>
      <c r="I3630" s="191">
        <v>390.6</v>
      </c>
      <c r="J3630" s="188" t="s">
        <v>624</v>
      </c>
      <c r="K3630" s="188" t="s">
        <v>652</v>
      </c>
      <c r="L3630" s="188" t="s">
        <v>5370</v>
      </c>
      <c r="M3630" s="192">
        <f t="shared" si="168"/>
        <v>13</v>
      </c>
      <c r="N3630" s="193">
        <f t="shared" si="169"/>
        <v>1.2096774193548387</v>
      </c>
      <c r="O3630" s="194">
        <f t="shared" si="170"/>
        <v>9.3052109181141443E-2</v>
      </c>
    </row>
    <row r="3631" spans="1:15" ht="12.75" customHeight="1">
      <c r="A3631" s="188" t="s">
        <v>620</v>
      </c>
      <c r="B3631" s="188" t="s">
        <v>4996</v>
      </c>
      <c r="C3631" s="188" t="s">
        <v>678</v>
      </c>
      <c r="D3631" s="188" t="s">
        <v>5371</v>
      </c>
      <c r="E3631" s="189">
        <v>39429</v>
      </c>
      <c r="F3631" s="190">
        <v>0</v>
      </c>
      <c r="G3631" s="190">
        <v>46.56</v>
      </c>
      <c r="H3631" s="191">
        <v>596</v>
      </c>
      <c r="I3631" s="191">
        <v>174.6</v>
      </c>
      <c r="J3631" s="188" t="s">
        <v>624</v>
      </c>
      <c r="K3631" s="188" t="s">
        <v>639</v>
      </c>
      <c r="L3631" s="188" t="s">
        <v>5372</v>
      </c>
      <c r="M3631" s="192">
        <f t="shared" si="168"/>
        <v>11</v>
      </c>
      <c r="N3631" s="193">
        <f t="shared" si="169"/>
        <v>1.0240549828178693</v>
      </c>
      <c r="O3631" s="194">
        <f t="shared" si="170"/>
        <v>9.3095907528897209E-2</v>
      </c>
    </row>
    <row r="3632" spans="1:15" ht="12.75" customHeight="1">
      <c r="A3632" s="188" t="s">
        <v>620</v>
      </c>
      <c r="B3632" s="188" t="s">
        <v>4996</v>
      </c>
      <c r="C3632" s="188" t="s">
        <v>678</v>
      </c>
      <c r="D3632" s="188" t="s">
        <v>5373</v>
      </c>
      <c r="E3632" s="189">
        <v>39499</v>
      </c>
      <c r="F3632" s="190">
        <v>0</v>
      </c>
      <c r="G3632" s="190">
        <v>71.36</v>
      </c>
      <c r="H3632" s="191">
        <v>1248.8</v>
      </c>
      <c r="I3632" s="191">
        <v>267.60000000000002</v>
      </c>
      <c r="J3632" s="188" t="s">
        <v>624</v>
      </c>
      <c r="K3632" s="188" t="s">
        <v>571</v>
      </c>
      <c r="L3632" s="188" t="s">
        <v>5374</v>
      </c>
      <c r="M3632" s="192">
        <f t="shared" si="168"/>
        <v>15</v>
      </c>
      <c r="N3632" s="193">
        <f t="shared" si="169"/>
        <v>1.4</v>
      </c>
      <c r="O3632" s="194">
        <f t="shared" si="170"/>
        <v>9.3333333333333324E-2</v>
      </c>
    </row>
    <row r="3633" spans="1:15" ht="12.75" customHeight="1">
      <c r="A3633" s="188" t="s">
        <v>620</v>
      </c>
      <c r="B3633" s="188" t="s">
        <v>4996</v>
      </c>
      <c r="C3633" s="188" t="s">
        <v>678</v>
      </c>
      <c r="D3633" s="188" t="s">
        <v>5375</v>
      </c>
      <c r="E3633" s="189">
        <v>39471</v>
      </c>
      <c r="F3633" s="190">
        <v>0</v>
      </c>
      <c r="G3633" s="190">
        <v>68.72</v>
      </c>
      <c r="H3633" s="191">
        <v>884</v>
      </c>
      <c r="I3633" s="191">
        <v>257.7</v>
      </c>
      <c r="J3633" s="188" t="s">
        <v>624</v>
      </c>
      <c r="K3633" s="188" t="s">
        <v>639</v>
      </c>
      <c r="L3633" s="188" t="s">
        <v>5211</v>
      </c>
      <c r="M3633" s="192">
        <f t="shared" si="168"/>
        <v>11</v>
      </c>
      <c r="N3633" s="193">
        <f t="shared" si="169"/>
        <v>1.0291036088474972</v>
      </c>
      <c r="O3633" s="194">
        <f t="shared" si="170"/>
        <v>9.3554873531590657E-2</v>
      </c>
    </row>
    <row r="3634" spans="1:15" ht="12.75" customHeight="1">
      <c r="A3634" s="188" t="s">
        <v>620</v>
      </c>
      <c r="B3634" s="188" t="s">
        <v>4996</v>
      </c>
      <c r="C3634" s="188" t="s">
        <v>678</v>
      </c>
      <c r="D3634" s="188" t="s">
        <v>5376</v>
      </c>
      <c r="E3634" s="189">
        <v>39507</v>
      </c>
      <c r="F3634" s="190">
        <v>0</v>
      </c>
      <c r="G3634" s="190">
        <v>84</v>
      </c>
      <c r="H3634" s="191">
        <v>1475</v>
      </c>
      <c r="I3634" s="191">
        <v>315</v>
      </c>
      <c r="J3634" s="188" t="s">
        <v>624</v>
      </c>
      <c r="K3634" s="188" t="s">
        <v>571</v>
      </c>
      <c r="L3634" s="188" t="s">
        <v>1139</v>
      </c>
      <c r="M3634" s="192">
        <f t="shared" si="168"/>
        <v>15</v>
      </c>
      <c r="N3634" s="193">
        <f t="shared" si="169"/>
        <v>1.4047619047619047</v>
      </c>
      <c r="O3634" s="194">
        <f t="shared" si="170"/>
        <v>9.3650793650793637E-2</v>
      </c>
    </row>
    <row r="3635" spans="1:15" ht="12.75" customHeight="1">
      <c r="A3635" s="188" t="s">
        <v>620</v>
      </c>
      <c r="B3635" s="188" t="s">
        <v>4996</v>
      </c>
      <c r="C3635" s="188" t="s">
        <v>678</v>
      </c>
      <c r="D3635" s="188" t="s">
        <v>5377</v>
      </c>
      <c r="E3635" s="189">
        <v>39407</v>
      </c>
      <c r="F3635" s="190">
        <v>0</v>
      </c>
      <c r="G3635" s="190">
        <v>50.56</v>
      </c>
      <c r="H3635" s="191">
        <v>888</v>
      </c>
      <c r="I3635" s="191">
        <v>189.6</v>
      </c>
      <c r="J3635" s="188" t="s">
        <v>624</v>
      </c>
      <c r="K3635" s="188" t="s">
        <v>571</v>
      </c>
      <c r="L3635" s="188" t="s">
        <v>5378</v>
      </c>
      <c r="M3635" s="192">
        <f t="shared" si="168"/>
        <v>15</v>
      </c>
      <c r="N3635" s="193">
        <f t="shared" si="169"/>
        <v>1.4050632911392404</v>
      </c>
      <c r="O3635" s="194">
        <f t="shared" si="170"/>
        <v>9.3670886075949367E-2</v>
      </c>
    </row>
    <row r="3636" spans="1:15" ht="12.75" customHeight="1">
      <c r="A3636" s="188" t="s">
        <v>620</v>
      </c>
      <c r="B3636" s="188" t="s">
        <v>4996</v>
      </c>
      <c r="C3636" s="188" t="s">
        <v>678</v>
      </c>
      <c r="D3636" s="188" t="s">
        <v>5379</v>
      </c>
      <c r="E3636" s="189">
        <v>39632</v>
      </c>
      <c r="F3636" s="190">
        <v>0</v>
      </c>
      <c r="G3636" s="190">
        <v>98.8</v>
      </c>
      <c r="H3636" s="191">
        <v>1735.37</v>
      </c>
      <c r="I3636" s="191">
        <v>370.5</v>
      </c>
      <c r="J3636" s="188" t="s">
        <v>624</v>
      </c>
      <c r="K3636" s="188" t="s">
        <v>571</v>
      </c>
      <c r="L3636" s="188" t="s">
        <v>3162</v>
      </c>
      <c r="M3636" s="192">
        <f t="shared" si="168"/>
        <v>15</v>
      </c>
      <c r="N3636" s="193">
        <f t="shared" si="169"/>
        <v>1.4051578947368419</v>
      </c>
      <c r="O3636" s="194">
        <f t="shared" si="170"/>
        <v>9.3677192982456123E-2</v>
      </c>
    </row>
    <row r="3637" spans="1:15" ht="12.75" customHeight="1">
      <c r="A3637" s="188" t="s">
        <v>620</v>
      </c>
      <c r="B3637" s="188" t="s">
        <v>4996</v>
      </c>
      <c r="C3637" s="188" t="s">
        <v>678</v>
      </c>
      <c r="D3637" s="188" t="s">
        <v>5380</v>
      </c>
      <c r="E3637" s="189">
        <v>39226</v>
      </c>
      <c r="F3637" s="190">
        <v>0</v>
      </c>
      <c r="G3637" s="190">
        <v>68</v>
      </c>
      <c r="H3637" s="191">
        <v>1037</v>
      </c>
      <c r="I3637" s="191">
        <v>255</v>
      </c>
      <c r="J3637" s="188" t="s">
        <v>624</v>
      </c>
      <c r="K3637" s="188" t="s">
        <v>652</v>
      </c>
      <c r="L3637" s="188" t="s">
        <v>1170</v>
      </c>
      <c r="M3637" s="192">
        <f t="shared" si="168"/>
        <v>13</v>
      </c>
      <c r="N3637" s="193">
        <f t="shared" si="169"/>
        <v>1.22</v>
      </c>
      <c r="O3637" s="194">
        <f t="shared" si="170"/>
        <v>9.3846153846153843E-2</v>
      </c>
    </row>
    <row r="3638" spans="1:15" ht="12.75" customHeight="1">
      <c r="A3638" s="188" t="s">
        <v>620</v>
      </c>
      <c r="B3638" s="188" t="s">
        <v>4996</v>
      </c>
      <c r="C3638" s="188" t="s">
        <v>678</v>
      </c>
      <c r="D3638" s="188" t="s">
        <v>5381</v>
      </c>
      <c r="E3638" s="189">
        <v>39639</v>
      </c>
      <c r="F3638" s="190">
        <v>0</v>
      </c>
      <c r="G3638" s="190">
        <v>28.16</v>
      </c>
      <c r="H3638" s="191">
        <v>695</v>
      </c>
      <c r="I3638" s="191">
        <v>105.6</v>
      </c>
      <c r="J3638" s="188" t="s">
        <v>624</v>
      </c>
      <c r="K3638" s="188" t="s">
        <v>1344</v>
      </c>
      <c r="L3638" s="188" t="s">
        <v>5382</v>
      </c>
      <c r="M3638" s="192">
        <f t="shared" si="168"/>
        <v>21</v>
      </c>
      <c r="N3638" s="193">
        <f t="shared" si="169"/>
        <v>1.9744318181818181</v>
      </c>
      <c r="O3638" s="194">
        <f t="shared" si="170"/>
        <v>9.4020562770562768E-2</v>
      </c>
    </row>
    <row r="3639" spans="1:15" ht="12.75" customHeight="1">
      <c r="A3639" s="188" t="s">
        <v>620</v>
      </c>
      <c r="B3639" s="188" t="s">
        <v>4996</v>
      </c>
      <c r="C3639" s="188" t="s">
        <v>678</v>
      </c>
      <c r="D3639" s="188" t="s">
        <v>5383</v>
      </c>
      <c r="E3639" s="189">
        <v>39247</v>
      </c>
      <c r="F3639" s="190">
        <v>0</v>
      </c>
      <c r="G3639" s="190">
        <v>47.36</v>
      </c>
      <c r="H3639" s="191">
        <v>724.02</v>
      </c>
      <c r="I3639" s="191">
        <v>177.6</v>
      </c>
      <c r="J3639" s="188" t="s">
        <v>624</v>
      </c>
      <c r="K3639" s="188" t="s">
        <v>652</v>
      </c>
      <c r="L3639" s="188" t="s">
        <v>5384</v>
      </c>
      <c r="M3639" s="192">
        <f t="shared" si="168"/>
        <v>13</v>
      </c>
      <c r="N3639" s="193">
        <f t="shared" si="169"/>
        <v>1.2230067567567566</v>
      </c>
      <c r="O3639" s="194">
        <f t="shared" si="170"/>
        <v>9.407744282744282E-2</v>
      </c>
    </row>
    <row r="3640" spans="1:15" ht="12.75" customHeight="1">
      <c r="A3640" s="188" t="s">
        <v>620</v>
      </c>
      <c r="B3640" s="188" t="s">
        <v>4996</v>
      </c>
      <c r="C3640" s="188" t="s">
        <v>678</v>
      </c>
      <c r="D3640" s="188" t="s">
        <v>5385</v>
      </c>
      <c r="E3640" s="189">
        <v>39345</v>
      </c>
      <c r="F3640" s="190">
        <v>0</v>
      </c>
      <c r="G3640" s="190">
        <v>32</v>
      </c>
      <c r="H3640" s="191">
        <v>490</v>
      </c>
      <c r="I3640" s="191">
        <v>120</v>
      </c>
      <c r="J3640" s="188" t="s">
        <v>624</v>
      </c>
      <c r="K3640" s="188" t="s">
        <v>652</v>
      </c>
      <c r="L3640" s="188" t="s">
        <v>910</v>
      </c>
      <c r="M3640" s="192">
        <f t="shared" si="168"/>
        <v>13</v>
      </c>
      <c r="N3640" s="193">
        <f t="shared" si="169"/>
        <v>1.2250000000000001</v>
      </c>
      <c r="O3640" s="194">
        <f t="shared" si="170"/>
        <v>9.4230769230769243E-2</v>
      </c>
    </row>
    <row r="3641" spans="1:15" ht="12.75" customHeight="1">
      <c r="A3641" s="188" t="s">
        <v>620</v>
      </c>
      <c r="B3641" s="188" t="s">
        <v>4996</v>
      </c>
      <c r="C3641" s="188" t="s">
        <v>678</v>
      </c>
      <c r="D3641" s="188" t="s">
        <v>5386</v>
      </c>
      <c r="E3641" s="189">
        <v>39513</v>
      </c>
      <c r="F3641" s="190">
        <v>0</v>
      </c>
      <c r="G3641" s="190">
        <v>59.68</v>
      </c>
      <c r="H3641" s="191">
        <v>776</v>
      </c>
      <c r="I3641" s="191">
        <v>223.8</v>
      </c>
      <c r="J3641" s="188" t="s">
        <v>624</v>
      </c>
      <c r="K3641" s="188" t="s">
        <v>639</v>
      </c>
      <c r="L3641" s="188" t="s">
        <v>1470</v>
      </c>
      <c r="M3641" s="192">
        <f t="shared" si="168"/>
        <v>11</v>
      </c>
      <c r="N3641" s="193">
        <f t="shared" si="169"/>
        <v>1.0402144772117963</v>
      </c>
      <c r="O3641" s="194">
        <f t="shared" si="170"/>
        <v>9.456495247379966E-2</v>
      </c>
    </row>
    <row r="3642" spans="1:15" ht="12.75" customHeight="1">
      <c r="A3642" s="188" t="s">
        <v>620</v>
      </c>
      <c r="B3642" s="188" t="s">
        <v>4996</v>
      </c>
      <c r="C3642" s="188" t="s">
        <v>678</v>
      </c>
      <c r="D3642" s="188" t="s">
        <v>5387</v>
      </c>
      <c r="E3642" s="189">
        <v>39583</v>
      </c>
      <c r="F3642" s="190">
        <v>0</v>
      </c>
      <c r="G3642" s="190">
        <v>94.24</v>
      </c>
      <c r="H3642" s="191">
        <v>1672.1</v>
      </c>
      <c r="I3642" s="191">
        <v>353.4</v>
      </c>
      <c r="J3642" s="188" t="s">
        <v>624</v>
      </c>
      <c r="K3642" s="188" t="s">
        <v>571</v>
      </c>
      <c r="L3642" s="188" t="s">
        <v>420</v>
      </c>
      <c r="M3642" s="192">
        <f t="shared" si="168"/>
        <v>15</v>
      </c>
      <c r="N3642" s="193">
        <f t="shared" si="169"/>
        <v>1.4194397283531408</v>
      </c>
      <c r="O3642" s="194">
        <f t="shared" si="170"/>
        <v>9.4629315223542718E-2</v>
      </c>
    </row>
    <row r="3643" spans="1:15" ht="12.75" customHeight="1">
      <c r="A3643" s="188" t="s">
        <v>620</v>
      </c>
      <c r="B3643" s="188" t="s">
        <v>4996</v>
      </c>
      <c r="C3643" s="188" t="s">
        <v>678</v>
      </c>
      <c r="D3643" s="188" t="s">
        <v>5388</v>
      </c>
      <c r="E3643" s="189">
        <v>39310</v>
      </c>
      <c r="F3643" s="190">
        <v>0</v>
      </c>
      <c r="G3643" s="190">
        <v>146.63999999999999</v>
      </c>
      <c r="H3643" s="191">
        <v>2254.96</v>
      </c>
      <c r="I3643" s="191">
        <v>549.9</v>
      </c>
      <c r="J3643" s="188" t="s">
        <v>624</v>
      </c>
      <c r="K3643" s="188" t="s">
        <v>652</v>
      </c>
      <c r="L3643" s="188" t="s">
        <v>2281</v>
      </c>
      <c r="M3643" s="192">
        <f t="shared" si="168"/>
        <v>13</v>
      </c>
      <c r="N3643" s="193">
        <f t="shared" si="169"/>
        <v>1.2302018548827061</v>
      </c>
      <c r="O3643" s="194">
        <f t="shared" si="170"/>
        <v>9.4630911914054316E-2</v>
      </c>
    </row>
    <row r="3644" spans="1:15" ht="12.75" customHeight="1">
      <c r="A3644" s="188" t="s">
        <v>620</v>
      </c>
      <c r="B3644" s="188" t="s">
        <v>4996</v>
      </c>
      <c r="C3644" s="188" t="s">
        <v>678</v>
      </c>
      <c r="D3644" s="188" t="s">
        <v>5389</v>
      </c>
      <c r="E3644" s="189">
        <v>39247</v>
      </c>
      <c r="F3644" s="190">
        <v>0</v>
      </c>
      <c r="G3644" s="190">
        <v>133.12</v>
      </c>
      <c r="H3644" s="191">
        <v>2061.0300000000002</v>
      </c>
      <c r="I3644" s="191">
        <v>499.2</v>
      </c>
      <c r="J3644" s="188" t="s">
        <v>624</v>
      </c>
      <c r="K3644" s="188" t="s">
        <v>652</v>
      </c>
      <c r="L3644" s="188" t="s">
        <v>1210</v>
      </c>
      <c r="M3644" s="192">
        <f t="shared" si="168"/>
        <v>13</v>
      </c>
      <c r="N3644" s="193">
        <f t="shared" si="169"/>
        <v>1.2385997596153848</v>
      </c>
      <c r="O3644" s="194">
        <f t="shared" si="170"/>
        <v>9.5276904585798836E-2</v>
      </c>
    </row>
    <row r="3645" spans="1:15" ht="12.75" customHeight="1">
      <c r="A3645" s="188" t="s">
        <v>620</v>
      </c>
      <c r="B3645" s="188" t="s">
        <v>4996</v>
      </c>
      <c r="C3645" s="188" t="s">
        <v>678</v>
      </c>
      <c r="D3645" s="188" t="s">
        <v>5390</v>
      </c>
      <c r="E3645" s="189">
        <v>39407</v>
      </c>
      <c r="F3645" s="190">
        <v>0</v>
      </c>
      <c r="G3645" s="190">
        <v>68.8</v>
      </c>
      <c r="H3645" s="191">
        <v>1229.8</v>
      </c>
      <c r="I3645" s="191">
        <v>258</v>
      </c>
      <c r="J3645" s="188" t="s">
        <v>624</v>
      </c>
      <c r="K3645" s="188" t="s">
        <v>571</v>
      </c>
      <c r="L3645" s="188" t="s">
        <v>1783</v>
      </c>
      <c r="M3645" s="192">
        <f t="shared" si="168"/>
        <v>15</v>
      </c>
      <c r="N3645" s="193">
        <f t="shared" si="169"/>
        <v>1.43</v>
      </c>
      <c r="O3645" s="194">
        <f t="shared" si="170"/>
        <v>9.5333333333333325E-2</v>
      </c>
    </row>
    <row r="3646" spans="1:15" ht="12.75" customHeight="1">
      <c r="A3646" s="188" t="s">
        <v>620</v>
      </c>
      <c r="B3646" s="188" t="s">
        <v>4996</v>
      </c>
      <c r="C3646" s="188" t="s">
        <v>678</v>
      </c>
      <c r="D3646" s="188" t="s">
        <v>5391</v>
      </c>
      <c r="E3646" s="189">
        <v>39436</v>
      </c>
      <c r="F3646" s="190">
        <v>0</v>
      </c>
      <c r="G3646" s="190">
        <v>93.28</v>
      </c>
      <c r="H3646" s="191">
        <v>1667.38</v>
      </c>
      <c r="I3646" s="191">
        <v>349.8</v>
      </c>
      <c r="J3646" s="188" t="s">
        <v>624</v>
      </c>
      <c r="K3646" s="188" t="s">
        <v>571</v>
      </c>
      <c r="L3646" s="188" t="s">
        <v>1362</v>
      </c>
      <c r="M3646" s="192">
        <f t="shared" si="168"/>
        <v>15</v>
      </c>
      <c r="N3646" s="193">
        <f t="shared" si="169"/>
        <v>1.4300000000000002</v>
      </c>
      <c r="O3646" s="194">
        <f t="shared" si="170"/>
        <v>9.5333333333333339E-2</v>
      </c>
    </row>
    <row r="3647" spans="1:15" ht="12.75" customHeight="1">
      <c r="A3647" s="188" t="s">
        <v>620</v>
      </c>
      <c r="B3647" s="188" t="s">
        <v>4996</v>
      </c>
      <c r="C3647" s="188" t="s">
        <v>678</v>
      </c>
      <c r="D3647" s="188" t="s">
        <v>5392</v>
      </c>
      <c r="E3647" s="189">
        <v>39219</v>
      </c>
      <c r="F3647" s="190">
        <v>0</v>
      </c>
      <c r="G3647" s="190">
        <v>61.84</v>
      </c>
      <c r="H3647" s="191">
        <v>958.52</v>
      </c>
      <c r="I3647" s="191">
        <v>231.9</v>
      </c>
      <c r="J3647" s="188" t="s">
        <v>624</v>
      </c>
      <c r="K3647" s="188" t="s">
        <v>652</v>
      </c>
      <c r="L3647" s="188" t="s">
        <v>5393</v>
      </c>
      <c r="M3647" s="192">
        <f t="shared" si="168"/>
        <v>13</v>
      </c>
      <c r="N3647" s="193">
        <f t="shared" si="169"/>
        <v>1.24</v>
      </c>
      <c r="O3647" s="194">
        <f t="shared" si="170"/>
        <v>9.5384615384615387E-2</v>
      </c>
    </row>
    <row r="3648" spans="1:15" ht="12.75" customHeight="1">
      <c r="A3648" s="188" t="s">
        <v>620</v>
      </c>
      <c r="B3648" s="188" t="s">
        <v>4996</v>
      </c>
      <c r="C3648" s="188" t="s">
        <v>678</v>
      </c>
      <c r="D3648" s="188" t="s">
        <v>5394</v>
      </c>
      <c r="E3648" s="189">
        <v>39359</v>
      </c>
      <c r="F3648" s="190">
        <v>0</v>
      </c>
      <c r="G3648" s="190">
        <v>79.040000000000006</v>
      </c>
      <c r="H3648" s="191">
        <v>1037</v>
      </c>
      <c r="I3648" s="191">
        <v>296.39999999999998</v>
      </c>
      <c r="J3648" s="188" t="s">
        <v>624</v>
      </c>
      <c r="K3648" s="188" t="s">
        <v>639</v>
      </c>
      <c r="L3648" s="188" t="s">
        <v>1083</v>
      </c>
      <c r="M3648" s="192">
        <f t="shared" si="168"/>
        <v>11</v>
      </c>
      <c r="N3648" s="193">
        <f t="shared" si="169"/>
        <v>1.0495951417004048</v>
      </c>
      <c r="O3648" s="194">
        <f t="shared" si="170"/>
        <v>9.5417740154582251E-2</v>
      </c>
    </row>
    <row r="3649" spans="1:15" ht="12.75" customHeight="1">
      <c r="A3649" s="188" t="s">
        <v>620</v>
      </c>
      <c r="B3649" s="188" t="s">
        <v>4996</v>
      </c>
      <c r="C3649" s="188" t="s">
        <v>678</v>
      </c>
      <c r="D3649" s="188" t="s">
        <v>5395</v>
      </c>
      <c r="E3649" s="189">
        <v>39520</v>
      </c>
      <c r="F3649" s="190">
        <v>0</v>
      </c>
      <c r="G3649" s="190">
        <v>91.2</v>
      </c>
      <c r="H3649" s="191">
        <v>1198.23</v>
      </c>
      <c r="I3649" s="191">
        <v>342</v>
      </c>
      <c r="J3649" s="188" t="s">
        <v>624</v>
      </c>
      <c r="K3649" s="188" t="s">
        <v>639</v>
      </c>
      <c r="L3649" s="188" t="s">
        <v>2347</v>
      </c>
      <c r="M3649" s="192">
        <f t="shared" si="168"/>
        <v>11</v>
      </c>
      <c r="N3649" s="193">
        <f t="shared" si="169"/>
        <v>1.051078947368421</v>
      </c>
      <c r="O3649" s="194">
        <f t="shared" si="170"/>
        <v>9.5552631578947361E-2</v>
      </c>
    </row>
    <row r="3650" spans="1:15" ht="12.75" customHeight="1">
      <c r="A3650" s="188" t="s">
        <v>620</v>
      </c>
      <c r="B3650" s="188" t="s">
        <v>4996</v>
      </c>
      <c r="C3650" s="188" t="s">
        <v>678</v>
      </c>
      <c r="D3650" s="188" t="s">
        <v>5396</v>
      </c>
      <c r="E3650" s="189">
        <v>39345</v>
      </c>
      <c r="F3650" s="190">
        <v>0</v>
      </c>
      <c r="G3650" s="190">
        <v>70.16</v>
      </c>
      <c r="H3650" s="191">
        <v>1090</v>
      </c>
      <c r="I3650" s="191">
        <v>263.10000000000002</v>
      </c>
      <c r="J3650" s="188" t="s">
        <v>624</v>
      </c>
      <c r="K3650" s="188" t="s">
        <v>652</v>
      </c>
      <c r="L3650" s="188" t="s">
        <v>5397</v>
      </c>
      <c r="M3650" s="192">
        <f t="shared" ref="M3650:M3713" si="171">K3650-J3650</f>
        <v>13</v>
      </c>
      <c r="N3650" s="193">
        <f t="shared" ref="N3650:N3713" si="172">H3650/L3650</f>
        <v>1.2428734321550741</v>
      </c>
      <c r="O3650" s="194">
        <f t="shared" ref="O3650:O3713" si="173">N3650/M3650</f>
        <v>9.5605648627313383E-2</v>
      </c>
    </row>
    <row r="3651" spans="1:15" ht="12.75" customHeight="1">
      <c r="A3651" s="188" t="s">
        <v>620</v>
      </c>
      <c r="B3651" s="188" t="s">
        <v>4996</v>
      </c>
      <c r="C3651" s="188" t="s">
        <v>678</v>
      </c>
      <c r="D3651" s="188" t="s">
        <v>5398</v>
      </c>
      <c r="E3651" s="189">
        <v>39507</v>
      </c>
      <c r="F3651" s="190">
        <v>0</v>
      </c>
      <c r="G3651" s="190">
        <v>64</v>
      </c>
      <c r="H3651" s="191">
        <v>995</v>
      </c>
      <c r="I3651" s="191">
        <v>240</v>
      </c>
      <c r="J3651" s="188" t="s">
        <v>624</v>
      </c>
      <c r="K3651" s="188" t="s">
        <v>652</v>
      </c>
      <c r="L3651" s="188" t="s">
        <v>752</v>
      </c>
      <c r="M3651" s="192">
        <f t="shared" si="171"/>
        <v>13</v>
      </c>
      <c r="N3651" s="193">
        <f t="shared" si="172"/>
        <v>1.2437499999999999</v>
      </c>
      <c r="O3651" s="194">
        <f t="shared" si="173"/>
        <v>9.5673076923076916E-2</v>
      </c>
    </row>
    <row r="3652" spans="1:15" ht="12.75" customHeight="1">
      <c r="A3652" s="188" t="s">
        <v>620</v>
      </c>
      <c r="B3652" s="188" t="s">
        <v>4996</v>
      </c>
      <c r="C3652" s="188" t="s">
        <v>678</v>
      </c>
      <c r="D3652" s="188" t="s">
        <v>5399</v>
      </c>
      <c r="E3652" s="189">
        <v>39261</v>
      </c>
      <c r="F3652" s="190">
        <v>0</v>
      </c>
      <c r="G3652" s="190">
        <v>75.2</v>
      </c>
      <c r="H3652" s="191">
        <v>1175</v>
      </c>
      <c r="I3652" s="191">
        <v>282</v>
      </c>
      <c r="J3652" s="188" t="s">
        <v>624</v>
      </c>
      <c r="K3652" s="188" t="s">
        <v>652</v>
      </c>
      <c r="L3652" s="188" t="s">
        <v>810</v>
      </c>
      <c r="M3652" s="192">
        <f t="shared" si="171"/>
        <v>13</v>
      </c>
      <c r="N3652" s="193">
        <f t="shared" si="172"/>
        <v>1.25</v>
      </c>
      <c r="O3652" s="194">
        <f t="shared" si="173"/>
        <v>9.6153846153846159E-2</v>
      </c>
    </row>
    <row r="3653" spans="1:15" ht="12.75" customHeight="1">
      <c r="A3653" s="188" t="s">
        <v>620</v>
      </c>
      <c r="B3653" s="188" t="s">
        <v>4996</v>
      </c>
      <c r="C3653" s="188" t="s">
        <v>678</v>
      </c>
      <c r="D3653" s="188" t="s">
        <v>5400</v>
      </c>
      <c r="E3653" s="189">
        <v>39261</v>
      </c>
      <c r="F3653" s="190">
        <v>0</v>
      </c>
      <c r="G3653" s="190">
        <v>78.400000000000006</v>
      </c>
      <c r="H3653" s="191">
        <v>1225</v>
      </c>
      <c r="I3653" s="191">
        <v>294</v>
      </c>
      <c r="J3653" s="188" t="s">
        <v>624</v>
      </c>
      <c r="K3653" s="188" t="s">
        <v>652</v>
      </c>
      <c r="L3653" s="188" t="s">
        <v>1487</v>
      </c>
      <c r="M3653" s="192">
        <f t="shared" si="171"/>
        <v>13</v>
      </c>
      <c r="N3653" s="193">
        <f t="shared" si="172"/>
        <v>1.25</v>
      </c>
      <c r="O3653" s="194">
        <f t="shared" si="173"/>
        <v>9.6153846153846159E-2</v>
      </c>
    </row>
    <row r="3654" spans="1:15" ht="12.75" customHeight="1">
      <c r="A3654" s="188" t="s">
        <v>620</v>
      </c>
      <c r="B3654" s="188" t="s">
        <v>4996</v>
      </c>
      <c r="C3654" s="188" t="s">
        <v>678</v>
      </c>
      <c r="D3654" s="188" t="s">
        <v>5401</v>
      </c>
      <c r="E3654" s="189">
        <v>39289</v>
      </c>
      <c r="F3654" s="190">
        <v>0</v>
      </c>
      <c r="G3654" s="190">
        <v>55.04</v>
      </c>
      <c r="H3654" s="191">
        <v>860</v>
      </c>
      <c r="I3654" s="191">
        <v>206.4</v>
      </c>
      <c r="J3654" s="188" t="s">
        <v>624</v>
      </c>
      <c r="K3654" s="188" t="s">
        <v>652</v>
      </c>
      <c r="L3654" s="188" t="s">
        <v>3065</v>
      </c>
      <c r="M3654" s="192">
        <f t="shared" si="171"/>
        <v>13</v>
      </c>
      <c r="N3654" s="193">
        <f t="shared" si="172"/>
        <v>1.25</v>
      </c>
      <c r="O3654" s="194">
        <f t="shared" si="173"/>
        <v>9.6153846153846159E-2</v>
      </c>
    </row>
    <row r="3655" spans="1:15" ht="12.75" customHeight="1">
      <c r="A3655" s="188" t="s">
        <v>620</v>
      </c>
      <c r="B3655" s="188" t="s">
        <v>4996</v>
      </c>
      <c r="C3655" s="188" t="s">
        <v>678</v>
      </c>
      <c r="D3655" s="188" t="s">
        <v>5402</v>
      </c>
      <c r="E3655" s="189">
        <v>39395</v>
      </c>
      <c r="F3655" s="190">
        <v>0</v>
      </c>
      <c r="G3655" s="190">
        <v>80</v>
      </c>
      <c r="H3655" s="191">
        <v>1250</v>
      </c>
      <c r="I3655" s="191">
        <v>300</v>
      </c>
      <c r="J3655" s="188" t="s">
        <v>624</v>
      </c>
      <c r="K3655" s="188" t="s">
        <v>652</v>
      </c>
      <c r="L3655" s="188" t="s">
        <v>636</v>
      </c>
      <c r="M3655" s="192">
        <f t="shared" si="171"/>
        <v>13</v>
      </c>
      <c r="N3655" s="193">
        <f t="shared" si="172"/>
        <v>1.25</v>
      </c>
      <c r="O3655" s="194">
        <f t="shared" si="173"/>
        <v>9.6153846153846159E-2</v>
      </c>
    </row>
    <row r="3656" spans="1:15" ht="12.75" customHeight="1">
      <c r="A3656" s="188" t="s">
        <v>620</v>
      </c>
      <c r="B3656" s="188" t="s">
        <v>4996</v>
      </c>
      <c r="C3656" s="188" t="s">
        <v>678</v>
      </c>
      <c r="D3656" s="188" t="s">
        <v>5403</v>
      </c>
      <c r="E3656" s="189">
        <v>39485</v>
      </c>
      <c r="F3656" s="190">
        <v>0</v>
      </c>
      <c r="G3656" s="190">
        <v>122.88</v>
      </c>
      <c r="H3656" s="191">
        <v>1920</v>
      </c>
      <c r="I3656" s="191">
        <v>460.8</v>
      </c>
      <c r="J3656" s="188" t="s">
        <v>624</v>
      </c>
      <c r="K3656" s="188" t="s">
        <v>652</v>
      </c>
      <c r="L3656" s="188" t="s">
        <v>1659</v>
      </c>
      <c r="M3656" s="192">
        <f t="shared" si="171"/>
        <v>13</v>
      </c>
      <c r="N3656" s="193">
        <f t="shared" si="172"/>
        <v>1.25</v>
      </c>
      <c r="O3656" s="194">
        <f t="shared" si="173"/>
        <v>9.6153846153846159E-2</v>
      </c>
    </row>
    <row r="3657" spans="1:15" ht="12.75" customHeight="1">
      <c r="A3657" s="188" t="s">
        <v>620</v>
      </c>
      <c r="B3657" s="188" t="s">
        <v>4996</v>
      </c>
      <c r="C3657" s="188" t="s">
        <v>678</v>
      </c>
      <c r="D3657" s="188" t="s">
        <v>5404</v>
      </c>
      <c r="E3657" s="189">
        <v>39219</v>
      </c>
      <c r="F3657" s="190">
        <v>0</v>
      </c>
      <c r="G3657" s="190">
        <v>42.4</v>
      </c>
      <c r="H3657" s="191">
        <v>561.79999999999995</v>
      </c>
      <c r="I3657" s="191">
        <v>159</v>
      </c>
      <c r="J3657" s="188" t="s">
        <v>624</v>
      </c>
      <c r="K3657" s="188" t="s">
        <v>639</v>
      </c>
      <c r="L3657" s="188" t="s">
        <v>5405</v>
      </c>
      <c r="M3657" s="192">
        <f t="shared" si="171"/>
        <v>11</v>
      </c>
      <c r="N3657" s="193">
        <f t="shared" si="172"/>
        <v>1.0599999999999998</v>
      </c>
      <c r="O3657" s="194">
        <f t="shared" si="173"/>
        <v>9.6363636363636346E-2</v>
      </c>
    </row>
    <row r="3658" spans="1:15" ht="12.75" customHeight="1">
      <c r="A3658" s="188" t="s">
        <v>620</v>
      </c>
      <c r="B3658" s="188" t="s">
        <v>4996</v>
      </c>
      <c r="C3658" s="188" t="s">
        <v>678</v>
      </c>
      <c r="D3658" s="188" t="s">
        <v>5406</v>
      </c>
      <c r="E3658" s="189">
        <v>39269</v>
      </c>
      <c r="F3658" s="190">
        <v>0</v>
      </c>
      <c r="G3658" s="190">
        <v>120</v>
      </c>
      <c r="H3658" s="191">
        <v>1590</v>
      </c>
      <c r="I3658" s="191">
        <v>450</v>
      </c>
      <c r="J3658" s="188" t="s">
        <v>624</v>
      </c>
      <c r="K3658" s="188" t="s">
        <v>639</v>
      </c>
      <c r="L3658" s="188" t="s">
        <v>746</v>
      </c>
      <c r="M3658" s="192">
        <f t="shared" si="171"/>
        <v>11</v>
      </c>
      <c r="N3658" s="193">
        <f t="shared" si="172"/>
        <v>1.06</v>
      </c>
      <c r="O3658" s="194">
        <f t="shared" si="173"/>
        <v>9.6363636363636374E-2</v>
      </c>
    </row>
    <row r="3659" spans="1:15" ht="12.75" customHeight="1">
      <c r="A3659" s="188" t="s">
        <v>620</v>
      </c>
      <c r="B3659" s="188" t="s">
        <v>4996</v>
      </c>
      <c r="C3659" s="188" t="s">
        <v>678</v>
      </c>
      <c r="D3659" s="188" t="s">
        <v>5407</v>
      </c>
      <c r="E3659" s="189">
        <v>39395</v>
      </c>
      <c r="F3659" s="190">
        <v>0</v>
      </c>
      <c r="G3659" s="190">
        <v>131.19999999999999</v>
      </c>
      <c r="H3659" s="191">
        <v>2377.5</v>
      </c>
      <c r="I3659" s="191">
        <v>492</v>
      </c>
      <c r="J3659" s="188" t="s">
        <v>624</v>
      </c>
      <c r="K3659" s="188" t="s">
        <v>571</v>
      </c>
      <c r="L3659" s="188" t="s">
        <v>2110</v>
      </c>
      <c r="M3659" s="192">
        <f t="shared" si="171"/>
        <v>15</v>
      </c>
      <c r="N3659" s="193">
        <f t="shared" si="172"/>
        <v>1.4496951219512195</v>
      </c>
      <c r="O3659" s="194">
        <f t="shared" si="173"/>
        <v>9.6646341463414637E-2</v>
      </c>
    </row>
    <row r="3660" spans="1:15" ht="12.75" customHeight="1">
      <c r="A3660" s="188" t="s">
        <v>620</v>
      </c>
      <c r="B3660" s="188" t="s">
        <v>4996</v>
      </c>
      <c r="C3660" s="188" t="s">
        <v>678</v>
      </c>
      <c r="D3660" s="188" t="s">
        <v>5408</v>
      </c>
      <c r="E3660" s="189">
        <v>39219</v>
      </c>
      <c r="F3660" s="190">
        <v>0</v>
      </c>
      <c r="G3660" s="190">
        <v>89.76</v>
      </c>
      <c r="H3660" s="191">
        <v>1413.72</v>
      </c>
      <c r="I3660" s="191">
        <v>336.6</v>
      </c>
      <c r="J3660" s="188" t="s">
        <v>624</v>
      </c>
      <c r="K3660" s="188" t="s">
        <v>652</v>
      </c>
      <c r="L3660" s="188" t="s">
        <v>3092</v>
      </c>
      <c r="M3660" s="192">
        <f t="shared" si="171"/>
        <v>13</v>
      </c>
      <c r="N3660" s="193">
        <f t="shared" si="172"/>
        <v>1.26</v>
      </c>
      <c r="O3660" s="194">
        <f t="shared" si="173"/>
        <v>9.6923076923076917E-2</v>
      </c>
    </row>
    <row r="3661" spans="1:15" ht="12.75" customHeight="1">
      <c r="A3661" s="188" t="s">
        <v>620</v>
      </c>
      <c r="B3661" s="188" t="s">
        <v>4996</v>
      </c>
      <c r="C3661" s="188" t="s">
        <v>678</v>
      </c>
      <c r="D3661" s="188" t="s">
        <v>5409</v>
      </c>
      <c r="E3661" s="189">
        <v>39303</v>
      </c>
      <c r="F3661" s="190">
        <v>0</v>
      </c>
      <c r="G3661" s="190">
        <v>112.16</v>
      </c>
      <c r="H3661" s="191">
        <v>1497.06</v>
      </c>
      <c r="I3661" s="191">
        <v>420.6</v>
      </c>
      <c r="J3661" s="188" t="s">
        <v>624</v>
      </c>
      <c r="K3661" s="188" t="s">
        <v>639</v>
      </c>
      <c r="L3661" s="188" t="s">
        <v>2520</v>
      </c>
      <c r="M3661" s="192">
        <f t="shared" si="171"/>
        <v>11</v>
      </c>
      <c r="N3661" s="193">
        <f t="shared" si="172"/>
        <v>1.0678031383737518</v>
      </c>
      <c r="O3661" s="194">
        <f t="shared" si="173"/>
        <v>9.7073012579431989E-2</v>
      </c>
    </row>
    <row r="3662" spans="1:15" ht="12.75" customHeight="1">
      <c r="A3662" s="188" t="s">
        <v>620</v>
      </c>
      <c r="B3662" s="188" t="s">
        <v>4996</v>
      </c>
      <c r="C3662" s="188" t="s">
        <v>678</v>
      </c>
      <c r="D3662" s="188" t="s">
        <v>5410</v>
      </c>
      <c r="E3662" s="189">
        <v>39212</v>
      </c>
      <c r="F3662" s="190">
        <v>0</v>
      </c>
      <c r="G3662" s="190">
        <v>117.28</v>
      </c>
      <c r="H3662" s="191">
        <v>1568.62</v>
      </c>
      <c r="I3662" s="191">
        <v>439.8</v>
      </c>
      <c r="J3662" s="188" t="s">
        <v>624</v>
      </c>
      <c r="K3662" s="188" t="s">
        <v>639</v>
      </c>
      <c r="L3662" s="188" t="s">
        <v>2539</v>
      </c>
      <c r="M3662" s="192">
        <f t="shared" si="171"/>
        <v>11</v>
      </c>
      <c r="N3662" s="193">
        <f t="shared" si="172"/>
        <v>1.0699999999999998</v>
      </c>
      <c r="O3662" s="194">
        <f t="shared" si="173"/>
        <v>9.7272727272727261E-2</v>
      </c>
    </row>
    <row r="3663" spans="1:15" ht="12.75" customHeight="1">
      <c r="A3663" s="188" t="s">
        <v>620</v>
      </c>
      <c r="B3663" s="188" t="s">
        <v>4996</v>
      </c>
      <c r="C3663" s="188" t="s">
        <v>678</v>
      </c>
      <c r="D3663" s="188" t="s">
        <v>5411</v>
      </c>
      <c r="E3663" s="189">
        <v>39447</v>
      </c>
      <c r="F3663" s="190">
        <v>0</v>
      </c>
      <c r="G3663" s="190">
        <v>72</v>
      </c>
      <c r="H3663" s="191">
        <v>1315</v>
      </c>
      <c r="I3663" s="191">
        <v>270</v>
      </c>
      <c r="J3663" s="188" t="s">
        <v>624</v>
      </c>
      <c r="K3663" s="188" t="s">
        <v>571</v>
      </c>
      <c r="L3663" s="188" t="s">
        <v>740</v>
      </c>
      <c r="M3663" s="192">
        <f t="shared" si="171"/>
        <v>15</v>
      </c>
      <c r="N3663" s="193">
        <f t="shared" si="172"/>
        <v>1.461111111111111</v>
      </c>
      <c r="O3663" s="194">
        <f t="shared" si="173"/>
        <v>9.7407407407407401E-2</v>
      </c>
    </row>
    <row r="3664" spans="1:15" ht="12.75" customHeight="1">
      <c r="A3664" s="188" t="s">
        <v>620</v>
      </c>
      <c r="B3664" s="188" t="s">
        <v>4996</v>
      </c>
      <c r="C3664" s="188" t="s">
        <v>678</v>
      </c>
      <c r="D3664" s="188" t="s">
        <v>5412</v>
      </c>
      <c r="E3664" s="189">
        <v>39261</v>
      </c>
      <c r="F3664" s="190">
        <v>0</v>
      </c>
      <c r="G3664" s="190">
        <v>72.319999999999993</v>
      </c>
      <c r="H3664" s="191">
        <v>1147.99</v>
      </c>
      <c r="I3664" s="191">
        <v>271.2</v>
      </c>
      <c r="J3664" s="188" t="s">
        <v>624</v>
      </c>
      <c r="K3664" s="188" t="s">
        <v>652</v>
      </c>
      <c r="L3664" s="188" t="s">
        <v>5413</v>
      </c>
      <c r="M3664" s="192">
        <f t="shared" si="171"/>
        <v>13</v>
      </c>
      <c r="N3664" s="193">
        <f t="shared" si="172"/>
        <v>1.2699004424778761</v>
      </c>
      <c r="O3664" s="194">
        <f t="shared" si="173"/>
        <v>9.7684649421375086E-2</v>
      </c>
    </row>
    <row r="3665" spans="1:15" ht="12.75" customHeight="1">
      <c r="A3665" s="188" t="s">
        <v>620</v>
      </c>
      <c r="B3665" s="188" t="s">
        <v>4996</v>
      </c>
      <c r="C3665" s="188" t="s">
        <v>678</v>
      </c>
      <c r="D3665" s="188" t="s">
        <v>5414</v>
      </c>
      <c r="E3665" s="189">
        <v>39548</v>
      </c>
      <c r="F3665" s="190">
        <v>0</v>
      </c>
      <c r="G3665" s="190">
        <v>69.44</v>
      </c>
      <c r="H3665" s="191">
        <v>1102.5</v>
      </c>
      <c r="I3665" s="191">
        <v>260.39999999999998</v>
      </c>
      <c r="J3665" s="188" t="s">
        <v>624</v>
      </c>
      <c r="K3665" s="188" t="s">
        <v>652</v>
      </c>
      <c r="L3665" s="188" t="s">
        <v>5415</v>
      </c>
      <c r="M3665" s="192">
        <f t="shared" si="171"/>
        <v>13</v>
      </c>
      <c r="N3665" s="193">
        <f t="shared" si="172"/>
        <v>1.2701612903225807</v>
      </c>
      <c r="O3665" s="194">
        <f t="shared" si="173"/>
        <v>9.7704714640198517E-2</v>
      </c>
    </row>
    <row r="3666" spans="1:15" ht="12.75" customHeight="1">
      <c r="A3666" s="188" t="s">
        <v>620</v>
      </c>
      <c r="B3666" s="188" t="s">
        <v>4996</v>
      </c>
      <c r="C3666" s="188" t="s">
        <v>678</v>
      </c>
      <c r="D3666" s="188" t="s">
        <v>5416</v>
      </c>
      <c r="E3666" s="189">
        <v>39541</v>
      </c>
      <c r="F3666" s="190">
        <v>0</v>
      </c>
      <c r="G3666" s="190">
        <v>56.88</v>
      </c>
      <c r="H3666" s="191">
        <v>1045.17</v>
      </c>
      <c r="I3666" s="191">
        <v>213.3</v>
      </c>
      <c r="J3666" s="188" t="s">
        <v>624</v>
      </c>
      <c r="K3666" s="188" t="s">
        <v>571</v>
      </c>
      <c r="L3666" s="188" t="s">
        <v>5417</v>
      </c>
      <c r="M3666" s="192">
        <f t="shared" si="171"/>
        <v>15</v>
      </c>
      <c r="N3666" s="193">
        <f t="shared" si="172"/>
        <v>1.4700000000000002</v>
      </c>
      <c r="O3666" s="194">
        <f t="shared" si="173"/>
        <v>9.8000000000000018E-2</v>
      </c>
    </row>
    <row r="3667" spans="1:15" ht="12.75" customHeight="1">
      <c r="A3667" s="188" t="s">
        <v>620</v>
      </c>
      <c r="B3667" s="188" t="s">
        <v>4996</v>
      </c>
      <c r="C3667" s="188" t="s">
        <v>678</v>
      </c>
      <c r="D3667" s="188" t="s">
        <v>5418</v>
      </c>
      <c r="E3667" s="189">
        <v>39443</v>
      </c>
      <c r="F3667" s="190">
        <v>0</v>
      </c>
      <c r="G3667" s="190">
        <v>58.48</v>
      </c>
      <c r="H3667" s="191">
        <v>935</v>
      </c>
      <c r="I3667" s="191">
        <v>219.3</v>
      </c>
      <c r="J3667" s="188" t="s">
        <v>624</v>
      </c>
      <c r="K3667" s="188" t="s">
        <v>652</v>
      </c>
      <c r="L3667" s="188" t="s">
        <v>5419</v>
      </c>
      <c r="M3667" s="192">
        <f t="shared" si="171"/>
        <v>13</v>
      </c>
      <c r="N3667" s="193">
        <f t="shared" si="172"/>
        <v>1.2790697674418605</v>
      </c>
      <c r="O3667" s="194">
        <f t="shared" si="173"/>
        <v>9.838998211091235E-2</v>
      </c>
    </row>
    <row r="3668" spans="1:15" ht="12.75" customHeight="1">
      <c r="A3668" s="188" t="s">
        <v>620</v>
      </c>
      <c r="B3668" s="188" t="s">
        <v>4996</v>
      </c>
      <c r="C3668" s="188" t="s">
        <v>678</v>
      </c>
      <c r="D3668" s="188" t="s">
        <v>5420</v>
      </c>
      <c r="E3668" s="189">
        <v>39226</v>
      </c>
      <c r="F3668" s="190">
        <v>0</v>
      </c>
      <c r="G3668" s="190">
        <v>94.72</v>
      </c>
      <c r="H3668" s="191">
        <v>1515.05</v>
      </c>
      <c r="I3668" s="191">
        <v>355.2</v>
      </c>
      <c r="J3668" s="188" t="s">
        <v>624</v>
      </c>
      <c r="K3668" s="188" t="s">
        <v>652</v>
      </c>
      <c r="L3668" s="188" t="s">
        <v>3156</v>
      </c>
      <c r="M3668" s="192">
        <f t="shared" si="171"/>
        <v>13</v>
      </c>
      <c r="N3668" s="193">
        <f t="shared" si="172"/>
        <v>1.2796030405405405</v>
      </c>
      <c r="O3668" s="194">
        <f t="shared" si="173"/>
        <v>9.8431003118503113E-2</v>
      </c>
    </row>
    <row r="3669" spans="1:15" ht="12.75" customHeight="1">
      <c r="A3669" s="188" t="s">
        <v>620</v>
      </c>
      <c r="B3669" s="188" t="s">
        <v>4996</v>
      </c>
      <c r="C3669" s="188" t="s">
        <v>678</v>
      </c>
      <c r="D3669" s="188" t="s">
        <v>5421</v>
      </c>
      <c r="E3669" s="189">
        <v>39219</v>
      </c>
      <c r="F3669" s="190">
        <v>0</v>
      </c>
      <c r="G3669" s="190">
        <v>96</v>
      </c>
      <c r="H3669" s="191">
        <v>1536</v>
      </c>
      <c r="I3669" s="191">
        <v>360</v>
      </c>
      <c r="J3669" s="188" t="s">
        <v>624</v>
      </c>
      <c r="K3669" s="188" t="s">
        <v>652</v>
      </c>
      <c r="L3669" s="188" t="s">
        <v>632</v>
      </c>
      <c r="M3669" s="192">
        <f t="shared" si="171"/>
        <v>13</v>
      </c>
      <c r="N3669" s="193">
        <f t="shared" si="172"/>
        <v>1.28</v>
      </c>
      <c r="O3669" s="194">
        <f t="shared" si="173"/>
        <v>9.8461538461538461E-2</v>
      </c>
    </row>
    <row r="3670" spans="1:15" ht="12.75" customHeight="1">
      <c r="A3670" s="188" t="s">
        <v>620</v>
      </c>
      <c r="B3670" s="188" t="s">
        <v>4996</v>
      </c>
      <c r="C3670" s="188" t="s">
        <v>678</v>
      </c>
      <c r="D3670" s="188" t="s">
        <v>5422</v>
      </c>
      <c r="E3670" s="189">
        <v>39597</v>
      </c>
      <c r="F3670" s="190">
        <v>0</v>
      </c>
      <c r="G3670" s="190">
        <v>123.2</v>
      </c>
      <c r="H3670" s="191">
        <v>1974</v>
      </c>
      <c r="I3670" s="191">
        <v>462</v>
      </c>
      <c r="J3670" s="188" t="s">
        <v>624</v>
      </c>
      <c r="K3670" s="188" t="s">
        <v>652</v>
      </c>
      <c r="L3670" s="188" t="s">
        <v>892</v>
      </c>
      <c r="M3670" s="192">
        <f t="shared" si="171"/>
        <v>13</v>
      </c>
      <c r="N3670" s="193">
        <f t="shared" si="172"/>
        <v>1.2818181818181817</v>
      </c>
      <c r="O3670" s="194">
        <f t="shared" si="173"/>
        <v>9.860139860139859E-2</v>
      </c>
    </row>
    <row r="3671" spans="1:15" ht="12.75" customHeight="1">
      <c r="A3671" s="188" t="s">
        <v>620</v>
      </c>
      <c r="B3671" s="188" t="s">
        <v>4996</v>
      </c>
      <c r="C3671" s="188" t="s">
        <v>678</v>
      </c>
      <c r="D3671" s="188" t="s">
        <v>5423</v>
      </c>
      <c r="E3671" s="189">
        <v>39541</v>
      </c>
      <c r="F3671" s="190">
        <v>0</v>
      </c>
      <c r="G3671" s="190">
        <v>133.91999999999999</v>
      </c>
      <c r="H3671" s="191">
        <v>2154.73</v>
      </c>
      <c r="I3671" s="191">
        <v>502.2</v>
      </c>
      <c r="J3671" s="188" t="s">
        <v>624</v>
      </c>
      <c r="K3671" s="188" t="s">
        <v>652</v>
      </c>
      <c r="L3671" s="188" t="s">
        <v>4264</v>
      </c>
      <c r="M3671" s="192">
        <f t="shared" si="171"/>
        <v>13</v>
      </c>
      <c r="N3671" s="193">
        <f t="shared" si="172"/>
        <v>1.2871744324970131</v>
      </c>
      <c r="O3671" s="194">
        <f t="shared" si="173"/>
        <v>9.9013417884385627E-2</v>
      </c>
    </row>
    <row r="3672" spans="1:15" ht="12.75" customHeight="1">
      <c r="A3672" s="188" t="s">
        <v>620</v>
      </c>
      <c r="B3672" s="188" t="s">
        <v>4996</v>
      </c>
      <c r="C3672" s="188" t="s">
        <v>678</v>
      </c>
      <c r="D3672" s="188" t="s">
        <v>5424</v>
      </c>
      <c r="E3672" s="189">
        <v>39395</v>
      </c>
      <c r="F3672" s="190">
        <v>0</v>
      </c>
      <c r="G3672" s="190">
        <v>83.36</v>
      </c>
      <c r="H3672" s="191">
        <v>1342</v>
      </c>
      <c r="I3672" s="191">
        <v>312.60000000000002</v>
      </c>
      <c r="J3672" s="188" t="s">
        <v>624</v>
      </c>
      <c r="K3672" s="188" t="s">
        <v>652</v>
      </c>
      <c r="L3672" s="188" t="s">
        <v>5425</v>
      </c>
      <c r="M3672" s="192">
        <f t="shared" si="171"/>
        <v>13</v>
      </c>
      <c r="N3672" s="193">
        <f t="shared" si="172"/>
        <v>1.2879078694817658</v>
      </c>
      <c r="O3672" s="194">
        <f t="shared" si="173"/>
        <v>9.9069836113981985E-2</v>
      </c>
    </row>
    <row r="3673" spans="1:15" ht="12.75" customHeight="1">
      <c r="A3673" s="188" t="s">
        <v>620</v>
      </c>
      <c r="B3673" s="188" t="s">
        <v>4996</v>
      </c>
      <c r="C3673" s="188" t="s">
        <v>678</v>
      </c>
      <c r="D3673" s="188" t="s">
        <v>5426</v>
      </c>
      <c r="E3673" s="189">
        <v>39429</v>
      </c>
      <c r="F3673" s="190">
        <v>0</v>
      </c>
      <c r="G3673" s="190">
        <v>86.96</v>
      </c>
      <c r="H3673" s="191">
        <v>1185</v>
      </c>
      <c r="I3673" s="191">
        <v>326.10000000000002</v>
      </c>
      <c r="J3673" s="188" t="s">
        <v>624</v>
      </c>
      <c r="K3673" s="188" t="s">
        <v>639</v>
      </c>
      <c r="L3673" s="188" t="s">
        <v>5427</v>
      </c>
      <c r="M3673" s="192">
        <f t="shared" si="171"/>
        <v>11</v>
      </c>
      <c r="N3673" s="193">
        <f t="shared" si="172"/>
        <v>1.0901563937442502</v>
      </c>
      <c r="O3673" s="194">
        <f t="shared" si="173"/>
        <v>9.9105126704022745E-2</v>
      </c>
    </row>
    <row r="3674" spans="1:15" ht="12.75" customHeight="1">
      <c r="A3674" s="188" t="s">
        <v>620</v>
      </c>
      <c r="B3674" s="188" t="s">
        <v>4996</v>
      </c>
      <c r="C3674" s="188" t="s">
        <v>678</v>
      </c>
      <c r="D3674" s="188" t="s">
        <v>5428</v>
      </c>
      <c r="E3674" s="189">
        <v>39447</v>
      </c>
      <c r="F3674" s="190">
        <v>0</v>
      </c>
      <c r="G3674" s="190">
        <v>51.36</v>
      </c>
      <c r="H3674" s="191">
        <v>700</v>
      </c>
      <c r="I3674" s="191">
        <v>192.6</v>
      </c>
      <c r="J3674" s="188" t="s">
        <v>624</v>
      </c>
      <c r="K3674" s="188" t="s">
        <v>639</v>
      </c>
      <c r="L3674" s="188" t="s">
        <v>5429</v>
      </c>
      <c r="M3674" s="192">
        <f t="shared" si="171"/>
        <v>11</v>
      </c>
      <c r="N3674" s="193">
        <f t="shared" si="172"/>
        <v>1.0903426791277258</v>
      </c>
      <c r="O3674" s="194">
        <f t="shared" si="173"/>
        <v>9.912206173888416E-2</v>
      </c>
    </row>
    <row r="3675" spans="1:15" ht="12.75" customHeight="1">
      <c r="A3675" s="188" t="s">
        <v>620</v>
      </c>
      <c r="B3675" s="188" t="s">
        <v>4996</v>
      </c>
      <c r="C3675" s="188" t="s">
        <v>678</v>
      </c>
      <c r="D3675" s="188" t="s">
        <v>5430</v>
      </c>
      <c r="E3675" s="189">
        <v>39395</v>
      </c>
      <c r="F3675" s="190">
        <v>0</v>
      </c>
      <c r="G3675" s="190">
        <v>57.28</v>
      </c>
      <c r="H3675" s="191">
        <v>781</v>
      </c>
      <c r="I3675" s="191">
        <v>214.8</v>
      </c>
      <c r="J3675" s="188" t="s">
        <v>624</v>
      </c>
      <c r="K3675" s="188" t="s">
        <v>639</v>
      </c>
      <c r="L3675" s="188" t="s">
        <v>5431</v>
      </c>
      <c r="M3675" s="192">
        <f t="shared" si="171"/>
        <v>11</v>
      </c>
      <c r="N3675" s="193">
        <f t="shared" si="172"/>
        <v>1.0907821229050279</v>
      </c>
      <c r="O3675" s="194">
        <f t="shared" si="173"/>
        <v>9.916201117318435E-2</v>
      </c>
    </row>
    <row r="3676" spans="1:15" ht="12.75" customHeight="1">
      <c r="A3676" s="188" t="s">
        <v>620</v>
      </c>
      <c r="B3676" s="188" t="s">
        <v>4996</v>
      </c>
      <c r="C3676" s="188" t="s">
        <v>678</v>
      </c>
      <c r="D3676" s="188" t="s">
        <v>5432</v>
      </c>
      <c r="E3676" s="189">
        <v>39541</v>
      </c>
      <c r="F3676" s="190">
        <v>0</v>
      </c>
      <c r="G3676" s="190">
        <v>92.96</v>
      </c>
      <c r="H3676" s="191">
        <v>1730</v>
      </c>
      <c r="I3676" s="191">
        <v>348.6</v>
      </c>
      <c r="J3676" s="188" t="s">
        <v>624</v>
      </c>
      <c r="K3676" s="188" t="s">
        <v>571</v>
      </c>
      <c r="L3676" s="188" t="s">
        <v>346</v>
      </c>
      <c r="M3676" s="192">
        <f t="shared" si="171"/>
        <v>15</v>
      </c>
      <c r="N3676" s="193">
        <f t="shared" si="172"/>
        <v>1.4888123924268502</v>
      </c>
      <c r="O3676" s="194">
        <f t="shared" si="173"/>
        <v>9.925415949512334E-2</v>
      </c>
    </row>
    <row r="3677" spans="1:15" ht="12.75" customHeight="1">
      <c r="A3677" s="188" t="s">
        <v>620</v>
      </c>
      <c r="B3677" s="188" t="s">
        <v>4996</v>
      </c>
      <c r="C3677" s="188" t="s">
        <v>678</v>
      </c>
      <c r="D3677" s="188" t="s">
        <v>5433</v>
      </c>
      <c r="E3677" s="189">
        <v>39562</v>
      </c>
      <c r="F3677" s="190">
        <v>0</v>
      </c>
      <c r="G3677" s="190">
        <v>86</v>
      </c>
      <c r="H3677" s="191">
        <v>1390</v>
      </c>
      <c r="I3677" s="191">
        <v>322.5</v>
      </c>
      <c r="J3677" s="188" t="s">
        <v>624</v>
      </c>
      <c r="K3677" s="188" t="s">
        <v>652</v>
      </c>
      <c r="L3677" s="188" t="s">
        <v>1168</v>
      </c>
      <c r="M3677" s="192">
        <f t="shared" si="171"/>
        <v>13</v>
      </c>
      <c r="N3677" s="193">
        <f t="shared" si="172"/>
        <v>1.2930232558139534</v>
      </c>
      <c r="O3677" s="194">
        <f t="shared" si="173"/>
        <v>9.9463327370304111E-2</v>
      </c>
    </row>
    <row r="3678" spans="1:15" ht="12.75" customHeight="1">
      <c r="A3678" s="188" t="s">
        <v>620</v>
      </c>
      <c r="B3678" s="188" t="s">
        <v>4996</v>
      </c>
      <c r="C3678" s="188" t="s">
        <v>678</v>
      </c>
      <c r="D3678" s="188" t="s">
        <v>5434</v>
      </c>
      <c r="E3678" s="189">
        <v>39507</v>
      </c>
      <c r="F3678" s="190">
        <v>0</v>
      </c>
      <c r="G3678" s="190">
        <v>144</v>
      </c>
      <c r="H3678" s="191">
        <v>2331</v>
      </c>
      <c r="I3678" s="191">
        <v>540</v>
      </c>
      <c r="J3678" s="188" t="s">
        <v>624</v>
      </c>
      <c r="K3678" s="188" t="s">
        <v>652</v>
      </c>
      <c r="L3678" s="188" t="s">
        <v>718</v>
      </c>
      <c r="M3678" s="192">
        <f t="shared" si="171"/>
        <v>13</v>
      </c>
      <c r="N3678" s="193">
        <f t="shared" si="172"/>
        <v>1.2949999999999999</v>
      </c>
      <c r="O3678" s="194">
        <f t="shared" si="173"/>
        <v>9.9615384615384606E-2</v>
      </c>
    </row>
    <row r="3679" spans="1:15" ht="12.75" customHeight="1">
      <c r="A3679" s="188" t="s">
        <v>620</v>
      </c>
      <c r="B3679" s="188" t="s">
        <v>4996</v>
      </c>
      <c r="C3679" s="188" t="s">
        <v>678</v>
      </c>
      <c r="D3679" s="188" t="s">
        <v>5435</v>
      </c>
      <c r="E3679" s="189">
        <v>39597</v>
      </c>
      <c r="F3679" s="190">
        <v>0</v>
      </c>
      <c r="G3679" s="190">
        <v>90.32</v>
      </c>
      <c r="H3679" s="191">
        <v>1467</v>
      </c>
      <c r="I3679" s="191">
        <v>338.7</v>
      </c>
      <c r="J3679" s="188" t="s">
        <v>624</v>
      </c>
      <c r="K3679" s="188" t="s">
        <v>652</v>
      </c>
      <c r="L3679" s="188" t="s">
        <v>5436</v>
      </c>
      <c r="M3679" s="192">
        <f t="shared" si="171"/>
        <v>13</v>
      </c>
      <c r="N3679" s="193">
        <f t="shared" si="172"/>
        <v>1.2993799822852081</v>
      </c>
      <c r="O3679" s="194">
        <f t="shared" si="173"/>
        <v>9.9952306329631396E-2</v>
      </c>
    </row>
    <row r="3680" spans="1:15" ht="12.75" customHeight="1">
      <c r="A3680" s="188" t="s">
        <v>620</v>
      </c>
      <c r="B3680" s="188" t="s">
        <v>4996</v>
      </c>
      <c r="C3680" s="188" t="s">
        <v>678</v>
      </c>
      <c r="D3680" s="188" t="s">
        <v>5437</v>
      </c>
      <c r="E3680" s="189">
        <v>39353</v>
      </c>
      <c r="F3680" s="190">
        <v>0</v>
      </c>
      <c r="G3680" s="190">
        <v>113.28</v>
      </c>
      <c r="H3680" s="191">
        <v>1839.95</v>
      </c>
      <c r="I3680" s="191">
        <v>424.8</v>
      </c>
      <c r="J3680" s="188" t="s">
        <v>624</v>
      </c>
      <c r="K3680" s="188" t="s">
        <v>652</v>
      </c>
      <c r="L3680" s="188" t="s">
        <v>1048</v>
      </c>
      <c r="M3680" s="192">
        <f t="shared" si="171"/>
        <v>13</v>
      </c>
      <c r="N3680" s="193">
        <f t="shared" si="172"/>
        <v>1.2993997175141243</v>
      </c>
      <c r="O3680" s="194">
        <f t="shared" si="173"/>
        <v>9.9953824424163409E-2</v>
      </c>
    </row>
    <row r="3681" spans="1:15" ht="12.75" customHeight="1">
      <c r="A3681" s="188" t="s">
        <v>620</v>
      </c>
      <c r="B3681" s="188" t="s">
        <v>4996</v>
      </c>
      <c r="C3681" s="188" t="s">
        <v>678</v>
      </c>
      <c r="D3681" s="188" t="s">
        <v>5438</v>
      </c>
      <c r="E3681" s="189">
        <v>39261</v>
      </c>
      <c r="F3681" s="190">
        <v>0</v>
      </c>
      <c r="G3681" s="190">
        <v>65.92</v>
      </c>
      <c r="H3681" s="191">
        <v>1071.04</v>
      </c>
      <c r="I3681" s="191">
        <v>247.2</v>
      </c>
      <c r="J3681" s="188" t="s">
        <v>624</v>
      </c>
      <c r="K3681" s="188" t="s">
        <v>652</v>
      </c>
      <c r="L3681" s="188" t="s">
        <v>1675</v>
      </c>
      <c r="M3681" s="192">
        <f t="shared" si="171"/>
        <v>13</v>
      </c>
      <c r="N3681" s="193">
        <f t="shared" si="172"/>
        <v>1.2998058252427185</v>
      </c>
      <c r="O3681" s="194">
        <f t="shared" si="173"/>
        <v>9.9985063480209108E-2</v>
      </c>
    </row>
    <row r="3682" spans="1:15" ht="12.75" customHeight="1">
      <c r="A3682" s="188" t="s">
        <v>620</v>
      </c>
      <c r="B3682" s="188" t="s">
        <v>4996</v>
      </c>
      <c r="C3682" s="188" t="s">
        <v>678</v>
      </c>
      <c r="D3682" s="188" t="s">
        <v>5439</v>
      </c>
      <c r="E3682" s="189">
        <v>39380</v>
      </c>
      <c r="F3682" s="190">
        <v>0</v>
      </c>
      <c r="G3682" s="190">
        <v>40</v>
      </c>
      <c r="H3682" s="191">
        <v>600</v>
      </c>
      <c r="I3682" s="191">
        <v>150</v>
      </c>
      <c r="J3682" s="188" t="s">
        <v>624</v>
      </c>
      <c r="K3682" s="188" t="s">
        <v>361</v>
      </c>
      <c r="L3682" s="188" t="s">
        <v>858</v>
      </c>
      <c r="M3682" s="192">
        <f t="shared" si="171"/>
        <v>12</v>
      </c>
      <c r="N3682" s="193">
        <f t="shared" si="172"/>
        <v>1.2</v>
      </c>
      <c r="O3682" s="194">
        <f t="shared" si="173"/>
        <v>9.9999999999999992E-2</v>
      </c>
    </row>
    <row r="3683" spans="1:15" ht="12.75" customHeight="1">
      <c r="A3683" s="188" t="s">
        <v>620</v>
      </c>
      <c r="B3683" s="188" t="s">
        <v>4996</v>
      </c>
      <c r="C3683" s="188" t="s">
        <v>678</v>
      </c>
      <c r="D3683" s="188" t="s">
        <v>5440</v>
      </c>
      <c r="E3683" s="189">
        <v>39219</v>
      </c>
      <c r="F3683" s="190">
        <v>0</v>
      </c>
      <c r="G3683" s="190">
        <v>60</v>
      </c>
      <c r="H3683" s="191">
        <v>825</v>
      </c>
      <c r="I3683" s="191">
        <v>225</v>
      </c>
      <c r="J3683" s="188" t="s">
        <v>624</v>
      </c>
      <c r="K3683" s="188" t="s">
        <v>639</v>
      </c>
      <c r="L3683" s="188" t="s">
        <v>1058</v>
      </c>
      <c r="M3683" s="192">
        <f t="shared" si="171"/>
        <v>11</v>
      </c>
      <c r="N3683" s="193">
        <f t="shared" si="172"/>
        <v>1.1000000000000001</v>
      </c>
      <c r="O3683" s="194">
        <f t="shared" si="173"/>
        <v>0.1</v>
      </c>
    </row>
    <row r="3684" spans="1:15" ht="12.75" customHeight="1">
      <c r="A3684" s="188" t="s">
        <v>620</v>
      </c>
      <c r="B3684" s="188" t="s">
        <v>4996</v>
      </c>
      <c r="C3684" s="188" t="s">
        <v>678</v>
      </c>
      <c r="D3684" s="188" t="s">
        <v>5441</v>
      </c>
      <c r="E3684" s="189">
        <v>39310</v>
      </c>
      <c r="F3684" s="190">
        <v>0</v>
      </c>
      <c r="G3684" s="190">
        <v>44</v>
      </c>
      <c r="H3684" s="191">
        <v>825</v>
      </c>
      <c r="I3684" s="191">
        <v>165</v>
      </c>
      <c r="J3684" s="188" t="s">
        <v>624</v>
      </c>
      <c r="K3684" s="188" t="s">
        <v>571</v>
      </c>
      <c r="L3684" s="188" t="s">
        <v>1873</v>
      </c>
      <c r="M3684" s="192">
        <f t="shared" si="171"/>
        <v>15</v>
      </c>
      <c r="N3684" s="193">
        <f t="shared" si="172"/>
        <v>1.5</v>
      </c>
      <c r="O3684" s="194">
        <f t="shared" si="173"/>
        <v>0.1</v>
      </c>
    </row>
    <row r="3685" spans="1:15" ht="12.75" customHeight="1">
      <c r="A3685" s="188" t="s">
        <v>620</v>
      </c>
      <c r="B3685" s="188" t="s">
        <v>4996</v>
      </c>
      <c r="C3685" s="188" t="s">
        <v>678</v>
      </c>
      <c r="D3685" s="188" t="s">
        <v>5442</v>
      </c>
      <c r="E3685" s="189">
        <v>39310</v>
      </c>
      <c r="F3685" s="190">
        <v>0</v>
      </c>
      <c r="G3685" s="190">
        <v>62.4</v>
      </c>
      <c r="H3685" s="191">
        <v>1170</v>
      </c>
      <c r="I3685" s="191">
        <v>234</v>
      </c>
      <c r="J3685" s="188" t="s">
        <v>624</v>
      </c>
      <c r="K3685" s="188" t="s">
        <v>571</v>
      </c>
      <c r="L3685" s="188" t="s">
        <v>656</v>
      </c>
      <c r="M3685" s="192">
        <f t="shared" si="171"/>
        <v>15</v>
      </c>
      <c r="N3685" s="193">
        <f t="shared" si="172"/>
        <v>1.5</v>
      </c>
      <c r="O3685" s="194">
        <f t="shared" si="173"/>
        <v>0.1</v>
      </c>
    </row>
    <row r="3686" spans="1:15" ht="12.75" customHeight="1">
      <c r="A3686" s="188" t="s">
        <v>620</v>
      </c>
      <c r="B3686" s="188" t="s">
        <v>4996</v>
      </c>
      <c r="C3686" s="188" t="s">
        <v>678</v>
      </c>
      <c r="D3686" s="188" t="s">
        <v>5443</v>
      </c>
      <c r="E3686" s="189">
        <v>39345</v>
      </c>
      <c r="F3686" s="190">
        <v>0</v>
      </c>
      <c r="G3686" s="190">
        <v>88</v>
      </c>
      <c r="H3686" s="191">
        <v>1650</v>
      </c>
      <c r="I3686" s="191">
        <v>330</v>
      </c>
      <c r="J3686" s="188" t="s">
        <v>624</v>
      </c>
      <c r="K3686" s="188" t="s">
        <v>571</v>
      </c>
      <c r="L3686" s="188" t="s">
        <v>557</v>
      </c>
      <c r="M3686" s="192">
        <f t="shared" si="171"/>
        <v>15</v>
      </c>
      <c r="N3686" s="193">
        <f t="shared" si="172"/>
        <v>1.5</v>
      </c>
      <c r="O3686" s="194">
        <f t="shared" si="173"/>
        <v>0.1</v>
      </c>
    </row>
    <row r="3687" spans="1:15" ht="12.75" customHeight="1">
      <c r="A3687" s="188" t="s">
        <v>620</v>
      </c>
      <c r="B3687" s="188" t="s">
        <v>4996</v>
      </c>
      <c r="C3687" s="188" t="s">
        <v>678</v>
      </c>
      <c r="D3687" s="188" t="s">
        <v>5444</v>
      </c>
      <c r="E3687" s="189">
        <v>39485</v>
      </c>
      <c r="F3687" s="190">
        <v>0</v>
      </c>
      <c r="G3687" s="190">
        <v>112</v>
      </c>
      <c r="H3687" s="191">
        <v>2100</v>
      </c>
      <c r="I3687" s="191">
        <v>420</v>
      </c>
      <c r="J3687" s="188" t="s">
        <v>624</v>
      </c>
      <c r="K3687" s="188" t="s">
        <v>571</v>
      </c>
      <c r="L3687" s="188" t="s">
        <v>754</v>
      </c>
      <c r="M3687" s="192">
        <f t="shared" si="171"/>
        <v>15</v>
      </c>
      <c r="N3687" s="193">
        <f t="shared" si="172"/>
        <v>1.5</v>
      </c>
      <c r="O3687" s="194">
        <f t="shared" si="173"/>
        <v>0.1</v>
      </c>
    </row>
    <row r="3688" spans="1:15" ht="12.75" customHeight="1">
      <c r="A3688" s="188" t="s">
        <v>620</v>
      </c>
      <c r="B3688" s="188" t="s">
        <v>4996</v>
      </c>
      <c r="C3688" s="188" t="s">
        <v>678</v>
      </c>
      <c r="D3688" s="188" t="s">
        <v>5445</v>
      </c>
      <c r="E3688" s="189">
        <v>39576</v>
      </c>
      <c r="F3688" s="190">
        <v>0</v>
      </c>
      <c r="G3688" s="190">
        <v>80</v>
      </c>
      <c r="H3688" s="191">
        <v>1500</v>
      </c>
      <c r="I3688" s="191">
        <v>300</v>
      </c>
      <c r="J3688" s="188" t="s">
        <v>624</v>
      </c>
      <c r="K3688" s="188" t="s">
        <v>571</v>
      </c>
      <c r="L3688" s="188" t="s">
        <v>636</v>
      </c>
      <c r="M3688" s="192">
        <f t="shared" si="171"/>
        <v>15</v>
      </c>
      <c r="N3688" s="193">
        <f t="shared" si="172"/>
        <v>1.5</v>
      </c>
      <c r="O3688" s="194">
        <f t="shared" si="173"/>
        <v>0.1</v>
      </c>
    </row>
    <row r="3689" spans="1:15" ht="12.75" customHeight="1">
      <c r="A3689" s="188" t="s">
        <v>620</v>
      </c>
      <c r="B3689" s="188" t="s">
        <v>4996</v>
      </c>
      <c r="C3689" s="188" t="s">
        <v>678</v>
      </c>
      <c r="D3689" s="188" t="s">
        <v>5446</v>
      </c>
      <c r="E3689" s="189">
        <v>39639</v>
      </c>
      <c r="F3689" s="190">
        <v>0</v>
      </c>
      <c r="G3689" s="190">
        <v>70.400000000000006</v>
      </c>
      <c r="H3689" s="191">
        <v>1144</v>
      </c>
      <c r="I3689" s="191">
        <v>264</v>
      </c>
      <c r="J3689" s="188" t="s">
        <v>624</v>
      </c>
      <c r="K3689" s="188" t="s">
        <v>652</v>
      </c>
      <c r="L3689" s="188" t="s">
        <v>1213</v>
      </c>
      <c r="M3689" s="192">
        <f t="shared" si="171"/>
        <v>13</v>
      </c>
      <c r="N3689" s="193">
        <f t="shared" si="172"/>
        <v>1.3</v>
      </c>
      <c r="O3689" s="194">
        <f t="shared" si="173"/>
        <v>0.1</v>
      </c>
    </row>
    <row r="3690" spans="1:15" ht="12.75" customHeight="1">
      <c r="A3690" s="188" t="s">
        <v>620</v>
      </c>
      <c r="B3690" s="188" t="s">
        <v>4996</v>
      </c>
      <c r="C3690" s="188" t="s">
        <v>678</v>
      </c>
      <c r="D3690" s="188" t="s">
        <v>5447</v>
      </c>
      <c r="E3690" s="189">
        <v>39618</v>
      </c>
      <c r="F3690" s="190">
        <v>0</v>
      </c>
      <c r="G3690" s="190">
        <v>30.08</v>
      </c>
      <c r="H3690" s="191">
        <v>564</v>
      </c>
      <c r="I3690" s="191">
        <v>112.8</v>
      </c>
      <c r="J3690" s="188" t="s">
        <v>624</v>
      </c>
      <c r="K3690" s="188" t="s">
        <v>571</v>
      </c>
      <c r="L3690" s="188" t="s">
        <v>4932</v>
      </c>
      <c r="M3690" s="192">
        <f t="shared" si="171"/>
        <v>15</v>
      </c>
      <c r="N3690" s="193">
        <f t="shared" si="172"/>
        <v>1.5</v>
      </c>
      <c r="O3690" s="194">
        <f t="shared" si="173"/>
        <v>0.1</v>
      </c>
    </row>
    <row r="3691" spans="1:15" ht="12.75" customHeight="1">
      <c r="A3691" s="188" t="s">
        <v>620</v>
      </c>
      <c r="B3691" s="188" t="s">
        <v>4996</v>
      </c>
      <c r="C3691" s="188" t="s">
        <v>678</v>
      </c>
      <c r="D3691" s="188" t="s">
        <v>5448</v>
      </c>
      <c r="E3691" s="189">
        <v>39527</v>
      </c>
      <c r="F3691" s="190">
        <v>0</v>
      </c>
      <c r="G3691" s="190">
        <v>70.8</v>
      </c>
      <c r="H3691" s="191">
        <v>974</v>
      </c>
      <c r="I3691" s="191">
        <v>265.5</v>
      </c>
      <c r="J3691" s="188" t="s">
        <v>624</v>
      </c>
      <c r="K3691" s="188" t="s">
        <v>639</v>
      </c>
      <c r="L3691" s="188" t="s">
        <v>5449</v>
      </c>
      <c r="M3691" s="192">
        <f t="shared" si="171"/>
        <v>11</v>
      </c>
      <c r="N3691" s="193">
        <f t="shared" si="172"/>
        <v>1.1005649717514123</v>
      </c>
      <c r="O3691" s="194">
        <f t="shared" si="173"/>
        <v>0.10005136106831021</v>
      </c>
    </row>
    <row r="3692" spans="1:15" ht="12.75" customHeight="1">
      <c r="A3692" s="188" t="s">
        <v>620</v>
      </c>
      <c r="B3692" s="188" t="s">
        <v>4996</v>
      </c>
      <c r="C3692" s="188" t="s">
        <v>678</v>
      </c>
      <c r="D3692" s="188" t="s">
        <v>5450</v>
      </c>
      <c r="E3692" s="189">
        <v>39317</v>
      </c>
      <c r="F3692" s="190">
        <v>0</v>
      </c>
      <c r="G3692" s="190">
        <v>57.12</v>
      </c>
      <c r="H3692" s="191">
        <v>928.99</v>
      </c>
      <c r="I3692" s="191">
        <v>214.2</v>
      </c>
      <c r="J3692" s="188" t="s">
        <v>624</v>
      </c>
      <c r="K3692" s="188" t="s">
        <v>652</v>
      </c>
      <c r="L3692" s="188" t="s">
        <v>2796</v>
      </c>
      <c r="M3692" s="192">
        <f t="shared" si="171"/>
        <v>13</v>
      </c>
      <c r="N3692" s="193">
        <f t="shared" si="172"/>
        <v>1.3011064425770309</v>
      </c>
      <c r="O3692" s="194">
        <f t="shared" si="173"/>
        <v>0.10008511096746392</v>
      </c>
    </row>
    <row r="3693" spans="1:15" ht="12.75" customHeight="1">
      <c r="A3693" s="188" t="s">
        <v>620</v>
      </c>
      <c r="B3693" s="188" t="s">
        <v>4996</v>
      </c>
      <c r="C3693" s="188" t="s">
        <v>678</v>
      </c>
      <c r="D3693" s="188" t="s">
        <v>5451</v>
      </c>
      <c r="E3693" s="189">
        <v>39339</v>
      </c>
      <c r="F3693" s="190">
        <v>0</v>
      </c>
      <c r="G3693" s="190">
        <v>94.72</v>
      </c>
      <c r="H3693" s="191">
        <v>1549.97</v>
      </c>
      <c r="I3693" s="191">
        <v>355.2</v>
      </c>
      <c r="J3693" s="188" t="s">
        <v>624</v>
      </c>
      <c r="K3693" s="188" t="s">
        <v>652</v>
      </c>
      <c r="L3693" s="188" t="s">
        <v>3156</v>
      </c>
      <c r="M3693" s="192">
        <f t="shared" si="171"/>
        <v>13</v>
      </c>
      <c r="N3693" s="193">
        <f t="shared" si="172"/>
        <v>1.3090962837837838</v>
      </c>
      <c r="O3693" s="194">
        <f t="shared" si="173"/>
        <v>0.10069971413721414</v>
      </c>
    </row>
    <row r="3694" spans="1:15" ht="12.75" customHeight="1">
      <c r="A3694" s="188" t="s">
        <v>620</v>
      </c>
      <c r="B3694" s="188" t="s">
        <v>4996</v>
      </c>
      <c r="C3694" s="188" t="s">
        <v>678</v>
      </c>
      <c r="D3694" s="188" t="s">
        <v>5452</v>
      </c>
      <c r="E3694" s="189">
        <v>39275</v>
      </c>
      <c r="F3694" s="190">
        <v>0</v>
      </c>
      <c r="G3694" s="190">
        <v>32</v>
      </c>
      <c r="H3694" s="191">
        <v>525</v>
      </c>
      <c r="I3694" s="191">
        <v>120</v>
      </c>
      <c r="J3694" s="188" t="s">
        <v>624</v>
      </c>
      <c r="K3694" s="188" t="s">
        <v>652</v>
      </c>
      <c r="L3694" s="188" t="s">
        <v>910</v>
      </c>
      <c r="M3694" s="192">
        <f t="shared" si="171"/>
        <v>13</v>
      </c>
      <c r="N3694" s="193">
        <f t="shared" si="172"/>
        <v>1.3125</v>
      </c>
      <c r="O3694" s="194">
        <f t="shared" si="173"/>
        <v>0.10096153846153846</v>
      </c>
    </row>
    <row r="3695" spans="1:15" ht="12.75" customHeight="1">
      <c r="A3695" s="188" t="s">
        <v>620</v>
      </c>
      <c r="B3695" s="188" t="s">
        <v>4996</v>
      </c>
      <c r="C3695" s="188" t="s">
        <v>678</v>
      </c>
      <c r="D3695" s="188" t="s">
        <v>5453</v>
      </c>
      <c r="E3695" s="189">
        <v>39541</v>
      </c>
      <c r="F3695" s="190">
        <v>0</v>
      </c>
      <c r="G3695" s="190">
        <v>56</v>
      </c>
      <c r="H3695" s="191">
        <v>850</v>
      </c>
      <c r="I3695" s="191">
        <v>210</v>
      </c>
      <c r="J3695" s="188" t="s">
        <v>624</v>
      </c>
      <c r="K3695" s="188" t="s">
        <v>361</v>
      </c>
      <c r="L3695" s="188" t="s">
        <v>1827</v>
      </c>
      <c r="M3695" s="192">
        <f t="shared" si="171"/>
        <v>12</v>
      </c>
      <c r="N3695" s="193">
        <f t="shared" si="172"/>
        <v>1.2142857142857142</v>
      </c>
      <c r="O3695" s="194">
        <f t="shared" si="173"/>
        <v>0.10119047619047618</v>
      </c>
    </row>
    <row r="3696" spans="1:15" ht="12.75" customHeight="1">
      <c r="A3696" s="188" t="s">
        <v>620</v>
      </c>
      <c r="B3696" s="188" t="s">
        <v>4996</v>
      </c>
      <c r="C3696" s="188" t="s">
        <v>678</v>
      </c>
      <c r="D3696" s="188" t="s">
        <v>5454</v>
      </c>
      <c r="E3696" s="189">
        <v>39380</v>
      </c>
      <c r="F3696" s="190">
        <v>0</v>
      </c>
      <c r="G3696" s="190">
        <v>120.96</v>
      </c>
      <c r="H3696" s="191">
        <v>1990</v>
      </c>
      <c r="I3696" s="191">
        <v>453.6</v>
      </c>
      <c r="J3696" s="188" t="s">
        <v>624</v>
      </c>
      <c r="K3696" s="188" t="s">
        <v>652</v>
      </c>
      <c r="L3696" s="188" t="s">
        <v>649</v>
      </c>
      <c r="M3696" s="192">
        <f t="shared" si="171"/>
        <v>13</v>
      </c>
      <c r="N3696" s="193">
        <f t="shared" si="172"/>
        <v>1.3161375661375661</v>
      </c>
      <c r="O3696" s="194">
        <f t="shared" si="173"/>
        <v>0.10124135124135124</v>
      </c>
    </row>
    <row r="3697" spans="1:15" ht="12.75" customHeight="1">
      <c r="A3697" s="188" t="s">
        <v>620</v>
      </c>
      <c r="B3697" s="188" t="s">
        <v>4996</v>
      </c>
      <c r="C3697" s="188" t="s">
        <v>678</v>
      </c>
      <c r="D3697" s="188" t="s">
        <v>5455</v>
      </c>
      <c r="E3697" s="189">
        <v>39226</v>
      </c>
      <c r="F3697" s="190">
        <v>0</v>
      </c>
      <c r="G3697" s="190">
        <v>139.04</v>
      </c>
      <c r="H3697" s="191">
        <v>2293.9899999999998</v>
      </c>
      <c r="I3697" s="191">
        <v>521.4</v>
      </c>
      <c r="J3697" s="188" t="s">
        <v>624</v>
      </c>
      <c r="K3697" s="188" t="s">
        <v>652</v>
      </c>
      <c r="L3697" s="188" t="s">
        <v>5456</v>
      </c>
      <c r="M3697" s="192">
        <f t="shared" si="171"/>
        <v>13</v>
      </c>
      <c r="N3697" s="193">
        <f t="shared" si="172"/>
        <v>1.3199021864211737</v>
      </c>
      <c r="O3697" s="194">
        <f t="shared" si="173"/>
        <v>0.10153093741701337</v>
      </c>
    </row>
    <row r="3698" spans="1:15" ht="12.75" customHeight="1">
      <c r="A3698" s="188" t="s">
        <v>620</v>
      </c>
      <c r="B3698" s="188" t="s">
        <v>4996</v>
      </c>
      <c r="C3698" s="188" t="s">
        <v>678</v>
      </c>
      <c r="D3698" s="188" t="s">
        <v>5457</v>
      </c>
      <c r="E3698" s="189">
        <v>39436</v>
      </c>
      <c r="F3698" s="190">
        <v>0</v>
      </c>
      <c r="G3698" s="190">
        <v>85.76</v>
      </c>
      <c r="H3698" s="191">
        <v>1418</v>
      </c>
      <c r="I3698" s="191">
        <v>321.60000000000002</v>
      </c>
      <c r="J3698" s="188" t="s">
        <v>624</v>
      </c>
      <c r="K3698" s="188" t="s">
        <v>652</v>
      </c>
      <c r="L3698" s="188" t="s">
        <v>5178</v>
      </c>
      <c r="M3698" s="192">
        <f t="shared" si="171"/>
        <v>13</v>
      </c>
      <c r="N3698" s="193">
        <f t="shared" si="172"/>
        <v>1.3227611940298507</v>
      </c>
      <c r="O3698" s="194">
        <f t="shared" si="173"/>
        <v>0.10175086107921928</v>
      </c>
    </row>
    <row r="3699" spans="1:15" ht="12.75" customHeight="1">
      <c r="A3699" s="188" t="s">
        <v>620</v>
      </c>
      <c r="B3699" s="188" t="s">
        <v>4996</v>
      </c>
      <c r="C3699" s="188" t="s">
        <v>678</v>
      </c>
      <c r="D3699" s="188" t="s">
        <v>5458</v>
      </c>
      <c r="E3699" s="189">
        <v>39422</v>
      </c>
      <c r="F3699" s="190">
        <v>0</v>
      </c>
      <c r="G3699" s="190">
        <v>87.36</v>
      </c>
      <c r="H3699" s="191">
        <v>1445</v>
      </c>
      <c r="I3699" s="191">
        <v>327.60000000000002</v>
      </c>
      <c r="J3699" s="188" t="s">
        <v>624</v>
      </c>
      <c r="K3699" s="188" t="s">
        <v>652</v>
      </c>
      <c r="L3699" s="188" t="s">
        <v>1686</v>
      </c>
      <c r="M3699" s="192">
        <f t="shared" si="171"/>
        <v>13</v>
      </c>
      <c r="N3699" s="193">
        <f t="shared" si="172"/>
        <v>1.3232600732600732</v>
      </c>
      <c r="O3699" s="194">
        <f t="shared" si="173"/>
        <v>0.10178923640462102</v>
      </c>
    </row>
    <row r="3700" spans="1:15" ht="12.75" customHeight="1">
      <c r="A3700" s="188" t="s">
        <v>620</v>
      </c>
      <c r="B3700" s="188" t="s">
        <v>4996</v>
      </c>
      <c r="C3700" s="188" t="s">
        <v>678</v>
      </c>
      <c r="D3700" s="188" t="s">
        <v>5459</v>
      </c>
      <c r="E3700" s="189">
        <v>39254</v>
      </c>
      <c r="F3700" s="190">
        <v>0</v>
      </c>
      <c r="G3700" s="190">
        <v>112.64</v>
      </c>
      <c r="H3700" s="191">
        <v>1866.02</v>
      </c>
      <c r="I3700" s="191">
        <v>422.4</v>
      </c>
      <c r="J3700" s="188" t="s">
        <v>624</v>
      </c>
      <c r="K3700" s="188" t="s">
        <v>652</v>
      </c>
      <c r="L3700" s="188" t="s">
        <v>5460</v>
      </c>
      <c r="M3700" s="192">
        <f t="shared" si="171"/>
        <v>13</v>
      </c>
      <c r="N3700" s="193">
        <f t="shared" si="172"/>
        <v>1.3252982954545454</v>
      </c>
      <c r="O3700" s="194">
        <f t="shared" si="173"/>
        <v>0.10194602272727273</v>
      </c>
    </row>
    <row r="3701" spans="1:15" ht="12.75" customHeight="1">
      <c r="A3701" s="188" t="s">
        <v>620</v>
      </c>
      <c r="B3701" s="188" t="s">
        <v>4996</v>
      </c>
      <c r="C3701" s="188" t="s">
        <v>678</v>
      </c>
      <c r="D3701" s="188" t="s">
        <v>5461</v>
      </c>
      <c r="E3701" s="189">
        <v>39366</v>
      </c>
      <c r="F3701" s="190">
        <v>0</v>
      </c>
      <c r="G3701" s="190">
        <v>84.96</v>
      </c>
      <c r="H3701" s="191">
        <v>1624.86</v>
      </c>
      <c r="I3701" s="191">
        <v>318.60000000000002</v>
      </c>
      <c r="J3701" s="188" t="s">
        <v>624</v>
      </c>
      <c r="K3701" s="188" t="s">
        <v>571</v>
      </c>
      <c r="L3701" s="188" t="s">
        <v>2076</v>
      </c>
      <c r="M3701" s="192">
        <f t="shared" si="171"/>
        <v>15</v>
      </c>
      <c r="N3701" s="193">
        <f t="shared" si="172"/>
        <v>1.5299999999999998</v>
      </c>
      <c r="O3701" s="194">
        <f t="shared" si="173"/>
        <v>0.10199999999999999</v>
      </c>
    </row>
    <row r="3702" spans="1:15" ht="12.75" customHeight="1">
      <c r="A3702" s="188" t="s">
        <v>620</v>
      </c>
      <c r="B3702" s="188" t="s">
        <v>4996</v>
      </c>
      <c r="C3702" s="188" t="s">
        <v>678</v>
      </c>
      <c r="D3702" s="188" t="s">
        <v>5462</v>
      </c>
      <c r="E3702" s="189">
        <v>39261</v>
      </c>
      <c r="F3702" s="190">
        <v>0</v>
      </c>
      <c r="G3702" s="190">
        <v>62.72</v>
      </c>
      <c r="H3702" s="191">
        <v>1039.98</v>
      </c>
      <c r="I3702" s="191">
        <v>235.2</v>
      </c>
      <c r="J3702" s="188" t="s">
        <v>624</v>
      </c>
      <c r="K3702" s="188" t="s">
        <v>652</v>
      </c>
      <c r="L3702" s="188" t="s">
        <v>713</v>
      </c>
      <c r="M3702" s="192">
        <f t="shared" si="171"/>
        <v>13</v>
      </c>
      <c r="N3702" s="193">
        <f t="shared" si="172"/>
        <v>1.3265051020408163</v>
      </c>
      <c r="O3702" s="194">
        <f t="shared" si="173"/>
        <v>0.10203885400313971</v>
      </c>
    </row>
    <row r="3703" spans="1:15" ht="12.75" customHeight="1">
      <c r="A3703" s="188" t="s">
        <v>620</v>
      </c>
      <c r="B3703" s="188" t="s">
        <v>4996</v>
      </c>
      <c r="C3703" s="188" t="s">
        <v>678</v>
      </c>
      <c r="D3703" s="188" t="s">
        <v>5463</v>
      </c>
      <c r="E3703" s="189">
        <v>39289</v>
      </c>
      <c r="F3703" s="190">
        <v>0</v>
      </c>
      <c r="G3703" s="190">
        <v>83.2</v>
      </c>
      <c r="H3703" s="191">
        <v>1387.05</v>
      </c>
      <c r="I3703" s="191">
        <v>312</v>
      </c>
      <c r="J3703" s="188" t="s">
        <v>624</v>
      </c>
      <c r="K3703" s="188" t="s">
        <v>652</v>
      </c>
      <c r="L3703" s="188" t="s">
        <v>808</v>
      </c>
      <c r="M3703" s="192">
        <f t="shared" si="171"/>
        <v>13</v>
      </c>
      <c r="N3703" s="193">
        <f t="shared" si="172"/>
        <v>1.3337019230769229</v>
      </c>
      <c r="O3703" s="194">
        <f t="shared" si="173"/>
        <v>0.10259245562130176</v>
      </c>
    </row>
    <row r="3704" spans="1:15" ht="12.75" customHeight="1">
      <c r="A3704" s="188" t="s">
        <v>620</v>
      </c>
      <c r="B3704" s="188" t="s">
        <v>4996</v>
      </c>
      <c r="C3704" s="188" t="s">
        <v>678</v>
      </c>
      <c r="D3704" s="188" t="s">
        <v>5464</v>
      </c>
      <c r="E3704" s="189">
        <v>39219</v>
      </c>
      <c r="F3704" s="190">
        <v>0</v>
      </c>
      <c r="G3704" s="190">
        <v>83.84</v>
      </c>
      <c r="H3704" s="191">
        <v>1184.24</v>
      </c>
      <c r="I3704" s="191">
        <v>314.39999999999998</v>
      </c>
      <c r="J3704" s="188" t="s">
        <v>624</v>
      </c>
      <c r="K3704" s="188" t="s">
        <v>639</v>
      </c>
      <c r="L3704" s="188" t="s">
        <v>1331</v>
      </c>
      <c r="M3704" s="192">
        <f t="shared" si="171"/>
        <v>11</v>
      </c>
      <c r="N3704" s="193">
        <f t="shared" si="172"/>
        <v>1.1300000000000001</v>
      </c>
      <c r="O3704" s="194">
        <f t="shared" si="173"/>
        <v>0.10272727272727274</v>
      </c>
    </row>
    <row r="3705" spans="1:15" ht="12.75" customHeight="1">
      <c r="A3705" s="188" t="s">
        <v>620</v>
      </c>
      <c r="B3705" s="188" t="s">
        <v>4996</v>
      </c>
      <c r="C3705" s="188" t="s">
        <v>678</v>
      </c>
      <c r="D3705" s="188" t="s">
        <v>5465</v>
      </c>
      <c r="E3705" s="189">
        <v>39447</v>
      </c>
      <c r="F3705" s="190">
        <v>0</v>
      </c>
      <c r="G3705" s="190">
        <v>86.16</v>
      </c>
      <c r="H3705" s="191">
        <v>1440</v>
      </c>
      <c r="I3705" s="191">
        <v>323.10000000000002</v>
      </c>
      <c r="J3705" s="188" t="s">
        <v>624</v>
      </c>
      <c r="K3705" s="188" t="s">
        <v>652</v>
      </c>
      <c r="L3705" s="188" t="s">
        <v>5466</v>
      </c>
      <c r="M3705" s="192">
        <f t="shared" si="171"/>
        <v>13</v>
      </c>
      <c r="N3705" s="193">
        <f t="shared" si="172"/>
        <v>1.3370473537604457</v>
      </c>
      <c r="O3705" s="194">
        <f t="shared" si="173"/>
        <v>0.10284979644311121</v>
      </c>
    </row>
    <row r="3706" spans="1:15" ht="12.75" customHeight="1">
      <c r="A3706" s="188" t="s">
        <v>620</v>
      </c>
      <c r="B3706" s="188" t="s">
        <v>4996</v>
      </c>
      <c r="C3706" s="188" t="s">
        <v>678</v>
      </c>
      <c r="D3706" s="188" t="s">
        <v>5467</v>
      </c>
      <c r="E3706" s="189">
        <v>39212</v>
      </c>
      <c r="F3706" s="190">
        <v>0</v>
      </c>
      <c r="G3706" s="190">
        <v>76.8</v>
      </c>
      <c r="H3706" s="191">
        <v>1286.4000000000001</v>
      </c>
      <c r="I3706" s="191">
        <v>288</v>
      </c>
      <c r="J3706" s="188" t="s">
        <v>624</v>
      </c>
      <c r="K3706" s="188" t="s">
        <v>652</v>
      </c>
      <c r="L3706" s="188" t="s">
        <v>1146</v>
      </c>
      <c r="M3706" s="192">
        <f t="shared" si="171"/>
        <v>13</v>
      </c>
      <c r="N3706" s="193">
        <f t="shared" si="172"/>
        <v>1.34</v>
      </c>
      <c r="O3706" s="194">
        <f t="shared" si="173"/>
        <v>0.10307692307692308</v>
      </c>
    </row>
    <row r="3707" spans="1:15" ht="12.75" customHeight="1">
      <c r="A3707" s="188" t="s">
        <v>620</v>
      </c>
      <c r="B3707" s="188" t="s">
        <v>4996</v>
      </c>
      <c r="C3707" s="188" t="s">
        <v>678</v>
      </c>
      <c r="D3707" s="188" t="s">
        <v>5468</v>
      </c>
      <c r="E3707" s="189">
        <v>39562</v>
      </c>
      <c r="F3707" s="190">
        <v>0</v>
      </c>
      <c r="G3707" s="190">
        <v>116</v>
      </c>
      <c r="H3707" s="191">
        <v>1945</v>
      </c>
      <c r="I3707" s="191">
        <v>435</v>
      </c>
      <c r="J3707" s="188" t="s">
        <v>624</v>
      </c>
      <c r="K3707" s="188" t="s">
        <v>652</v>
      </c>
      <c r="L3707" s="188" t="s">
        <v>920</v>
      </c>
      <c r="M3707" s="192">
        <f t="shared" si="171"/>
        <v>13</v>
      </c>
      <c r="N3707" s="193">
        <f t="shared" si="172"/>
        <v>1.3413793103448275</v>
      </c>
      <c r="O3707" s="194">
        <f t="shared" si="173"/>
        <v>0.10318302387267904</v>
      </c>
    </row>
    <row r="3708" spans="1:15" ht="12.75" customHeight="1">
      <c r="A3708" s="188" t="s">
        <v>620</v>
      </c>
      <c r="B3708" s="188" t="s">
        <v>4996</v>
      </c>
      <c r="C3708" s="188" t="s">
        <v>678</v>
      </c>
      <c r="D3708" s="188" t="s">
        <v>5469</v>
      </c>
      <c r="E3708" s="189">
        <v>39447</v>
      </c>
      <c r="F3708" s="190">
        <v>0</v>
      </c>
      <c r="G3708" s="190">
        <v>86.4</v>
      </c>
      <c r="H3708" s="191">
        <v>1450</v>
      </c>
      <c r="I3708" s="191">
        <v>324</v>
      </c>
      <c r="J3708" s="188" t="s">
        <v>624</v>
      </c>
      <c r="K3708" s="188" t="s">
        <v>652</v>
      </c>
      <c r="L3708" s="188" t="s">
        <v>817</v>
      </c>
      <c r="M3708" s="192">
        <f t="shared" si="171"/>
        <v>13</v>
      </c>
      <c r="N3708" s="193">
        <f t="shared" si="172"/>
        <v>1.3425925925925926</v>
      </c>
      <c r="O3708" s="194">
        <f t="shared" si="173"/>
        <v>0.10327635327635327</v>
      </c>
    </row>
    <row r="3709" spans="1:15" ht="12.75" customHeight="1">
      <c r="A3709" s="188" t="s">
        <v>620</v>
      </c>
      <c r="B3709" s="188" t="s">
        <v>4996</v>
      </c>
      <c r="C3709" s="188" t="s">
        <v>678</v>
      </c>
      <c r="D3709" s="188" t="s">
        <v>5470</v>
      </c>
      <c r="E3709" s="189">
        <v>39240</v>
      </c>
      <c r="F3709" s="190">
        <v>0</v>
      </c>
      <c r="G3709" s="190">
        <v>114.88</v>
      </c>
      <c r="H3709" s="191">
        <v>2225.8000000000002</v>
      </c>
      <c r="I3709" s="191">
        <v>430.8</v>
      </c>
      <c r="J3709" s="188" t="s">
        <v>624</v>
      </c>
      <c r="K3709" s="188" t="s">
        <v>571</v>
      </c>
      <c r="L3709" s="188" t="s">
        <v>577</v>
      </c>
      <c r="M3709" s="192">
        <f t="shared" si="171"/>
        <v>15</v>
      </c>
      <c r="N3709" s="193">
        <f t="shared" si="172"/>
        <v>1.55</v>
      </c>
      <c r="O3709" s="194">
        <f t="shared" si="173"/>
        <v>0.10333333333333333</v>
      </c>
    </row>
    <row r="3710" spans="1:15" ht="12.75" customHeight="1">
      <c r="A3710" s="188" t="s">
        <v>620</v>
      </c>
      <c r="B3710" s="188" t="s">
        <v>4996</v>
      </c>
      <c r="C3710" s="188" t="s">
        <v>678</v>
      </c>
      <c r="D3710" s="188" t="s">
        <v>5471</v>
      </c>
      <c r="E3710" s="189">
        <v>39339</v>
      </c>
      <c r="F3710" s="190">
        <v>0</v>
      </c>
      <c r="G3710" s="190">
        <v>53.44</v>
      </c>
      <c r="H3710" s="191">
        <v>901</v>
      </c>
      <c r="I3710" s="191">
        <v>200.4</v>
      </c>
      <c r="J3710" s="188" t="s">
        <v>624</v>
      </c>
      <c r="K3710" s="188" t="s">
        <v>652</v>
      </c>
      <c r="L3710" s="188" t="s">
        <v>524</v>
      </c>
      <c r="M3710" s="192">
        <f t="shared" si="171"/>
        <v>13</v>
      </c>
      <c r="N3710" s="193">
        <f t="shared" si="172"/>
        <v>1.3488023952095809</v>
      </c>
      <c r="O3710" s="194">
        <f t="shared" si="173"/>
        <v>0.103754030400737</v>
      </c>
    </row>
    <row r="3711" spans="1:15" ht="12.75" customHeight="1">
      <c r="A3711" s="188" t="s">
        <v>620</v>
      </c>
      <c r="B3711" s="188" t="s">
        <v>4996</v>
      </c>
      <c r="C3711" s="188" t="s">
        <v>678</v>
      </c>
      <c r="D3711" s="188" t="s">
        <v>5472</v>
      </c>
      <c r="E3711" s="189">
        <v>39331</v>
      </c>
      <c r="F3711" s="190">
        <v>0</v>
      </c>
      <c r="G3711" s="190">
        <v>55.92</v>
      </c>
      <c r="H3711" s="191">
        <v>943.02</v>
      </c>
      <c r="I3711" s="191">
        <v>209.7</v>
      </c>
      <c r="J3711" s="188" t="s">
        <v>624</v>
      </c>
      <c r="K3711" s="188" t="s">
        <v>652</v>
      </c>
      <c r="L3711" s="188" t="s">
        <v>326</v>
      </c>
      <c r="M3711" s="192">
        <f t="shared" si="171"/>
        <v>13</v>
      </c>
      <c r="N3711" s="193">
        <f t="shared" si="172"/>
        <v>1.3490987124463518</v>
      </c>
      <c r="O3711" s="194">
        <f t="shared" si="173"/>
        <v>0.10377682403433476</v>
      </c>
    </row>
    <row r="3712" spans="1:15" ht="12.75" customHeight="1">
      <c r="A3712" s="188" t="s">
        <v>620</v>
      </c>
      <c r="B3712" s="188" t="s">
        <v>4996</v>
      </c>
      <c r="C3712" s="188" t="s">
        <v>678</v>
      </c>
      <c r="D3712" s="188" t="s">
        <v>5473</v>
      </c>
      <c r="E3712" s="189">
        <v>39247</v>
      </c>
      <c r="F3712" s="190">
        <v>0</v>
      </c>
      <c r="G3712" s="190">
        <v>88.88</v>
      </c>
      <c r="H3712" s="191">
        <v>1498.96</v>
      </c>
      <c r="I3712" s="191">
        <v>333.3</v>
      </c>
      <c r="J3712" s="188" t="s">
        <v>624</v>
      </c>
      <c r="K3712" s="188" t="s">
        <v>652</v>
      </c>
      <c r="L3712" s="188" t="s">
        <v>5474</v>
      </c>
      <c r="M3712" s="192">
        <f t="shared" si="171"/>
        <v>13</v>
      </c>
      <c r="N3712" s="193">
        <f t="shared" si="172"/>
        <v>1.3491989198919891</v>
      </c>
      <c r="O3712" s="194">
        <f t="shared" si="173"/>
        <v>0.10378453229938378</v>
      </c>
    </row>
    <row r="3713" spans="1:15" ht="12.75" customHeight="1">
      <c r="A3713" s="188" t="s">
        <v>620</v>
      </c>
      <c r="B3713" s="188" t="s">
        <v>4996</v>
      </c>
      <c r="C3713" s="188" t="s">
        <v>678</v>
      </c>
      <c r="D3713" s="188" t="s">
        <v>5475</v>
      </c>
      <c r="E3713" s="189">
        <v>39240</v>
      </c>
      <c r="F3713" s="190">
        <v>0</v>
      </c>
      <c r="G3713" s="190">
        <v>139.12</v>
      </c>
      <c r="H3713" s="191">
        <v>2346.9499999999998</v>
      </c>
      <c r="I3713" s="191">
        <v>521.70000000000005</v>
      </c>
      <c r="J3713" s="188" t="s">
        <v>624</v>
      </c>
      <c r="K3713" s="188" t="s">
        <v>652</v>
      </c>
      <c r="L3713" s="188" t="s">
        <v>4434</v>
      </c>
      <c r="M3713" s="192">
        <f t="shared" si="171"/>
        <v>13</v>
      </c>
      <c r="N3713" s="193">
        <f t="shared" si="172"/>
        <v>1.3495974698102358</v>
      </c>
      <c r="O3713" s="194">
        <f t="shared" si="173"/>
        <v>0.10381518998540275</v>
      </c>
    </row>
    <row r="3714" spans="1:15" ht="12.75" customHeight="1">
      <c r="A3714" s="188" t="s">
        <v>620</v>
      </c>
      <c r="B3714" s="188" t="s">
        <v>4996</v>
      </c>
      <c r="C3714" s="188" t="s">
        <v>678</v>
      </c>
      <c r="D3714" s="188" t="s">
        <v>5476</v>
      </c>
      <c r="E3714" s="189">
        <v>39310</v>
      </c>
      <c r="F3714" s="190">
        <v>0</v>
      </c>
      <c r="G3714" s="190">
        <v>68.64</v>
      </c>
      <c r="H3714" s="191">
        <v>1158.04</v>
      </c>
      <c r="I3714" s="191">
        <v>257.39999999999998</v>
      </c>
      <c r="J3714" s="188" t="s">
        <v>624</v>
      </c>
      <c r="K3714" s="188" t="s">
        <v>652</v>
      </c>
      <c r="L3714" s="188" t="s">
        <v>5477</v>
      </c>
      <c r="M3714" s="192">
        <f t="shared" ref="M3714:M3777" si="174">K3714-J3714</f>
        <v>13</v>
      </c>
      <c r="N3714" s="193">
        <f t="shared" ref="N3714:N3777" si="175">H3714/L3714</f>
        <v>1.3496969696969696</v>
      </c>
      <c r="O3714" s="194">
        <f t="shared" ref="O3714:O3777" si="176">N3714/M3714</f>
        <v>0.10382284382284382</v>
      </c>
    </row>
    <row r="3715" spans="1:15" ht="12.75" customHeight="1">
      <c r="A3715" s="188" t="s">
        <v>620</v>
      </c>
      <c r="B3715" s="188" t="s">
        <v>4996</v>
      </c>
      <c r="C3715" s="188" t="s">
        <v>678</v>
      </c>
      <c r="D3715" s="188" t="s">
        <v>5478</v>
      </c>
      <c r="E3715" s="189">
        <v>39310</v>
      </c>
      <c r="F3715" s="190">
        <v>0</v>
      </c>
      <c r="G3715" s="190">
        <v>87.36</v>
      </c>
      <c r="H3715" s="191">
        <v>1473.98</v>
      </c>
      <c r="I3715" s="191">
        <v>327.60000000000002</v>
      </c>
      <c r="J3715" s="188" t="s">
        <v>624</v>
      </c>
      <c r="K3715" s="188" t="s">
        <v>652</v>
      </c>
      <c r="L3715" s="188" t="s">
        <v>1686</v>
      </c>
      <c r="M3715" s="192">
        <f t="shared" si="174"/>
        <v>13</v>
      </c>
      <c r="N3715" s="193">
        <f t="shared" si="175"/>
        <v>1.3497985347985348</v>
      </c>
      <c r="O3715" s="194">
        <f t="shared" si="176"/>
        <v>0.10383065652296422</v>
      </c>
    </row>
    <row r="3716" spans="1:15" ht="12.75" customHeight="1">
      <c r="A3716" s="188" t="s">
        <v>620</v>
      </c>
      <c r="B3716" s="188" t="s">
        <v>4996</v>
      </c>
      <c r="C3716" s="188" t="s">
        <v>678</v>
      </c>
      <c r="D3716" s="188" t="s">
        <v>5479</v>
      </c>
      <c r="E3716" s="189">
        <v>39310</v>
      </c>
      <c r="F3716" s="190">
        <v>0</v>
      </c>
      <c r="G3716" s="190">
        <v>86</v>
      </c>
      <c r="H3716" s="191">
        <v>1451.25</v>
      </c>
      <c r="I3716" s="191">
        <v>322.5</v>
      </c>
      <c r="J3716" s="188" t="s">
        <v>624</v>
      </c>
      <c r="K3716" s="188" t="s">
        <v>652</v>
      </c>
      <c r="L3716" s="188" t="s">
        <v>1168</v>
      </c>
      <c r="M3716" s="192">
        <f t="shared" si="174"/>
        <v>13</v>
      </c>
      <c r="N3716" s="193">
        <f t="shared" si="175"/>
        <v>1.35</v>
      </c>
      <c r="O3716" s="194">
        <f t="shared" si="176"/>
        <v>0.10384615384615385</v>
      </c>
    </row>
    <row r="3717" spans="1:15" ht="12.75" customHeight="1">
      <c r="A3717" s="188" t="s">
        <v>620</v>
      </c>
      <c r="B3717" s="188" t="s">
        <v>4996</v>
      </c>
      <c r="C3717" s="188" t="s">
        <v>678</v>
      </c>
      <c r="D3717" s="188" t="s">
        <v>5480</v>
      </c>
      <c r="E3717" s="189">
        <v>39590</v>
      </c>
      <c r="F3717" s="190">
        <v>0</v>
      </c>
      <c r="G3717" s="190">
        <v>25.6</v>
      </c>
      <c r="H3717" s="191">
        <v>432</v>
      </c>
      <c r="I3717" s="191">
        <v>96</v>
      </c>
      <c r="J3717" s="188" t="s">
        <v>624</v>
      </c>
      <c r="K3717" s="188" t="s">
        <v>652</v>
      </c>
      <c r="L3717" s="188" t="s">
        <v>3452</v>
      </c>
      <c r="M3717" s="192">
        <f t="shared" si="174"/>
        <v>13</v>
      </c>
      <c r="N3717" s="193">
        <f t="shared" si="175"/>
        <v>1.35</v>
      </c>
      <c r="O3717" s="194">
        <f t="shared" si="176"/>
        <v>0.10384615384615385</v>
      </c>
    </row>
    <row r="3718" spans="1:15" ht="12.75" customHeight="1">
      <c r="A3718" s="188" t="s">
        <v>620</v>
      </c>
      <c r="B3718" s="188" t="s">
        <v>4996</v>
      </c>
      <c r="C3718" s="188" t="s">
        <v>678</v>
      </c>
      <c r="D3718" s="188" t="s">
        <v>5481</v>
      </c>
      <c r="E3718" s="189">
        <v>39387</v>
      </c>
      <c r="F3718" s="190">
        <v>0</v>
      </c>
      <c r="G3718" s="190">
        <v>3.68</v>
      </c>
      <c r="H3718" s="191">
        <v>91</v>
      </c>
      <c r="I3718" s="191">
        <v>13.8</v>
      </c>
      <c r="J3718" s="188" t="s">
        <v>624</v>
      </c>
      <c r="K3718" s="188" t="s">
        <v>667</v>
      </c>
      <c r="L3718" s="188" t="s">
        <v>421</v>
      </c>
      <c r="M3718" s="192">
        <f t="shared" si="174"/>
        <v>19</v>
      </c>
      <c r="N3718" s="193">
        <f t="shared" si="175"/>
        <v>1.9782608695652173</v>
      </c>
      <c r="O3718" s="194">
        <f t="shared" si="176"/>
        <v>0.10411899313501144</v>
      </c>
    </row>
    <row r="3719" spans="1:15" ht="12.75" customHeight="1">
      <c r="A3719" s="188" t="s">
        <v>620</v>
      </c>
      <c r="B3719" s="188" t="s">
        <v>4996</v>
      </c>
      <c r="C3719" s="188" t="s">
        <v>678</v>
      </c>
      <c r="D3719" s="188" t="s">
        <v>5482</v>
      </c>
      <c r="E3719" s="189">
        <v>39583</v>
      </c>
      <c r="F3719" s="190">
        <v>0</v>
      </c>
      <c r="G3719" s="190">
        <v>69.680000000000007</v>
      </c>
      <c r="H3719" s="191">
        <v>1179</v>
      </c>
      <c r="I3719" s="191">
        <v>261.3</v>
      </c>
      <c r="J3719" s="188" t="s">
        <v>624</v>
      </c>
      <c r="K3719" s="188" t="s">
        <v>652</v>
      </c>
      <c r="L3719" s="188" t="s">
        <v>5483</v>
      </c>
      <c r="M3719" s="192">
        <f t="shared" si="174"/>
        <v>13</v>
      </c>
      <c r="N3719" s="193">
        <f t="shared" si="175"/>
        <v>1.3536165327210103</v>
      </c>
      <c r="O3719" s="194">
        <f t="shared" si="176"/>
        <v>0.10412434867084695</v>
      </c>
    </row>
    <row r="3720" spans="1:15" ht="12.75" customHeight="1">
      <c r="A3720" s="188" t="s">
        <v>620</v>
      </c>
      <c r="B3720" s="188" t="s">
        <v>4996</v>
      </c>
      <c r="C3720" s="188" t="s">
        <v>678</v>
      </c>
      <c r="D3720" s="188" t="s">
        <v>5484</v>
      </c>
      <c r="E3720" s="189">
        <v>39625</v>
      </c>
      <c r="F3720" s="190">
        <v>0</v>
      </c>
      <c r="G3720" s="190">
        <v>100.96</v>
      </c>
      <c r="H3720" s="191">
        <v>1981.34</v>
      </c>
      <c r="I3720" s="191">
        <v>378.6</v>
      </c>
      <c r="J3720" s="188" t="s">
        <v>624</v>
      </c>
      <c r="K3720" s="188" t="s">
        <v>571</v>
      </c>
      <c r="L3720" s="188" t="s">
        <v>3311</v>
      </c>
      <c r="M3720" s="192">
        <f t="shared" si="174"/>
        <v>15</v>
      </c>
      <c r="N3720" s="193">
        <f t="shared" si="175"/>
        <v>1.5699999999999998</v>
      </c>
      <c r="O3720" s="194">
        <f t="shared" si="176"/>
        <v>0.10466666666666666</v>
      </c>
    </row>
    <row r="3721" spans="1:15" ht="12.75" customHeight="1">
      <c r="A3721" s="188" t="s">
        <v>620</v>
      </c>
      <c r="B3721" s="188" t="s">
        <v>4996</v>
      </c>
      <c r="C3721" s="188" t="s">
        <v>678</v>
      </c>
      <c r="D3721" s="188" t="s">
        <v>5485</v>
      </c>
      <c r="E3721" s="189">
        <v>39576</v>
      </c>
      <c r="F3721" s="190">
        <v>0</v>
      </c>
      <c r="G3721" s="190">
        <v>92.64</v>
      </c>
      <c r="H3721" s="191">
        <v>1818.06</v>
      </c>
      <c r="I3721" s="191">
        <v>347.4</v>
      </c>
      <c r="J3721" s="188" t="s">
        <v>624</v>
      </c>
      <c r="K3721" s="188" t="s">
        <v>571</v>
      </c>
      <c r="L3721" s="188" t="s">
        <v>5486</v>
      </c>
      <c r="M3721" s="192">
        <f t="shared" si="174"/>
        <v>15</v>
      </c>
      <c r="N3721" s="193">
        <f t="shared" si="175"/>
        <v>1.57</v>
      </c>
      <c r="O3721" s="194">
        <f t="shared" si="176"/>
        <v>0.10466666666666667</v>
      </c>
    </row>
    <row r="3722" spans="1:15" ht="12.75" customHeight="1">
      <c r="A3722" s="188" t="s">
        <v>620</v>
      </c>
      <c r="B3722" s="188" t="s">
        <v>4996</v>
      </c>
      <c r="C3722" s="188" t="s">
        <v>678</v>
      </c>
      <c r="D3722" s="188" t="s">
        <v>5487</v>
      </c>
      <c r="E3722" s="189">
        <v>39436</v>
      </c>
      <c r="F3722" s="190">
        <v>0</v>
      </c>
      <c r="G3722" s="190">
        <v>117.36</v>
      </c>
      <c r="H3722" s="191">
        <v>2304.79</v>
      </c>
      <c r="I3722" s="191">
        <v>440.1</v>
      </c>
      <c r="J3722" s="188" t="s">
        <v>624</v>
      </c>
      <c r="K3722" s="188" t="s">
        <v>571</v>
      </c>
      <c r="L3722" s="188" t="s">
        <v>5488</v>
      </c>
      <c r="M3722" s="192">
        <f t="shared" si="174"/>
        <v>15</v>
      </c>
      <c r="N3722" s="193">
        <f t="shared" si="175"/>
        <v>1.5710906612133606</v>
      </c>
      <c r="O3722" s="194">
        <f t="shared" si="176"/>
        <v>0.10473937741422404</v>
      </c>
    </row>
    <row r="3723" spans="1:15" ht="12.75" customHeight="1">
      <c r="A3723" s="188" t="s">
        <v>620</v>
      </c>
      <c r="B3723" s="188" t="s">
        <v>4996</v>
      </c>
      <c r="C3723" s="188" t="s">
        <v>678</v>
      </c>
      <c r="D3723" s="188" t="s">
        <v>5489</v>
      </c>
      <c r="E3723" s="189">
        <v>39359</v>
      </c>
      <c r="F3723" s="190">
        <v>0</v>
      </c>
      <c r="G3723" s="190">
        <v>74.400000000000006</v>
      </c>
      <c r="H3723" s="191">
        <v>1267.96</v>
      </c>
      <c r="I3723" s="191">
        <v>279</v>
      </c>
      <c r="J3723" s="188" t="s">
        <v>624</v>
      </c>
      <c r="K3723" s="188" t="s">
        <v>652</v>
      </c>
      <c r="L3723" s="188" t="s">
        <v>2422</v>
      </c>
      <c r="M3723" s="192">
        <f t="shared" si="174"/>
        <v>13</v>
      </c>
      <c r="N3723" s="193">
        <f t="shared" si="175"/>
        <v>1.3633978494623655</v>
      </c>
      <c r="O3723" s="194">
        <f t="shared" si="176"/>
        <v>0.1048767576509512</v>
      </c>
    </row>
    <row r="3724" spans="1:15" ht="12.75" customHeight="1">
      <c r="A3724" s="188" t="s">
        <v>620</v>
      </c>
      <c r="B3724" s="188" t="s">
        <v>4996</v>
      </c>
      <c r="C3724" s="188" t="s">
        <v>678</v>
      </c>
      <c r="D3724" s="188" t="s">
        <v>5490</v>
      </c>
      <c r="E3724" s="189">
        <v>39618</v>
      </c>
      <c r="F3724" s="190">
        <v>0</v>
      </c>
      <c r="G3724" s="190">
        <v>96.4</v>
      </c>
      <c r="H3724" s="191">
        <v>1896</v>
      </c>
      <c r="I3724" s="191">
        <v>361.5</v>
      </c>
      <c r="J3724" s="188" t="s">
        <v>624</v>
      </c>
      <c r="K3724" s="188" t="s">
        <v>571</v>
      </c>
      <c r="L3724" s="188" t="s">
        <v>2794</v>
      </c>
      <c r="M3724" s="192">
        <f t="shared" si="174"/>
        <v>15</v>
      </c>
      <c r="N3724" s="193">
        <f t="shared" si="175"/>
        <v>1.5734439834024896</v>
      </c>
      <c r="O3724" s="194">
        <f t="shared" si="176"/>
        <v>0.10489626556016597</v>
      </c>
    </row>
    <row r="3725" spans="1:15" ht="12.75" customHeight="1">
      <c r="A3725" s="188" t="s">
        <v>620</v>
      </c>
      <c r="B3725" s="188" t="s">
        <v>4996</v>
      </c>
      <c r="C3725" s="188" t="s">
        <v>678</v>
      </c>
      <c r="D3725" s="188" t="s">
        <v>5491</v>
      </c>
      <c r="E3725" s="189">
        <v>39310</v>
      </c>
      <c r="F3725" s="190">
        <v>0</v>
      </c>
      <c r="G3725" s="190">
        <v>80</v>
      </c>
      <c r="H3725" s="191">
        <v>1154</v>
      </c>
      <c r="I3725" s="191">
        <v>300</v>
      </c>
      <c r="J3725" s="188" t="s">
        <v>624</v>
      </c>
      <c r="K3725" s="188" t="s">
        <v>639</v>
      </c>
      <c r="L3725" s="188" t="s">
        <v>636</v>
      </c>
      <c r="M3725" s="192">
        <f t="shared" si="174"/>
        <v>11</v>
      </c>
      <c r="N3725" s="193">
        <f t="shared" si="175"/>
        <v>1.1539999999999999</v>
      </c>
      <c r="O3725" s="194">
        <f t="shared" si="176"/>
        <v>0.1049090909090909</v>
      </c>
    </row>
    <row r="3726" spans="1:15" ht="12.75" customHeight="1">
      <c r="A3726" s="188" t="s">
        <v>620</v>
      </c>
      <c r="B3726" s="188" t="s">
        <v>4996</v>
      </c>
      <c r="C3726" s="188" t="s">
        <v>678</v>
      </c>
      <c r="D3726" s="188" t="s">
        <v>5492</v>
      </c>
      <c r="E3726" s="189">
        <v>39254</v>
      </c>
      <c r="F3726" s="190">
        <v>0</v>
      </c>
      <c r="G3726" s="190">
        <v>53.36</v>
      </c>
      <c r="H3726" s="191">
        <v>1049.99</v>
      </c>
      <c r="I3726" s="191">
        <v>200.1</v>
      </c>
      <c r="J3726" s="188" t="s">
        <v>624</v>
      </c>
      <c r="K3726" s="188" t="s">
        <v>571</v>
      </c>
      <c r="L3726" s="188" t="s">
        <v>2495</v>
      </c>
      <c r="M3726" s="192">
        <f t="shared" si="174"/>
        <v>15</v>
      </c>
      <c r="N3726" s="193">
        <f t="shared" si="175"/>
        <v>1.5741979010494753</v>
      </c>
      <c r="O3726" s="194">
        <f t="shared" si="176"/>
        <v>0.10494652673663168</v>
      </c>
    </row>
    <row r="3727" spans="1:15" ht="12.75" customHeight="1">
      <c r="A3727" s="188" t="s">
        <v>620</v>
      </c>
      <c r="B3727" s="188" t="s">
        <v>4996</v>
      </c>
      <c r="C3727" s="188" t="s">
        <v>678</v>
      </c>
      <c r="D3727" s="188" t="s">
        <v>5493</v>
      </c>
      <c r="E3727" s="189">
        <v>39597</v>
      </c>
      <c r="F3727" s="190">
        <v>0</v>
      </c>
      <c r="G3727" s="190">
        <v>184.08</v>
      </c>
      <c r="H3727" s="191">
        <v>2657</v>
      </c>
      <c r="I3727" s="191">
        <v>690.3</v>
      </c>
      <c r="J3727" s="188" t="s">
        <v>624</v>
      </c>
      <c r="K3727" s="188" t="s">
        <v>639</v>
      </c>
      <c r="L3727" s="188" t="s">
        <v>5494</v>
      </c>
      <c r="M3727" s="192">
        <f t="shared" si="174"/>
        <v>11</v>
      </c>
      <c r="N3727" s="193">
        <f t="shared" si="175"/>
        <v>1.1547153411560191</v>
      </c>
      <c r="O3727" s="194">
        <f t="shared" si="176"/>
        <v>0.10497412192327447</v>
      </c>
    </row>
    <row r="3728" spans="1:15" ht="12.75" customHeight="1">
      <c r="A3728" s="188" t="s">
        <v>620</v>
      </c>
      <c r="B3728" s="188" t="s">
        <v>4996</v>
      </c>
      <c r="C3728" s="188" t="s">
        <v>678</v>
      </c>
      <c r="D3728" s="188" t="s">
        <v>5495</v>
      </c>
      <c r="E3728" s="189">
        <v>39317</v>
      </c>
      <c r="F3728" s="190">
        <v>0</v>
      </c>
      <c r="G3728" s="190">
        <v>216</v>
      </c>
      <c r="H3728" s="191">
        <v>4257.09</v>
      </c>
      <c r="I3728" s="191">
        <v>810</v>
      </c>
      <c r="J3728" s="188" t="s">
        <v>624</v>
      </c>
      <c r="K3728" s="188" t="s">
        <v>571</v>
      </c>
      <c r="L3728" s="188" t="s">
        <v>782</v>
      </c>
      <c r="M3728" s="192">
        <f t="shared" si="174"/>
        <v>15</v>
      </c>
      <c r="N3728" s="193">
        <f t="shared" si="175"/>
        <v>1.5767</v>
      </c>
      <c r="O3728" s="194">
        <f t="shared" si="176"/>
        <v>0.10511333333333334</v>
      </c>
    </row>
    <row r="3729" spans="1:15" ht="12.75" customHeight="1">
      <c r="A3729" s="188" t="s">
        <v>620</v>
      </c>
      <c r="B3729" s="188" t="s">
        <v>4996</v>
      </c>
      <c r="C3729" s="188" t="s">
        <v>678</v>
      </c>
      <c r="D3729" s="188" t="s">
        <v>5496</v>
      </c>
      <c r="E3729" s="189">
        <v>39611</v>
      </c>
      <c r="F3729" s="190">
        <v>0</v>
      </c>
      <c r="G3729" s="190">
        <v>119.52</v>
      </c>
      <c r="H3729" s="191">
        <v>2356.2199999999998</v>
      </c>
      <c r="I3729" s="191">
        <v>448.2</v>
      </c>
      <c r="J3729" s="188" t="s">
        <v>624</v>
      </c>
      <c r="K3729" s="188" t="s">
        <v>571</v>
      </c>
      <c r="L3729" s="188" t="s">
        <v>2106</v>
      </c>
      <c r="M3729" s="192">
        <f t="shared" si="174"/>
        <v>15</v>
      </c>
      <c r="N3729" s="193">
        <f t="shared" si="175"/>
        <v>1.5771218206157964</v>
      </c>
      <c r="O3729" s="194">
        <f t="shared" si="176"/>
        <v>0.10514145470771977</v>
      </c>
    </row>
    <row r="3730" spans="1:15" ht="12.75" customHeight="1">
      <c r="A3730" s="188" t="s">
        <v>620</v>
      </c>
      <c r="B3730" s="188" t="s">
        <v>4996</v>
      </c>
      <c r="C3730" s="188" t="s">
        <v>678</v>
      </c>
      <c r="D3730" s="188" t="s">
        <v>5497</v>
      </c>
      <c r="E3730" s="189">
        <v>39303</v>
      </c>
      <c r="F3730" s="190">
        <v>0</v>
      </c>
      <c r="G3730" s="190">
        <v>78.8</v>
      </c>
      <c r="H3730" s="191">
        <v>1350.04</v>
      </c>
      <c r="I3730" s="191">
        <v>295.5</v>
      </c>
      <c r="J3730" s="188" t="s">
        <v>624</v>
      </c>
      <c r="K3730" s="188" t="s">
        <v>652</v>
      </c>
      <c r="L3730" s="188" t="s">
        <v>4351</v>
      </c>
      <c r="M3730" s="192">
        <f t="shared" si="174"/>
        <v>13</v>
      </c>
      <c r="N3730" s="193">
        <f t="shared" si="175"/>
        <v>1.3705989847715736</v>
      </c>
      <c r="O3730" s="194">
        <f t="shared" si="176"/>
        <v>0.10543069113627489</v>
      </c>
    </row>
    <row r="3731" spans="1:15" ht="12.75" customHeight="1">
      <c r="A3731" s="188" t="s">
        <v>620</v>
      </c>
      <c r="B3731" s="188" t="s">
        <v>4996</v>
      </c>
      <c r="C3731" s="188" t="s">
        <v>678</v>
      </c>
      <c r="D3731" s="188" t="s">
        <v>5498</v>
      </c>
      <c r="E3731" s="189">
        <v>39583</v>
      </c>
      <c r="F3731" s="190">
        <v>0</v>
      </c>
      <c r="G3731" s="190">
        <v>80</v>
      </c>
      <c r="H3731" s="191">
        <v>1160</v>
      </c>
      <c r="I3731" s="191">
        <v>300</v>
      </c>
      <c r="J3731" s="188" t="s">
        <v>624</v>
      </c>
      <c r="K3731" s="188" t="s">
        <v>639</v>
      </c>
      <c r="L3731" s="188" t="s">
        <v>636</v>
      </c>
      <c r="M3731" s="192">
        <f t="shared" si="174"/>
        <v>11</v>
      </c>
      <c r="N3731" s="193">
        <f t="shared" si="175"/>
        <v>1.1599999999999999</v>
      </c>
      <c r="O3731" s="194">
        <f t="shared" si="176"/>
        <v>0.10545454545454545</v>
      </c>
    </row>
    <row r="3732" spans="1:15" ht="12.75" customHeight="1">
      <c r="A3732" s="188" t="s">
        <v>620</v>
      </c>
      <c r="B3732" s="188" t="s">
        <v>4996</v>
      </c>
      <c r="C3732" s="188" t="s">
        <v>678</v>
      </c>
      <c r="D3732" s="188" t="s">
        <v>5499</v>
      </c>
      <c r="E3732" s="189">
        <v>39380</v>
      </c>
      <c r="F3732" s="190">
        <v>0</v>
      </c>
      <c r="G3732" s="190">
        <v>46.88</v>
      </c>
      <c r="H3732" s="191">
        <v>808</v>
      </c>
      <c r="I3732" s="191">
        <v>175.8</v>
      </c>
      <c r="J3732" s="188" t="s">
        <v>624</v>
      </c>
      <c r="K3732" s="188" t="s">
        <v>652</v>
      </c>
      <c r="L3732" s="188" t="s">
        <v>5500</v>
      </c>
      <c r="M3732" s="192">
        <f t="shared" si="174"/>
        <v>13</v>
      </c>
      <c r="N3732" s="193">
        <f t="shared" si="175"/>
        <v>1.3788395904436861</v>
      </c>
      <c r="O3732" s="194">
        <f t="shared" si="176"/>
        <v>0.10606458388028354</v>
      </c>
    </row>
    <row r="3733" spans="1:15" ht="12.75" customHeight="1">
      <c r="A3733" s="188" t="s">
        <v>620</v>
      </c>
      <c r="B3733" s="188" t="s">
        <v>4996</v>
      </c>
      <c r="C3733" s="188" t="s">
        <v>678</v>
      </c>
      <c r="D3733" s="188" t="s">
        <v>5501</v>
      </c>
      <c r="E3733" s="189">
        <v>39352</v>
      </c>
      <c r="F3733" s="190">
        <v>0</v>
      </c>
      <c r="G3733" s="190">
        <v>50.88</v>
      </c>
      <c r="H3733" s="191">
        <v>877</v>
      </c>
      <c r="I3733" s="191">
        <v>190.8</v>
      </c>
      <c r="J3733" s="188" t="s">
        <v>624</v>
      </c>
      <c r="K3733" s="188" t="s">
        <v>652</v>
      </c>
      <c r="L3733" s="188" t="s">
        <v>5502</v>
      </c>
      <c r="M3733" s="192">
        <f t="shared" si="174"/>
        <v>13</v>
      </c>
      <c r="N3733" s="193">
        <f t="shared" si="175"/>
        <v>1.378930817610063</v>
      </c>
      <c r="O3733" s="194">
        <f t="shared" si="176"/>
        <v>0.10607160135462022</v>
      </c>
    </row>
    <row r="3734" spans="1:15" ht="12.75" customHeight="1">
      <c r="A3734" s="188" t="s">
        <v>620</v>
      </c>
      <c r="B3734" s="188" t="s">
        <v>4996</v>
      </c>
      <c r="C3734" s="188" t="s">
        <v>678</v>
      </c>
      <c r="D3734" s="188" t="s">
        <v>5503</v>
      </c>
      <c r="E3734" s="189">
        <v>39247</v>
      </c>
      <c r="F3734" s="190">
        <v>0</v>
      </c>
      <c r="G3734" s="190">
        <v>92.24</v>
      </c>
      <c r="H3734" s="191">
        <v>1589.99</v>
      </c>
      <c r="I3734" s="191">
        <v>345.9</v>
      </c>
      <c r="J3734" s="188" t="s">
        <v>624</v>
      </c>
      <c r="K3734" s="188" t="s">
        <v>652</v>
      </c>
      <c r="L3734" s="188" t="s">
        <v>4660</v>
      </c>
      <c r="M3734" s="192">
        <f t="shared" si="174"/>
        <v>13</v>
      </c>
      <c r="N3734" s="193">
        <f t="shared" si="175"/>
        <v>1.3790026019080659</v>
      </c>
      <c r="O3734" s="194">
        <f t="shared" si="176"/>
        <v>0.10607712322369738</v>
      </c>
    </row>
    <row r="3735" spans="1:15" ht="12.75" customHeight="1">
      <c r="A3735" s="188" t="s">
        <v>620</v>
      </c>
      <c r="B3735" s="188" t="s">
        <v>4996</v>
      </c>
      <c r="C3735" s="188" t="s">
        <v>678</v>
      </c>
      <c r="D3735" s="188" t="s">
        <v>5504</v>
      </c>
      <c r="E3735" s="189">
        <v>39366</v>
      </c>
      <c r="F3735" s="190">
        <v>0</v>
      </c>
      <c r="G3735" s="190">
        <v>106.24</v>
      </c>
      <c r="H3735" s="191">
        <v>1832</v>
      </c>
      <c r="I3735" s="191">
        <v>398.4</v>
      </c>
      <c r="J3735" s="188" t="s">
        <v>624</v>
      </c>
      <c r="K3735" s="188" t="s">
        <v>652</v>
      </c>
      <c r="L3735" s="188" t="s">
        <v>2984</v>
      </c>
      <c r="M3735" s="192">
        <f t="shared" si="174"/>
        <v>13</v>
      </c>
      <c r="N3735" s="193">
        <f t="shared" si="175"/>
        <v>1.3795180722891567</v>
      </c>
      <c r="O3735" s="194">
        <f t="shared" si="176"/>
        <v>0.10611677479147359</v>
      </c>
    </row>
    <row r="3736" spans="1:15" ht="12.75" customHeight="1">
      <c r="A3736" s="188" t="s">
        <v>620</v>
      </c>
      <c r="B3736" s="188" t="s">
        <v>4996</v>
      </c>
      <c r="C3736" s="188" t="s">
        <v>678</v>
      </c>
      <c r="D3736" s="188" t="s">
        <v>5505</v>
      </c>
      <c r="E3736" s="189">
        <v>39443</v>
      </c>
      <c r="F3736" s="190">
        <v>0</v>
      </c>
      <c r="G3736" s="190">
        <v>70.400000000000006</v>
      </c>
      <c r="H3736" s="191">
        <v>1214</v>
      </c>
      <c r="I3736" s="191">
        <v>264</v>
      </c>
      <c r="J3736" s="188" t="s">
        <v>624</v>
      </c>
      <c r="K3736" s="188" t="s">
        <v>652</v>
      </c>
      <c r="L3736" s="188" t="s">
        <v>1213</v>
      </c>
      <c r="M3736" s="192">
        <f t="shared" si="174"/>
        <v>13</v>
      </c>
      <c r="N3736" s="193">
        <f t="shared" si="175"/>
        <v>1.3795454545454546</v>
      </c>
      <c r="O3736" s="194">
        <f t="shared" si="176"/>
        <v>0.10611888111888113</v>
      </c>
    </row>
    <row r="3737" spans="1:15" ht="12.75" customHeight="1">
      <c r="A3737" s="188" t="s">
        <v>620</v>
      </c>
      <c r="B3737" s="188" t="s">
        <v>4996</v>
      </c>
      <c r="C3737" s="188" t="s">
        <v>678</v>
      </c>
      <c r="D3737" s="188" t="s">
        <v>5506</v>
      </c>
      <c r="E3737" s="189">
        <v>39447</v>
      </c>
      <c r="F3737" s="190">
        <v>0</v>
      </c>
      <c r="G3737" s="190">
        <v>61.92</v>
      </c>
      <c r="H3737" s="191">
        <v>1068</v>
      </c>
      <c r="I3737" s="191">
        <v>232.2</v>
      </c>
      <c r="J3737" s="188" t="s">
        <v>624</v>
      </c>
      <c r="K3737" s="188" t="s">
        <v>652</v>
      </c>
      <c r="L3737" s="188" t="s">
        <v>1634</v>
      </c>
      <c r="M3737" s="192">
        <f t="shared" si="174"/>
        <v>13</v>
      </c>
      <c r="N3737" s="193">
        <f t="shared" si="175"/>
        <v>1.3798449612403101</v>
      </c>
      <c r="O3737" s="194">
        <f t="shared" si="176"/>
        <v>0.10614192009540847</v>
      </c>
    </row>
    <row r="3738" spans="1:15" ht="12.75" customHeight="1">
      <c r="A3738" s="188" t="s">
        <v>620</v>
      </c>
      <c r="B3738" s="188" t="s">
        <v>4996</v>
      </c>
      <c r="C3738" s="188" t="s">
        <v>678</v>
      </c>
      <c r="D3738" s="188" t="s">
        <v>5507</v>
      </c>
      <c r="E3738" s="189">
        <v>39269</v>
      </c>
      <c r="F3738" s="190">
        <v>0</v>
      </c>
      <c r="G3738" s="190">
        <v>66.319999999999993</v>
      </c>
      <c r="H3738" s="191">
        <v>1144.02</v>
      </c>
      <c r="I3738" s="191">
        <v>248.7</v>
      </c>
      <c r="J3738" s="188" t="s">
        <v>624</v>
      </c>
      <c r="K3738" s="188" t="s">
        <v>652</v>
      </c>
      <c r="L3738" s="188" t="s">
        <v>5508</v>
      </c>
      <c r="M3738" s="192">
        <f t="shared" si="174"/>
        <v>13</v>
      </c>
      <c r="N3738" s="193">
        <f t="shared" si="175"/>
        <v>1.38</v>
      </c>
      <c r="O3738" s="194">
        <f t="shared" si="176"/>
        <v>0.10615384615384614</v>
      </c>
    </row>
    <row r="3739" spans="1:15" ht="12.75" customHeight="1">
      <c r="A3739" s="188" t="s">
        <v>620</v>
      </c>
      <c r="B3739" s="188" t="s">
        <v>4996</v>
      </c>
      <c r="C3739" s="188" t="s">
        <v>678</v>
      </c>
      <c r="D3739" s="188" t="s">
        <v>5509</v>
      </c>
      <c r="E3739" s="189">
        <v>39212</v>
      </c>
      <c r="F3739" s="190">
        <v>0</v>
      </c>
      <c r="G3739" s="190">
        <v>130.47999999999999</v>
      </c>
      <c r="H3739" s="191">
        <v>2250.7800000000002</v>
      </c>
      <c r="I3739" s="191">
        <v>489.3</v>
      </c>
      <c r="J3739" s="188" t="s">
        <v>624</v>
      </c>
      <c r="K3739" s="188" t="s">
        <v>652</v>
      </c>
      <c r="L3739" s="188" t="s">
        <v>5510</v>
      </c>
      <c r="M3739" s="192">
        <f t="shared" si="174"/>
        <v>13</v>
      </c>
      <c r="N3739" s="193">
        <f t="shared" si="175"/>
        <v>1.3800000000000001</v>
      </c>
      <c r="O3739" s="194">
        <f t="shared" si="176"/>
        <v>0.10615384615384617</v>
      </c>
    </row>
    <row r="3740" spans="1:15" ht="12.75" customHeight="1">
      <c r="A3740" s="188" t="s">
        <v>620</v>
      </c>
      <c r="B3740" s="188" t="s">
        <v>4996</v>
      </c>
      <c r="C3740" s="188" t="s">
        <v>678</v>
      </c>
      <c r="D3740" s="188" t="s">
        <v>5511</v>
      </c>
      <c r="E3740" s="189">
        <v>39527</v>
      </c>
      <c r="F3740" s="190">
        <v>0</v>
      </c>
      <c r="G3740" s="190">
        <v>73.44</v>
      </c>
      <c r="H3740" s="191">
        <v>1267</v>
      </c>
      <c r="I3740" s="191">
        <v>275.39999999999998</v>
      </c>
      <c r="J3740" s="188" t="s">
        <v>624</v>
      </c>
      <c r="K3740" s="188" t="s">
        <v>652</v>
      </c>
      <c r="L3740" s="188" t="s">
        <v>4529</v>
      </c>
      <c r="M3740" s="192">
        <f t="shared" si="174"/>
        <v>13</v>
      </c>
      <c r="N3740" s="193">
        <f t="shared" si="175"/>
        <v>1.3801742919389979</v>
      </c>
      <c r="O3740" s="194">
        <f t="shared" si="176"/>
        <v>0.10616725322607676</v>
      </c>
    </row>
    <row r="3741" spans="1:15" ht="12.75" customHeight="1">
      <c r="A3741" s="188" t="s">
        <v>620</v>
      </c>
      <c r="B3741" s="188" t="s">
        <v>4996</v>
      </c>
      <c r="C3741" s="188" t="s">
        <v>678</v>
      </c>
      <c r="D3741" s="188" t="s">
        <v>5512</v>
      </c>
      <c r="E3741" s="189">
        <v>39407</v>
      </c>
      <c r="F3741" s="190">
        <v>0</v>
      </c>
      <c r="G3741" s="190">
        <v>72</v>
      </c>
      <c r="H3741" s="191">
        <v>1150</v>
      </c>
      <c r="I3741" s="191">
        <v>270</v>
      </c>
      <c r="J3741" s="188" t="s">
        <v>624</v>
      </c>
      <c r="K3741" s="188" t="s">
        <v>361</v>
      </c>
      <c r="L3741" s="188" t="s">
        <v>740</v>
      </c>
      <c r="M3741" s="192">
        <f t="shared" si="174"/>
        <v>12</v>
      </c>
      <c r="N3741" s="193">
        <f t="shared" si="175"/>
        <v>1.2777777777777777</v>
      </c>
      <c r="O3741" s="194">
        <f t="shared" si="176"/>
        <v>0.10648148148148147</v>
      </c>
    </row>
    <row r="3742" spans="1:15" ht="12.75" customHeight="1">
      <c r="A3742" s="188" t="s">
        <v>620</v>
      </c>
      <c r="B3742" s="188" t="s">
        <v>4996</v>
      </c>
      <c r="C3742" s="188" t="s">
        <v>678</v>
      </c>
      <c r="D3742" s="188" t="s">
        <v>5513</v>
      </c>
      <c r="E3742" s="189">
        <v>39443</v>
      </c>
      <c r="F3742" s="190">
        <v>0</v>
      </c>
      <c r="G3742" s="190">
        <v>60</v>
      </c>
      <c r="H3742" s="191">
        <v>1040</v>
      </c>
      <c r="I3742" s="191">
        <v>225</v>
      </c>
      <c r="J3742" s="188" t="s">
        <v>624</v>
      </c>
      <c r="K3742" s="188" t="s">
        <v>652</v>
      </c>
      <c r="L3742" s="188" t="s">
        <v>1058</v>
      </c>
      <c r="M3742" s="192">
        <f t="shared" si="174"/>
        <v>13</v>
      </c>
      <c r="N3742" s="193">
        <f t="shared" si="175"/>
        <v>1.3866666666666667</v>
      </c>
      <c r="O3742" s="194">
        <f t="shared" si="176"/>
        <v>0.10666666666666667</v>
      </c>
    </row>
    <row r="3743" spans="1:15" ht="12.75" customHeight="1">
      <c r="A3743" s="188" t="s">
        <v>620</v>
      </c>
      <c r="B3743" s="188" t="s">
        <v>4996</v>
      </c>
      <c r="C3743" s="188" t="s">
        <v>678</v>
      </c>
      <c r="D3743" s="188" t="s">
        <v>5514</v>
      </c>
      <c r="E3743" s="189">
        <v>39464</v>
      </c>
      <c r="F3743" s="190">
        <v>0</v>
      </c>
      <c r="G3743" s="190">
        <v>101.76</v>
      </c>
      <c r="H3743" s="191">
        <v>1764</v>
      </c>
      <c r="I3743" s="191">
        <v>381.6</v>
      </c>
      <c r="J3743" s="188" t="s">
        <v>624</v>
      </c>
      <c r="K3743" s="188" t="s">
        <v>652</v>
      </c>
      <c r="L3743" s="188" t="s">
        <v>1525</v>
      </c>
      <c r="M3743" s="192">
        <f t="shared" si="174"/>
        <v>13</v>
      </c>
      <c r="N3743" s="193">
        <f t="shared" si="175"/>
        <v>1.3867924528301887</v>
      </c>
      <c r="O3743" s="194">
        <f t="shared" si="176"/>
        <v>0.10667634252539913</v>
      </c>
    </row>
    <row r="3744" spans="1:15" ht="12.75" customHeight="1">
      <c r="A3744" s="188" t="s">
        <v>620</v>
      </c>
      <c r="B3744" s="188" t="s">
        <v>4996</v>
      </c>
      <c r="C3744" s="188" t="s">
        <v>678</v>
      </c>
      <c r="D3744" s="188" t="s">
        <v>5515</v>
      </c>
      <c r="E3744" s="189">
        <v>39310</v>
      </c>
      <c r="F3744" s="190">
        <v>0</v>
      </c>
      <c r="G3744" s="190">
        <v>111.36</v>
      </c>
      <c r="H3744" s="191">
        <v>1930.98</v>
      </c>
      <c r="I3744" s="191">
        <v>417.6</v>
      </c>
      <c r="J3744" s="188" t="s">
        <v>624</v>
      </c>
      <c r="K3744" s="188" t="s">
        <v>652</v>
      </c>
      <c r="L3744" s="188" t="s">
        <v>2728</v>
      </c>
      <c r="M3744" s="192">
        <f t="shared" si="174"/>
        <v>13</v>
      </c>
      <c r="N3744" s="193">
        <f t="shared" si="175"/>
        <v>1.3871982758620689</v>
      </c>
      <c r="O3744" s="194">
        <f t="shared" si="176"/>
        <v>0.10670755968169761</v>
      </c>
    </row>
    <row r="3745" spans="1:15" ht="12.75" customHeight="1">
      <c r="A3745" s="188" t="s">
        <v>620</v>
      </c>
      <c r="B3745" s="188" t="s">
        <v>4996</v>
      </c>
      <c r="C3745" s="188" t="s">
        <v>678</v>
      </c>
      <c r="D3745" s="188" t="s">
        <v>5516</v>
      </c>
      <c r="E3745" s="189">
        <v>39447</v>
      </c>
      <c r="F3745" s="190">
        <v>0</v>
      </c>
      <c r="G3745" s="190">
        <v>72.959999999999994</v>
      </c>
      <c r="H3745" s="191">
        <v>1266</v>
      </c>
      <c r="I3745" s="191">
        <v>273.60000000000002</v>
      </c>
      <c r="J3745" s="188" t="s">
        <v>624</v>
      </c>
      <c r="K3745" s="188" t="s">
        <v>652</v>
      </c>
      <c r="L3745" s="188" t="s">
        <v>1808</v>
      </c>
      <c r="M3745" s="192">
        <f t="shared" si="174"/>
        <v>13</v>
      </c>
      <c r="N3745" s="193">
        <f t="shared" si="175"/>
        <v>1.388157894736842</v>
      </c>
      <c r="O3745" s="194">
        <f t="shared" si="176"/>
        <v>0.10678137651821862</v>
      </c>
    </row>
    <row r="3746" spans="1:15" ht="12.75" customHeight="1">
      <c r="A3746" s="188" t="s">
        <v>620</v>
      </c>
      <c r="B3746" s="188" t="s">
        <v>4996</v>
      </c>
      <c r="C3746" s="188" t="s">
        <v>678</v>
      </c>
      <c r="D3746" s="188" t="s">
        <v>5517</v>
      </c>
      <c r="E3746" s="189">
        <v>39639</v>
      </c>
      <c r="F3746" s="190">
        <v>0</v>
      </c>
      <c r="G3746" s="190">
        <v>43.2</v>
      </c>
      <c r="H3746" s="191">
        <v>750</v>
      </c>
      <c r="I3746" s="191">
        <v>162</v>
      </c>
      <c r="J3746" s="188" t="s">
        <v>624</v>
      </c>
      <c r="K3746" s="188" t="s">
        <v>652</v>
      </c>
      <c r="L3746" s="188" t="s">
        <v>1081</v>
      </c>
      <c r="M3746" s="192">
        <f t="shared" si="174"/>
        <v>13</v>
      </c>
      <c r="N3746" s="193">
        <f t="shared" si="175"/>
        <v>1.3888888888888888</v>
      </c>
      <c r="O3746" s="194">
        <f t="shared" si="176"/>
        <v>0.10683760683760683</v>
      </c>
    </row>
    <row r="3747" spans="1:15" ht="12.75" customHeight="1">
      <c r="A3747" s="188" t="s">
        <v>620</v>
      </c>
      <c r="B3747" s="188" t="s">
        <v>4996</v>
      </c>
      <c r="C3747" s="188" t="s">
        <v>678</v>
      </c>
      <c r="D3747" s="188" t="s">
        <v>5518</v>
      </c>
      <c r="E3747" s="189">
        <v>39507</v>
      </c>
      <c r="F3747" s="190">
        <v>0</v>
      </c>
      <c r="G3747" s="190">
        <v>124.48</v>
      </c>
      <c r="H3747" s="191">
        <v>2170</v>
      </c>
      <c r="I3747" s="191">
        <v>466.8</v>
      </c>
      <c r="J3747" s="188" t="s">
        <v>624</v>
      </c>
      <c r="K3747" s="188" t="s">
        <v>652</v>
      </c>
      <c r="L3747" s="188" t="s">
        <v>2951</v>
      </c>
      <c r="M3747" s="192">
        <f t="shared" si="174"/>
        <v>13</v>
      </c>
      <c r="N3747" s="193">
        <f t="shared" si="175"/>
        <v>1.3946015424164524</v>
      </c>
      <c r="O3747" s="194">
        <f t="shared" si="176"/>
        <v>0.10727704172434249</v>
      </c>
    </row>
    <row r="3748" spans="1:15" ht="12.75" customHeight="1">
      <c r="A3748" s="188" t="s">
        <v>620</v>
      </c>
      <c r="B3748" s="188" t="s">
        <v>4996</v>
      </c>
      <c r="C3748" s="188" t="s">
        <v>678</v>
      </c>
      <c r="D3748" s="188" t="s">
        <v>5519</v>
      </c>
      <c r="E3748" s="189">
        <v>39492</v>
      </c>
      <c r="F3748" s="190">
        <v>0</v>
      </c>
      <c r="G3748" s="190">
        <v>77.84</v>
      </c>
      <c r="H3748" s="191">
        <v>1566</v>
      </c>
      <c r="I3748" s="191">
        <v>291.89999999999998</v>
      </c>
      <c r="J3748" s="188" t="s">
        <v>624</v>
      </c>
      <c r="K3748" s="188" t="s">
        <v>571</v>
      </c>
      <c r="L3748" s="188" t="s">
        <v>5520</v>
      </c>
      <c r="M3748" s="192">
        <f t="shared" si="174"/>
        <v>15</v>
      </c>
      <c r="N3748" s="193">
        <f t="shared" si="175"/>
        <v>1.6094552929085304</v>
      </c>
      <c r="O3748" s="194">
        <f t="shared" si="176"/>
        <v>0.10729701952723536</v>
      </c>
    </row>
    <row r="3749" spans="1:15" ht="12.75" customHeight="1">
      <c r="A3749" s="188" t="s">
        <v>620</v>
      </c>
      <c r="B3749" s="188" t="s">
        <v>4996</v>
      </c>
      <c r="C3749" s="188" t="s">
        <v>678</v>
      </c>
      <c r="D3749" s="188" t="s">
        <v>5521</v>
      </c>
      <c r="E3749" s="189">
        <v>39568</v>
      </c>
      <c r="F3749" s="190">
        <v>0</v>
      </c>
      <c r="G3749" s="190">
        <v>71.680000000000007</v>
      </c>
      <c r="H3749" s="191">
        <v>1250</v>
      </c>
      <c r="I3749" s="191">
        <v>268.8</v>
      </c>
      <c r="J3749" s="188" t="s">
        <v>624</v>
      </c>
      <c r="K3749" s="188" t="s">
        <v>652</v>
      </c>
      <c r="L3749" s="188" t="s">
        <v>654</v>
      </c>
      <c r="M3749" s="192">
        <f t="shared" si="174"/>
        <v>13</v>
      </c>
      <c r="N3749" s="193">
        <f t="shared" si="175"/>
        <v>1.3950892857142858</v>
      </c>
      <c r="O3749" s="194">
        <f t="shared" si="176"/>
        <v>0.10731456043956045</v>
      </c>
    </row>
    <row r="3750" spans="1:15" ht="12.75" customHeight="1">
      <c r="A3750" s="188" t="s">
        <v>620</v>
      </c>
      <c r="B3750" s="188" t="s">
        <v>4996</v>
      </c>
      <c r="C3750" s="188" t="s">
        <v>678</v>
      </c>
      <c r="D3750" s="188" t="s">
        <v>5522</v>
      </c>
      <c r="E3750" s="189">
        <v>39269</v>
      </c>
      <c r="F3750" s="190">
        <v>0</v>
      </c>
      <c r="G3750" s="190">
        <v>38.880000000000003</v>
      </c>
      <c r="H3750" s="191">
        <v>680.01</v>
      </c>
      <c r="I3750" s="191">
        <v>145.80000000000001</v>
      </c>
      <c r="J3750" s="188" t="s">
        <v>624</v>
      </c>
      <c r="K3750" s="188" t="s">
        <v>652</v>
      </c>
      <c r="L3750" s="188" t="s">
        <v>4160</v>
      </c>
      <c r="M3750" s="192">
        <f t="shared" si="174"/>
        <v>13</v>
      </c>
      <c r="N3750" s="193">
        <f t="shared" si="175"/>
        <v>1.3991975308641975</v>
      </c>
      <c r="O3750" s="194">
        <f t="shared" si="176"/>
        <v>0.10763057929724597</v>
      </c>
    </row>
    <row r="3751" spans="1:15" ht="12.75" customHeight="1">
      <c r="A3751" s="188" t="s">
        <v>620</v>
      </c>
      <c r="B3751" s="188" t="s">
        <v>4996</v>
      </c>
      <c r="C3751" s="188" t="s">
        <v>678</v>
      </c>
      <c r="D3751" s="188" t="s">
        <v>5523</v>
      </c>
      <c r="E3751" s="189">
        <v>39310</v>
      </c>
      <c r="F3751" s="190">
        <v>0</v>
      </c>
      <c r="G3751" s="190">
        <v>104.96</v>
      </c>
      <c r="H3751" s="191">
        <v>1836.01</v>
      </c>
      <c r="I3751" s="191">
        <v>393.6</v>
      </c>
      <c r="J3751" s="188" t="s">
        <v>624</v>
      </c>
      <c r="K3751" s="188" t="s">
        <v>652</v>
      </c>
      <c r="L3751" s="188" t="s">
        <v>2216</v>
      </c>
      <c r="M3751" s="192">
        <f t="shared" si="174"/>
        <v>13</v>
      </c>
      <c r="N3751" s="193">
        <f t="shared" si="175"/>
        <v>1.3993978658536586</v>
      </c>
      <c r="O3751" s="194">
        <f t="shared" si="176"/>
        <v>0.10764598968105066</v>
      </c>
    </row>
    <row r="3752" spans="1:15" ht="12.75" customHeight="1">
      <c r="A3752" s="188" t="s">
        <v>620</v>
      </c>
      <c r="B3752" s="188" t="s">
        <v>4996</v>
      </c>
      <c r="C3752" s="188" t="s">
        <v>678</v>
      </c>
      <c r="D3752" s="188" t="s">
        <v>5524</v>
      </c>
      <c r="E3752" s="189">
        <v>39447</v>
      </c>
      <c r="F3752" s="190">
        <v>0</v>
      </c>
      <c r="G3752" s="190">
        <v>124.88</v>
      </c>
      <c r="H3752" s="191">
        <v>2185</v>
      </c>
      <c r="I3752" s="191">
        <v>468.3</v>
      </c>
      <c r="J3752" s="188" t="s">
        <v>624</v>
      </c>
      <c r="K3752" s="188" t="s">
        <v>652</v>
      </c>
      <c r="L3752" s="188" t="s">
        <v>5525</v>
      </c>
      <c r="M3752" s="192">
        <f t="shared" si="174"/>
        <v>13</v>
      </c>
      <c r="N3752" s="193">
        <f t="shared" si="175"/>
        <v>1.3997437540038438</v>
      </c>
      <c r="O3752" s="194">
        <f t="shared" si="176"/>
        <v>0.10767259646183414</v>
      </c>
    </row>
    <row r="3753" spans="1:15" ht="12.75" customHeight="1">
      <c r="A3753" s="188" t="s">
        <v>620</v>
      </c>
      <c r="B3753" s="188" t="s">
        <v>4996</v>
      </c>
      <c r="C3753" s="188" t="s">
        <v>678</v>
      </c>
      <c r="D3753" s="188" t="s">
        <v>5526</v>
      </c>
      <c r="E3753" s="189">
        <v>39353</v>
      </c>
      <c r="F3753" s="190">
        <v>0</v>
      </c>
      <c r="G3753" s="190">
        <v>73.84</v>
      </c>
      <c r="H3753" s="191">
        <v>1292</v>
      </c>
      <c r="I3753" s="191">
        <v>276.89999999999998</v>
      </c>
      <c r="J3753" s="188" t="s">
        <v>624</v>
      </c>
      <c r="K3753" s="188" t="s">
        <v>652</v>
      </c>
      <c r="L3753" s="188" t="s">
        <v>5527</v>
      </c>
      <c r="M3753" s="192">
        <f t="shared" si="174"/>
        <v>13</v>
      </c>
      <c r="N3753" s="193">
        <f t="shared" si="175"/>
        <v>1.3997833152762731</v>
      </c>
      <c r="O3753" s="194">
        <f t="shared" si="176"/>
        <v>0.10767563963663639</v>
      </c>
    </row>
    <row r="3754" spans="1:15" ht="12.75" customHeight="1">
      <c r="A3754" s="188" t="s">
        <v>620</v>
      </c>
      <c r="B3754" s="188" t="s">
        <v>4996</v>
      </c>
      <c r="C3754" s="188" t="s">
        <v>678</v>
      </c>
      <c r="D3754" s="188" t="s">
        <v>5528</v>
      </c>
      <c r="E3754" s="189">
        <v>39513</v>
      </c>
      <c r="F3754" s="190">
        <v>0</v>
      </c>
      <c r="G3754" s="190">
        <v>52</v>
      </c>
      <c r="H3754" s="191">
        <v>910</v>
      </c>
      <c r="I3754" s="191">
        <v>195</v>
      </c>
      <c r="J3754" s="188" t="s">
        <v>624</v>
      </c>
      <c r="K3754" s="188" t="s">
        <v>652</v>
      </c>
      <c r="L3754" s="188" t="s">
        <v>1774</v>
      </c>
      <c r="M3754" s="192">
        <f t="shared" si="174"/>
        <v>13</v>
      </c>
      <c r="N3754" s="193">
        <f t="shared" si="175"/>
        <v>1.4</v>
      </c>
      <c r="O3754" s="194">
        <f t="shared" si="176"/>
        <v>0.10769230769230768</v>
      </c>
    </row>
    <row r="3755" spans="1:15" ht="12.75" customHeight="1">
      <c r="A3755" s="188" t="s">
        <v>620</v>
      </c>
      <c r="B3755" s="188" t="s">
        <v>4996</v>
      </c>
      <c r="C3755" s="188" t="s">
        <v>678</v>
      </c>
      <c r="D3755" s="188" t="s">
        <v>5529</v>
      </c>
      <c r="E3755" s="189">
        <v>39576</v>
      </c>
      <c r="F3755" s="190">
        <v>0</v>
      </c>
      <c r="G3755" s="190">
        <v>111.6</v>
      </c>
      <c r="H3755" s="191">
        <v>1953</v>
      </c>
      <c r="I3755" s="191">
        <v>418.5</v>
      </c>
      <c r="J3755" s="188" t="s">
        <v>624</v>
      </c>
      <c r="K3755" s="188" t="s">
        <v>652</v>
      </c>
      <c r="L3755" s="188" t="s">
        <v>2932</v>
      </c>
      <c r="M3755" s="192">
        <f t="shared" si="174"/>
        <v>13</v>
      </c>
      <c r="N3755" s="193">
        <f t="shared" si="175"/>
        <v>1.4</v>
      </c>
      <c r="O3755" s="194">
        <f t="shared" si="176"/>
        <v>0.10769230769230768</v>
      </c>
    </row>
    <row r="3756" spans="1:15" ht="12.75" customHeight="1">
      <c r="A3756" s="188" t="s">
        <v>620</v>
      </c>
      <c r="B3756" s="188" t="s">
        <v>4996</v>
      </c>
      <c r="C3756" s="188" t="s">
        <v>678</v>
      </c>
      <c r="D3756" s="188" t="s">
        <v>5530</v>
      </c>
      <c r="E3756" s="189">
        <v>39212</v>
      </c>
      <c r="F3756" s="190">
        <v>0</v>
      </c>
      <c r="G3756" s="190">
        <v>56.32</v>
      </c>
      <c r="H3756" s="191">
        <v>985.6</v>
      </c>
      <c r="I3756" s="191">
        <v>211.2</v>
      </c>
      <c r="J3756" s="188" t="s">
        <v>624</v>
      </c>
      <c r="K3756" s="188" t="s">
        <v>652</v>
      </c>
      <c r="L3756" s="188" t="s">
        <v>3244</v>
      </c>
      <c r="M3756" s="192">
        <f t="shared" si="174"/>
        <v>13</v>
      </c>
      <c r="N3756" s="193">
        <f t="shared" si="175"/>
        <v>1.4000000000000001</v>
      </c>
      <c r="O3756" s="194">
        <f t="shared" si="176"/>
        <v>0.1076923076923077</v>
      </c>
    </row>
    <row r="3757" spans="1:15" ht="12.75" customHeight="1">
      <c r="A3757" s="188" t="s">
        <v>620</v>
      </c>
      <c r="B3757" s="188" t="s">
        <v>4996</v>
      </c>
      <c r="C3757" s="188" t="s">
        <v>678</v>
      </c>
      <c r="D3757" s="188" t="s">
        <v>5531</v>
      </c>
      <c r="E3757" s="189">
        <v>39534</v>
      </c>
      <c r="F3757" s="190">
        <v>0</v>
      </c>
      <c r="G3757" s="190">
        <v>159.36000000000001</v>
      </c>
      <c r="H3757" s="191">
        <v>2796</v>
      </c>
      <c r="I3757" s="191">
        <v>597.6</v>
      </c>
      <c r="J3757" s="188" t="s">
        <v>624</v>
      </c>
      <c r="K3757" s="188" t="s">
        <v>652</v>
      </c>
      <c r="L3757" s="188" t="s">
        <v>5532</v>
      </c>
      <c r="M3757" s="192">
        <f t="shared" si="174"/>
        <v>13</v>
      </c>
      <c r="N3757" s="193">
        <f t="shared" si="175"/>
        <v>1.4036144578313252</v>
      </c>
      <c r="O3757" s="194">
        <f t="shared" si="176"/>
        <v>0.10797034291010194</v>
      </c>
    </row>
    <row r="3758" spans="1:15" ht="12.75" customHeight="1">
      <c r="A3758" s="188" t="s">
        <v>620</v>
      </c>
      <c r="B3758" s="188" t="s">
        <v>4996</v>
      </c>
      <c r="C3758" s="188" t="s">
        <v>678</v>
      </c>
      <c r="D3758" s="188" t="s">
        <v>5533</v>
      </c>
      <c r="E3758" s="189">
        <v>39541</v>
      </c>
      <c r="F3758" s="190">
        <v>0</v>
      </c>
      <c r="G3758" s="190">
        <v>80</v>
      </c>
      <c r="H3758" s="191">
        <v>1404.86</v>
      </c>
      <c r="I3758" s="191">
        <v>300</v>
      </c>
      <c r="J3758" s="188" t="s">
        <v>624</v>
      </c>
      <c r="K3758" s="188" t="s">
        <v>652</v>
      </c>
      <c r="L3758" s="188" t="s">
        <v>636</v>
      </c>
      <c r="M3758" s="192">
        <f t="shared" si="174"/>
        <v>13</v>
      </c>
      <c r="N3758" s="193">
        <f t="shared" si="175"/>
        <v>1.40486</v>
      </c>
      <c r="O3758" s="194">
        <f t="shared" si="176"/>
        <v>0.10806615384615384</v>
      </c>
    </row>
    <row r="3759" spans="1:15" ht="12.75" customHeight="1">
      <c r="A3759" s="188" t="s">
        <v>620</v>
      </c>
      <c r="B3759" s="188" t="s">
        <v>4996</v>
      </c>
      <c r="C3759" s="188" t="s">
        <v>678</v>
      </c>
      <c r="D3759" s="188" t="s">
        <v>5534</v>
      </c>
      <c r="E3759" s="189">
        <v>39562</v>
      </c>
      <c r="F3759" s="190">
        <v>0</v>
      </c>
      <c r="G3759" s="190">
        <v>64.319999999999993</v>
      </c>
      <c r="H3759" s="191">
        <v>1132</v>
      </c>
      <c r="I3759" s="191">
        <v>241.2</v>
      </c>
      <c r="J3759" s="188" t="s">
        <v>624</v>
      </c>
      <c r="K3759" s="188" t="s">
        <v>652</v>
      </c>
      <c r="L3759" s="188" t="s">
        <v>3138</v>
      </c>
      <c r="M3759" s="192">
        <f t="shared" si="174"/>
        <v>13</v>
      </c>
      <c r="N3759" s="193">
        <f t="shared" si="175"/>
        <v>1.407960199004975</v>
      </c>
      <c r="O3759" s="194">
        <f t="shared" si="176"/>
        <v>0.10830463069269039</v>
      </c>
    </row>
    <row r="3760" spans="1:15" ht="12.75" customHeight="1">
      <c r="A3760" s="188" t="s">
        <v>620</v>
      </c>
      <c r="B3760" s="188" t="s">
        <v>4996</v>
      </c>
      <c r="C3760" s="188" t="s">
        <v>678</v>
      </c>
      <c r="D3760" s="188" t="s">
        <v>5535</v>
      </c>
      <c r="E3760" s="189">
        <v>39317</v>
      </c>
      <c r="F3760" s="190">
        <v>0</v>
      </c>
      <c r="G3760" s="190">
        <v>73.52</v>
      </c>
      <c r="H3760" s="191">
        <v>1294.04</v>
      </c>
      <c r="I3760" s="191">
        <v>275.7</v>
      </c>
      <c r="J3760" s="188" t="s">
        <v>624</v>
      </c>
      <c r="K3760" s="188" t="s">
        <v>652</v>
      </c>
      <c r="L3760" s="188" t="s">
        <v>438</v>
      </c>
      <c r="M3760" s="192">
        <f t="shared" si="174"/>
        <v>13</v>
      </c>
      <c r="N3760" s="193">
        <f t="shared" si="175"/>
        <v>1.4080957562568008</v>
      </c>
      <c r="O3760" s="194">
        <f t="shared" si="176"/>
        <v>0.10831505817360007</v>
      </c>
    </row>
    <row r="3761" spans="1:15" ht="12.75" customHeight="1">
      <c r="A3761" s="188" t="s">
        <v>620</v>
      </c>
      <c r="B3761" s="188" t="s">
        <v>4996</v>
      </c>
      <c r="C3761" s="188" t="s">
        <v>678</v>
      </c>
      <c r="D3761" s="188" t="s">
        <v>5536</v>
      </c>
      <c r="E3761" s="189">
        <v>39380</v>
      </c>
      <c r="F3761" s="190">
        <v>0</v>
      </c>
      <c r="G3761" s="190">
        <v>70.400000000000006</v>
      </c>
      <c r="H3761" s="191">
        <v>1430</v>
      </c>
      <c r="I3761" s="191">
        <v>264</v>
      </c>
      <c r="J3761" s="188" t="s">
        <v>624</v>
      </c>
      <c r="K3761" s="188" t="s">
        <v>571</v>
      </c>
      <c r="L3761" s="188" t="s">
        <v>1213</v>
      </c>
      <c r="M3761" s="192">
        <f t="shared" si="174"/>
        <v>15</v>
      </c>
      <c r="N3761" s="193">
        <f t="shared" si="175"/>
        <v>1.625</v>
      </c>
      <c r="O3761" s="194">
        <f t="shared" si="176"/>
        <v>0.10833333333333334</v>
      </c>
    </row>
    <row r="3762" spans="1:15" ht="12.75" customHeight="1">
      <c r="A3762" s="188" t="s">
        <v>620</v>
      </c>
      <c r="B3762" s="188" t="s">
        <v>4996</v>
      </c>
      <c r="C3762" s="188" t="s">
        <v>678</v>
      </c>
      <c r="D3762" s="188" t="s">
        <v>5537</v>
      </c>
      <c r="E3762" s="189">
        <v>39324</v>
      </c>
      <c r="F3762" s="190">
        <v>0</v>
      </c>
      <c r="G3762" s="190">
        <v>79.12</v>
      </c>
      <c r="H3762" s="191">
        <v>1394</v>
      </c>
      <c r="I3762" s="191">
        <v>296.7</v>
      </c>
      <c r="J3762" s="188" t="s">
        <v>624</v>
      </c>
      <c r="K3762" s="188" t="s">
        <v>652</v>
      </c>
      <c r="L3762" s="188" t="s">
        <v>5538</v>
      </c>
      <c r="M3762" s="192">
        <f t="shared" si="174"/>
        <v>13</v>
      </c>
      <c r="N3762" s="193">
        <f t="shared" si="175"/>
        <v>1.4095045500505561</v>
      </c>
      <c r="O3762" s="194">
        <f t="shared" si="176"/>
        <v>0.10842342692696585</v>
      </c>
    </row>
    <row r="3763" spans="1:15" ht="12.75" customHeight="1">
      <c r="A3763" s="188" t="s">
        <v>620</v>
      </c>
      <c r="B3763" s="188" t="s">
        <v>4996</v>
      </c>
      <c r="C3763" s="188" t="s">
        <v>678</v>
      </c>
      <c r="D3763" s="188" t="s">
        <v>5539</v>
      </c>
      <c r="E3763" s="189">
        <v>39422</v>
      </c>
      <c r="F3763" s="190">
        <v>0</v>
      </c>
      <c r="G3763" s="190">
        <v>83.92</v>
      </c>
      <c r="H3763" s="191">
        <v>1484.42</v>
      </c>
      <c r="I3763" s="191">
        <v>314.7</v>
      </c>
      <c r="J3763" s="188" t="s">
        <v>624</v>
      </c>
      <c r="K3763" s="188" t="s">
        <v>652</v>
      </c>
      <c r="L3763" s="188" t="s">
        <v>5540</v>
      </c>
      <c r="M3763" s="192">
        <f t="shared" si="174"/>
        <v>13</v>
      </c>
      <c r="N3763" s="193">
        <f t="shared" si="175"/>
        <v>1.4150810295519543</v>
      </c>
      <c r="O3763" s="194">
        <f t="shared" si="176"/>
        <v>0.10885238688861186</v>
      </c>
    </row>
    <row r="3764" spans="1:15" ht="12.75" customHeight="1">
      <c r="A3764" s="188" t="s">
        <v>620</v>
      </c>
      <c r="B3764" s="188" t="s">
        <v>4996</v>
      </c>
      <c r="C3764" s="188" t="s">
        <v>678</v>
      </c>
      <c r="D3764" s="188" t="s">
        <v>5541</v>
      </c>
      <c r="E3764" s="189">
        <v>39583</v>
      </c>
      <c r="F3764" s="190">
        <v>0</v>
      </c>
      <c r="G3764" s="190">
        <v>50.88</v>
      </c>
      <c r="H3764" s="191">
        <v>900</v>
      </c>
      <c r="I3764" s="191">
        <v>190.8</v>
      </c>
      <c r="J3764" s="188" t="s">
        <v>624</v>
      </c>
      <c r="K3764" s="188" t="s">
        <v>652</v>
      </c>
      <c r="L3764" s="188" t="s">
        <v>5502</v>
      </c>
      <c r="M3764" s="192">
        <f t="shared" si="174"/>
        <v>13</v>
      </c>
      <c r="N3764" s="193">
        <f t="shared" si="175"/>
        <v>1.4150943396226414</v>
      </c>
      <c r="O3764" s="194">
        <f t="shared" si="176"/>
        <v>0.10885341074020319</v>
      </c>
    </row>
    <row r="3765" spans="1:15" ht="12.75" customHeight="1">
      <c r="A3765" s="188" t="s">
        <v>620</v>
      </c>
      <c r="B3765" s="188" t="s">
        <v>4996</v>
      </c>
      <c r="C3765" s="188" t="s">
        <v>678</v>
      </c>
      <c r="D3765" s="188" t="s">
        <v>5542</v>
      </c>
      <c r="E3765" s="189">
        <v>39527</v>
      </c>
      <c r="F3765" s="190">
        <v>0</v>
      </c>
      <c r="G3765" s="190">
        <v>94.72</v>
      </c>
      <c r="H3765" s="191">
        <v>1678</v>
      </c>
      <c r="I3765" s="191">
        <v>355.2</v>
      </c>
      <c r="J3765" s="188" t="s">
        <v>624</v>
      </c>
      <c r="K3765" s="188" t="s">
        <v>652</v>
      </c>
      <c r="L3765" s="188" t="s">
        <v>3156</v>
      </c>
      <c r="M3765" s="192">
        <f t="shared" si="174"/>
        <v>13</v>
      </c>
      <c r="N3765" s="193">
        <f t="shared" si="175"/>
        <v>1.4172297297297298</v>
      </c>
      <c r="O3765" s="194">
        <f t="shared" si="176"/>
        <v>0.10901767151767153</v>
      </c>
    </row>
    <row r="3766" spans="1:15" ht="12.75" customHeight="1">
      <c r="A3766" s="188" t="s">
        <v>620</v>
      </c>
      <c r="B3766" s="188" t="s">
        <v>4996</v>
      </c>
      <c r="C3766" s="188" t="s">
        <v>678</v>
      </c>
      <c r="D3766" s="188" t="s">
        <v>5543</v>
      </c>
      <c r="E3766" s="189">
        <v>39541</v>
      </c>
      <c r="F3766" s="190">
        <v>0</v>
      </c>
      <c r="G3766" s="190">
        <v>80.319999999999993</v>
      </c>
      <c r="H3766" s="191">
        <v>1204</v>
      </c>
      <c r="I3766" s="191">
        <v>301.2</v>
      </c>
      <c r="J3766" s="188" t="s">
        <v>624</v>
      </c>
      <c r="K3766" s="188" t="s">
        <v>639</v>
      </c>
      <c r="L3766" s="188" t="s">
        <v>1615</v>
      </c>
      <c r="M3766" s="192">
        <f t="shared" si="174"/>
        <v>11</v>
      </c>
      <c r="N3766" s="193">
        <f t="shared" si="175"/>
        <v>1.1992031872509961</v>
      </c>
      <c r="O3766" s="194">
        <f t="shared" si="176"/>
        <v>0.10901847156827237</v>
      </c>
    </row>
    <row r="3767" spans="1:15" ht="12.75" customHeight="1">
      <c r="A3767" s="188" t="s">
        <v>620</v>
      </c>
      <c r="B3767" s="188" t="s">
        <v>4996</v>
      </c>
      <c r="C3767" s="188" t="s">
        <v>678</v>
      </c>
      <c r="D3767" s="188" t="s">
        <v>5544</v>
      </c>
      <c r="E3767" s="189">
        <v>39611</v>
      </c>
      <c r="F3767" s="190">
        <v>0</v>
      </c>
      <c r="G3767" s="190">
        <v>76.319999999999993</v>
      </c>
      <c r="H3767" s="191">
        <v>1354</v>
      </c>
      <c r="I3767" s="191">
        <v>286.2</v>
      </c>
      <c r="J3767" s="188" t="s">
        <v>624</v>
      </c>
      <c r="K3767" s="188" t="s">
        <v>652</v>
      </c>
      <c r="L3767" s="188" t="s">
        <v>5545</v>
      </c>
      <c r="M3767" s="192">
        <f t="shared" si="174"/>
        <v>13</v>
      </c>
      <c r="N3767" s="193">
        <f t="shared" si="175"/>
        <v>1.4192872117400419</v>
      </c>
      <c r="O3767" s="194">
        <f t="shared" si="176"/>
        <v>0.10917593936461861</v>
      </c>
    </row>
    <row r="3768" spans="1:15" ht="12.75" customHeight="1">
      <c r="A3768" s="188" t="s">
        <v>620</v>
      </c>
      <c r="B3768" s="188" t="s">
        <v>4996</v>
      </c>
      <c r="C3768" s="188" t="s">
        <v>678</v>
      </c>
      <c r="D3768" s="188" t="s">
        <v>5546</v>
      </c>
      <c r="E3768" s="189">
        <v>39562</v>
      </c>
      <c r="F3768" s="190">
        <v>0</v>
      </c>
      <c r="G3768" s="190">
        <v>112.48</v>
      </c>
      <c r="H3768" s="191">
        <v>2000</v>
      </c>
      <c r="I3768" s="191">
        <v>421.8</v>
      </c>
      <c r="J3768" s="188" t="s">
        <v>624</v>
      </c>
      <c r="K3768" s="188" t="s">
        <v>652</v>
      </c>
      <c r="L3768" s="188" t="s">
        <v>3963</v>
      </c>
      <c r="M3768" s="192">
        <f t="shared" si="174"/>
        <v>13</v>
      </c>
      <c r="N3768" s="193">
        <f t="shared" si="175"/>
        <v>1.4224751066856329</v>
      </c>
      <c r="O3768" s="194">
        <f t="shared" si="176"/>
        <v>0.10942116205274099</v>
      </c>
    </row>
    <row r="3769" spans="1:15" ht="12.75" customHeight="1">
      <c r="A3769" s="188" t="s">
        <v>620</v>
      </c>
      <c r="B3769" s="188" t="s">
        <v>4996</v>
      </c>
      <c r="C3769" s="188" t="s">
        <v>678</v>
      </c>
      <c r="D3769" s="188" t="s">
        <v>5547</v>
      </c>
      <c r="E3769" s="189">
        <v>39590</v>
      </c>
      <c r="F3769" s="190">
        <v>0</v>
      </c>
      <c r="G3769" s="190">
        <v>105.44</v>
      </c>
      <c r="H3769" s="191">
        <v>1587</v>
      </c>
      <c r="I3769" s="191">
        <v>395.4</v>
      </c>
      <c r="J3769" s="188" t="s">
        <v>624</v>
      </c>
      <c r="K3769" s="188" t="s">
        <v>639</v>
      </c>
      <c r="L3769" s="188" t="s">
        <v>5548</v>
      </c>
      <c r="M3769" s="192">
        <f t="shared" si="174"/>
        <v>11</v>
      </c>
      <c r="N3769" s="193">
        <f t="shared" si="175"/>
        <v>1.2040971168437027</v>
      </c>
      <c r="O3769" s="194">
        <f t="shared" si="176"/>
        <v>0.10946337425851843</v>
      </c>
    </row>
    <row r="3770" spans="1:15" ht="12.75" customHeight="1">
      <c r="A3770" s="188" t="s">
        <v>620</v>
      </c>
      <c r="B3770" s="188" t="s">
        <v>4996</v>
      </c>
      <c r="C3770" s="188" t="s">
        <v>678</v>
      </c>
      <c r="D3770" s="188" t="s">
        <v>5549</v>
      </c>
      <c r="E3770" s="189">
        <v>39422</v>
      </c>
      <c r="F3770" s="190">
        <v>0</v>
      </c>
      <c r="G3770" s="190">
        <v>110.56</v>
      </c>
      <c r="H3770" s="191">
        <v>1967</v>
      </c>
      <c r="I3770" s="191">
        <v>414.6</v>
      </c>
      <c r="J3770" s="188" t="s">
        <v>624</v>
      </c>
      <c r="K3770" s="188" t="s">
        <v>652</v>
      </c>
      <c r="L3770" s="188" t="s">
        <v>3524</v>
      </c>
      <c r="M3770" s="192">
        <f t="shared" si="174"/>
        <v>13</v>
      </c>
      <c r="N3770" s="193">
        <f t="shared" si="175"/>
        <v>1.4232995658465992</v>
      </c>
      <c r="O3770" s="194">
        <f t="shared" si="176"/>
        <v>0.10948458198819994</v>
      </c>
    </row>
    <row r="3771" spans="1:15" ht="12.75" customHeight="1">
      <c r="A3771" s="188" t="s">
        <v>620</v>
      </c>
      <c r="B3771" s="188" t="s">
        <v>4996</v>
      </c>
      <c r="C3771" s="188" t="s">
        <v>678</v>
      </c>
      <c r="D3771" s="188" t="s">
        <v>5550</v>
      </c>
      <c r="E3771" s="189">
        <v>39639</v>
      </c>
      <c r="F3771" s="190">
        <v>0</v>
      </c>
      <c r="G3771" s="190">
        <v>112</v>
      </c>
      <c r="H3771" s="191">
        <v>1995</v>
      </c>
      <c r="I3771" s="191">
        <v>420</v>
      </c>
      <c r="J3771" s="188" t="s">
        <v>624</v>
      </c>
      <c r="K3771" s="188" t="s">
        <v>652</v>
      </c>
      <c r="L3771" s="188" t="s">
        <v>754</v>
      </c>
      <c r="M3771" s="192">
        <f t="shared" si="174"/>
        <v>13</v>
      </c>
      <c r="N3771" s="193">
        <f t="shared" si="175"/>
        <v>1.425</v>
      </c>
      <c r="O3771" s="194">
        <f t="shared" si="176"/>
        <v>0.10961538461538461</v>
      </c>
    </row>
    <row r="3772" spans="1:15" ht="12.75" customHeight="1">
      <c r="A3772" s="188" t="s">
        <v>620</v>
      </c>
      <c r="B3772" s="188" t="s">
        <v>4996</v>
      </c>
      <c r="C3772" s="188" t="s">
        <v>678</v>
      </c>
      <c r="D3772" s="188" t="s">
        <v>5551</v>
      </c>
      <c r="E3772" s="189">
        <v>39447</v>
      </c>
      <c r="F3772" s="190">
        <v>0</v>
      </c>
      <c r="G3772" s="190">
        <v>70.72</v>
      </c>
      <c r="H3772" s="191">
        <v>1260</v>
      </c>
      <c r="I3772" s="191">
        <v>265.2</v>
      </c>
      <c r="J3772" s="188" t="s">
        <v>624</v>
      </c>
      <c r="K3772" s="188" t="s">
        <v>652</v>
      </c>
      <c r="L3772" s="188" t="s">
        <v>3581</v>
      </c>
      <c r="M3772" s="192">
        <f t="shared" si="174"/>
        <v>13</v>
      </c>
      <c r="N3772" s="193">
        <f t="shared" si="175"/>
        <v>1.4253393665158371</v>
      </c>
      <c r="O3772" s="194">
        <f t="shared" si="176"/>
        <v>0.10964148973198748</v>
      </c>
    </row>
    <row r="3773" spans="1:15" ht="12.75" customHeight="1">
      <c r="A3773" s="188" t="s">
        <v>620</v>
      </c>
      <c r="B3773" s="188" t="s">
        <v>4996</v>
      </c>
      <c r="C3773" s="188" t="s">
        <v>678</v>
      </c>
      <c r="D3773" s="188" t="s">
        <v>5552</v>
      </c>
      <c r="E3773" s="189">
        <v>39331</v>
      </c>
      <c r="F3773" s="190">
        <v>0</v>
      </c>
      <c r="G3773" s="190">
        <v>78.16</v>
      </c>
      <c r="H3773" s="191">
        <v>1393.98</v>
      </c>
      <c r="I3773" s="191">
        <v>293.10000000000002</v>
      </c>
      <c r="J3773" s="188" t="s">
        <v>624</v>
      </c>
      <c r="K3773" s="188" t="s">
        <v>652</v>
      </c>
      <c r="L3773" s="188" t="s">
        <v>5553</v>
      </c>
      <c r="M3773" s="192">
        <f t="shared" si="174"/>
        <v>13</v>
      </c>
      <c r="N3773" s="193">
        <f t="shared" si="175"/>
        <v>1.4267963152507677</v>
      </c>
      <c r="O3773" s="194">
        <f t="shared" si="176"/>
        <v>0.10975356271159752</v>
      </c>
    </row>
    <row r="3774" spans="1:15" ht="12.75" customHeight="1">
      <c r="A3774" s="188" t="s">
        <v>620</v>
      </c>
      <c r="B3774" s="188" t="s">
        <v>4996</v>
      </c>
      <c r="C3774" s="188" t="s">
        <v>678</v>
      </c>
      <c r="D3774" s="188" t="s">
        <v>5554</v>
      </c>
      <c r="E3774" s="189">
        <v>39447</v>
      </c>
      <c r="F3774" s="190">
        <v>0</v>
      </c>
      <c r="G3774" s="190">
        <v>83.6</v>
      </c>
      <c r="H3774" s="191">
        <v>1724.25</v>
      </c>
      <c r="I3774" s="191">
        <v>313.5</v>
      </c>
      <c r="J3774" s="188" t="s">
        <v>624</v>
      </c>
      <c r="K3774" s="188" t="s">
        <v>571</v>
      </c>
      <c r="L3774" s="188" t="s">
        <v>2419</v>
      </c>
      <c r="M3774" s="192">
        <f t="shared" si="174"/>
        <v>15</v>
      </c>
      <c r="N3774" s="193">
        <f t="shared" si="175"/>
        <v>1.65</v>
      </c>
      <c r="O3774" s="194">
        <f t="shared" si="176"/>
        <v>0.11</v>
      </c>
    </row>
    <row r="3775" spans="1:15" ht="12.75" customHeight="1">
      <c r="A3775" s="188" t="s">
        <v>620</v>
      </c>
      <c r="B3775" s="188" t="s">
        <v>4996</v>
      </c>
      <c r="C3775" s="188" t="s">
        <v>678</v>
      </c>
      <c r="D3775" s="188" t="s">
        <v>5555</v>
      </c>
      <c r="E3775" s="189">
        <v>39541</v>
      </c>
      <c r="F3775" s="190">
        <v>0</v>
      </c>
      <c r="G3775" s="190">
        <v>35.36</v>
      </c>
      <c r="H3775" s="191">
        <v>729.3</v>
      </c>
      <c r="I3775" s="191">
        <v>132.6</v>
      </c>
      <c r="J3775" s="188" t="s">
        <v>624</v>
      </c>
      <c r="K3775" s="188" t="s">
        <v>571</v>
      </c>
      <c r="L3775" s="188" t="s">
        <v>5087</v>
      </c>
      <c r="M3775" s="192">
        <f t="shared" si="174"/>
        <v>15</v>
      </c>
      <c r="N3775" s="193">
        <f t="shared" si="175"/>
        <v>1.65</v>
      </c>
      <c r="O3775" s="194">
        <f t="shared" si="176"/>
        <v>0.11</v>
      </c>
    </row>
    <row r="3776" spans="1:15" ht="12.75" customHeight="1">
      <c r="A3776" s="188" t="s">
        <v>620</v>
      </c>
      <c r="B3776" s="188" t="s">
        <v>4996</v>
      </c>
      <c r="C3776" s="188" t="s">
        <v>678</v>
      </c>
      <c r="D3776" s="188" t="s">
        <v>5556</v>
      </c>
      <c r="E3776" s="189">
        <v>39625</v>
      </c>
      <c r="F3776" s="190">
        <v>0</v>
      </c>
      <c r="G3776" s="190">
        <v>58.72</v>
      </c>
      <c r="H3776" s="191">
        <v>1211.0999999999999</v>
      </c>
      <c r="I3776" s="191">
        <v>220.2</v>
      </c>
      <c r="J3776" s="188" t="s">
        <v>624</v>
      </c>
      <c r="K3776" s="188" t="s">
        <v>571</v>
      </c>
      <c r="L3776" s="188" t="s">
        <v>5557</v>
      </c>
      <c r="M3776" s="192">
        <f t="shared" si="174"/>
        <v>15</v>
      </c>
      <c r="N3776" s="193">
        <f t="shared" si="175"/>
        <v>1.65</v>
      </c>
      <c r="O3776" s="194">
        <f t="shared" si="176"/>
        <v>0.11</v>
      </c>
    </row>
    <row r="3777" spans="1:15" ht="12.75" customHeight="1">
      <c r="A3777" s="188" t="s">
        <v>620</v>
      </c>
      <c r="B3777" s="188" t="s">
        <v>4996</v>
      </c>
      <c r="C3777" s="188" t="s">
        <v>678</v>
      </c>
      <c r="D3777" s="188" t="s">
        <v>5558</v>
      </c>
      <c r="E3777" s="189">
        <v>39597</v>
      </c>
      <c r="F3777" s="190">
        <v>0</v>
      </c>
      <c r="G3777" s="190">
        <v>56</v>
      </c>
      <c r="H3777" s="191">
        <v>1160</v>
      </c>
      <c r="I3777" s="191">
        <v>210</v>
      </c>
      <c r="J3777" s="188" t="s">
        <v>624</v>
      </c>
      <c r="K3777" s="188" t="s">
        <v>571</v>
      </c>
      <c r="L3777" s="188" t="s">
        <v>1827</v>
      </c>
      <c r="M3777" s="192">
        <f t="shared" si="174"/>
        <v>15</v>
      </c>
      <c r="N3777" s="193">
        <f t="shared" si="175"/>
        <v>1.6571428571428573</v>
      </c>
      <c r="O3777" s="194">
        <f t="shared" si="176"/>
        <v>0.11047619047619048</v>
      </c>
    </row>
    <row r="3778" spans="1:15" ht="12.75" customHeight="1">
      <c r="A3778" s="188" t="s">
        <v>620</v>
      </c>
      <c r="B3778" s="188" t="s">
        <v>4996</v>
      </c>
      <c r="C3778" s="188" t="s">
        <v>678</v>
      </c>
      <c r="D3778" s="188" t="s">
        <v>5559</v>
      </c>
      <c r="E3778" s="189">
        <v>39226</v>
      </c>
      <c r="F3778" s="190">
        <v>0</v>
      </c>
      <c r="G3778" s="190">
        <v>120.4</v>
      </c>
      <c r="H3778" s="191">
        <v>2175.0300000000002</v>
      </c>
      <c r="I3778" s="191">
        <v>451.5</v>
      </c>
      <c r="J3778" s="188" t="s">
        <v>624</v>
      </c>
      <c r="K3778" s="188" t="s">
        <v>652</v>
      </c>
      <c r="L3778" s="188" t="s">
        <v>5560</v>
      </c>
      <c r="M3778" s="192">
        <f t="shared" ref="M3778:M3841" si="177">K3778-J3778</f>
        <v>13</v>
      </c>
      <c r="N3778" s="193">
        <f t="shared" ref="N3778:N3841" si="178">H3778/L3778</f>
        <v>1.4452026578073092</v>
      </c>
      <c r="O3778" s="194">
        <f t="shared" ref="O3778:O3841" si="179">N3778/M3778</f>
        <v>0.11116943521594685</v>
      </c>
    </row>
    <row r="3779" spans="1:15" ht="12.75" customHeight="1">
      <c r="A3779" s="188" t="s">
        <v>620</v>
      </c>
      <c r="B3779" s="188" t="s">
        <v>4996</v>
      </c>
      <c r="C3779" s="188" t="s">
        <v>678</v>
      </c>
      <c r="D3779" s="188" t="s">
        <v>5561</v>
      </c>
      <c r="E3779" s="189">
        <v>39339</v>
      </c>
      <c r="F3779" s="190">
        <v>0</v>
      </c>
      <c r="G3779" s="190">
        <v>110.48</v>
      </c>
      <c r="H3779" s="191">
        <v>1996</v>
      </c>
      <c r="I3779" s="191">
        <v>414.3</v>
      </c>
      <c r="J3779" s="188" t="s">
        <v>624</v>
      </c>
      <c r="K3779" s="188" t="s">
        <v>652</v>
      </c>
      <c r="L3779" s="188" t="s">
        <v>1867</v>
      </c>
      <c r="M3779" s="192">
        <f t="shared" si="177"/>
        <v>13</v>
      </c>
      <c r="N3779" s="193">
        <f t="shared" si="178"/>
        <v>1.445329471397538</v>
      </c>
      <c r="O3779" s="194">
        <f t="shared" si="179"/>
        <v>0.11117919010750292</v>
      </c>
    </row>
    <row r="3780" spans="1:15" ht="12.75" customHeight="1">
      <c r="A3780" s="188" t="s">
        <v>620</v>
      </c>
      <c r="B3780" s="188" t="s">
        <v>4996</v>
      </c>
      <c r="C3780" s="188" t="s">
        <v>678</v>
      </c>
      <c r="D3780" s="188" t="s">
        <v>5562</v>
      </c>
      <c r="E3780" s="189">
        <v>39520</v>
      </c>
      <c r="F3780" s="190">
        <v>0</v>
      </c>
      <c r="G3780" s="190">
        <v>59.69</v>
      </c>
      <c r="H3780" s="191">
        <v>1384.43</v>
      </c>
      <c r="I3780" s="191">
        <v>248.7</v>
      </c>
      <c r="J3780" s="188" t="s">
        <v>624</v>
      </c>
      <c r="K3780" s="188" t="s">
        <v>571</v>
      </c>
      <c r="L3780" s="188" t="s">
        <v>5508</v>
      </c>
      <c r="M3780" s="192">
        <f t="shared" si="177"/>
        <v>15</v>
      </c>
      <c r="N3780" s="193">
        <f t="shared" si="178"/>
        <v>1.6700000000000002</v>
      </c>
      <c r="O3780" s="194">
        <f t="shared" si="179"/>
        <v>0.11133333333333334</v>
      </c>
    </row>
    <row r="3781" spans="1:15" ht="12.75" customHeight="1">
      <c r="A3781" s="188" t="s">
        <v>620</v>
      </c>
      <c r="B3781" s="188" t="s">
        <v>4996</v>
      </c>
      <c r="C3781" s="188" t="s">
        <v>678</v>
      </c>
      <c r="D3781" s="188" t="s">
        <v>5563</v>
      </c>
      <c r="E3781" s="189">
        <v>39352</v>
      </c>
      <c r="F3781" s="190">
        <v>0</v>
      </c>
      <c r="G3781" s="190">
        <v>102.32</v>
      </c>
      <c r="H3781" s="191">
        <v>1854</v>
      </c>
      <c r="I3781" s="191">
        <v>383.7</v>
      </c>
      <c r="J3781" s="188" t="s">
        <v>624</v>
      </c>
      <c r="K3781" s="188" t="s">
        <v>652</v>
      </c>
      <c r="L3781" s="188" t="s">
        <v>5564</v>
      </c>
      <c r="M3781" s="192">
        <f t="shared" si="177"/>
        <v>13</v>
      </c>
      <c r="N3781" s="193">
        <f t="shared" si="178"/>
        <v>1.4495699765441752</v>
      </c>
      <c r="O3781" s="194">
        <f t="shared" si="179"/>
        <v>0.1115053828110904</v>
      </c>
    </row>
    <row r="3782" spans="1:15" ht="12.75" customHeight="1">
      <c r="A3782" s="188" t="s">
        <v>620</v>
      </c>
      <c r="B3782" s="188" t="s">
        <v>4996</v>
      </c>
      <c r="C3782" s="188" t="s">
        <v>678</v>
      </c>
      <c r="D3782" s="188" t="s">
        <v>5565</v>
      </c>
      <c r="E3782" s="189">
        <v>39353</v>
      </c>
      <c r="F3782" s="190">
        <v>0</v>
      </c>
      <c r="G3782" s="190">
        <v>81.92</v>
      </c>
      <c r="H3782" s="191">
        <v>1485</v>
      </c>
      <c r="I3782" s="191">
        <v>307.2</v>
      </c>
      <c r="J3782" s="188" t="s">
        <v>624</v>
      </c>
      <c r="K3782" s="188" t="s">
        <v>652</v>
      </c>
      <c r="L3782" s="188" t="s">
        <v>507</v>
      </c>
      <c r="M3782" s="192">
        <f t="shared" si="177"/>
        <v>13</v>
      </c>
      <c r="N3782" s="193">
        <f t="shared" si="178"/>
        <v>1.4501953125</v>
      </c>
      <c r="O3782" s="194">
        <f t="shared" si="179"/>
        <v>0.11155348557692307</v>
      </c>
    </row>
    <row r="3783" spans="1:15" ht="12.75" customHeight="1">
      <c r="A3783" s="188" t="s">
        <v>620</v>
      </c>
      <c r="B3783" s="188" t="s">
        <v>4996</v>
      </c>
      <c r="C3783" s="188" t="s">
        <v>678</v>
      </c>
      <c r="D3783" s="188" t="s">
        <v>5566</v>
      </c>
      <c r="E3783" s="189">
        <v>39401</v>
      </c>
      <c r="F3783" s="190">
        <v>0</v>
      </c>
      <c r="G3783" s="190">
        <v>77.12</v>
      </c>
      <c r="H3783" s="191">
        <v>1404.69</v>
      </c>
      <c r="I3783" s="191">
        <v>289.2</v>
      </c>
      <c r="J3783" s="188" t="s">
        <v>624</v>
      </c>
      <c r="K3783" s="188" t="s">
        <v>652</v>
      </c>
      <c r="L3783" s="188" t="s">
        <v>5567</v>
      </c>
      <c r="M3783" s="192">
        <f t="shared" si="177"/>
        <v>13</v>
      </c>
      <c r="N3783" s="193">
        <f t="shared" si="178"/>
        <v>1.4571473029045643</v>
      </c>
      <c r="O3783" s="194">
        <f t="shared" si="179"/>
        <v>0.11208825406958187</v>
      </c>
    </row>
    <row r="3784" spans="1:15" ht="12.75" customHeight="1">
      <c r="A3784" s="188" t="s">
        <v>620</v>
      </c>
      <c r="B3784" s="188" t="s">
        <v>4996</v>
      </c>
      <c r="C3784" s="188" t="s">
        <v>678</v>
      </c>
      <c r="D3784" s="188" t="s">
        <v>5568</v>
      </c>
      <c r="E3784" s="189">
        <v>39625</v>
      </c>
      <c r="F3784" s="190">
        <v>0</v>
      </c>
      <c r="G3784" s="190">
        <v>157.36000000000001</v>
      </c>
      <c r="H3784" s="191">
        <v>2869</v>
      </c>
      <c r="I3784" s="191">
        <v>590.1</v>
      </c>
      <c r="J3784" s="188" t="s">
        <v>624</v>
      </c>
      <c r="K3784" s="188" t="s">
        <v>652</v>
      </c>
      <c r="L3784" s="188" t="s">
        <v>5569</v>
      </c>
      <c r="M3784" s="192">
        <f t="shared" si="177"/>
        <v>13</v>
      </c>
      <c r="N3784" s="193">
        <f t="shared" si="178"/>
        <v>1.4585663446873411</v>
      </c>
      <c r="O3784" s="194">
        <f t="shared" si="179"/>
        <v>0.11219741112979548</v>
      </c>
    </row>
    <row r="3785" spans="1:15" ht="12.75" customHeight="1">
      <c r="A3785" s="188" t="s">
        <v>620</v>
      </c>
      <c r="B3785" s="188" t="s">
        <v>4996</v>
      </c>
      <c r="C3785" s="188" t="s">
        <v>678</v>
      </c>
      <c r="D3785" s="188" t="s">
        <v>5570</v>
      </c>
      <c r="E3785" s="189">
        <v>39339</v>
      </c>
      <c r="F3785" s="190">
        <v>0</v>
      </c>
      <c r="G3785" s="190">
        <v>94.24</v>
      </c>
      <c r="H3785" s="191">
        <v>1985.05</v>
      </c>
      <c r="I3785" s="191">
        <v>353.4</v>
      </c>
      <c r="J3785" s="188" t="s">
        <v>624</v>
      </c>
      <c r="K3785" s="188" t="s">
        <v>571</v>
      </c>
      <c r="L3785" s="188" t="s">
        <v>420</v>
      </c>
      <c r="M3785" s="192">
        <f t="shared" si="177"/>
        <v>15</v>
      </c>
      <c r="N3785" s="193">
        <f t="shared" si="178"/>
        <v>1.6851018675721561</v>
      </c>
      <c r="O3785" s="194">
        <f t="shared" si="179"/>
        <v>0.1123401245048104</v>
      </c>
    </row>
    <row r="3786" spans="1:15" ht="12.75" customHeight="1">
      <c r="A3786" s="188" t="s">
        <v>620</v>
      </c>
      <c r="B3786" s="188" t="s">
        <v>4996</v>
      </c>
      <c r="C3786" s="188" t="s">
        <v>678</v>
      </c>
      <c r="D3786" s="188" t="s">
        <v>5571</v>
      </c>
      <c r="E3786" s="189">
        <v>39353</v>
      </c>
      <c r="F3786" s="190">
        <v>0</v>
      </c>
      <c r="G3786" s="190">
        <v>55.6</v>
      </c>
      <c r="H3786" s="191">
        <v>1018.75</v>
      </c>
      <c r="I3786" s="191">
        <v>208.5</v>
      </c>
      <c r="J3786" s="188" t="s">
        <v>624</v>
      </c>
      <c r="K3786" s="188" t="s">
        <v>652</v>
      </c>
      <c r="L3786" s="188" t="s">
        <v>3176</v>
      </c>
      <c r="M3786" s="192">
        <f t="shared" si="177"/>
        <v>13</v>
      </c>
      <c r="N3786" s="193">
        <f t="shared" si="178"/>
        <v>1.4658273381294964</v>
      </c>
      <c r="O3786" s="194">
        <f t="shared" si="179"/>
        <v>0.11275594908688434</v>
      </c>
    </row>
    <row r="3787" spans="1:15" ht="12.75" customHeight="1">
      <c r="A3787" s="188" t="s">
        <v>620</v>
      </c>
      <c r="B3787" s="188" t="s">
        <v>4996</v>
      </c>
      <c r="C3787" s="188" t="s">
        <v>678</v>
      </c>
      <c r="D3787" s="188" t="s">
        <v>5572</v>
      </c>
      <c r="E3787" s="189">
        <v>39590</v>
      </c>
      <c r="F3787" s="190">
        <v>0</v>
      </c>
      <c r="G3787" s="190">
        <v>67.040000000000006</v>
      </c>
      <c r="H3787" s="191">
        <v>1418.06</v>
      </c>
      <c r="I3787" s="191">
        <v>251.4</v>
      </c>
      <c r="J3787" s="188" t="s">
        <v>624</v>
      </c>
      <c r="K3787" s="188" t="s">
        <v>571</v>
      </c>
      <c r="L3787" s="188" t="s">
        <v>5573</v>
      </c>
      <c r="M3787" s="192">
        <f t="shared" si="177"/>
        <v>15</v>
      </c>
      <c r="N3787" s="193">
        <f t="shared" si="178"/>
        <v>1.6921957040572793</v>
      </c>
      <c r="O3787" s="194">
        <f t="shared" si="179"/>
        <v>0.11281304693715195</v>
      </c>
    </row>
    <row r="3788" spans="1:15" ht="12.75" customHeight="1">
      <c r="A3788" s="188" t="s">
        <v>620</v>
      </c>
      <c r="B3788" s="188" t="s">
        <v>4996</v>
      </c>
      <c r="C3788" s="188" t="s">
        <v>678</v>
      </c>
      <c r="D3788" s="188" t="s">
        <v>5574</v>
      </c>
      <c r="E3788" s="189">
        <v>39447</v>
      </c>
      <c r="F3788" s="190">
        <v>0</v>
      </c>
      <c r="G3788" s="190">
        <v>73.599999999999994</v>
      </c>
      <c r="H3788" s="191">
        <v>1350</v>
      </c>
      <c r="I3788" s="191">
        <v>276</v>
      </c>
      <c r="J3788" s="188" t="s">
        <v>624</v>
      </c>
      <c r="K3788" s="188" t="s">
        <v>652</v>
      </c>
      <c r="L3788" s="188" t="s">
        <v>2411</v>
      </c>
      <c r="M3788" s="192">
        <f t="shared" si="177"/>
        <v>13</v>
      </c>
      <c r="N3788" s="193">
        <f t="shared" si="178"/>
        <v>1.4673913043478262</v>
      </c>
      <c r="O3788" s="194">
        <f t="shared" si="179"/>
        <v>0.11287625418060201</v>
      </c>
    </row>
    <row r="3789" spans="1:15" ht="12.75" customHeight="1">
      <c r="A3789" s="188" t="s">
        <v>620</v>
      </c>
      <c r="B3789" s="188" t="s">
        <v>4996</v>
      </c>
      <c r="C3789" s="188" t="s">
        <v>678</v>
      </c>
      <c r="D3789" s="188" t="s">
        <v>5575</v>
      </c>
      <c r="E3789" s="189">
        <v>39345</v>
      </c>
      <c r="F3789" s="190">
        <v>0</v>
      </c>
      <c r="G3789" s="190">
        <v>63.76</v>
      </c>
      <c r="H3789" s="191">
        <v>1175</v>
      </c>
      <c r="I3789" s="191">
        <v>239.1</v>
      </c>
      <c r="J3789" s="188" t="s">
        <v>624</v>
      </c>
      <c r="K3789" s="188" t="s">
        <v>652</v>
      </c>
      <c r="L3789" s="188" t="s">
        <v>5576</v>
      </c>
      <c r="M3789" s="192">
        <f t="shared" si="177"/>
        <v>13</v>
      </c>
      <c r="N3789" s="193">
        <f t="shared" si="178"/>
        <v>1.4742785445420326</v>
      </c>
      <c r="O3789" s="194">
        <f t="shared" si="179"/>
        <v>0.11340604188784865</v>
      </c>
    </row>
    <row r="3790" spans="1:15" ht="12.75" customHeight="1">
      <c r="A3790" s="188" t="s">
        <v>620</v>
      </c>
      <c r="B3790" s="188" t="s">
        <v>4996</v>
      </c>
      <c r="C3790" s="188" t="s">
        <v>678</v>
      </c>
      <c r="D3790" s="188" t="s">
        <v>5577</v>
      </c>
      <c r="E3790" s="189">
        <v>39233</v>
      </c>
      <c r="F3790" s="190">
        <v>0</v>
      </c>
      <c r="G3790" s="190">
        <v>9.6</v>
      </c>
      <c r="H3790" s="191">
        <v>150</v>
      </c>
      <c r="I3790" s="191">
        <v>36</v>
      </c>
      <c r="J3790" s="188" t="s">
        <v>624</v>
      </c>
      <c r="K3790" s="188" t="s">
        <v>639</v>
      </c>
      <c r="L3790" s="188" t="s">
        <v>1371</v>
      </c>
      <c r="M3790" s="192">
        <f t="shared" si="177"/>
        <v>11</v>
      </c>
      <c r="N3790" s="193">
        <f t="shared" si="178"/>
        <v>1.25</v>
      </c>
      <c r="O3790" s="194">
        <f t="shared" si="179"/>
        <v>0.11363636363636363</v>
      </c>
    </row>
    <row r="3791" spans="1:15" ht="12.75" customHeight="1">
      <c r="A3791" s="188" t="s">
        <v>620</v>
      </c>
      <c r="B3791" s="188" t="s">
        <v>4996</v>
      </c>
      <c r="C3791" s="188" t="s">
        <v>678</v>
      </c>
      <c r="D3791" s="188" t="s">
        <v>5578</v>
      </c>
      <c r="E3791" s="189">
        <v>39478</v>
      </c>
      <c r="F3791" s="190">
        <v>0</v>
      </c>
      <c r="G3791" s="190">
        <v>78.239999999999995</v>
      </c>
      <c r="H3791" s="191">
        <v>1445</v>
      </c>
      <c r="I3791" s="191">
        <v>293.39999999999998</v>
      </c>
      <c r="J3791" s="188" t="s">
        <v>624</v>
      </c>
      <c r="K3791" s="188" t="s">
        <v>652</v>
      </c>
      <c r="L3791" s="188" t="s">
        <v>5579</v>
      </c>
      <c r="M3791" s="192">
        <f t="shared" si="177"/>
        <v>13</v>
      </c>
      <c r="N3791" s="193">
        <f t="shared" si="178"/>
        <v>1.4775051124744376</v>
      </c>
      <c r="O3791" s="194">
        <f t="shared" si="179"/>
        <v>0.11365423942111058</v>
      </c>
    </row>
    <row r="3792" spans="1:15" ht="12.75" customHeight="1">
      <c r="A3792" s="188" t="s">
        <v>620</v>
      </c>
      <c r="B3792" s="188" t="s">
        <v>4996</v>
      </c>
      <c r="C3792" s="188" t="s">
        <v>678</v>
      </c>
      <c r="D3792" s="188" t="s">
        <v>5580</v>
      </c>
      <c r="E3792" s="189">
        <v>39401</v>
      </c>
      <c r="F3792" s="190">
        <v>0</v>
      </c>
      <c r="G3792" s="190">
        <v>27.2</v>
      </c>
      <c r="H3792" s="191">
        <v>580</v>
      </c>
      <c r="I3792" s="191">
        <v>102</v>
      </c>
      <c r="J3792" s="188" t="s">
        <v>624</v>
      </c>
      <c r="K3792" s="188" t="s">
        <v>571</v>
      </c>
      <c r="L3792" s="188" t="s">
        <v>3397</v>
      </c>
      <c r="M3792" s="192">
        <f t="shared" si="177"/>
        <v>15</v>
      </c>
      <c r="N3792" s="193">
        <f t="shared" si="178"/>
        <v>1.7058823529411764</v>
      </c>
      <c r="O3792" s="194">
        <f t="shared" si="179"/>
        <v>0.11372549019607843</v>
      </c>
    </row>
    <row r="3793" spans="1:15" ht="12.75" customHeight="1">
      <c r="A3793" s="188" t="s">
        <v>620</v>
      </c>
      <c r="B3793" s="188" t="s">
        <v>4996</v>
      </c>
      <c r="C3793" s="188" t="s">
        <v>678</v>
      </c>
      <c r="D3793" s="188" t="s">
        <v>5581</v>
      </c>
      <c r="E3793" s="189">
        <v>39407</v>
      </c>
      <c r="F3793" s="190">
        <v>0</v>
      </c>
      <c r="G3793" s="190">
        <v>18.88</v>
      </c>
      <c r="H3793" s="191">
        <v>349</v>
      </c>
      <c r="I3793" s="191">
        <v>70.8</v>
      </c>
      <c r="J3793" s="188" t="s">
        <v>624</v>
      </c>
      <c r="K3793" s="188" t="s">
        <v>652</v>
      </c>
      <c r="L3793" s="188" t="s">
        <v>5582</v>
      </c>
      <c r="M3793" s="192">
        <f t="shared" si="177"/>
        <v>13</v>
      </c>
      <c r="N3793" s="193">
        <f t="shared" si="178"/>
        <v>1.478813559322034</v>
      </c>
      <c r="O3793" s="194">
        <f t="shared" si="179"/>
        <v>0.11375488917861799</v>
      </c>
    </row>
    <row r="3794" spans="1:15" ht="12.75" customHeight="1">
      <c r="A3794" s="188" t="s">
        <v>620</v>
      </c>
      <c r="B3794" s="188" t="s">
        <v>4996</v>
      </c>
      <c r="C3794" s="188" t="s">
        <v>678</v>
      </c>
      <c r="D3794" s="188" t="s">
        <v>5583</v>
      </c>
      <c r="E3794" s="189">
        <v>39541</v>
      </c>
      <c r="F3794" s="190">
        <v>0</v>
      </c>
      <c r="G3794" s="190">
        <v>88.8</v>
      </c>
      <c r="H3794" s="191">
        <v>1642</v>
      </c>
      <c r="I3794" s="191">
        <v>333</v>
      </c>
      <c r="J3794" s="188" t="s">
        <v>624</v>
      </c>
      <c r="K3794" s="188" t="s">
        <v>652</v>
      </c>
      <c r="L3794" s="188" t="s">
        <v>923</v>
      </c>
      <c r="M3794" s="192">
        <f t="shared" si="177"/>
        <v>13</v>
      </c>
      <c r="N3794" s="193">
        <f t="shared" si="178"/>
        <v>1.4792792792792793</v>
      </c>
      <c r="O3794" s="194">
        <f t="shared" si="179"/>
        <v>0.11379071379071379</v>
      </c>
    </row>
    <row r="3795" spans="1:15" ht="12.75" customHeight="1">
      <c r="A3795" s="188" t="s">
        <v>620</v>
      </c>
      <c r="B3795" s="188" t="s">
        <v>4996</v>
      </c>
      <c r="C3795" s="188" t="s">
        <v>678</v>
      </c>
      <c r="D3795" s="188" t="s">
        <v>5584</v>
      </c>
      <c r="E3795" s="189">
        <v>39527</v>
      </c>
      <c r="F3795" s="190">
        <v>0</v>
      </c>
      <c r="G3795" s="190">
        <v>108.4</v>
      </c>
      <c r="H3795" s="191">
        <v>2315</v>
      </c>
      <c r="I3795" s="191">
        <v>406.5</v>
      </c>
      <c r="J3795" s="188" t="s">
        <v>624</v>
      </c>
      <c r="K3795" s="188" t="s">
        <v>571</v>
      </c>
      <c r="L3795" s="188" t="s">
        <v>1586</v>
      </c>
      <c r="M3795" s="192">
        <f t="shared" si="177"/>
        <v>15</v>
      </c>
      <c r="N3795" s="193">
        <f t="shared" si="178"/>
        <v>1.7084870848708487</v>
      </c>
      <c r="O3795" s="194">
        <f t="shared" si="179"/>
        <v>0.11389913899138991</v>
      </c>
    </row>
    <row r="3796" spans="1:15" ht="12.75" customHeight="1">
      <c r="A3796" s="188" t="s">
        <v>620</v>
      </c>
      <c r="B3796" s="188" t="s">
        <v>4996</v>
      </c>
      <c r="C3796" s="188" t="s">
        <v>678</v>
      </c>
      <c r="D3796" s="188" t="s">
        <v>5585</v>
      </c>
      <c r="E3796" s="189">
        <v>39429</v>
      </c>
      <c r="F3796" s="190">
        <v>0</v>
      </c>
      <c r="G3796" s="190">
        <v>32</v>
      </c>
      <c r="H3796" s="191">
        <v>595</v>
      </c>
      <c r="I3796" s="191">
        <v>120</v>
      </c>
      <c r="J3796" s="188" t="s">
        <v>624</v>
      </c>
      <c r="K3796" s="188" t="s">
        <v>652</v>
      </c>
      <c r="L3796" s="188" t="s">
        <v>910</v>
      </c>
      <c r="M3796" s="192">
        <f t="shared" si="177"/>
        <v>13</v>
      </c>
      <c r="N3796" s="193">
        <f t="shared" si="178"/>
        <v>1.4875</v>
      </c>
      <c r="O3796" s="194">
        <f t="shared" si="179"/>
        <v>0.11442307692307693</v>
      </c>
    </row>
    <row r="3797" spans="1:15" ht="12.75" customHeight="1">
      <c r="A3797" s="188" t="s">
        <v>620</v>
      </c>
      <c r="B3797" s="188" t="s">
        <v>4996</v>
      </c>
      <c r="C3797" s="188" t="s">
        <v>678</v>
      </c>
      <c r="D3797" s="188" t="s">
        <v>5586</v>
      </c>
      <c r="E3797" s="189">
        <v>39373</v>
      </c>
      <c r="F3797" s="190">
        <v>0</v>
      </c>
      <c r="G3797" s="190">
        <v>82.4</v>
      </c>
      <c r="H3797" s="191">
        <v>1535.01</v>
      </c>
      <c r="I3797" s="191">
        <v>309</v>
      </c>
      <c r="J3797" s="188" t="s">
        <v>624</v>
      </c>
      <c r="K3797" s="188" t="s">
        <v>652</v>
      </c>
      <c r="L3797" s="188" t="s">
        <v>298</v>
      </c>
      <c r="M3797" s="192">
        <f t="shared" si="177"/>
        <v>13</v>
      </c>
      <c r="N3797" s="193">
        <f t="shared" si="178"/>
        <v>1.4903009708737864</v>
      </c>
      <c r="O3797" s="194">
        <f t="shared" si="179"/>
        <v>0.11463853622106049</v>
      </c>
    </row>
    <row r="3798" spans="1:15" ht="12.75" customHeight="1">
      <c r="A3798" s="188" t="s">
        <v>620</v>
      </c>
      <c r="B3798" s="188" t="s">
        <v>4996</v>
      </c>
      <c r="C3798" s="188" t="s">
        <v>678</v>
      </c>
      <c r="D3798" s="188" t="s">
        <v>5587</v>
      </c>
      <c r="E3798" s="189">
        <v>39317</v>
      </c>
      <c r="F3798" s="190">
        <v>0</v>
      </c>
      <c r="G3798" s="190">
        <v>79.680000000000007</v>
      </c>
      <c r="H3798" s="191">
        <v>1485.04</v>
      </c>
      <c r="I3798" s="191">
        <v>298.8</v>
      </c>
      <c r="J3798" s="188" t="s">
        <v>624</v>
      </c>
      <c r="K3798" s="188" t="s">
        <v>652</v>
      </c>
      <c r="L3798" s="188" t="s">
        <v>2685</v>
      </c>
      <c r="M3798" s="192">
        <f t="shared" si="177"/>
        <v>13</v>
      </c>
      <c r="N3798" s="193">
        <f t="shared" si="178"/>
        <v>1.491004016064257</v>
      </c>
      <c r="O3798" s="194">
        <f t="shared" si="179"/>
        <v>0.11469261662032747</v>
      </c>
    </row>
    <row r="3799" spans="1:15" ht="12.75" customHeight="1">
      <c r="A3799" s="188" t="s">
        <v>620</v>
      </c>
      <c r="B3799" s="188" t="s">
        <v>4996</v>
      </c>
      <c r="C3799" s="188" t="s">
        <v>678</v>
      </c>
      <c r="D3799" s="188" t="s">
        <v>5588</v>
      </c>
      <c r="E3799" s="189">
        <v>39507</v>
      </c>
      <c r="F3799" s="190">
        <v>0</v>
      </c>
      <c r="G3799" s="190">
        <v>106.24</v>
      </c>
      <c r="H3799" s="191">
        <v>1987</v>
      </c>
      <c r="I3799" s="191">
        <v>398.4</v>
      </c>
      <c r="J3799" s="188" t="s">
        <v>624</v>
      </c>
      <c r="K3799" s="188" t="s">
        <v>652</v>
      </c>
      <c r="L3799" s="188" t="s">
        <v>2984</v>
      </c>
      <c r="M3799" s="192">
        <f t="shared" si="177"/>
        <v>13</v>
      </c>
      <c r="N3799" s="193">
        <f t="shared" si="178"/>
        <v>1.4962349397590362</v>
      </c>
      <c r="O3799" s="194">
        <f t="shared" si="179"/>
        <v>0.11509499536607971</v>
      </c>
    </row>
    <row r="3800" spans="1:15" ht="12.75" customHeight="1">
      <c r="A3800" s="188" t="s">
        <v>620</v>
      </c>
      <c r="B3800" s="188" t="s">
        <v>4996</v>
      </c>
      <c r="C3800" s="188" t="s">
        <v>678</v>
      </c>
      <c r="D3800" s="188" t="s">
        <v>5589</v>
      </c>
      <c r="E3800" s="189">
        <v>39331</v>
      </c>
      <c r="F3800" s="190">
        <v>0</v>
      </c>
      <c r="G3800" s="190">
        <v>37.119999999999997</v>
      </c>
      <c r="H3800" s="191">
        <v>694.98</v>
      </c>
      <c r="I3800" s="191">
        <v>139.19999999999999</v>
      </c>
      <c r="J3800" s="188" t="s">
        <v>624</v>
      </c>
      <c r="K3800" s="188" t="s">
        <v>652</v>
      </c>
      <c r="L3800" s="188" t="s">
        <v>2709</v>
      </c>
      <c r="M3800" s="192">
        <f t="shared" si="177"/>
        <v>13</v>
      </c>
      <c r="N3800" s="193">
        <f t="shared" si="178"/>
        <v>1.4978017241379311</v>
      </c>
      <c r="O3800" s="194">
        <f t="shared" si="179"/>
        <v>0.11521551724137932</v>
      </c>
    </row>
    <row r="3801" spans="1:15" ht="12.75" customHeight="1">
      <c r="A3801" s="188" t="s">
        <v>620</v>
      </c>
      <c r="B3801" s="188" t="s">
        <v>4996</v>
      </c>
      <c r="C3801" s="188" t="s">
        <v>678</v>
      </c>
      <c r="D3801" s="188" t="s">
        <v>5590</v>
      </c>
      <c r="E3801" s="189">
        <v>39212</v>
      </c>
      <c r="F3801" s="190">
        <v>0</v>
      </c>
      <c r="G3801" s="190">
        <v>145.6</v>
      </c>
      <c r="H3801" s="191">
        <v>2730</v>
      </c>
      <c r="I3801" s="191">
        <v>546</v>
      </c>
      <c r="J3801" s="188" t="s">
        <v>624</v>
      </c>
      <c r="K3801" s="188" t="s">
        <v>652</v>
      </c>
      <c r="L3801" s="188" t="s">
        <v>5591</v>
      </c>
      <c r="M3801" s="192">
        <f t="shared" si="177"/>
        <v>13</v>
      </c>
      <c r="N3801" s="193">
        <f t="shared" si="178"/>
        <v>1.5</v>
      </c>
      <c r="O3801" s="194">
        <f t="shared" si="179"/>
        <v>0.11538461538461539</v>
      </c>
    </row>
    <row r="3802" spans="1:15" ht="12.75" customHeight="1">
      <c r="A3802" s="188" t="s">
        <v>620</v>
      </c>
      <c r="B3802" s="188" t="s">
        <v>4996</v>
      </c>
      <c r="C3802" s="188" t="s">
        <v>678</v>
      </c>
      <c r="D3802" s="188" t="s">
        <v>5592</v>
      </c>
      <c r="E3802" s="189">
        <v>39331</v>
      </c>
      <c r="F3802" s="190">
        <v>0</v>
      </c>
      <c r="G3802" s="190">
        <v>71.680000000000007</v>
      </c>
      <c r="H3802" s="191">
        <v>1344</v>
      </c>
      <c r="I3802" s="191">
        <v>268.8</v>
      </c>
      <c r="J3802" s="188" t="s">
        <v>624</v>
      </c>
      <c r="K3802" s="188" t="s">
        <v>652</v>
      </c>
      <c r="L3802" s="188" t="s">
        <v>654</v>
      </c>
      <c r="M3802" s="192">
        <f t="shared" si="177"/>
        <v>13</v>
      </c>
      <c r="N3802" s="193">
        <f t="shared" si="178"/>
        <v>1.5</v>
      </c>
      <c r="O3802" s="194">
        <f t="shared" si="179"/>
        <v>0.11538461538461539</v>
      </c>
    </row>
    <row r="3803" spans="1:15" ht="12.75" customHeight="1">
      <c r="A3803" s="188" t="s">
        <v>620</v>
      </c>
      <c r="B3803" s="188" t="s">
        <v>4996</v>
      </c>
      <c r="C3803" s="188" t="s">
        <v>678</v>
      </c>
      <c r="D3803" s="188" t="s">
        <v>5593</v>
      </c>
      <c r="E3803" s="189">
        <v>39527</v>
      </c>
      <c r="F3803" s="190">
        <v>0</v>
      </c>
      <c r="G3803" s="190">
        <v>68</v>
      </c>
      <c r="H3803" s="191">
        <v>1275</v>
      </c>
      <c r="I3803" s="191">
        <v>255</v>
      </c>
      <c r="J3803" s="188" t="s">
        <v>624</v>
      </c>
      <c r="K3803" s="188" t="s">
        <v>652</v>
      </c>
      <c r="L3803" s="188" t="s">
        <v>1170</v>
      </c>
      <c r="M3803" s="192">
        <f t="shared" si="177"/>
        <v>13</v>
      </c>
      <c r="N3803" s="193">
        <f t="shared" si="178"/>
        <v>1.5</v>
      </c>
      <c r="O3803" s="194">
        <f t="shared" si="179"/>
        <v>0.11538461538461539</v>
      </c>
    </row>
    <row r="3804" spans="1:15" ht="12.75" customHeight="1">
      <c r="A3804" s="188" t="s">
        <v>620</v>
      </c>
      <c r="B3804" s="188" t="s">
        <v>4996</v>
      </c>
      <c r="C3804" s="188" t="s">
        <v>678</v>
      </c>
      <c r="D3804" s="188" t="s">
        <v>5594</v>
      </c>
      <c r="E3804" s="189">
        <v>39527</v>
      </c>
      <c r="F3804" s="190">
        <v>0</v>
      </c>
      <c r="G3804" s="190">
        <v>72</v>
      </c>
      <c r="H3804" s="191">
        <v>1350</v>
      </c>
      <c r="I3804" s="191">
        <v>270</v>
      </c>
      <c r="J3804" s="188" t="s">
        <v>624</v>
      </c>
      <c r="K3804" s="188" t="s">
        <v>652</v>
      </c>
      <c r="L3804" s="188" t="s">
        <v>740</v>
      </c>
      <c r="M3804" s="192">
        <f t="shared" si="177"/>
        <v>13</v>
      </c>
      <c r="N3804" s="193">
        <f t="shared" si="178"/>
        <v>1.5</v>
      </c>
      <c r="O3804" s="194">
        <f t="shared" si="179"/>
        <v>0.11538461538461539</v>
      </c>
    </row>
    <row r="3805" spans="1:15" ht="12.75" customHeight="1">
      <c r="A3805" s="188" t="s">
        <v>620</v>
      </c>
      <c r="B3805" s="188" t="s">
        <v>4996</v>
      </c>
      <c r="C3805" s="188" t="s">
        <v>678</v>
      </c>
      <c r="D3805" s="188" t="s">
        <v>5595</v>
      </c>
      <c r="E3805" s="189">
        <v>39611</v>
      </c>
      <c r="F3805" s="190">
        <v>0</v>
      </c>
      <c r="G3805" s="190">
        <v>82</v>
      </c>
      <c r="H3805" s="191">
        <v>1538</v>
      </c>
      <c r="I3805" s="191">
        <v>307.5</v>
      </c>
      <c r="J3805" s="188" t="s">
        <v>624</v>
      </c>
      <c r="K3805" s="188" t="s">
        <v>652</v>
      </c>
      <c r="L3805" s="188" t="s">
        <v>3900</v>
      </c>
      <c r="M3805" s="192">
        <f t="shared" si="177"/>
        <v>13</v>
      </c>
      <c r="N3805" s="193">
        <f t="shared" si="178"/>
        <v>1.5004878048780488</v>
      </c>
      <c r="O3805" s="194">
        <f t="shared" si="179"/>
        <v>0.11542213883677298</v>
      </c>
    </row>
    <row r="3806" spans="1:15" ht="12.75" customHeight="1">
      <c r="A3806" s="188" t="s">
        <v>620</v>
      </c>
      <c r="B3806" s="188" t="s">
        <v>4996</v>
      </c>
      <c r="C3806" s="188" t="s">
        <v>678</v>
      </c>
      <c r="D3806" s="188" t="s">
        <v>5596</v>
      </c>
      <c r="E3806" s="189">
        <v>39485</v>
      </c>
      <c r="F3806" s="190">
        <v>0</v>
      </c>
      <c r="G3806" s="190">
        <v>104</v>
      </c>
      <c r="H3806" s="191">
        <v>1651</v>
      </c>
      <c r="I3806" s="191">
        <v>390</v>
      </c>
      <c r="J3806" s="188" t="s">
        <v>624</v>
      </c>
      <c r="K3806" s="188" t="s">
        <v>639</v>
      </c>
      <c r="L3806" s="188" t="s">
        <v>699</v>
      </c>
      <c r="M3806" s="192">
        <f t="shared" si="177"/>
        <v>11</v>
      </c>
      <c r="N3806" s="193">
        <f t="shared" si="178"/>
        <v>1.27</v>
      </c>
      <c r="O3806" s="194">
        <f t="shared" si="179"/>
        <v>0.11545454545454546</v>
      </c>
    </row>
    <row r="3807" spans="1:15" ht="12.75" customHeight="1">
      <c r="A3807" s="188" t="s">
        <v>620</v>
      </c>
      <c r="B3807" s="188" t="s">
        <v>4996</v>
      </c>
      <c r="C3807" s="188" t="s">
        <v>678</v>
      </c>
      <c r="D3807" s="188" t="s">
        <v>5597</v>
      </c>
      <c r="E3807" s="189">
        <v>39416</v>
      </c>
      <c r="F3807" s="190">
        <v>0</v>
      </c>
      <c r="G3807" s="190">
        <v>111.28</v>
      </c>
      <c r="H3807" s="191">
        <v>2092</v>
      </c>
      <c r="I3807" s="191">
        <v>417.3</v>
      </c>
      <c r="J3807" s="188" t="s">
        <v>624</v>
      </c>
      <c r="K3807" s="188" t="s">
        <v>652</v>
      </c>
      <c r="L3807" s="188" t="s">
        <v>5598</v>
      </c>
      <c r="M3807" s="192">
        <f t="shared" si="177"/>
        <v>13</v>
      </c>
      <c r="N3807" s="193">
        <f t="shared" si="178"/>
        <v>1.5039539899352983</v>
      </c>
      <c r="O3807" s="194">
        <f t="shared" si="179"/>
        <v>0.11568876845656141</v>
      </c>
    </row>
    <row r="3808" spans="1:15" ht="12.75" customHeight="1">
      <c r="A3808" s="188" t="s">
        <v>620</v>
      </c>
      <c r="B3808" s="188" t="s">
        <v>4996</v>
      </c>
      <c r="C3808" s="188" t="s">
        <v>678</v>
      </c>
      <c r="D3808" s="188" t="s">
        <v>5599</v>
      </c>
      <c r="E3808" s="189">
        <v>39555</v>
      </c>
      <c r="F3808" s="190">
        <v>0</v>
      </c>
      <c r="G3808" s="190">
        <v>58.48</v>
      </c>
      <c r="H3808" s="191">
        <v>1100</v>
      </c>
      <c r="I3808" s="191">
        <v>219.3</v>
      </c>
      <c r="J3808" s="188" t="s">
        <v>624</v>
      </c>
      <c r="K3808" s="188" t="s">
        <v>652</v>
      </c>
      <c r="L3808" s="188" t="s">
        <v>5419</v>
      </c>
      <c r="M3808" s="192">
        <f t="shared" si="177"/>
        <v>13</v>
      </c>
      <c r="N3808" s="193">
        <f t="shared" si="178"/>
        <v>1.5047879616963065</v>
      </c>
      <c r="O3808" s="194">
        <f t="shared" si="179"/>
        <v>0.11575292013048512</v>
      </c>
    </row>
    <row r="3809" spans="1:15" ht="12.75" customHeight="1">
      <c r="A3809" s="188" t="s">
        <v>620</v>
      </c>
      <c r="B3809" s="188" t="s">
        <v>4996</v>
      </c>
      <c r="C3809" s="188" t="s">
        <v>678</v>
      </c>
      <c r="D3809" s="188" t="s">
        <v>5600</v>
      </c>
      <c r="E3809" s="189">
        <v>39380</v>
      </c>
      <c r="F3809" s="190">
        <v>0</v>
      </c>
      <c r="G3809" s="190">
        <v>71.760000000000005</v>
      </c>
      <c r="H3809" s="191">
        <v>1350</v>
      </c>
      <c r="I3809" s="191">
        <v>269.10000000000002</v>
      </c>
      <c r="J3809" s="188" t="s">
        <v>624</v>
      </c>
      <c r="K3809" s="188" t="s">
        <v>652</v>
      </c>
      <c r="L3809" s="188" t="s">
        <v>5601</v>
      </c>
      <c r="M3809" s="192">
        <f t="shared" si="177"/>
        <v>13</v>
      </c>
      <c r="N3809" s="193">
        <f t="shared" si="178"/>
        <v>1.5050167224080269</v>
      </c>
      <c r="O3809" s="194">
        <f t="shared" si="179"/>
        <v>0.11577051710830975</v>
      </c>
    </row>
    <row r="3810" spans="1:15" ht="12.75" customHeight="1">
      <c r="A3810" s="188" t="s">
        <v>620</v>
      </c>
      <c r="B3810" s="188" t="s">
        <v>4996</v>
      </c>
      <c r="C3810" s="188" t="s">
        <v>678</v>
      </c>
      <c r="D3810" s="188" t="s">
        <v>5602</v>
      </c>
      <c r="E3810" s="189">
        <v>39324</v>
      </c>
      <c r="F3810" s="190">
        <v>0</v>
      </c>
      <c r="G3810" s="190">
        <v>108.8</v>
      </c>
      <c r="H3810" s="191">
        <v>2051.9699999999998</v>
      </c>
      <c r="I3810" s="191">
        <v>408</v>
      </c>
      <c r="J3810" s="188" t="s">
        <v>624</v>
      </c>
      <c r="K3810" s="188" t="s">
        <v>652</v>
      </c>
      <c r="L3810" s="188" t="s">
        <v>774</v>
      </c>
      <c r="M3810" s="192">
        <f t="shared" si="177"/>
        <v>13</v>
      </c>
      <c r="N3810" s="193">
        <f t="shared" si="178"/>
        <v>1.5088014705882351</v>
      </c>
      <c r="O3810" s="194">
        <f t="shared" si="179"/>
        <v>0.11606165158371039</v>
      </c>
    </row>
    <row r="3811" spans="1:15" ht="12.75" customHeight="1">
      <c r="A3811" s="188" t="s">
        <v>620</v>
      </c>
      <c r="B3811" s="188" t="s">
        <v>4996</v>
      </c>
      <c r="C3811" s="188" t="s">
        <v>678</v>
      </c>
      <c r="D3811" s="188" t="s">
        <v>5603</v>
      </c>
      <c r="E3811" s="189">
        <v>39261</v>
      </c>
      <c r="F3811" s="190">
        <v>0</v>
      </c>
      <c r="G3811" s="190">
        <v>99.36</v>
      </c>
      <c r="H3811" s="191">
        <v>1877.03</v>
      </c>
      <c r="I3811" s="191">
        <v>372.6</v>
      </c>
      <c r="J3811" s="188" t="s">
        <v>624</v>
      </c>
      <c r="K3811" s="188" t="s">
        <v>652</v>
      </c>
      <c r="L3811" s="188" t="s">
        <v>2144</v>
      </c>
      <c r="M3811" s="192">
        <f t="shared" si="177"/>
        <v>13</v>
      </c>
      <c r="N3811" s="193">
        <f t="shared" si="178"/>
        <v>1.5112962962962964</v>
      </c>
      <c r="O3811" s="194">
        <f t="shared" si="179"/>
        <v>0.11625356125356126</v>
      </c>
    </row>
    <row r="3812" spans="1:15" ht="12.75" customHeight="1">
      <c r="A3812" s="188" t="s">
        <v>620</v>
      </c>
      <c r="B3812" s="188" t="s">
        <v>4996</v>
      </c>
      <c r="C3812" s="188" t="s">
        <v>678</v>
      </c>
      <c r="D3812" s="188" t="s">
        <v>5604</v>
      </c>
      <c r="E3812" s="189">
        <v>39447</v>
      </c>
      <c r="F3812" s="190">
        <v>0</v>
      </c>
      <c r="G3812" s="190">
        <v>107.76</v>
      </c>
      <c r="H3812" s="191">
        <v>2349.4899999999998</v>
      </c>
      <c r="I3812" s="191">
        <v>404.1</v>
      </c>
      <c r="J3812" s="188" t="s">
        <v>624</v>
      </c>
      <c r="K3812" s="188" t="s">
        <v>571</v>
      </c>
      <c r="L3812" s="188" t="s">
        <v>5605</v>
      </c>
      <c r="M3812" s="192">
        <f t="shared" si="177"/>
        <v>15</v>
      </c>
      <c r="N3812" s="193">
        <f t="shared" si="178"/>
        <v>1.7442390497401632</v>
      </c>
      <c r="O3812" s="194">
        <f t="shared" si="179"/>
        <v>0.11628260331601088</v>
      </c>
    </row>
    <row r="3813" spans="1:15" ht="12.75" customHeight="1">
      <c r="A3813" s="188" t="s">
        <v>620</v>
      </c>
      <c r="B3813" s="188" t="s">
        <v>4996</v>
      </c>
      <c r="C3813" s="188" t="s">
        <v>678</v>
      </c>
      <c r="D3813" s="188" t="s">
        <v>5606</v>
      </c>
      <c r="E3813" s="189">
        <v>39373</v>
      </c>
      <c r="F3813" s="190">
        <v>0</v>
      </c>
      <c r="G3813" s="190">
        <v>89.76</v>
      </c>
      <c r="H3813" s="191">
        <v>1697</v>
      </c>
      <c r="I3813" s="191">
        <v>336.6</v>
      </c>
      <c r="J3813" s="188" t="s">
        <v>624</v>
      </c>
      <c r="K3813" s="188" t="s">
        <v>652</v>
      </c>
      <c r="L3813" s="188" t="s">
        <v>3092</v>
      </c>
      <c r="M3813" s="192">
        <f t="shared" si="177"/>
        <v>13</v>
      </c>
      <c r="N3813" s="193">
        <f t="shared" si="178"/>
        <v>1.5124777183600713</v>
      </c>
      <c r="O3813" s="194">
        <f t="shared" si="179"/>
        <v>0.11634443987385164</v>
      </c>
    </row>
    <row r="3814" spans="1:15" ht="12.75" customHeight="1">
      <c r="A3814" s="188" t="s">
        <v>620</v>
      </c>
      <c r="B3814" s="188" t="s">
        <v>4996</v>
      </c>
      <c r="C3814" s="188" t="s">
        <v>678</v>
      </c>
      <c r="D3814" s="188" t="s">
        <v>5607</v>
      </c>
      <c r="E3814" s="189">
        <v>39339</v>
      </c>
      <c r="F3814" s="190">
        <v>0</v>
      </c>
      <c r="G3814" s="190">
        <v>55.28</v>
      </c>
      <c r="H3814" s="191">
        <v>1049.01</v>
      </c>
      <c r="I3814" s="191">
        <v>207.3</v>
      </c>
      <c r="J3814" s="188" t="s">
        <v>624</v>
      </c>
      <c r="K3814" s="188" t="s">
        <v>652</v>
      </c>
      <c r="L3814" s="188" t="s">
        <v>5608</v>
      </c>
      <c r="M3814" s="192">
        <f t="shared" si="177"/>
        <v>13</v>
      </c>
      <c r="N3814" s="193">
        <f t="shared" si="178"/>
        <v>1.5181041968162083</v>
      </c>
      <c r="O3814" s="194">
        <f t="shared" si="179"/>
        <v>0.11677724590893911</v>
      </c>
    </row>
    <row r="3815" spans="1:15" ht="12.75" customHeight="1">
      <c r="A3815" s="188" t="s">
        <v>620</v>
      </c>
      <c r="B3815" s="188" t="s">
        <v>4996</v>
      </c>
      <c r="C3815" s="188" t="s">
        <v>678</v>
      </c>
      <c r="D3815" s="188" t="s">
        <v>5609</v>
      </c>
      <c r="E3815" s="189">
        <v>39219</v>
      </c>
      <c r="F3815" s="190">
        <v>0</v>
      </c>
      <c r="G3815" s="190">
        <v>132</v>
      </c>
      <c r="H3815" s="191">
        <v>2508</v>
      </c>
      <c r="I3815" s="191">
        <v>495</v>
      </c>
      <c r="J3815" s="188" t="s">
        <v>624</v>
      </c>
      <c r="K3815" s="188" t="s">
        <v>652</v>
      </c>
      <c r="L3815" s="188" t="s">
        <v>885</v>
      </c>
      <c r="M3815" s="192">
        <f t="shared" si="177"/>
        <v>13</v>
      </c>
      <c r="N3815" s="193">
        <f t="shared" si="178"/>
        <v>1.52</v>
      </c>
      <c r="O3815" s="194">
        <f t="shared" si="179"/>
        <v>0.11692307692307692</v>
      </c>
    </row>
    <row r="3816" spans="1:15" ht="12.75" customHeight="1">
      <c r="A3816" s="188" t="s">
        <v>620</v>
      </c>
      <c r="B3816" s="188" t="s">
        <v>4996</v>
      </c>
      <c r="C3816" s="188" t="s">
        <v>678</v>
      </c>
      <c r="D3816" s="188" t="s">
        <v>5610</v>
      </c>
      <c r="E3816" s="189">
        <v>39520</v>
      </c>
      <c r="F3816" s="190">
        <v>0</v>
      </c>
      <c r="G3816" s="190">
        <v>179.36</v>
      </c>
      <c r="H3816" s="191">
        <v>3436</v>
      </c>
      <c r="I3816" s="191">
        <v>672.6</v>
      </c>
      <c r="J3816" s="188" t="s">
        <v>624</v>
      </c>
      <c r="K3816" s="188" t="s">
        <v>652</v>
      </c>
      <c r="L3816" s="188" t="s">
        <v>4100</v>
      </c>
      <c r="M3816" s="192">
        <f t="shared" si="177"/>
        <v>13</v>
      </c>
      <c r="N3816" s="193">
        <f t="shared" si="178"/>
        <v>1.5325602140945584</v>
      </c>
      <c r="O3816" s="194">
        <f t="shared" si="179"/>
        <v>0.11788924723804296</v>
      </c>
    </row>
    <row r="3817" spans="1:15" ht="12.75" customHeight="1">
      <c r="A3817" s="188" t="s">
        <v>620</v>
      </c>
      <c r="B3817" s="188" t="s">
        <v>4996</v>
      </c>
      <c r="C3817" s="188" t="s">
        <v>678</v>
      </c>
      <c r="D3817" s="188" t="s">
        <v>5611</v>
      </c>
      <c r="E3817" s="189">
        <v>39639</v>
      </c>
      <c r="F3817" s="190">
        <v>0</v>
      </c>
      <c r="G3817" s="190">
        <v>103.6</v>
      </c>
      <c r="H3817" s="191">
        <v>1986</v>
      </c>
      <c r="I3817" s="191">
        <v>388.5</v>
      </c>
      <c r="J3817" s="188" t="s">
        <v>624</v>
      </c>
      <c r="K3817" s="188" t="s">
        <v>652</v>
      </c>
      <c r="L3817" s="188" t="s">
        <v>4195</v>
      </c>
      <c r="M3817" s="192">
        <f t="shared" si="177"/>
        <v>13</v>
      </c>
      <c r="N3817" s="193">
        <f t="shared" si="178"/>
        <v>1.5335907335907335</v>
      </c>
      <c r="O3817" s="194">
        <f t="shared" si="179"/>
        <v>0.11796851796851796</v>
      </c>
    </row>
    <row r="3818" spans="1:15" ht="12.75" customHeight="1">
      <c r="A3818" s="188" t="s">
        <v>620</v>
      </c>
      <c r="B3818" s="188" t="s">
        <v>4996</v>
      </c>
      <c r="C3818" s="188" t="s">
        <v>678</v>
      </c>
      <c r="D3818" s="188" t="s">
        <v>5612</v>
      </c>
      <c r="E3818" s="189">
        <v>39527</v>
      </c>
      <c r="F3818" s="190">
        <v>0</v>
      </c>
      <c r="G3818" s="190">
        <v>83.68</v>
      </c>
      <c r="H3818" s="191">
        <v>1605</v>
      </c>
      <c r="I3818" s="191">
        <v>313.8</v>
      </c>
      <c r="J3818" s="188" t="s">
        <v>624</v>
      </c>
      <c r="K3818" s="188" t="s">
        <v>652</v>
      </c>
      <c r="L3818" s="188" t="s">
        <v>3203</v>
      </c>
      <c r="M3818" s="192">
        <f t="shared" si="177"/>
        <v>13</v>
      </c>
      <c r="N3818" s="193">
        <f t="shared" si="178"/>
        <v>1.534416826003824</v>
      </c>
      <c r="O3818" s="194">
        <f t="shared" si="179"/>
        <v>0.1180320635387557</v>
      </c>
    </row>
    <row r="3819" spans="1:15" ht="12.75" customHeight="1">
      <c r="A3819" s="188" t="s">
        <v>620</v>
      </c>
      <c r="B3819" s="188" t="s">
        <v>4996</v>
      </c>
      <c r="C3819" s="188" t="s">
        <v>678</v>
      </c>
      <c r="D3819" s="188" t="s">
        <v>5613</v>
      </c>
      <c r="E3819" s="189">
        <v>39429</v>
      </c>
      <c r="F3819" s="190">
        <v>0</v>
      </c>
      <c r="G3819" s="190">
        <v>143.52000000000001</v>
      </c>
      <c r="H3819" s="191">
        <v>2760</v>
      </c>
      <c r="I3819" s="191">
        <v>538.20000000000005</v>
      </c>
      <c r="J3819" s="188" t="s">
        <v>624</v>
      </c>
      <c r="K3819" s="188" t="s">
        <v>652</v>
      </c>
      <c r="L3819" s="188" t="s">
        <v>721</v>
      </c>
      <c r="M3819" s="192">
        <f t="shared" si="177"/>
        <v>13</v>
      </c>
      <c r="N3819" s="193">
        <f t="shared" si="178"/>
        <v>1.5384615384615385</v>
      </c>
      <c r="O3819" s="194">
        <f t="shared" si="179"/>
        <v>0.1183431952662722</v>
      </c>
    </row>
    <row r="3820" spans="1:15" ht="12.75" customHeight="1">
      <c r="A3820" s="188" t="s">
        <v>620</v>
      </c>
      <c r="B3820" s="188" t="s">
        <v>4996</v>
      </c>
      <c r="C3820" s="188" t="s">
        <v>678</v>
      </c>
      <c r="D3820" s="188" t="s">
        <v>5614</v>
      </c>
      <c r="E3820" s="189">
        <v>39339</v>
      </c>
      <c r="F3820" s="190">
        <v>0</v>
      </c>
      <c r="G3820" s="190">
        <v>76</v>
      </c>
      <c r="H3820" s="191">
        <v>1465</v>
      </c>
      <c r="I3820" s="191">
        <v>285</v>
      </c>
      <c r="J3820" s="188" t="s">
        <v>624</v>
      </c>
      <c r="K3820" s="188" t="s">
        <v>652</v>
      </c>
      <c r="L3820" s="188" t="s">
        <v>1164</v>
      </c>
      <c r="M3820" s="192">
        <f t="shared" si="177"/>
        <v>13</v>
      </c>
      <c r="N3820" s="193">
        <f t="shared" si="178"/>
        <v>1.5421052631578946</v>
      </c>
      <c r="O3820" s="194">
        <f t="shared" si="179"/>
        <v>0.11862348178137651</v>
      </c>
    </row>
    <row r="3821" spans="1:15" ht="12.75" customHeight="1">
      <c r="A3821" s="188" t="s">
        <v>620</v>
      </c>
      <c r="B3821" s="188" t="s">
        <v>4996</v>
      </c>
      <c r="C3821" s="188" t="s">
        <v>678</v>
      </c>
      <c r="D3821" s="188" t="s">
        <v>5615</v>
      </c>
      <c r="E3821" s="189">
        <v>39447</v>
      </c>
      <c r="F3821" s="190">
        <v>0</v>
      </c>
      <c r="G3821" s="190">
        <v>56</v>
      </c>
      <c r="H3821" s="191">
        <v>1080</v>
      </c>
      <c r="I3821" s="191">
        <v>210</v>
      </c>
      <c r="J3821" s="188" t="s">
        <v>624</v>
      </c>
      <c r="K3821" s="188" t="s">
        <v>652</v>
      </c>
      <c r="L3821" s="188" t="s">
        <v>1827</v>
      </c>
      <c r="M3821" s="192">
        <f t="shared" si="177"/>
        <v>13</v>
      </c>
      <c r="N3821" s="193">
        <f t="shared" si="178"/>
        <v>1.5428571428571429</v>
      </c>
      <c r="O3821" s="194">
        <f t="shared" si="179"/>
        <v>0.11868131868131869</v>
      </c>
    </row>
    <row r="3822" spans="1:15" ht="12.75" customHeight="1">
      <c r="A3822" s="188" t="s">
        <v>620</v>
      </c>
      <c r="B3822" s="188" t="s">
        <v>4996</v>
      </c>
      <c r="C3822" s="188" t="s">
        <v>678</v>
      </c>
      <c r="D3822" s="188" t="s">
        <v>5616</v>
      </c>
      <c r="E3822" s="189">
        <v>39555</v>
      </c>
      <c r="F3822" s="190">
        <v>0</v>
      </c>
      <c r="G3822" s="190">
        <v>71.760000000000005</v>
      </c>
      <c r="H3822" s="191">
        <v>1385</v>
      </c>
      <c r="I3822" s="191">
        <v>269.10000000000002</v>
      </c>
      <c r="J3822" s="188" t="s">
        <v>624</v>
      </c>
      <c r="K3822" s="188" t="s">
        <v>652</v>
      </c>
      <c r="L3822" s="188" t="s">
        <v>5601</v>
      </c>
      <c r="M3822" s="192">
        <f t="shared" si="177"/>
        <v>13</v>
      </c>
      <c r="N3822" s="193">
        <f t="shared" si="178"/>
        <v>1.5440356744704571</v>
      </c>
      <c r="O3822" s="194">
        <f t="shared" si="179"/>
        <v>0.11877197495926593</v>
      </c>
    </row>
    <row r="3823" spans="1:15" ht="12.75" customHeight="1">
      <c r="A3823" s="188" t="s">
        <v>620</v>
      </c>
      <c r="B3823" s="188" t="s">
        <v>4996</v>
      </c>
      <c r="C3823" s="188" t="s">
        <v>678</v>
      </c>
      <c r="D3823" s="188" t="s">
        <v>5617</v>
      </c>
      <c r="E3823" s="189">
        <v>39310</v>
      </c>
      <c r="F3823" s="190">
        <v>0</v>
      </c>
      <c r="G3823" s="190">
        <v>70.16</v>
      </c>
      <c r="H3823" s="191">
        <v>1147.03</v>
      </c>
      <c r="I3823" s="191">
        <v>263.10000000000002</v>
      </c>
      <c r="J3823" s="188" t="s">
        <v>624</v>
      </c>
      <c r="K3823" s="188" t="s">
        <v>639</v>
      </c>
      <c r="L3823" s="188" t="s">
        <v>5397</v>
      </c>
      <c r="M3823" s="192">
        <f t="shared" si="177"/>
        <v>11</v>
      </c>
      <c r="N3823" s="193">
        <f t="shared" si="178"/>
        <v>1.3079019384264539</v>
      </c>
      <c r="O3823" s="194">
        <f t="shared" si="179"/>
        <v>0.11890017622058671</v>
      </c>
    </row>
    <row r="3824" spans="1:15" ht="12.75" customHeight="1">
      <c r="A3824" s="188" t="s">
        <v>620</v>
      </c>
      <c r="B3824" s="188" t="s">
        <v>4996</v>
      </c>
      <c r="C3824" s="188" t="s">
        <v>678</v>
      </c>
      <c r="D3824" s="188" t="s">
        <v>5618</v>
      </c>
      <c r="E3824" s="189">
        <v>39395</v>
      </c>
      <c r="F3824" s="190">
        <v>0</v>
      </c>
      <c r="G3824" s="190">
        <v>115.28</v>
      </c>
      <c r="H3824" s="191">
        <v>1884.97</v>
      </c>
      <c r="I3824" s="191">
        <v>432.3</v>
      </c>
      <c r="J3824" s="188" t="s">
        <v>624</v>
      </c>
      <c r="K3824" s="188" t="s">
        <v>639</v>
      </c>
      <c r="L3824" s="188" t="s">
        <v>1259</v>
      </c>
      <c r="M3824" s="192">
        <f t="shared" si="177"/>
        <v>11</v>
      </c>
      <c r="N3824" s="193">
        <f t="shared" si="178"/>
        <v>1.3080985426786953</v>
      </c>
      <c r="O3824" s="194">
        <f t="shared" si="179"/>
        <v>0.11891804933442685</v>
      </c>
    </row>
    <row r="3825" spans="1:15" ht="12.75" customHeight="1">
      <c r="A3825" s="188" t="s">
        <v>620</v>
      </c>
      <c r="B3825" s="188" t="s">
        <v>4996</v>
      </c>
      <c r="C3825" s="188" t="s">
        <v>678</v>
      </c>
      <c r="D3825" s="188" t="s">
        <v>5619</v>
      </c>
      <c r="E3825" s="189">
        <v>39471</v>
      </c>
      <c r="F3825" s="190">
        <v>0</v>
      </c>
      <c r="G3825" s="190">
        <v>156.24</v>
      </c>
      <c r="H3825" s="191">
        <v>3024</v>
      </c>
      <c r="I3825" s="191">
        <v>585.9</v>
      </c>
      <c r="J3825" s="188" t="s">
        <v>624</v>
      </c>
      <c r="K3825" s="188" t="s">
        <v>652</v>
      </c>
      <c r="L3825" s="188" t="s">
        <v>5620</v>
      </c>
      <c r="M3825" s="192">
        <f t="shared" si="177"/>
        <v>13</v>
      </c>
      <c r="N3825" s="193">
        <f t="shared" si="178"/>
        <v>1.5483870967741935</v>
      </c>
      <c r="O3825" s="194">
        <f t="shared" si="179"/>
        <v>0.11910669975186104</v>
      </c>
    </row>
    <row r="3826" spans="1:15" ht="12.75" customHeight="1">
      <c r="A3826" s="188" t="s">
        <v>620</v>
      </c>
      <c r="B3826" s="188" t="s">
        <v>4996</v>
      </c>
      <c r="C3826" s="188" t="s">
        <v>678</v>
      </c>
      <c r="D3826" s="188" t="s">
        <v>5621</v>
      </c>
      <c r="E3826" s="189">
        <v>39639</v>
      </c>
      <c r="F3826" s="190">
        <v>0</v>
      </c>
      <c r="G3826" s="190">
        <v>37.6</v>
      </c>
      <c r="H3826" s="191">
        <v>728</v>
      </c>
      <c r="I3826" s="191">
        <v>141</v>
      </c>
      <c r="J3826" s="188" t="s">
        <v>624</v>
      </c>
      <c r="K3826" s="188" t="s">
        <v>652</v>
      </c>
      <c r="L3826" s="188" t="s">
        <v>5064</v>
      </c>
      <c r="M3826" s="192">
        <f t="shared" si="177"/>
        <v>13</v>
      </c>
      <c r="N3826" s="193">
        <f t="shared" si="178"/>
        <v>1.548936170212766</v>
      </c>
      <c r="O3826" s="194">
        <f t="shared" si="179"/>
        <v>0.11914893617021277</v>
      </c>
    </row>
    <row r="3827" spans="1:15" ht="12.75" customHeight="1">
      <c r="A3827" s="188" t="s">
        <v>620</v>
      </c>
      <c r="B3827" s="188" t="s">
        <v>4996</v>
      </c>
      <c r="C3827" s="188" t="s">
        <v>678</v>
      </c>
      <c r="D3827" s="188" t="s">
        <v>5622</v>
      </c>
      <c r="E3827" s="189">
        <v>39395</v>
      </c>
      <c r="F3827" s="190">
        <v>0</v>
      </c>
      <c r="G3827" s="190">
        <v>133.44</v>
      </c>
      <c r="H3827" s="191">
        <v>2585</v>
      </c>
      <c r="I3827" s="191">
        <v>500.4</v>
      </c>
      <c r="J3827" s="188" t="s">
        <v>624</v>
      </c>
      <c r="K3827" s="188" t="s">
        <v>652</v>
      </c>
      <c r="L3827" s="188" t="s">
        <v>1900</v>
      </c>
      <c r="M3827" s="192">
        <f t="shared" si="177"/>
        <v>13</v>
      </c>
      <c r="N3827" s="193">
        <f t="shared" si="178"/>
        <v>1.5497601918465227</v>
      </c>
      <c r="O3827" s="194">
        <f t="shared" si="179"/>
        <v>0.11921232244973251</v>
      </c>
    </row>
    <row r="3828" spans="1:15" ht="12.75" customHeight="1">
      <c r="A3828" s="188" t="s">
        <v>620</v>
      </c>
      <c r="B3828" s="188" t="s">
        <v>4996</v>
      </c>
      <c r="C3828" s="188" t="s">
        <v>678</v>
      </c>
      <c r="D3828" s="188" t="s">
        <v>5623</v>
      </c>
      <c r="E3828" s="189">
        <v>39520</v>
      </c>
      <c r="F3828" s="190">
        <v>0</v>
      </c>
      <c r="G3828" s="190">
        <v>92.8</v>
      </c>
      <c r="H3828" s="191">
        <v>1798</v>
      </c>
      <c r="I3828" s="191">
        <v>348</v>
      </c>
      <c r="J3828" s="188" t="s">
        <v>624</v>
      </c>
      <c r="K3828" s="188" t="s">
        <v>652</v>
      </c>
      <c r="L3828" s="188" t="s">
        <v>1001</v>
      </c>
      <c r="M3828" s="192">
        <f t="shared" si="177"/>
        <v>13</v>
      </c>
      <c r="N3828" s="193">
        <f t="shared" si="178"/>
        <v>1.55</v>
      </c>
      <c r="O3828" s="194">
        <f t="shared" si="179"/>
        <v>0.11923076923076924</v>
      </c>
    </row>
    <row r="3829" spans="1:15" ht="12.75" customHeight="1">
      <c r="A3829" s="188" t="s">
        <v>620</v>
      </c>
      <c r="B3829" s="188" t="s">
        <v>4996</v>
      </c>
      <c r="C3829" s="188" t="s">
        <v>678</v>
      </c>
      <c r="D3829" s="188" t="s">
        <v>5624</v>
      </c>
      <c r="E3829" s="189">
        <v>39485</v>
      </c>
      <c r="F3829" s="190">
        <v>0</v>
      </c>
      <c r="G3829" s="190">
        <v>103.04</v>
      </c>
      <c r="H3829" s="191">
        <v>1997.32</v>
      </c>
      <c r="I3829" s="191">
        <v>386.4</v>
      </c>
      <c r="J3829" s="188" t="s">
        <v>624</v>
      </c>
      <c r="K3829" s="188" t="s">
        <v>652</v>
      </c>
      <c r="L3829" s="188" t="s">
        <v>2088</v>
      </c>
      <c r="M3829" s="192">
        <f t="shared" si="177"/>
        <v>13</v>
      </c>
      <c r="N3829" s="193">
        <f t="shared" si="178"/>
        <v>1.5507142857142857</v>
      </c>
      <c r="O3829" s="194">
        <f t="shared" si="179"/>
        <v>0.11928571428571429</v>
      </c>
    </row>
    <row r="3830" spans="1:15" ht="12.75" customHeight="1">
      <c r="A3830" s="188" t="s">
        <v>620</v>
      </c>
      <c r="B3830" s="188" t="s">
        <v>4996</v>
      </c>
      <c r="C3830" s="188" t="s">
        <v>678</v>
      </c>
      <c r="D3830" s="188" t="s">
        <v>5625</v>
      </c>
      <c r="E3830" s="189">
        <v>39625</v>
      </c>
      <c r="F3830" s="190">
        <v>0</v>
      </c>
      <c r="G3830" s="190">
        <v>61.6</v>
      </c>
      <c r="H3830" s="191">
        <v>1390</v>
      </c>
      <c r="I3830" s="191">
        <v>231</v>
      </c>
      <c r="J3830" s="188" t="s">
        <v>624</v>
      </c>
      <c r="K3830" s="188" t="s">
        <v>571</v>
      </c>
      <c r="L3830" s="188" t="s">
        <v>5626</v>
      </c>
      <c r="M3830" s="192">
        <f t="shared" si="177"/>
        <v>15</v>
      </c>
      <c r="N3830" s="193">
        <f t="shared" si="178"/>
        <v>1.8051948051948052</v>
      </c>
      <c r="O3830" s="194">
        <f t="shared" si="179"/>
        <v>0.12034632034632035</v>
      </c>
    </row>
    <row r="3831" spans="1:15" ht="12.75" customHeight="1">
      <c r="A3831" s="188" t="s">
        <v>620</v>
      </c>
      <c r="B3831" s="188" t="s">
        <v>4996</v>
      </c>
      <c r="C3831" s="188" t="s">
        <v>678</v>
      </c>
      <c r="D3831" s="188" t="s">
        <v>5627</v>
      </c>
      <c r="E3831" s="189">
        <v>39507</v>
      </c>
      <c r="F3831" s="190">
        <v>0</v>
      </c>
      <c r="G3831" s="190">
        <v>95.68</v>
      </c>
      <c r="H3831" s="191">
        <v>2160</v>
      </c>
      <c r="I3831" s="191">
        <v>358.8</v>
      </c>
      <c r="J3831" s="188" t="s">
        <v>624</v>
      </c>
      <c r="K3831" s="188" t="s">
        <v>571</v>
      </c>
      <c r="L3831" s="188" t="s">
        <v>812</v>
      </c>
      <c r="M3831" s="192">
        <f t="shared" si="177"/>
        <v>15</v>
      </c>
      <c r="N3831" s="193">
        <f t="shared" si="178"/>
        <v>1.806020066889632</v>
      </c>
      <c r="O3831" s="194">
        <f t="shared" si="179"/>
        <v>0.12040133779264213</v>
      </c>
    </row>
    <row r="3832" spans="1:15" ht="12.75" customHeight="1">
      <c r="A3832" s="188" t="s">
        <v>620</v>
      </c>
      <c r="B3832" s="188" t="s">
        <v>4996</v>
      </c>
      <c r="C3832" s="188" t="s">
        <v>678</v>
      </c>
      <c r="D3832" s="188" t="s">
        <v>5628</v>
      </c>
      <c r="E3832" s="189">
        <v>39548</v>
      </c>
      <c r="F3832" s="190">
        <v>0</v>
      </c>
      <c r="G3832" s="190">
        <v>176.88</v>
      </c>
      <c r="H3832" s="191">
        <v>3461</v>
      </c>
      <c r="I3832" s="191">
        <v>663.3</v>
      </c>
      <c r="J3832" s="188" t="s">
        <v>624</v>
      </c>
      <c r="K3832" s="188" t="s">
        <v>652</v>
      </c>
      <c r="L3832" s="188" t="s">
        <v>5629</v>
      </c>
      <c r="M3832" s="192">
        <f t="shared" si="177"/>
        <v>13</v>
      </c>
      <c r="N3832" s="193">
        <f t="shared" si="178"/>
        <v>1.5653550429669834</v>
      </c>
      <c r="O3832" s="194">
        <f t="shared" si="179"/>
        <v>0.12041192638207564</v>
      </c>
    </row>
    <row r="3833" spans="1:15" ht="12.75" customHeight="1">
      <c r="A3833" s="188" t="s">
        <v>620</v>
      </c>
      <c r="B3833" s="188" t="s">
        <v>4996</v>
      </c>
      <c r="C3833" s="188" t="s">
        <v>678</v>
      </c>
      <c r="D3833" s="188" t="s">
        <v>5630</v>
      </c>
      <c r="E3833" s="189">
        <v>39492</v>
      </c>
      <c r="F3833" s="190">
        <v>0</v>
      </c>
      <c r="G3833" s="190">
        <v>78.64</v>
      </c>
      <c r="H3833" s="191">
        <v>1776</v>
      </c>
      <c r="I3833" s="191">
        <v>294.89999999999998</v>
      </c>
      <c r="J3833" s="188" t="s">
        <v>624</v>
      </c>
      <c r="K3833" s="188" t="s">
        <v>571</v>
      </c>
      <c r="L3833" s="188" t="s">
        <v>5631</v>
      </c>
      <c r="M3833" s="192">
        <f t="shared" si="177"/>
        <v>15</v>
      </c>
      <c r="N3833" s="193">
        <f t="shared" si="178"/>
        <v>1.8067141403865716</v>
      </c>
      <c r="O3833" s="194">
        <f t="shared" si="179"/>
        <v>0.12044760935910477</v>
      </c>
    </row>
    <row r="3834" spans="1:15" ht="12.75" customHeight="1">
      <c r="A3834" s="188" t="s">
        <v>620</v>
      </c>
      <c r="B3834" s="188" t="s">
        <v>4996</v>
      </c>
      <c r="C3834" s="188" t="s">
        <v>678</v>
      </c>
      <c r="D3834" s="188" t="s">
        <v>5632</v>
      </c>
      <c r="E3834" s="189">
        <v>39513</v>
      </c>
      <c r="F3834" s="190">
        <v>0</v>
      </c>
      <c r="G3834" s="190">
        <v>65.92</v>
      </c>
      <c r="H3834" s="191">
        <v>1296</v>
      </c>
      <c r="I3834" s="191">
        <v>247.2</v>
      </c>
      <c r="J3834" s="188" t="s">
        <v>624</v>
      </c>
      <c r="K3834" s="188" t="s">
        <v>652</v>
      </c>
      <c r="L3834" s="188" t="s">
        <v>1675</v>
      </c>
      <c r="M3834" s="192">
        <f t="shared" si="177"/>
        <v>13</v>
      </c>
      <c r="N3834" s="193">
        <f t="shared" si="178"/>
        <v>1.5728155339805825</v>
      </c>
      <c r="O3834" s="194">
        <f t="shared" si="179"/>
        <v>0.12098581030619865</v>
      </c>
    </row>
    <row r="3835" spans="1:15" ht="12.75" customHeight="1">
      <c r="A3835" s="188" t="s">
        <v>620</v>
      </c>
      <c r="B3835" s="188" t="s">
        <v>4996</v>
      </c>
      <c r="C3835" s="188" t="s">
        <v>678</v>
      </c>
      <c r="D3835" s="188" t="s">
        <v>5633</v>
      </c>
      <c r="E3835" s="189">
        <v>39471</v>
      </c>
      <c r="F3835" s="190">
        <v>0</v>
      </c>
      <c r="G3835" s="190">
        <v>55.12</v>
      </c>
      <c r="H3835" s="191">
        <v>1084</v>
      </c>
      <c r="I3835" s="191">
        <v>206.7</v>
      </c>
      <c r="J3835" s="188" t="s">
        <v>624</v>
      </c>
      <c r="K3835" s="188" t="s">
        <v>652</v>
      </c>
      <c r="L3835" s="188" t="s">
        <v>5634</v>
      </c>
      <c r="M3835" s="192">
        <f t="shared" si="177"/>
        <v>13</v>
      </c>
      <c r="N3835" s="193">
        <f t="shared" si="178"/>
        <v>1.5732946298984034</v>
      </c>
      <c r="O3835" s="194">
        <f t="shared" si="179"/>
        <v>0.12102266383833872</v>
      </c>
    </row>
    <row r="3836" spans="1:15" ht="12.75" customHeight="1">
      <c r="A3836" s="188" t="s">
        <v>620</v>
      </c>
      <c r="B3836" s="188" t="s">
        <v>4996</v>
      </c>
      <c r="C3836" s="188" t="s">
        <v>678</v>
      </c>
      <c r="D3836" s="188" t="s">
        <v>5635</v>
      </c>
      <c r="E3836" s="189">
        <v>39471</v>
      </c>
      <c r="F3836" s="190">
        <v>0</v>
      </c>
      <c r="G3836" s="190">
        <v>77.760000000000005</v>
      </c>
      <c r="H3836" s="191">
        <v>1530</v>
      </c>
      <c r="I3836" s="191">
        <v>291.60000000000002</v>
      </c>
      <c r="J3836" s="188" t="s">
        <v>624</v>
      </c>
      <c r="K3836" s="188" t="s">
        <v>652</v>
      </c>
      <c r="L3836" s="188" t="s">
        <v>365</v>
      </c>
      <c r="M3836" s="192">
        <f t="shared" si="177"/>
        <v>13</v>
      </c>
      <c r="N3836" s="193">
        <f t="shared" si="178"/>
        <v>1.5740740740740742</v>
      </c>
      <c r="O3836" s="194">
        <f t="shared" si="179"/>
        <v>0.12108262108262109</v>
      </c>
    </row>
    <row r="3837" spans="1:15" ht="12.75" customHeight="1">
      <c r="A3837" s="188" t="s">
        <v>620</v>
      </c>
      <c r="B3837" s="188" t="s">
        <v>4996</v>
      </c>
      <c r="C3837" s="188" t="s">
        <v>678</v>
      </c>
      <c r="D3837" s="188" t="s">
        <v>5636</v>
      </c>
      <c r="E3837" s="189">
        <v>39520</v>
      </c>
      <c r="F3837" s="190">
        <v>0</v>
      </c>
      <c r="G3837" s="190">
        <v>116.35</v>
      </c>
      <c r="H3837" s="191">
        <v>2544.75</v>
      </c>
      <c r="I3837" s="191">
        <v>484.8</v>
      </c>
      <c r="J3837" s="188" t="s">
        <v>624</v>
      </c>
      <c r="K3837" s="188" t="s">
        <v>652</v>
      </c>
      <c r="L3837" s="188" t="s">
        <v>1743</v>
      </c>
      <c r="M3837" s="192">
        <f t="shared" si="177"/>
        <v>13</v>
      </c>
      <c r="N3837" s="193">
        <f t="shared" si="178"/>
        <v>1.5747215346534653</v>
      </c>
      <c r="O3837" s="194">
        <f t="shared" si="179"/>
        <v>0.12113242574257425</v>
      </c>
    </row>
    <row r="3838" spans="1:15" ht="12.75" customHeight="1">
      <c r="A3838" s="188" t="s">
        <v>620</v>
      </c>
      <c r="B3838" s="188" t="s">
        <v>4996</v>
      </c>
      <c r="C3838" s="188" t="s">
        <v>678</v>
      </c>
      <c r="D3838" s="188" t="s">
        <v>5637</v>
      </c>
      <c r="E3838" s="189">
        <v>39254</v>
      </c>
      <c r="F3838" s="190">
        <v>0</v>
      </c>
      <c r="G3838" s="190">
        <v>85.68</v>
      </c>
      <c r="H3838" s="191">
        <v>1697</v>
      </c>
      <c r="I3838" s="191">
        <v>321.3</v>
      </c>
      <c r="J3838" s="188" t="s">
        <v>624</v>
      </c>
      <c r="K3838" s="188" t="s">
        <v>652</v>
      </c>
      <c r="L3838" s="188" t="s">
        <v>5638</v>
      </c>
      <c r="M3838" s="192">
        <f t="shared" si="177"/>
        <v>13</v>
      </c>
      <c r="N3838" s="193">
        <f t="shared" si="178"/>
        <v>1.584500466853408</v>
      </c>
      <c r="O3838" s="194">
        <f t="shared" si="179"/>
        <v>0.121884651296416</v>
      </c>
    </row>
    <row r="3839" spans="1:15" ht="12.75" customHeight="1">
      <c r="A3839" s="188" t="s">
        <v>620</v>
      </c>
      <c r="B3839" s="188" t="s">
        <v>4996</v>
      </c>
      <c r="C3839" s="188" t="s">
        <v>678</v>
      </c>
      <c r="D3839" s="188" t="s">
        <v>5639</v>
      </c>
      <c r="E3839" s="189">
        <v>39219</v>
      </c>
      <c r="F3839" s="190">
        <v>0</v>
      </c>
      <c r="G3839" s="190">
        <v>76.48</v>
      </c>
      <c r="H3839" s="191">
        <v>1290.5999999999999</v>
      </c>
      <c r="I3839" s="191">
        <v>286.8</v>
      </c>
      <c r="J3839" s="188" t="s">
        <v>624</v>
      </c>
      <c r="K3839" s="188" t="s">
        <v>639</v>
      </c>
      <c r="L3839" s="188" t="s">
        <v>5640</v>
      </c>
      <c r="M3839" s="192">
        <f t="shared" si="177"/>
        <v>11</v>
      </c>
      <c r="N3839" s="193">
        <f t="shared" si="178"/>
        <v>1.3499999999999999</v>
      </c>
      <c r="O3839" s="194">
        <f t="shared" si="179"/>
        <v>0.12272727272727271</v>
      </c>
    </row>
    <row r="3840" spans="1:15" ht="12.75" customHeight="1">
      <c r="A3840" s="188" t="s">
        <v>620</v>
      </c>
      <c r="B3840" s="188" t="s">
        <v>4996</v>
      </c>
      <c r="C3840" s="188" t="s">
        <v>678</v>
      </c>
      <c r="D3840" s="188" t="s">
        <v>5641</v>
      </c>
      <c r="E3840" s="189">
        <v>39395</v>
      </c>
      <c r="F3840" s="190">
        <v>0</v>
      </c>
      <c r="G3840" s="190">
        <v>110.08</v>
      </c>
      <c r="H3840" s="191">
        <v>2197</v>
      </c>
      <c r="I3840" s="191">
        <v>412.8</v>
      </c>
      <c r="J3840" s="188" t="s">
        <v>624</v>
      </c>
      <c r="K3840" s="188" t="s">
        <v>652</v>
      </c>
      <c r="L3840" s="188" t="s">
        <v>4408</v>
      </c>
      <c r="M3840" s="192">
        <f t="shared" si="177"/>
        <v>13</v>
      </c>
      <c r="N3840" s="193">
        <f t="shared" si="178"/>
        <v>1.5966569767441861</v>
      </c>
      <c r="O3840" s="194">
        <f t="shared" si="179"/>
        <v>0.12281976744186046</v>
      </c>
    </row>
    <row r="3841" spans="1:15" ht="12.75" customHeight="1">
      <c r="A3841" s="188" t="s">
        <v>620</v>
      </c>
      <c r="B3841" s="188" t="s">
        <v>4996</v>
      </c>
      <c r="C3841" s="188" t="s">
        <v>678</v>
      </c>
      <c r="D3841" s="188" t="s">
        <v>5642</v>
      </c>
      <c r="E3841" s="189">
        <v>39317</v>
      </c>
      <c r="F3841" s="190">
        <v>0</v>
      </c>
      <c r="G3841" s="190">
        <v>71.680000000000007</v>
      </c>
      <c r="H3841" s="191">
        <v>1435.03</v>
      </c>
      <c r="I3841" s="191">
        <v>268.8</v>
      </c>
      <c r="J3841" s="188" t="s">
        <v>624</v>
      </c>
      <c r="K3841" s="188" t="s">
        <v>652</v>
      </c>
      <c r="L3841" s="188" t="s">
        <v>654</v>
      </c>
      <c r="M3841" s="192">
        <f t="shared" si="177"/>
        <v>13</v>
      </c>
      <c r="N3841" s="193">
        <f t="shared" si="178"/>
        <v>1.6015959821428571</v>
      </c>
      <c r="O3841" s="194">
        <f t="shared" si="179"/>
        <v>0.12319969093406594</v>
      </c>
    </row>
    <row r="3842" spans="1:15" ht="12.75" customHeight="1">
      <c r="A3842" s="188" t="s">
        <v>620</v>
      </c>
      <c r="B3842" s="188" t="s">
        <v>4996</v>
      </c>
      <c r="C3842" s="188" t="s">
        <v>678</v>
      </c>
      <c r="D3842" s="188" t="s">
        <v>5643</v>
      </c>
      <c r="E3842" s="189">
        <v>39233</v>
      </c>
      <c r="F3842" s="190">
        <v>0</v>
      </c>
      <c r="G3842" s="190">
        <v>99.6</v>
      </c>
      <c r="H3842" s="191">
        <v>1695.94</v>
      </c>
      <c r="I3842" s="191">
        <v>373.5</v>
      </c>
      <c r="J3842" s="188" t="s">
        <v>624</v>
      </c>
      <c r="K3842" s="188" t="s">
        <v>639</v>
      </c>
      <c r="L3842" s="188" t="s">
        <v>5644</v>
      </c>
      <c r="M3842" s="192">
        <f t="shared" ref="M3842:M3905" si="180">K3842-J3842</f>
        <v>11</v>
      </c>
      <c r="N3842" s="193">
        <f t="shared" ref="N3842:N3905" si="181">H3842/L3842</f>
        <v>1.3622008032128514</v>
      </c>
      <c r="O3842" s="194">
        <f t="shared" ref="O3842:O3905" si="182">N3842/M3842</f>
        <v>0.12383643665571377</v>
      </c>
    </row>
    <row r="3843" spans="1:15" ht="12.75" customHeight="1">
      <c r="A3843" s="188" t="s">
        <v>620</v>
      </c>
      <c r="B3843" s="188" t="s">
        <v>4996</v>
      </c>
      <c r="C3843" s="188" t="s">
        <v>678</v>
      </c>
      <c r="D3843" s="188" t="s">
        <v>5645</v>
      </c>
      <c r="E3843" s="189">
        <v>39464</v>
      </c>
      <c r="F3843" s="190">
        <v>0</v>
      </c>
      <c r="G3843" s="190">
        <v>78.400000000000006</v>
      </c>
      <c r="H3843" s="191">
        <v>1585</v>
      </c>
      <c r="I3843" s="191">
        <v>294</v>
      </c>
      <c r="J3843" s="188" t="s">
        <v>624</v>
      </c>
      <c r="K3843" s="188" t="s">
        <v>652</v>
      </c>
      <c r="L3843" s="188" t="s">
        <v>1487</v>
      </c>
      <c r="M3843" s="192">
        <f t="shared" si="180"/>
        <v>13</v>
      </c>
      <c r="N3843" s="193">
        <f t="shared" si="181"/>
        <v>1.6173469387755102</v>
      </c>
      <c r="O3843" s="194">
        <f t="shared" si="182"/>
        <v>0.12441130298273155</v>
      </c>
    </row>
    <row r="3844" spans="1:15" ht="12.75" customHeight="1">
      <c r="A3844" s="188" t="s">
        <v>620</v>
      </c>
      <c r="B3844" s="188" t="s">
        <v>4996</v>
      </c>
      <c r="C3844" s="188" t="s">
        <v>678</v>
      </c>
      <c r="D3844" s="188" t="s">
        <v>5646</v>
      </c>
      <c r="E3844" s="189">
        <v>39447</v>
      </c>
      <c r="F3844" s="190">
        <v>0</v>
      </c>
      <c r="G3844" s="190">
        <v>99.6</v>
      </c>
      <c r="H3844" s="191">
        <v>1705.65</v>
      </c>
      <c r="I3844" s="191">
        <v>373.5</v>
      </c>
      <c r="J3844" s="188" t="s">
        <v>624</v>
      </c>
      <c r="K3844" s="188" t="s">
        <v>639</v>
      </c>
      <c r="L3844" s="188" t="s">
        <v>5644</v>
      </c>
      <c r="M3844" s="192">
        <f t="shared" si="180"/>
        <v>11</v>
      </c>
      <c r="N3844" s="193">
        <f t="shared" si="181"/>
        <v>1.37</v>
      </c>
      <c r="O3844" s="194">
        <f t="shared" si="182"/>
        <v>0.12454545454545456</v>
      </c>
    </row>
    <row r="3845" spans="1:15" ht="12.75" customHeight="1">
      <c r="A3845" s="188" t="s">
        <v>620</v>
      </c>
      <c r="B3845" s="188" t="s">
        <v>4996</v>
      </c>
      <c r="C3845" s="188" t="s">
        <v>678</v>
      </c>
      <c r="D3845" s="188" t="s">
        <v>5647</v>
      </c>
      <c r="E3845" s="189">
        <v>39513</v>
      </c>
      <c r="F3845" s="190">
        <v>0</v>
      </c>
      <c r="G3845" s="190">
        <v>78.64</v>
      </c>
      <c r="H3845" s="191">
        <v>1597</v>
      </c>
      <c r="I3845" s="191">
        <v>294.89999999999998</v>
      </c>
      <c r="J3845" s="188" t="s">
        <v>624</v>
      </c>
      <c r="K3845" s="188" t="s">
        <v>652</v>
      </c>
      <c r="L3845" s="188" t="s">
        <v>5631</v>
      </c>
      <c r="M3845" s="192">
        <f t="shared" si="180"/>
        <v>13</v>
      </c>
      <c r="N3845" s="193">
        <f t="shared" si="181"/>
        <v>1.624618514750763</v>
      </c>
      <c r="O3845" s="194">
        <f t="shared" si="182"/>
        <v>0.12497065498082792</v>
      </c>
    </row>
    <row r="3846" spans="1:15" ht="12.75" customHeight="1">
      <c r="A3846" s="188" t="s">
        <v>620</v>
      </c>
      <c r="B3846" s="188" t="s">
        <v>4996</v>
      </c>
      <c r="C3846" s="188" t="s">
        <v>678</v>
      </c>
      <c r="D3846" s="188" t="s">
        <v>5648</v>
      </c>
      <c r="E3846" s="189">
        <v>39212</v>
      </c>
      <c r="F3846" s="190">
        <v>0</v>
      </c>
      <c r="G3846" s="190">
        <v>111.2</v>
      </c>
      <c r="H3846" s="191">
        <v>2780</v>
      </c>
      <c r="I3846" s="191">
        <v>417</v>
      </c>
      <c r="J3846" s="188" t="s">
        <v>624</v>
      </c>
      <c r="K3846" s="188" t="s">
        <v>710</v>
      </c>
      <c r="L3846" s="188" t="s">
        <v>2897</v>
      </c>
      <c r="M3846" s="192">
        <f t="shared" si="180"/>
        <v>16</v>
      </c>
      <c r="N3846" s="193">
        <f t="shared" si="181"/>
        <v>2</v>
      </c>
      <c r="O3846" s="194">
        <f t="shared" si="182"/>
        <v>0.125</v>
      </c>
    </row>
    <row r="3847" spans="1:15" ht="12.75" customHeight="1">
      <c r="A3847" s="188" t="s">
        <v>620</v>
      </c>
      <c r="B3847" s="188" t="s">
        <v>4996</v>
      </c>
      <c r="C3847" s="188" t="s">
        <v>678</v>
      </c>
      <c r="D3847" s="188" t="s">
        <v>5649</v>
      </c>
      <c r="E3847" s="189">
        <v>39395</v>
      </c>
      <c r="F3847" s="190">
        <v>0</v>
      </c>
      <c r="G3847" s="190">
        <v>64</v>
      </c>
      <c r="H3847" s="191">
        <v>1100</v>
      </c>
      <c r="I3847" s="191">
        <v>240</v>
      </c>
      <c r="J3847" s="188" t="s">
        <v>624</v>
      </c>
      <c r="K3847" s="188" t="s">
        <v>639</v>
      </c>
      <c r="L3847" s="188" t="s">
        <v>752</v>
      </c>
      <c r="M3847" s="192">
        <f t="shared" si="180"/>
        <v>11</v>
      </c>
      <c r="N3847" s="193">
        <f t="shared" si="181"/>
        <v>1.375</v>
      </c>
      <c r="O3847" s="194">
        <f t="shared" si="182"/>
        <v>0.125</v>
      </c>
    </row>
    <row r="3848" spans="1:15" ht="12.75" customHeight="1">
      <c r="A3848" s="188" t="s">
        <v>620</v>
      </c>
      <c r="B3848" s="188" t="s">
        <v>4996</v>
      </c>
      <c r="C3848" s="188" t="s">
        <v>678</v>
      </c>
      <c r="D3848" s="188" t="s">
        <v>5650</v>
      </c>
      <c r="E3848" s="189">
        <v>39568</v>
      </c>
      <c r="F3848" s="190">
        <v>0</v>
      </c>
      <c r="G3848" s="190">
        <v>81.680000000000007</v>
      </c>
      <c r="H3848" s="191">
        <v>1660</v>
      </c>
      <c r="I3848" s="191">
        <v>306.3</v>
      </c>
      <c r="J3848" s="188" t="s">
        <v>624</v>
      </c>
      <c r="K3848" s="188" t="s">
        <v>652</v>
      </c>
      <c r="L3848" s="188" t="s">
        <v>5651</v>
      </c>
      <c r="M3848" s="192">
        <f t="shared" si="180"/>
        <v>13</v>
      </c>
      <c r="N3848" s="193">
        <f t="shared" si="181"/>
        <v>1.6258570029382957</v>
      </c>
      <c r="O3848" s="194">
        <f t="shared" si="182"/>
        <v>0.12506592330294583</v>
      </c>
    </row>
    <row r="3849" spans="1:15" ht="12.75" customHeight="1">
      <c r="A3849" s="188" t="s">
        <v>620</v>
      </c>
      <c r="B3849" s="188" t="s">
        <v>4996</v>
      </c>
      <c r="C3849" s="188" t="s">
        <v>678</v>
      </c>
      <c r="D3849" s="188" t="s">
        <v>5652</v>
      </c>
      <c r="E3849" s="189">
        <v>39485</v>
      </c>
      <c r="F3849" s="190">
        <v>0</v>
      </c>
      <c r="G3849" s="190">
        <v>72.319999999999993</v>
      </c>
      <c r="H3849" s="191">
        <v>1696</v>
      </c>
      <c r="I3849" s="191">
        <v>271.2</v>
      </c>
      <c r="J3849" s="188" t="s">
        <v>624</v>
      </c>
      <c r="K3849" s="188" t="s">
        <v>571</v>
      </c>
      <c r="L3849" s="188" t="s">
        <v>5413</v>
      </c>
      <c r="M3849" s="192">
        <f t="shared" si="180"/>
        <v>15</v>
      </c>
      <c r="N3849" s="193">
        <f t="shared" si="181"/>
        <v>1.8761061946902655</v>
      </c>
      <c r="O3849" s="194">
        <f t="shared" si="182"/>
        <v>0.12507374631268436</v>
      </c>
    </row>
    <row r="3850" spans="1:15" ht="12.75" customHeight="1">
      <c r="A3850" s="188" t="s">
        <v>620</v>
      </c>
      <c r="B3850" s="188" t="s">
        <v>4996</v>
      </c>
      <c r="C3850" s="188" t="s">
        <v>678</v>
      </c>
      <c r="D3850" s="188" t="s">
        <v>5653</v>
      </c>
      <c r="E3850" s="189">
        <v>39429</v>
      </c>
      <c r="F3850" s="190">
        <v>0</v>
      </c>
      <c r="G3850" s="190">
        <v>124.32</v>
      </c>
      <c r="H3850" s="191">
        <v>2527</v>
      </c>
      <c r="I3850" s="191">
        <v>466.2</v>
      </c>
      <c r="J3850" s="188" t="s">
        <v>624</v>
      </c>
      <c r="K3850" s="188" t="s">
        <v>652</v>
      </c>
      <c r="L3850" s="188" t="s">
        <v>5654</v>
      </c>
      <c r="M3850" s="192">
        <f t="shared" si="180"/>
        <v>13</v>
      </c>
      <c r="N3850" s="193">
        <f t="shared" si="181"/>
        <v>1.6261261261261262</v>
      </c>
      <c r="O3850" s="194">
        <f t="shared" si="182"/>
        <v>0.1250866250866251</v>
      </c>
    </row>
    <row r="3851" spans="1:15" ht="12.75" customHeight="1">
      <c r="A3851" s="188" t="s">
        <v>620</v>
      </c>
      <c r="B3851" s="188" t="s">
        <v>4996</v>
      </c>
      <c r="C3851" s="188" t="s">
        <v>678</v>
      </c>
      <c r="D3851" s="188" t="s">
        <v>5655</v>
      </c>
      <c r="E3851" s="189">
        <v>39345</v>
      </c>
      <c r="F3851" s="190">
        <v>0</v>
      </c>
      <c r="G3851" s="190">
        <v>71.36</v>
      </c>
      <c r="H3851" s="191">
        <v>1452.98</v>
      </c>
      <c r="I3851" s="191">
        <v>267.60000000000002</v>
      </c>
      <c r="J3851" s="188" t="s">
        <v>624</v>
      </c>
      <c r="K3851" s="188" t="s">
        <v>652</v>
      </c>
      <c r="L3851" s="188" t="s">
        <v>5374</v>
      </c>
      <c r="M3851" s="192">
        <f t="shared" si="180"/>
        <v>13</v>
      </c>
      <c r="N3851" s="193">
        <f t="shared" si="181"/>
        <v>1.6289013452914798</v>
      </c>
      <c r="O3851" s="194">
        <f t="shared" si="182"/>
        <v>0.12530010348395998</v>
      </c>
    </row>
    <row r="3852" spans="1:15" ht="12.75" customHeight="1">
      <c r="A3852" s="188" t="s">
        <v>620</v>
      </c>
      <c r="B3852" s="188" t="s">
        <v>4996</v>
      </c>
      <c r="C3852" s="188" t="s">
        <v>678</v>
      </c>
      <c r="D3852" s="188" t="s">
        <v>5656</v>
      </c>
      <c r="E3852" s="189">
        <v>39422</v>
      </c>
      <c r="F3852" s="190">
        <v>0</v>
      </c>
      <c r="G3852" s="190">
        <v>16.8</v>
      </c>
      <c r="H3852" s="191">
        <v>399</v>
      </c>
      <c r="I3852" s="191">
        <v>63</v>
      </c>
      <c r="J3852" s="188" t="s">
        <v>624</v>
      </c>
      <c r="K3852" s="188" t="s">
        <v>571</v>
      </c>
      <c r="L3852" s="188" t="s">
        <v>352</v>
      </c>
      <c r="M3852" s="192">
        <f t="shared" si="180"/>
        <v>15</v>
      </c>
      <c r="N3852" s="193">
        <f t="shared" si="181"/>
        <v>1.9</v>
      </c>
      <c r="O3852" s="194">
        <f t="shared" si="182"/>
        <v>0.12666666666666665</v>
      </c>
    </row>
    <row r="3853" spans="1:15" ht="12.75" customHeight="1">
      <c r="A3853" s="188" t="s">
        <v>620</v>
      </c>
      <c r="B3853" s="188" t="s">
        <v>4996</v>
      </c>
      <c r="C3853" s="188" t="s">
        <v>678</v>
      </c>
      <c r="D3853" s="188" t="s">
        <v>5657</v>
      </c>
      <c r="E3853" s="189">
        <v>39625</v>
      </c>
      <c r="F3853" s="190">
        <v>0</v>
      </c>
      <c r="G3853" s="190">
        <v>52.8</v>
      </c>
      <c r="H3853" s="191">
        <v>1090</v>
      </c>
      <c r="I3853" s="191">
        <v>198</v>
      </c>
      <c r="J3853" s="188" t="s">
        <v>624</v>
      </c>
      <c r="K3853" s="188" t="s">
        <v>652</v>
      </c>
      <c r="L3853" s="188" t="s">
        <v>1306</v>
      </c>
      <c r="M3853" s="192">
        <f t="shared" si="180"/>
        <v>13</v>
      </c>
      <c r="N3853" s="193">
        <f t="shared" si="181"/>
        <v>1.6515151515151516</v>
      </c>
      <c r="O3853" s="194">
        <f t="shared" si="182"/>
        <v>0.12703962703962704</v>
      </c>
    </row>
    <row r="3854" spans="1:15" ht="12.75" customHeight="1">
      <c r="A3854" s="188" t="s">
        <v>620</v>
      </c>
      <c r="B3854" s="188" t="s">
        <v>4996</v>
      </c>
      <c r="C3854" s="188" t="s">
        <v>678</v>
      </c>
      <c r="D3854" s="188" t="s">
        <v>5658</v>
      </c>
      <c r="E3854" s="189">
        <v>39447</v>
      </c>
      <c r="F3854" s="190">
        <v>0</v>
      </c>
      <c r="G3854" s="190">
        <v>106.72</v>
      </c>
      <c r="H3854" s="191">
        <v>2208</v>
      </c>
      <c r="I3854" s="191">
        <v>400.2</v>
      </c>
      <c r="J3854" s="188" t="s">
        <v>624</v>
      </c>
      <c r="K3854" s="188" t="s">
        <v>652</v>
      </c>
      <c r="L3854" s="188" t="s">
        <v>368</v>
      </c>
      <c r="M3854" s="192">
        <f t="shared" si="180"/>
        <v>13</v>
      </c>
      <c r="N3854" s="193">
        <f t="shared" si="181"/>
        <v>1.6551724137931034</v>
      </c>
      <c r="O3854" s="194">
        <f t="shared" si="182"/>
        <v>0.1273209549071618</v>
      </c>
    </row>
    <row r="3855" spans="1:15" ht="12.75" customHeight="1">
      <c r="A3855" s="188" t="s">
        <v>620</v>
      </c>
      <c r="B3855" s="188" t="s">
        <v>4996</v>
      </c>
      <c r="C3855" s="188" t="s">
        <v>678</v>
      </c>
      <c r="D3855" s="188" t="s">
        <v>5659</v>
      </c>
      <c r="E3855" s="189">
        <v>39527</v>
      </c>
      <c r="F3855" s="190">
        <v>0</v>
      </c>
      <c r="G3855" s="190">
        <v>89.76</v>
      </c>
      <c r="H3855" s="191">
        <v>1860</v>
      </c>
      <c r="I3855" s="191">
        <v>336.6</v>
      </c>
      <c r="J3855" s="188" t="s">
        <v>624</v>
      </c>
      <c r="K3855" s="188" t="s">
        <v>652</v>
      </c>
      <c r="L3855" s="188" t="s">
        <v>3092</v>
      </c>
      <c r="M3855" s="192">
        <f t="shared" si="180"/>
        <v>13</v>
      </c>
      <c r="N3855" s="193">
        <f t="shared" si="181"/>
        <v>1.6577540106951871</v>
      </c>
      <c r="O3855" s="194">
        <f t="shared" si="182"/>
        <v>0.12751953928424517</v>
      </c>
    </row>
    <row r="3856" spans="1:15" ht="12.75" customHeight="1">
      <c r="A3856" s="188" t="s">
        <v>620</v>
      </c>
      <c r="B3856" s="188" t="s">
        <v>4996</v>
      </c>
      <c r="C3856" s="188" t="s">
        <v>678</v>
      </c>
      <c r="D3856" s="188" t="s">
        <v>5660</v>
      </c>
      <c r="E3856" s="189">
        <v>39555</v>
      </c>
      <c r="F3856" s="190">
        <v>0</v>
      </c>
      <c r="G3856" s="190">
        <v>101.12</v>
      </c>
      <c r="H3856" s="191">
        <v>2096</v>
      </c>
      <c r="I3856" s="191">
        <v>379.2</v>
      </c>
      <c r="J3856" s="188" t="s">
        <v>624</v>
      </c>
      <c r="K3856" s="188" t="s">
        <v>652</v>
      </c>
      <c r="L3856" s="188" t="s">
        <v>2151</v>
      </c>
      <c r="M3856" s="192">
        <f t="shared" si="180"/>
        <v>13</v>
      </c>
      <c r="N3856" s="193">
        <f t="shared" si="181"/>
        <v>1.6582278481012658</v>
      </c>
      <c r="O3856" s="194">
        <f t="shared" si="182"/>
        <v>0.12755598831548198</v>
      </c>
    </row>
    <row r="3857" spans="1:15" ht="12.75" customHeight="1">
      <c r="A3857" s="188" t="s">
        <v>620</v>
      </c>
      <c r="B3857" s="188" t="s">
        <v>4996</v>
      </c>
      <c r="C3857" s="188" t="s">
        <v>678</v>
      </c>
      <c r="D3857" s="188" t="s">
        <v>5661</v>
      </c>
      <c r="E3857" s="189">
        <v>39282</v>
      </c>
      <c r="F3857" s="190">
        <v>0</v>
      </c>
      <c r="G3857" s="190">
        <v>131.52000000000001</v>
      </c>
      <c r="H3857" s="191">
        <v>2739.07</v>
      </c>
      <c r="I3857" s="191">
        <v>493.2</v>
      </c>
      <c r="J3857" s="188" t="s">
        <v>624</v>
      </c>
      <c r="K3857" s="188" t="s">
        <v>652</v>
      </c>
      <c r="L3857" s="188" t="s">
        <v>1173</v>
      </c>
      <c r="M3857" s="192">
        <f t="shared" si="180"/>
        <v>13</v>
      </c>
      <c r="N3857" s="193">
        <f t="shared" si="181"/>
        <v>1.6661009732360099</v>
      </c>
      <c r="O3857" s="194">
        <f t="shared" si="182"/>
        <v>0.12816161332584691</v>
      </c>
    </row>
    <row r="3858" spans="1:15" ht="12.75" customHeight="1">
      <c r="A3858" s="188" t="s">
        <v>620</v>
      </c>
      <c r="B3858" s="188" t="s">
        <v>4996</v>
      </c>
      <c r="C3858" s="188" t="s">
        <v>678</v>
      </c>
      <c r="D3858" s="188" t="s">
        <v>5662</v>
      </c>
      <c r="E3858" s="189">
        <v>39583</v>
      </c>
      <c r="F3858" s="190">
        <v>0</v>
      </c>
      <c r="G3858" s="190">
        <v>76.8</v>
      </c>
      <c r="H3858" s="191">
        <v>1600</v>
      </c>
      <c r="I3858" s="191">
        <v>288</v>
      </c>
      <c r="J3858" s="188" t="s">
        <v>624</v>
      </c>
      <c r="K3858" s="188" t="s">
        <v>652</v>
      </c>
      <c r="L3858" s="188" t="s">
        <v>1146</v>
      </c>
      <c r="M3858" s="192">
        <f t="shared" si="180"/>
        <v>13</v>
      </c>
      <c r="N3858" s="193">
        <f t="shared" si="181"/>
        <v>1.6666666666666667</v>
      </c>
      <c r="O3858" s="194">
        <f t="shared" si="182"/>
        <v>0.12820512820512822</v>
      </c>
    </row>
    <row r="3859" spans="1:15" ht="12.75" customHeight="1">
      <c r="A3859" s="188" t="s">
        <v>620</v>
      </c>
      <c r="B3859" s="188" t="s">
        <v>4996</v>
      </c>
      <c r="C3859" s="188" t="s">
        <v>678</v>
      </c>
      <c r="D3859" s="188" t="s">
        <v>5663</v>
      </c>
      <c r="E3859" s="189">
        <v>39583</v>
      </c>
      <c r="F3859" s="190">
        <v>0</v>
      </c>
      <c r="G3859" s="190">
        <v>66.959999999999994</v>
      </c>
      <c r="H3859" s="191">
        <v>1396</v>
      </c>
      <c r="I3859" s="191">
        <v>251.1</v>
      </c>
      <c r="J3859" s="188" t="s">
        <v>624</v>
      </c>
      <c r="K3859" s="188" t="s">
        <v>652</v>
      </c>
      <c r="L3859" s="188" t="s">
        <v>1334</v>
      </c>
      <c r="M3859" s="192">
        <f t="shared" si="180"/>
        <v>13</v>
      </c>
      <c r="N3859" s="193">
        <f t="shared" si="181"/>
        <v>1.6678614097968936</v>
      </c>
      <c r="O3859" s="194">
        <f t="shared" si="182"/>
        <v>0.12829703152283797</v>
      </c>
    </row>
    <row r="3860" spans="1:15" ht="12.75" customHeight="1">
      <c r="A3860" s="188" t="s">
        <v>620</v>
      </c>
      <c r="B3860" s="188" t="s">
        <v>4996</v>
      </c>
      <c r="C3860" s="188" t="s">
        <v>678</v>
      </c>
      <c r="D3860" s="188" t="s">
        <v>5664</v>
      </c>
      <c r="E3860" s="189">
        <v>39520</v>
      </c>
      <c r="F3860" s="190">
        <v>0</v>
      </c>
      <c r="G3860" s="190">
        <v>131.76</v>
      </c>
      <c r="H3860" s="191">
        <v>2750</v>
      </c>
      <c r="I3860" s="191">
        <v>494.1</v>
      </c>
      <c r="J3860" s="188" t="s">
        <v>624</v>
      </c>
      <c r="K3860" s="188" t="s">
        <v>652</v>
      </c>
      <c r="L3860" s="188" t="s">
        <v>2838</v>
      </c>
      <c r="M3860" s="192">
        <f t="shared" si="180"/>
        <v>13</v>
      </c>
      <c r="N3860" s="193">
        <f t="shared" si="181"/>
        <v>1.6697024893746206</v>
      </c>
      <c r="O3860" s="194">
        <f t="shared" si="182"/>
        <v>0.12843865302881696</v>
      </c>
    </row>
    <row r="3861" spans="1:15" ht="12.75" customHeight="1">
      <c r="A3861" s="188" t="s">
        <v>620</v>
      </c>
      <c r="B3861" s="188" t="s">
        <v>4996</v>
      </c>
      <c r="C3861" s="188" t="s">
        <v>678</v>
      </c>
      <c r="D3861" s="188" t="s">
        <v>5665</v>
      </c>
      <c r="E3861" s="189">
        <v>39555</v>
      </c>
      <c r="F3861" s="190">
        <v>0</v>
      </c>
      <c r="G3861" s="190">
        <v>61.6</v>
      </c>
      <c r="H3861" s="191">
        <v>1288</v>
      </c>
      <c r="I3861" s="191">
        <v>231</v>
      </c>
      <c r="J3861" s="188" t="s">
        <v>624</v>
      </c>
      <c r="K3861" s="188" t="s">
        <v>652</v>
      </c>
      <c r="L3861" s="188" t="s">
        <v>5626</v>
      </c>
      <c r="M3861" s="192">
        <f t="shared" si="180"/>
        <v>13</v>
      </c>
      <c r="N3861" s="193">
        <f t="shared" si="181"/>
        <v>1.6727272727272726</v>
      </c>
      <c r="O3861" s="194">
        <f t="shared" si="182"/>
        <v>0.12867132867132866</v>
      </c>
    </row>
    <row r="3862" spans="1:15" ht="12.75" customHeight="1">
      <c r="A3862" s="188" t="s">
        <v>620</v>
      </c>
      <c r="B3862" s="188" t="s">
        <v>4996</v>
      </c>
      <c r="C3862" s="188" t="s">
        <v>678</v>
      </c>
      <c r="D3862" s="188" t="s">
        <v>5666</v>
      </c>
      <c r="E3862" s="189">
        <v>39436</v>
      </c>
      <c r="F3862" s="190">
        <v>0</v>
      </c>
      <c r="G3862" s="190">
        <v>147.76</v>
      </c>
      <c r="H3862" s="191">
        <v>1905</v>
      </c>
      <c r="I3862" s="191">
        <v>554.1</v>
      </c>
      <c r="J3862" s="188" t="s">
        <v>624</v>
      </c>
      <c r="K3862" s="188" t="s">
        <v>635</v>
      </c>
      <c r="L3862" s="188" t="s">
        <v>1734</v>
      </c>
      <c r="M3862" s="192">
        <f t="shared" si="180"/>
        <v>8</v>
      </c>
      <c r="N3862" s="193">
        <f t="shared" si="181"/>
        <v>1.0314022739577693</v>
      </c>
      <c r="O3862" s="194">
        <f t="shared" si="182"/>
        <v>0.12892528424472116</v>
      </c>
    </row>
    <row r="3863" spans="1:15" ht="12.75" customHeight="1">
      <c r="A3863" s="188" t="s">
        <v>620</v>
      </c>
      <c r="B3863" s="188" t="s">
        <v>4996</v>
      </c>
      <c r="C3863" s="188" t="s">
        <v>678</v>
      </c>
      <c r="D3863" s="188" t="s">
        <v>5667</v>
      </c>
      <c r="E3863" s="189">
        <v>39534</v>
      </c>
      <c r="F3863" s="190">
        <v>0</v>
      </c>
      <c r="G3863" s="190">
        <v>49.44</v>
      </c>
      <c r="H3863" s="191">
        <v>1040</v>
      </c>
      <c r="I3863" s="191">
        <v>185.4</v>
      </c>
      <c r="J3863" s="188" t="s">
        <v>624</v>
      </c>
      <c r="K3863" s="188" t="s">
        <v>652</v>
      </c>
      <c r="L3863" s="188" t="s">
        <v>4962</v>
      </c>
      <c r="M3863" s="192">
        <f t="shared" si="180"/>
        <v>13</v>
      </c>
      <c r="N3863" s="193">
        <f t="shared" si="181"/>
        <v>1.6828478964401294</v>
      </c>
      <c r="O3863" s="194">
        <f t="shared" si="182"/>
        <v>0.12944983818770225</v>
      </c>
    </row>
    <row r="3864" spans="1:15" ht="12.75" customHeight="1">
      <c r="A3864" s="188" t="s">
        <v>620</v>
      </c>
      <c r="B3864" s="188" t="s">
        <v>4996</v>
      </c>
      <c r="C3864" s="188" t="s">
        <v>678</v>
      </c>
      <c r="D3864" s="188" t="s">
        <v>5668</v>
      </c>
      <c r="E3864" s="189">
        <v>39310</v>
      </c>
      <c r="F3864" s="190">
        <v>0</v>
      </c>
      <c r="G3864" s="190">
        <v>46.72</v>
      </c>
      <c r="H3864" s="191">
        <v>983.98</v>
      </c>
      <c r="I3864" s="191">
        <v>175.2</v>
      </c>
      <c r="J3864" s="188" t="s">
        <v>624</v>
      </c>
      <c r="K3864" s="188" t="s">
        <v>652</v>
      </c>
      <c r="L3864" s="188" t="s">
        <v>2238</v>
      </c>
      <c r="M3864" s="192">
        <f t="shared" si="180"/>
        <v>13</v>
      </c>
      <c r="N3864" s="193">
        <f t="shared" si="181"/>
        <v>1.6848972602739727</v>
      </c>
      <c r="O3864" s="194">
        <f t="shared" si="182"/>
        <v>0.12960748155953636</v>
      </c>
    </row>
    <row r="3865" spans="1:15" ht="12.75" customHeight="1">
      <c r="A3865" s="188" t="s">
        <v>620</v>
      </c>
      <c r="B3865" s="188" t="s">
        <v>4996</v>
      </c>
      <c r="C3865" s="188" t="s">
        <v>678</v>
      </c>
      <c r="D3865" s="188" t="s">
        <v>5669</v>
      </c>
      <c r="E3865" s="189">
        <v>39416</v>
      </c>
      <c r="F3865" s="190">
        <v>0</v>
      </c>
      <c r="G3865" s="190">
        <v>112</v>
      </c>
      <c r="H3865" s="191">
        <v>2735</v>
      </c>
      <c r="I3865" s="191">
        <v>420</v>
      </c>
      <c r="J3865" s="188" t="s">
        <v>624</v>
      </c>
      <c r="K3865" s="188" t="s">
        <v>571</v>
      </c>
      <c r="L3865" s="188" t="s">
        <v>754</v>
      </c>
      <c r="M3865" s="192">
        <f t="shared" si="180"/>
        <v>15</v>
      </c>
      <c r="N3865" s="193">
        <f t="shared" si="181"/>
        <v>1.9535714285714285</v>
      </c>
      <c r="O3865" s="194">
        <f t="shared" si="182"/>
        <v>0.13023809523809524</v>
      </c>
    </row>
    <row r="3866" spans="1:15" ht="12.75" customHeight="1">
      <c r="A3866" s="188" t="s">
        <v>620</v>
      </c>
      <c r="B3866" s="188" t="s">
        <v>4996</v>
      </c>
      <c r="C3866" s="188" t="s">
        <v>678</v>
      </c>
      <c r="D3866" s="188" t="s">
        <v>5670</v>
      </c>
      <c r="E3866" s="189">
        <v>39395</v>
      </c>
      <c r="F3866" s="190">
        <v>0</v>
      </c>
      <c r="G3866" s="190">
        <v>76.56</v>
      </c>
      <c r="H3866" s="191">
        <v>1625</v>
      </c>
      <c r="I3866" s="191">
        <v>287.10000000000002</v>
      </c>
      <c r="J3866" s="188" t="s">
        <v>624</v>
      </c>
      <c r="K3866" s="188" t="s">
        <v>652</v>
      </c>
      <c r="L3866" s="188" t="s">
        <v>5671</v>
      </c>
      <c r="M3866" s="192">
        <f t="shared" si="180"/>
        <v>13</v>
      </c>
      <c r="N3866" s="193">
        <f t="shared" si="181"/>
        <v>1.6980146290491118</v>
      </c>
      <c r="O3866" s="194">
        <f t="shared" si="182"/>
        <v>0.13061650992685475</v>
      </c>
    </row>
    <row r="3867" spans="1:15" ht="12.75" customHeight="1">
      <c r="A3867" s="188" t="s">
        <v>620</v>
      </c>
      <c r="B3867" s="188" t="s">
        <v>4996</v>
      </c>
      <c r="C3867" s="188" t="s">
        <v>678</v>
      </c>
      <c r="D3867" s="188" t="s">
        <v>5672</v>
      </c>
      <c r="E3867" s="189">
        <v>39492</v>
      </c>
      <c r="F3867" s="190">
        <v>0</v>
      </c>
      <c r="G3867" s="190">
        <v>72.8</v>
      </c>
      <c r="H3867" s="191">
        <v>1550</v>
      </c>
      <c r="I3867" s="191">
        <v>273</v>
      </c>
      <c r="J3867" s="188" t="s">
        <v>624</v>
      </c>
      <c r="K3867" s="188" t="s">
        <v>652</v>
      </c>
      <c r="L3867" s="188" t="s">
        <v>1518</v>
      </c>
      <c r="M3867" s="192">
        <f t="shared" si="180"/>
        <v>13</v>
      </c>
      <c r="N3867" s="193">
        <f t="shared" si="181"/>
        <v>1.7032967032967032</v>
      </c>
      <c r="O3867" s="194">
        <f t="shared" si="182"/>
        <v>0.13102282333051563</v>
      </c>
    </row>
    <row r="3868" spans="1:15" ht="12.75" customHeight="1">
      <c r="A3868" s="188" t="s">
        <v>620</v>
      </c>
      <c r="B3868" s="188" t="s">
        <v>4996</v>
      </c>
      <c r="C3868" s="188" t="s">
        <v>678</v>
      </c>
      <c r="D3868" s="188" t="s">
        <v>5673</v>
      </c>
      <c r="E3868" s="189">
        <v>39261</v>
      </c>
      <c r="F3868" s="190">
        <v>0</v>
      </c>
      <c r="G3868" s="190">
        <v>63.2</v>
      </c>
      <c r="H3868" s="191">
        <v>1347.98</v>
      </c>
      <c r="I3868" s="191">
        <v>237</v>
      </c>
      <c r="J3868" s="188" t="s">
        <v>624</v>
      </c>
      <c r="K3868" s="188" t="s">
        <v>652</v>
      </c>
      <c r="L3868" s="188" t="s">
        <v>335</v>
      </c>
      <c r="M3868" s="192">
        <f t="shared" si="180"/>
        <v>13</v>
      </c>
      <c r="N3868" s="193">
        <f t="shared" si="181"/>
        <v>1.7063037974683544</v>
      </c>
      <c r="O3868" s="194">
        <f t="shared" si="182"/>
        <v>0.13125413826679649</v>
      </c>
    </row>
    <row r="3869" spans="1:15" ht="12.75" customHeight="1">
      <c r="A3869" s="188" t="s">
        <v>620</v>
      </c>
      <c r="B3869" s="188" t="s">
        <v>4996</v>
      </c>
      <c r="C3869" s="188" t="s">
        <v>678</v>
      </c>
      <c r="D3869" s="188" t="s">
        <v>5674</v>
      </c>
      <c r="E3869" s="189">
        <v>39548</v>
      </c>
      <c r="F3869" s="190">
        <v>0</v>
      </c>
      <c r="G3869" s="190">
        <v>130.24</v>
      </c>
      <c r="H3869" s="191">
        <v>2785</v>
      </c>
      <c r="I3869" s="191">
        <v>488.4</v>
      </c>
      <c r="J3869" s="188" t="s">
        <v>624</v>
      </c>
      <c r="K3869" s="188" t="s">
        <v>652</v>
      </c>
      <c r="L3869" s="188" t="s">
        <v>827</v>
      </c>
      <c r="M3869" s="192">
        <f t="shared" si="180"/>
        <v>13</v>
      </c>
      <c r="N3869" s="193">
        <f t="shared" si="181"/>
        <v>1.7106879606879606</v>
      </c>
      <c r="O3869" s="194">
        <f t="shared" si="182"/>
        <v>0.13159138159138159</v>
      </c>
    </row>
    <row r="3870" spans="1:15" ht="12.75" customHeight="1">
      <c r="A3870" s="188" t="s">
        <v>620</v>
      </c>
      <c r="B3870" s="188" t="s">
        <v>4996</v>
      </c>
      <c r="C3870" s="188" t="s">
        <v>678</v>
      </c>
      <c r="D3870" s="188" t="s">
        <v>5675</v>
      </c>
      <c r="E3870" s="189">
        <v>39395</v>
      </c>
      <c r="F3870" s="190">
        <v>0</v>
      </c>
      <c r="G3870" s="190">
        <v>43.6</v>
      </c>
      <c r="H3870" s="191">
        <v>1080</v>
      </c>
      <c r="I3870" s="191">
        <v>163.5</v>
      </c>
      <c r="J3870" s="188" t="s">
        <v>624</v>
      </c>
      <c r="K3870" s="188" t="s">
        <v>571</v>
      </c>
      <c r="L3870" s="188" t="s">
        <v>5676</v>
      </c>
      <c r="M3870" s="192">
        <f t="shared" si="180"/>
        <v>15</v>
      </c>
      <c r="N3870" s="193">
        <f t="shared" si="181"/>
        <v>1.9816513761467891</v>
      </c>
      <c r="O3870" s="194">
        <f t="shared" si="182"/>
        <v>0.13211009174311927</v>
      </c>
    </row>
    <row r="3871" spans="1:15" ht="12.75" customHeight="1">
      <c r="A3871" s="188" t="s">
        <v>620</v>
      </c>
      <c r="B3871" s="188" t="s">
        <v>4996</v>
      </c>
      <c r="C3871" s="188" t="s">
        <v>678</v>
      </c>
      <c r="D3871" s="188" t="s">
        <v>5677</v>
      </c>
      <c r="E3871" s="189">
        <v>39407</v>
      </c>
      <c r="F3871" s="190">
        <v>0</v>
      </c>
      <c r="G3871" s="190">
        <v>80.72</v>
      </c>
      <c r="H3871" s="191">
        <v>1737</v>
      </c>
      <c r="I3871" s="191">
        <v>302.7</v>
      </c>
      <c r="J3871" s="188" t="s">
        <v>624</v>
      </c>
      <c r="K3871" s="188" t="s">
        <v>652</v>
      </c>
      <c r="L3871" s="188" t="s">
        <v>5678</v>
      </c>
      <c r="M3871" s="192">
        <f t="shared" si="180"/>
        <v>13</v>
      </c>
      <c r="N3871" s="193">
        <f t="shared" si="181"/>
        <v>1.7215064420218038</v>
      </c>
      <c r="O3871" s="194">
        <f t="shared" si="182"/>
        <v>0.13242357246321568</v>
      </c>
    </row>
    <row r="3872" spans="1:15" ht="12.75" customHeight="1">
      <c r="A3872" s="188" t="s">
        <v>620</v>
      </c>
      <c r="B3872" s="188" t="s">
        <v>4996</v>
      </c>
      <c r="C3872" s="188" t="s">
        <v>678</v>
      </c>
      <c r="D3872" s="188" t="s">
        <v>5679</v>
      </c>
      <c r="E3872" s="189">
        <v>39212</v>
      </c>
      <c r="F3872" s="190">
        <v>0</v>
      </c>
      <c r="G3872" s="190">
        <v>127.52</v>
      </c>
      <c r="H3872" s="191">
        <v>2757.62</v>
      </c>
      <c r="I3872" s="191">
        <v>478.2</v>
      </c>
      <c r="J3872" s="188" t="s">
        <v>624</v>
      </c>
      <c r="K3872" s="188" t="s">
        <v>652</v>
      </c>
      <c r="L3872" s="188" t="s">
        <v>1864</v>
      </c>
      <c r="M3872" s="192">
        <f t="shared" si="180"/>
        <v>13</v>
      </c>
      <c r="N3872" s="193">
        <f t="shared" si="181"/>
        <v>1.73</v>
      </c>
      <c r="O3872" s="194">
        <f t="shared" si="182"/>
        <v>0.13307692307692306</v>
      </c>
    </row>
    <row r="3873" spans="1:15" ht="12.75" customHeight="1">
      <c r="A3873" s="188" t="s">
        <v>620</v>
      </c>
      <c r="B3873" s="188" t="s">
        <v>4996</v>
      </c>
      <c r="C3873" s="188" t="s">
        <v>678</v>
      </c>
      <c r="D3873" s="188" t="s">
        <v>5680</v>
      </c>
      <c r="E3873" s="189">
        <v>39429</v>
      </c>
      <c r="F3873" s="190">
        <v>0</v>
      </c>
      <c r="G3873" s="190">
        <v>37.6</v>
      </c>
      <c r="H3873" s="191">
        <v>695</v>
      </c>
      <c r="I3873" s="191">
        <v>141</v>
      </c>
      <c r="J3873" s="188" t="s">
        <v>624</v>
      </c>
      <c r="K3873" s="188" t="s">
        <v>639</v>
      </c>
      <c r="L3873" s="188" t="s">
        <v>5064</v>
      </c>
      <c r="M3873" s="192">
        <f t="shared" si="180"/>
        <v>11</v>
      </c>
      <c r="N3873" s="193">
        <f t="shared" si="181"/>
        <v>1.4787234042553192</v>
      </c>
      <c r="O3873" s="194">
        <f t="shared" si="182"/>
        <v>0.1344294003868472</v>
      </c>
    </row>
    <row r="3874" spans="1:15" ht="12.75" customHeight="1">
      <c r="A3874" s="188" t="s">
        <v>620</v>
      </c>
      <c r="B3874" s="188" t="s">
        <v>4996</v>
      </c>
      <c r="C3874" s="188" t="s">
        <v>678</v>
      </c>
      <c r="D3874" s="188" t="s">
        <v>5681</v>
      </c>
      <c r="E3874" s="189">
        <v>39240</v>
      </c>
      <c r="F3874" s="190">
        <v>0</v>
      </c>
      <c r="G3874" s="190">
        <v>131.76</v>
      </c>
      <c r="H3874" s="191">
        <v>2882.25</v>
      </c>
      <c r="I3874" s="191">
        <v>494.1</v>
      </c>
      <c r="J3874" s="188" t="s">
        <v>624</v>
      </c>
      <c r="K3874" s="188" t="s">
        <v>652</v>
      </c>
      <c r="L3874" s="188" t="s">
        <v>2838</v>
      </c>
      <c r="M3874" s="192">
        <f t="shared" si="180"/>
        <v>13</v>
      </c>
      <c r="N3874" s="193">
        <f t="shared" si="181"/>
        <v>1.75</v>
      </c>
      <c r="O3874" s="194">
        <f t="shared" si="182"/>
        <v>0.13461538461538461</v>
      </c>
    </row>
    <row r="3875" spans="1:15" ht="12.75" customHeight="1">
      <c r="A3875" s="188" t="s">
        <v>620</v>
      </c>
      <c r="B3875" s="188" t="s">
        <v>4996</v>
      </c>
      <c r="C3875" s="188" t="s">
        <v>678</v>
      </c>
      <c r="D3875" s="188" t="s">
        <v>5682</v>
      </c>
      <c r="E3875" s="189">
        <v>39401</v>
      </c>
      <c r="F3875" s="190">
        <v>0</v>
      </c>
      <c r="G3875" s="190">
        <v>90.88</v>
      </c>
      <c r="H3875" s="191">
        <v>1988</v>
      </c>
      <c r="I3875" s="191">
        <v>340.8</v>
      </c>
      <c r="J3875" s="188" t="s">
        <v>624</v>
      </c>
      <c r="K3875" s="188" t="s">
        <v>652</v>
      </c>
      <c r="L3875" s="188" t="s">
        <v>899</v>
      </c>
      <c r="M3875" s="192">
        <f t="shared" si="180"/>
        <v>13</v>
      </c>
      <c r="N3875" s="193">
        <f t="shared" si="181"/>
        <v>1.75</v>
      </c>
      <c r="O3875" s="194">
        <f t="shared" si="182"/>
        <v>0.13461538461538461</v>
      </c>
    </row>
    <row r="3876" spans="1:15" ht="12.75" customHeight="1">
      <c r="A3876" s="188" t="s">
        <v>620</v>
      </c>
      <c r="B3876" s="188" t="s">
        <v>4996</v>
      </c>
      <c r="C3876" s="188" t="s">
        <v>678</v>
      </c>
      <c r="D3876" s="188" t="s">
        <v>5683</v>
      </c>
      <c r="E3876" s="189">
        <v>39541</v>
      </c>
      <c r="F3876" s="190">
        <v>0</v>
      </c>
      <c r="G3876" s="190">
        <v>76</v>
      </c>
      <c r="H3876" s="191">
        <v>1663</v>
      </c>
      <c r="I3876" s="191">
        <v>285</v>
      </c>
      <c r="J3876" s="188" t="s">
        <v>624</v>
      </c>
      <c r="K3876" s="188" t="s">
        <v>652</v>
      </c>
      <c r="L3876" s="188" t="s">
        <v>1164</v>
      </c>
      <c r="M3876" s="192">
        <f t="shared" si="180"/>
        <v>13</v>
      </c>
      <c r="N3876" s="193">
        <f t="shared" si="181"/>
        <v>1.7505263157894737</v>
      </c>
      <c r="O3876" s="194">
        <f t="shared" si="182"/>
        <v>0.13465587044534413</v>
      </c>
    </row>
    <row r="3877" spans="1:15" ht="12.75" customHeight="1">
      <c r="A3877" s="188" t="s">
        <v>620</v>
      </c>
      <c r="B3877" s="188" t="s">
        <v>4996</v>
      </c>
      <c r="C3877" s="188" t="s">
        <v>678</v>
      </c>
      <c r="D3877" s="188" t="s">
        <v>5684</v>
      </c>
      <c r="E3877" s="189">
        <v>39387</v>
      </c>
      <c r="F3877" s="190">
        <v>0</v>
      </c>
      <c r="G3877" s="190">
        <v>70</v>
      </c>
      <c r="H3877" s="191">
        <v>1532</v>
      </c>
      <c r="I3877" s="191">
        <v>262.5</v>
      </c>
      <c r="J3877" s="188" t="s">
        <v>624</v>
      </c>
      <c r="K3877" s="188" t="s">
        <v>652</v>
      </c>
      <c r="L3877" s="188" t="s">
        <v>1511</v>
      </c>
      <c r="M3877" s="192">
        <f t="shared" si="180"/>
        <v>13</v>
      </c>
      <c r="N3877" s="193">
        <f t="shared" si="181"/>
        <v>1.7508571428571429</v>
      </c>
      <c r="O3877" s="194">
        <f t="shared" si="182"/>
        <v>0.13468131868131869</v>
      </c>
    </row>
    <row r="3878" spans="1:15" ht="12.75" customHeight="1">
      <c r="A3878" s="188" t="s">
        <v>620</v>
      </c>
      <c r="B3878" s="188" t="s">
        <v>4996</v>
      </c>
      <c r="C3878" s="188" t="s">
        <v>678</v>
      </c>
      <c r="D3878" s="188" t="s">
        <v>5685</v>
      </c>
      <c r="E3878" s="189">
        <v>39611</v>
      </c>
      <c r="F3878" s="190">
        <v>0</v>
      </c>
      <c r="G3878" s="190">
        <v>96</v>
      </c>
      <c r="H3878" s="191">
        <v>1780</v>
      </c>
      <c r="I3878" s="191">
        <v>360</v>
      </c>
      <c r="J3878" s="188" t="s">
        <v>624</v>
      </c>
      <c r="K3878" s="188" t="s">
        <v>639</v>
      </c>
      <c r="L3878" s="188" t="s">
        <v>632</v>
      </c>
      <c r="M3878" s="192">
        <f t="shared" si="180"/>
        <v>11</v>
      </c>
      <c r="N3878" s="193">
        <f t="shared" si="181"/>
        <v>1.4833333333333334</v>
      </c>
      <c r="O3878" s="194">
        <f t="shared" si="182"/>
        <v>0.13484848484848486</v>
      </c>
    </row>
    <row r="3879" spans="1:15" ht="12.75" customHeight="1">
      <c r="A3879" s="188" t="s">
        <v>620</v>
      </c>
      <c r="B3879" s="188" t="s">
        <v>4996</v>
      </c>
      <c r="C3879" s="188" t="s">
        <v>678</v>
      </c>
      <c r="D3879" s="188" t="s">
        <v>5686</v>
      </c>
      <c r="E3879" s="189">
        <v>39395</v>
      </c>
      <c r="F3879" s="190">
        <v>0</v>
      </c>
      <c r="G3879" s="190">
        <v>12</v>
      </c>
      <c r="H3879" s="191">
        <v>263</v>
      </c>
      <c r="I3879" s="191">
        <v>45</v>
      </c>
      <c r="J3879" s="188" t="s">
        <v>624</v>
      </c>
      <c r="K3879" s="188" t="s">
        <v>652</v>
      </c>
      <c r="L3879" s="188" t="s">
        <v>3950</v>
      </c>
      <c r="M3879" s="192">
        <f t="shared" si="180"/>
        <v>13</v>
      </c>
      <c r="N3879" s="193">
        <f t="shared" si="181"/>
        <v>1.7533333333333334</v>
      </c>
      <c r="O3879" s="194">
        <f t="shared" si="182"/>
        <v>0.13487179487179488</v>
      </c>
    </row>
    <row r="3880" spans="1:15" ht="12.75" customHeight="1">
      <c r="A3880" s="188" t="s">
        <v>620</v>
      </c>
      <c r="B3880" s="188" t="s">
        <v>4996</v>
      </c>
      <c r="C3880" s="188" t="s">
        <v>678</v>
      </c>
      <c r="D3880" s="188" t="s">
        <v>5687</v>
      </c>
      <c r="E3880" s="189">
        <v>39247</v>
      </c>
      <c r="F3880" s="190">
        <v>0</v>
      </c>
      <c r="G3880" s="190">
        <v>75.52</v>
      </c>
      <c r="H3880" s="191">
        <v>1687.02</v>
      </c>
      <c r="I3880" s="191">
        <v>283.2</v>
      </c>
      <c r="J3880" s="188" t="s">
        <v>624</v>
      </c>
      <c r="K3880" s="188" t="s">
        <v>652</v>
      </c>
      <c r="L3880" s="188" t="s">
        <v>527</v>
      </c>
      <c r="M3880" s="192">
        <f t="shared" si="180"/>
        <v>13</v>
      </c>
      <c r="N3880" s="193">
        <f t="shared" si="181"/>
        <v>1.7870974576271186</v>
      </c>
      <c r="O3880" s="194">
        <f t="shared" si="182"/>
        <v>0.13746903520208603</v>
      </c>
    </row>
    <row r="3881" spans="1:15" ht="12.75" customHeight="1">
      <c r="A3881" s="188" t="s">
        <v>620</v>
      </c>
      <c r="B3881" s="188" t="s">
        <v>4996</v>
      </c>
      <c r="C3881" s="188" t="s">
        <v>678</v>
      </c>
      <c r="D3881" s="188" t="s">
        <v>5688</v>
      </c>
      <c r="E3881" s="189">
        <v>39447</v>
      </c>
      <c r="F3881" s="190">
        <v>0</v>
      </c>
      <c r="G3881" s="190">
        <v>53.12</v>
      </c>
      <c r="H3881" s="191">
        <v>1187</v>
      </c>
      <c r="I3881" s="191">
        <v>199.2</v>
      </c>
      <c r="J3881" s="188" t="s">
        <v>624</v>
      </c>
      <c r="K3881" s="188" t="s">
        <v>652</v>
      </c>
      <c r="L3881" s="188" t="s">
        <v>5689</v>
      </c>
      <c r="M3881" s="192">
        <f t="shared" si="180"/>
        <v>13</v>
      </c>
      <c r="N3881" s="193">
        <f t="shared" si="181"/>
        <v>1.7876506024096386</v>
      </c>
      <c r="O3881" s="194">
        <f t="shared" si="182"/>
        <v>0.13751158480074144</v>
      </c>
    </row>
    <row r="3882" spans="1:15" ht="12.75" customHeight="1">
      <c r="A3882" s="188" t="s">
        <v>620</v>
      </c>
      <c r="B3882" s="188" t="s">
        <v>4996</v>
      </c>
      <c r="C3882" s="188" t="s">
        <v>678</v>
      </c>
      <c r="D3882" s="188" t="s">
        <v>5690</v>
      </c>
      <c r="E3882" s="189">
        <v>39339</v>
      </c>
      <c r="F3882" s="190">
        <v>0</v>
      </c>
      <c r="G3882" s="190">
        <v>134.96</v>
      </c>
      <c r="H3882" s="191">
        <v>3037</v>
      </c>
      <c r="I3882" s="191">
        <v>506.1</v>
      </c>
      <c r="J3882" s="188" t="s">
        <v>624</v>
      </c>
      <c r="K3882" s="188" t="s">
        <v>652</v>
      </c>
      <c r="L3882" s="188" t="s">
        <v>5691</v>
      </c>
      <c r="M3882" s="192">
        <f t="shared" si="180"/>
        <v>13</v>
      </c>
      <c r="N3882" s="193">
        <f t="shared" si="181"/>
        <v>1.8002371072910492</v>
      </c>
      <c r="O3882" s="194">
        <f t="shared" si="182"/>
        <v>0.13847977748392687</v>
      </c>
    </row>
    <row r="3883" spans="1:15" ht="12.75" customHeight="1">
      <c r="A3883" s="188" t="s">
        <v>620</v>
      </c>
      <c r="B3883" s="188" t="s">
        <v>4996</v>
      </c>
      <c r="C3883" s="188" t="s">
        <v>678</v>
      </c>
      <c r="D3883" s="188" t="s">
        <v>5692</v>
      </c>
      <c r="E3883" s="189">
        <v>39407</v>
      </c>
      <c r="F3883" s="190">
        <v>0</v>
      </c>
      <c r="G3883" s="190">
        <v>9.44</v>
      </c>
      <c r="H3883" s="191">
        <v>339</v>
      </c>
      <c r="I3883" s="191">
        <v>35.4</v>
      </c>
      <c r="J3883" s="188" t="s">
        <v>624</v>
      </c>
      <c r="K3883" s="188" t="s">
        <v>652</v>
      </c>
      <c r="L3883" s="188" t="s">
        <v>3109</v>
      </c>
      <c r="M3883" s="192">
        <f t="shared" si="180"/>
        <v>13</v>
      </c>
      <c r="N3883" s="193">
        <f t="shared" si="181"/>
        <v>1.803191489361702</v>
      </c>
      <c r="O3883" s="194">
        <f t="shared" si="182"/>
        <v>0.13870703764320785</v>
      </c>
    </row>
    <row r="3884" spans="1:15" ht="12.75" customHeight="1">
      <c r="A3884" s="188" t="s">
        <v>620</v>
      </c>
      <c r="B3884" s="188" t="s">
        <v>4996</v>
      </c>
      <c r="C3884" s="188" t="s">
        <v>678</v>
      </c>
      <c r="D3884" s="188" t="s">
        <v>5693</v>
      </c>
      <c r="E3884" s="189">
        <v>39604</v>
      </c>
      <c r="F3884" s="190">
        <v>0</v>
      </c>
      <c r="G3884" s="190">
        <v>68</v>
      </c>
      <c r="H3884" s="191">
        <v>1533.14</v>
      </c>
      <c r="I3884" s="191">
        <v>255</v>
      </c>
      <c r="J3884" s="188" t="s">
        <v>624</v>
      </c>
      <c r="K3884" s="188" t="s">
        <v>652</v>
      </c>
      <c r="L3884" s="188" t="s">
        <v>1170</v>
      </c>
      <c r="M3884" s="192">
        <f t="shared" si="180"/>
        <v>13</v>
      </c>
      <c r="N3884" s="193">
        <f t="shared" si="181"/>
        <v>1.8036941176470589</v>
      </c>
      <c r="O3884" s="194">
        <f t="shared" si="182"/>
        <v>0.13874570135746606</v>
      </c>
    </row>
    <row r="3885" spans="1:15" ht="12.75" customHeight="1">
      <c r="A3885" s="188" t="s">
        <v>620</v>
      </c>
      <c r="B3885" s="188" t="s">
        <v>4996</v>
      </c>
      <c r="C3885" s="188" t="s">
        <v>678</v>
      </c>
      <c r="D3885" s="188" t="s">
        <v>5694</v>
      </c>
      <c r="E3885" s="189">
        <v>39576</v>
      </c>
      <c r="F3885" s="190">
        <v>0</v>
      </c>
      <c r="G3885" s="190">
        <v>62.16</v>
      </c>
      <c r="H3885" s="191">
        <v>1404</v>
      </c>
      <c r="I3885" s="191">
        <v>233.1</v>
      </c>
      <c r="J3885" s="188" t="s">
        <v>624</v>
      </c>
      <c r="K3885" s="188" t="s">
        <v>652</v>
      </c>
      <c r="L3885" s="188" t="s">
        <v>4942</v>
      </c>
      <c r="M3885" s="192">
        <f t="shared" si="180"/>
        <v>13</v>
      </c>
      <c r="N3885" s="193">
        <f t="shared" si="181"/>
        <v>1.8069498069498069</v>
      </c>
      <c r="O3885" s="194">
        <f t="shared" si="182"/>
        <v>0.138996138996139</v>
      </c>
    </row>
    <row r="3886" spans="1:15" ht="12.75" customHeight="1">
      <c r="A3886" s="188" t="s">
        <v>620</v>
      </c>
      <c r="B3886" s="188" t="s">
        <v>4996</v>
      </c>
      <c r="C3886" s="188" t="s">
        <v>678</v>
      </c>
      <c r="D3886" s="188" t="s">
        <v>5695</v>
      </c>
      <c r="E3886" s="189">
        <v>39513</v>
      </c>
      <c r="F3886" s="190">
        <v>0</v>
      </c>
      <c r="G3886" s="190">
        <v>86.32</v>
      </c>
      <c r="H3886" s="191">
        <v>1950</v>
      </c>
      <c r="I3886" s="191">
        <v>323.7</v>
      </c>
      <c r="J3886" s="188" t="s">
        <v>624</v>
      </c>
      <c r="K3886" s="188" t="s">
        <v>652</v>
      </c>
      <c r="L3886" s="188" t="s">
        <v>4685</v>
      </c>
      <c r="M3886" s="192">
        <f t="shared" si="180"/>
        <v>13</v>
      </c>
      <c r="N3886" s="193">
        <f t="shared" si="181"/>
        <v>1.8072289156626506</v>
      </c>
      <c r="O3886" s="194">
        <f t="shared" si="182"/>
        <v>0.13901760889712697</v>
      </c>
    </row>
    <row r="3887" spans="1:15" ht="12.75" customHeight="1">
      <c r="A3887" s="188" t="s">
        <v>620</v>
      </c>
      <c r="B3887" s="188" t="s">
        <v>4996</v>
      </c>
      <c r="C3887" s="188" t="s">
        <v>678</v>
      </c>
      <c r="D3887" s="188" t="s">
        <v>5696</v>
      </c>
      <c r="E3887" s="189">
        <v>39366</v>
      </c>
      <c r="F3887" s="190">
        <v>0</v>
      </c>
      <c r="G3887" s="190">
        <v>10.4</v>
      </c>
      <c r="H3887" s="191">
        <v>200</v>
      </c>
      <c r="I3887" s="191">
        <v>39</v>
      </c>
      <c r="J3887" s="188" t="s">
        <v>624</v>
      </c>
      <c r="K3887" s="188" t="s">
        <v>639</v>
      </c>
      <c r="L3887" s="188" t="s">
        <v>5697</v>
      </c>
      <c r="M3887" s="192">
        <f t="shared" si="180"/>
        <v>11</v>
      </c>
      <c r="N3887" s="193">
        <f t="shared" si="181"/>
        <v>1.5384615384615385</v>
      </c>
      <c r="O3887" s="194">
        <f t="shared" si="182"/>
        <v>0.13986013986013987</v>
      </c>
    </row>
    <row r="3888" spans="1:15" ht="12.75" customHeight="1">
      <c r="A3888" s="188" t="s">
        <v>620</v>
      </c>
      <c r="B3888" s="188" t="s">
        <v>4996</v>
      </c>
      <c r="C3888" s="188" t="s">
        <v>678</v>
      </c>
      <c r="D3888" s="188" t="s">
        <v>5698</v>
      </c>
      <c r="E3888" s="189">
        <v>39395</v>
      </c>
      <c r="F3888" s="190">
        <v>0</v>
      </c>
      <c r="G3888" s="190">
        <v>105.28</v>
      </c>
      <c r="H3888" s="191">
        <v>2396</v>
      </c>
      <c r="I3888" s="191">
        <v>394.8</v>
      </c>
      <c r="J3888" s="188" t="s">
        <v>624</v>
      </c>
      <c r="K3888" s="188" t="s">
        <v>652</v>
      </c>
      <c r="L3888" s="188" t="s">
        <v>918</v>
      </c>
      <c r="M3888" s="192">
        <f t="shared" si="180"/>
        <v>13</v>
      </c>
      <c r="N3888" s="193">
        <f t="shared" si="181"/>
        <v>1.8206686930091185</v>
      </c>
      <c r="O3888" s="194">
        <f t="shared" si="182"/>
        <v>0.14005143792377833</v>
      </c>
    </row>
    <row r="3889" spans="1:15" ht="12.75" customHeight="1">
      <c r="A3889" s="188" t="s">
        <v>620</v>
      </c>
      <c r="B3889" s="188" t="s">
        <v>4996</v>
      </c>
      <c r="C3889" s="188" t="s">
        <v>678</v>
      </c>
      <c r="D3889" s="188" t="s">
        <v>5699</v>
      </c>
      <c r="E3889" s="189">
        <v>39447</v>
      </c>
      <c r="F3889" s="190">
        <v>0</v>
      </c>
      <c r="G3889" s="190">
        <v>39.36</v>
      </c>
      <c r="H3889" s="191">
        <v>896</v>
      </c>
      <c r="I3889" s="191">
        <v>147.6</v>
      </c>
      <c r="J3889" s="188" t="s">
        <v>624</v>
      </c>
      <c r="K3889" s="188" t="s">
        <v>652</v>
      </c>
      <c r="L3889" s="188" t="s">
        <v>332</v>
      </c>
      <c r="M3889" s="192">
        <f t="shared" si="180"/>
        <v>13</v>
      </c>
      <c r="N3889" s="193">
        <f t="shared" si="181"/>
        <v>1.8211382113821137</v>
      </c>
      <c r="O3889" s="194">
        <f t="shared" si="182"/>
        <v>0.14008755472170106</v>
      </c>
    </row>
    <row r="3890" spans="1:15" ht="12.75" customHeight="1">
      <c r="A3890" s="188" t="s">
        <v>620</v>
      </c>
      <c r="B3890" s="188" t="s">
        <v>4996</v>
      </c>
      <c r="C3890" s="188" t="s">
        <v>678</v>
      </c>
      <c r="D3890" s="188" t="s">
        <v>5700</v>
      </c>
      <c r="E3890" s="189">
        <v>39415</v>
      </c>
      <c r="F3890" s="190">
        <v>0</v>
      </c>
      <c r="G3890" s="190">
        <v>48</v>
      </c>
      <c r="H3890" s="191">
        <v>1275</v>
      </c>
      <c r="I3890" s="191">
        <v>180</v>
      </c>
      <c r="J3890" s="188" t="s">
        <v>624</v>
      </c>
      <c r="K3890" s="188" t="s">
        <v>571</v>
      </c>
      <c r="L3890" s="188" t="s">
        <v>677</v>
      </c>
      <c r="M3890" s="192">
        <f t="shared" si="180"/>
        <v>15</v>
      </c>
      <c r="N3890" s="193">
        <f t="shared" si="181"/>
        <v>2.125</v>
      </c>
      <c r="O3890" s="194">
        <f t="shared" si="182"/>
        <v>0.14166666666666666</v>
      </c>
    </row>
    <row r="3891" spans="1:15" ht="12.75" customHeight="1">
      <c r="A3891" s="188" t="s">
        <v>620</v>
      </c>
      <c r="B3891" s="188" t="s">
        <v>4996</v>
      </c>
      <c r="C3891" s="188" t="s">
        <v>678</v>
      </c>
      <c r="D3891" s="188" t="s">
        <v>5701</v>
      </c>
      <c r="E3891" s="189">
        <v>39447</v>
      </c>
      <c r="F3891" s="190">
        <v>0</v>
      </c>
      <c r="G3891" s="190">
        <v>65.2</v>
      </c>
      <c r="H3891" s="191">
        <v>1507</v>
      </c>
      <c r="I3891" s="191">
        <v>244.5</v>
      </c>
      <c r="J3891" s="188" t="s">
        <v>624</v>
      </c>
      <c r="K3891" s="188" t="s">
        <v>652</v>
      </c>
      <c r="L3891" s="188" t="s">
        <v>3041</v>
      </c>
      <c r="M3891" s="192">
        <f t="shared" si="180"/>
        <v>13</v>
      </c>
      <c r="N3891" s="193">
        <f t="shared" si="181"/>
        <v>1.849079754601227</v>
      </c>
      <c r="O3891" s="194">
        <f t="shared" si="182"/>
        <v>0.14223690420009438</v>
      </c>
    </row>
    <row r="3892" spans="1:15" ht="12.75" customHeight="1">
      <c r="A3892" s="188" t="s">
        <v>620</v>
      </c>
      <c r="B3892" s="188" t="s">
        <v>4996</v>
      </c>
      <c r="C3892" s="188" t="s">
        <v>678</v>
      </c>
      <c r="D3892" s="188" t="s">
        <v>5702</v>
      </c>
      <c r="E3892" s="189">
        <v>39436</v>
      </c>
      <c r="F3892" s="190">
        <v>0</v>
      </c>
      <c r="G3892" s="190">
        <v>80</v>
      </c>
      <c r="H3892" s="191">
        <v>1850</v>
      </c>
      <c r="I3892" s="191">
        <v>300</v>
      </c>
      <c r="J3892" s="188" t="s">
        <v>624</v>
      </c>
      <c r="K3892" s="188" t="s">
        <v>652</v>
      </c>
      <c r="L3892" s="188" t="s">
        <v>636</v>
      </c>
      <c r="M3892" s="192">
        <f t="shared" si="180"/>
        <v>13</v>
      </c>
      <c r="N3892" s="193">
        <f t="shared" si="181"/>
        <v>1.85</v>
      </c>
      <c r="O3892" s="194">
        <f t="shared" si="182"/>
        <v>0.1423076923076923</v>
      </c>
    </row>
    <row r="3893" spans="1:15" ht="12.75" customHeight="1">
      <c r="A3893" s="188" t="s">
        <v>620</v>
      </c>
      <c r="B3893" s="188" t="s">
        <v>4996</v>
      </c>
      <c r="C3893" s="188" t="s">
        <v>678</v>
      </c>
      <c r="D3893" s="188" t="s">
        <v>5703</v>
      </c>
      <c r="E3893" s="189">
        <v>39562</v>
      </c>
      <c r="F3893" s="190">
        <v>0</v>
      </c>
      <c r="G3893" s="190">
        <v>140.4</v>
      </c>
      <c r="H3893" s="191">
        <v>3251</v>
      </c>
      <c r="I3893" s="191">
        <v>526.5</v>
      </c>
      <c r="J3893" s="188" t="s">
        <v>624</v>
      </c>
      <c r="K3893" s="188" t="s">
        <v>652</v>
      </c>
      <c r="L3893" s="188" t="s">
        <v>5704</v>
      </c>
      <c r="M3893" s="192">
        <f t="shared" si="180"/>
        <v>13</v>
      </c>
      <c r="N3893" s="193">
        <f t="shared" si="181"/>
        <v>1.8524216524216524</v>
      </c>
      <c r="O3893" s="194">
        <f t="shared" si="182"/>
        <v>0.14249397326320404</v>
      </c>
    </row>
    <row r="3894" spans="1:15" ht="12.75" customHeight="1">
      <c r="A3894" s="188" t="s">
        <v>620</v>
      </c>
      <c r="B3894" s="188" t="s">
        <v>4996</v>
      </c>
      <c r="C3894" s="188" t="s">
        <v>678</v>
      </c>
      <c r="D3894" s="188" t="s">
        <v>5705</v>
      </c>
      <c r="E3894" s="189">
        <v>39555</v>
      </c>
      <c r="F3894" s="190">
        <v>0</v>
      </c>
      <c r="G3894" s="190">
        <v>20</v>
      </c>
      <c r="H3894" s="191">
        <v>480</v>
      </c>
      <c r="I3894" s="191">
        <v>75</v>
      </c>
      <c r="J3894" s="188" t="s">
        <v>624</v>
      </c>
      <c r="K3894" s="188" t="s">
        <v>652</v>
      </c>
      <c r="L3894" s="188" t="s">
        <v>2387</v>
      </c>
      <c r="M3894" s="192">
        <f t="shared" si="180"/>
        <v>13</v>
      </c>
      <c r="N3894" s="193">
        <f t="shared" si="181"/>
        <v>1.92</v>
      </c>
      <c r="O3894" s="194">
        <f t="shared" si="182"/>
        <v>0.14769230769230768</v>
      </c>
    </row>
    <row r="3895" spans="1:15" ht="12.75" customHeight="1">
      <c r="A3895" s="188" t="s">
        <v>620</v>
      </c>
      <c r="B3895" s="188" t="s">
        <v>4996</v>
      </c>
      <c r="C3895" s="188" t="s">
        <v>678</v>
      </c>
      <c r="D3895" s="188" t="s">
        <v>5706</v>
      </c>
      <c r="E3895" s="189">
        <v>39611</v>
      </c>
      <c r="F3895" s="190">
        <v>0</v>
      </c>
      <c r="G3895" s="190">
        <v>74.239999999999995</v>
      </c>
      <c r="H3895" s="191">
        <v>1782</v>
      </c>
      <c r="I3895" s="191">
        <v>278.39999999999998</v>
      </c>
      <c r="J3895" s="188" t="s">
        <v>624</v>
      </c>
      <c r="K3895" s="188" t="s">
        <v>652</v>
      </c>
      <c r="L3895" s="188" t="s">
        <v>4373</v>
      </c>
      <c r="M3895" s="192">
        <f t="shared" si="180"/>
        <v>13</v>
      </c>
      <c r="N3895" s="193">
        <f t="shared" si="181"/>
        <v>1.9202586206896552</v>
      </c>
      <c r="O3895" s="194">
        <f t="shared" si="182"/>
        <v>0.14771220159151194</v>
      </c>
    </row>
    <row r="3896" spans="1:15" ht="12.75" customHeight="1">
      <c r="A3896" s="188" t="s">
        <v>620</v>
      </c>
      <c r="B3896" s="188" t="s">
        <v>4996</v>
      </c>
      <c r="C3896" s="188" t="s">
        <v>678</v>
      </c>
      <c r="D3896" s="188" t="s">
        <v>5707</v>
      </c>
      <c r="E3896" s="189">
        <v>39507</v>
      </c>
      <c r="F3896" s="190">
        <v>0</v>
      </c>
      <c r="G3896" s="190">
        <v>115.2</v>
      </c>
      <c r="H3896" s="191">
        <v>2768</v>
      </c>
      <c r="I3896" s="191">
        <v>432</v>
      </c>
      <c r="J3896" s="188" t="s">
        <v>624</v>
      </c>
      <c r="K3896" s="188" t="s">
        <v>652</v>
      </c>
      <c r="L3896" s="188" t="s">
        <v>682</v>
      </c>
      <c r="M3896" s="192">
        <f t="shared" si="180"/>
        <v>13</v>
      </c>
      <c r="N3896" s="193">
        <f t="shared" si="181"/>
        <v>1.9222222222222223</v>
      </c>
      <c r="O3896" s="194">
        <f t="shared" si="182"/>
        <v>0.14786324786324787</v>
      </c>
    </row>
    <row r="3897" spans="1:15" ht="12.75" customHeight="1">
      <c r="A3897" s="188" t="s">
        <v>620</v>
      </c>
      <c r="B3897" s="188" t="s">
        <v>4996</v>
      </c>
      <c r="C3897" s="188" t="s">
        <v>678</v>
      </c>
      <c r="D3897" s="188" t="s">
        <v>5708</v>
      </c>
      <c r="E3897" s="189">
        <v>39296</v>
      </c>
      <c r="F3897" s="190">
        <v>0</v>
      </c>
      <c r="G3897" s="190">
        <v>32</v>
      </c>
      <c r="H3897" s="191">
        <v>780</v>
      </c>
      <c r="I3897" s="191">
        <v>120</v>
      </c>
      <c r="J3897" s="188" t="s">
        <v>624</v>
      </c>
      <c r="K3897" s="188" t="s">
        <v>652</v>
      </c>
      <c r="L3897" s="188" t="s">
        <v>910</v>
      </c>
      <c r="M3897" s="192">
        <f t="shared" si="180"/>
        <v>13</v>
      </c>
      <c r="N3897" s="193">
        <f t="shared" si="181"/>
        <v>1.95</v>
      </c>
      <c r="O3897" s="194">
        <f t="shared" si="182"/>
        <v>0.15</v>
      </c>
    </row>
    <row r="3898" spans="1:15" ht="12.75" customHeight="1">
      <c r="A3898" s="188" t="s">
        <v>620</v>
      </c>
      <c r="B3898" s="188" t="s">
        <v>4996</v>
      </c>
      <c r="C3898" s="188" t="s">
        <v>678</v>
      </c>
      <c r="D3898" s="188" t="s">
        <v>5709</v>
      </c>
      <c r="E3898" s="189">
        <v>39303</v>
      </c>
      <c r="F3898" s="190">
        <v>0</v>
      </c>
      <c r="G3898" s="190">
        <v>102.96</v>
      </c>
      <c r="H3898" s="191">
        <v>2895.75</v>
      </c>
      <c r="I3898" s="191">
        <v>386.1</v>
      </c>
      <c r="J3898" s="188" t="s">
        <v>624</v>
      </c>
      <c r="K3898" s="188" t="s">
        <v>571</v>
      </c>
      <c r="L3898" s="188" t="s">
        <v>2516</v>
      </c>
      <c r="M3898" s="192">
        <f t="shared" si="180"/>
        <v>15</v>
      </c>
      <c r="N3898" s="193">
        <f t="shared" si="181"/>
        <v>2.25</v>
      </c>
      <c r="O3898" s="194">
        <f t="shared" si="182"/>
        <v>0.15</v>
      </c>
    </row>
    <row r="3899" spans="1:15" ht="12.75" customHeight="1">
      <c r="A3899" s="188" t="s">
        <v>620</v>
      </c>
      <c r="B3899" s="188" t="s">
        <v>4996</v>
      </c>
      <c r="C3899" s="188" t="s">
        <v>678</v>
      </c>
      <c r="D3899" s="188" t="s">
        <v>5710</v>
      </c>
      <c r="E3899" s="189">
        <v>39576</v>
      </c>
      <c r="F3899" s="190">
        <v>0</v>
      </c>
      <c r="G3899" s="190">
        <v>61.12</v>
      </c>
      <c r="H3899" s="191">
        <v>1490</v>
      </c>
      <c r="I3899" s="191">
        <v>229.2</v>
      </c>
      <c r="J3899" s="188" t="s">
        <v>624</v>
      </c>
      <c r="K3899" s="188" t="s">
        <v>652</v>
      </c>
      <c r="L3899" s="188" t="s">
        <v>3289</v>
      </c>
      <c r="M3899" s="192">
        <f t="shared" si="180"/>
        <v>13</v>
      </c>
      <c r="N3899" s="193">
        <f t="shared" si="181"/>
        <v>1.950261780104712</v>
      </c>
      <c r="O3899" s="194">
        <f t="shared" si="182"/>
        <v>0.1500201369311317</v>
      </c>
    </row>
    <row r="3900" spans="1:15" ht="12.75" customHeight="1">
      <c r="A3900" s="188" t="s">
        <v>620</v>
      </c>
      <c r="B3900" s="188" t="s">
        <v>4996</v>
      </c>
      <c r="C3900" s="188" t="s">
        <v>678</v>
      </c>
      <c r="D3900" s="188" t="s">
        <v>5711</v>
      </c>
      <c r="E3900" s="189">
        <v>39611</v>
      </c>
      <c r="F3900" s="190">
        <v>0</v>
      </c>
      <c r="G3900" s="190">
        <v>89.6</v>
      </c>
      <c r="H3900" s="191">
        <v>2188</v>
      </c>
      <c r="I3900" s="191">
        <v>336</v>
      </c>
      <c r="J3900" s="188" t="s">
        <v>624</v>
      </c>
      <c r="K3900" s="188" t="s">
        <v>652</v>
      </c>
      <c r="L3900" s="188" t="s">
        <v>825</v>
      </c>
      <c r="M3900" s="192">
        <f t="shared" si="180"/>
        <v>13</v>
      </c>
      <c r="N3900" s="193">
        <f t="shared" si="181"/>
        <v>1.9535714285714285</v>
      </c>
      <c r="O3900" s="194">
        <f t="shared" si="182"/>
        <v>0.15027472527472527</v>
      </c>
    </row>
    <row r="3901" spans="1:15" ht="12.75" customHeight="1">
      <c r="A3901" s="188" t="s">
        <v>620</v>
      </c>
      <c r="B3901" s="188" t="s">
        <v>4996</v>
      </c>
      <c r="C3901" s="188" t="s">
        <v>678</v>
      </c>
      <c r="D3901" s="188" t="s">
        <v>5712</v>
      </c>
      <c r="E3901" s="189">
        <v>39520</v>
      </c>
      <c r="F3901" s="190">
        <v>0</v>
      </c>
      <c r="G3901" s="190">
        <v>73.12</v>
      </c>
      <c r="H3901" s="191">
        <v>1800</v>
      </c>
      <c r="I3901" s="191">
        <v>274.2</v>
      </c>
      <c r="J3901" s="188" t="s">
        <v>624</v>
      </c>
      <c r="K3901" s="188" t="s">
        <v>652</v>
      </c>
      <c r="L3901" s="188" t="s">
        <v>5713</v>
      </c>
      <c r="M3901" s="192">
        <f t="shared" si="180"/>
        <v>13</v>
      </c>
      <c r="N3901" s="193">
        <f t="shared" si="181"/>
        <v>1.9693654266958425</v>
      </c>
      <c r="O3901" s="194">
        <f t="shared" si="182"/>
        <v>0.15148964820737248</v>
      </c>
    </row>
    <row r="3902" spans="1:15" ht="12.75" customHeight="1">
      <c r="A3902" s="188" t="s">
        <v>620</v>
      </c>
      <c r="B3902" s="188" t="s">
        <v>4996</v>
      </c>
      <c r="C3902" s="188" t="s">
        <v>678</v>
      </c>
      <c r="D3902" s="188" t="s">
        <v>5714</v>
      </c>
      <c r="E3902" s="189">
        <v>39282</v>
      </c>
      <c r="F3902" s="190">
        <v>0</v>
      </c>
      <c r="G3902" s="190">
        <v>98.8</v>
      </c>
      <c r="H3902" s="191">
        <v>2074.06</v>
      </c>
      <c r="I3902" s="191">
        <v>370.5</v>
      </c>
      <c r="J3902" s="188" t="s">
        <v>624</v>
      </c>
      <c r="K3902" s="188" t="s">
        <v>639</v>
      </c>
      <c r="L3902" s="188" t="s">
        <v>3162</v>
      </c>
      <c r="M3902" s="192">
        <f t="shared" si="180"/>
        <v>11</v>
      </c>
      <c r="N3902" s="193">
        <f t="shared" si="181"/>
        <v>1.6794008097165991</v>
      </c>
      <c r="O3902" s="194">
        <f t="shared" si="182"/>
        <v>0.15267280088332719</v>
      </c>
    </row>
    <row r="3903" spans="1:15" ht="12.75" customHeight="1">
      <c r="A3903" s="188" t="s">
        <v>620</v>
      </c>
      <c r="B3903" s="188" t="s">
        <v>4996</v>
      </c>
      <c r="C3903" s="188" t="s">
        <v>678</v>
      </c>
      <c r="D3903" s="188" t="s">
        <v>5715</v>
      </c>
      <c r="E3903" s="189">
        <v>39568</v>
      </c>
      <c r="F3903" s="190">
        <v>0</v>
      </c>
      <c r="G3903" s="190">
        <v>108.8</v>
      </c>
      <c r="H3903" s="191">
        <v>2730</v>
      </c>
      <c r="I3903" s="191">
        <v>408</v>
      </c>
      <c r="J3903" s="188" t="s">
        <v>624</v>
      </c>
      <c r="K3903" s="188" t="s">
        <v>652</v>
      </c>
      <c r="L3903" s="188" t="s">
        <v>774</v>
      </c>
      <c r="M3903" s="192">
        <f t="shared" si="180"/>
        <v>13</v>
      </c>
      <c r="N3903" s="193">
        <f t="shared" si="181"/>
        <v>2.0073529411764706</v>
      </c>
      <c r="O3903" s="194">
        <f t="shared" si="182"/>
        <v>0.15441176470588236</v>
      </c>
    </row>
    <row r="3904" spans="1:15" ht="12.75" customHeight="1">
      <c r="A3904" s="188" t="s">
        <v>620</v>
      </c>
      <c r="B3904" s="188" t="s">
        <v>4996</v>
      </c>
      <c r="C3904" s="188" t="s">
        <v>678</v>
      </c>
      <c r="D3904" s="188" t="s">
        <v>5716</v>
      </c>
      <c r="E3904" s="189">
        <v>39568</v>
      </c>
      <c r="F3904" s="190">
        <v>0</v>
      </c>
      <c r="G3904" s="190">
        <v>250.72</v>
      </c>
      <c r="H3904" s="191">
        <v>5348.2</v>
      </c>
      <c r="I3904" s="191">
        <v>940.2</v>
      </c>
      <c r="J3904" s="188" t="s">
        <v>624</v>
      </c>
      <c r="K3904" s="188" t="s">
        <v>639</v>
      </c>
      <c r="L3904" s="188" t="s">
        <v>5717</v>
      </c>
      <c r="M3904" s="192">
        <f t="shared" si="180"/>
        <v>11</v>
      </c>
      <c r="N3904" s="193">
        <f t="shared" si="181"/>
        <v>1.706509253350351</v>
      </c>
      <c r="O3904" s="194">
        <f t="shared" si="182"/>
        <v>0.15513720485003191</v>
      </c>
    </row>
    <row r="3905" spans="1:15" ht="12.75" customHeight="1">
      <c r="A3905" s="188" t="s">
        <v>620</v>
      </c>
      <c r="B3905" s="188" t="s">
        <v>4996</v>
      </c>
      <c r="C3905" s="188" t="s">
        <v>678</v>
      </c>
      <c r="D3905" s="188" t="s">
        <v>5718</v>
      </c>
      <c r="E3905" s="189">
        <v>39568</v>
      </c>
      <c r="F3905" s="190">
        <v>0</v>
      </c>
      <c r="G3905" s="190">
        <v>47.36</v>
      </c>
      <c r="H3905" s="191">
        <v>1224</v>
      </c>
      <c r="I3905" s="191">
        <v>177.6</v>
      </c>
      <c r="J3905" s="188" t="s">
        <v>624</v>
      </c>
      <c r="K3905" s="188" t="s">
        <v>652</v>
      </c>
      <c r="L3905" s="188" t="s">
        <v>5384</v>
      </c>
      <c r="M3905" s="192">
        <f t="shared" si="180"/>
        <v>13</v>
      </c>
      <c r="N3905" s="193">
        <f t="shared" si="181"/>
        <v>2.0675675675675675</v>
      </c>
      <c r="O3905" s="194">
        <f t="shared" si="182"/>
        <v>0.15904365904365905</v>
      </c>
    </row>
    <row r="3906" spans="1:15" ht="12.75" customHeight="1">
      <c r="A3906" s="188" t="s">
        <v>620</v>
      </c>
      <c r="B3906" s="188" t="s">
        <v>4996</v>
      </c>
      <c r="C3906" s="188" t="s">
        <v>678</v>
      </c>
      <c r="D3906" s="188" t="s">
        <v>5719</v>
      </c>
      <c r="E3906" s="189">
        <v>39275</v>
      </c>
      <c r="F3906" s="190">
        <v>0</v>
      </c>
      <c r="G3906" s="190">
        <v>80.64</v>
      </c>
      <c r="H3906" s="191">
        <v>2105.0100000000002</v>
      </c>
      <c r="I3906" s="191">
        <v>302.39999999999998</v>
      </c>
      <c r="J3906" s="188" t="s">
        <v>624</v>
      </c>
      <c r="K3906" s="188" t="s">
        <v>652</v>
      </c>
      <c r="L3906" s="188" t="s">
        <v>736</v>
      </c>
      <c r="M3906" s="192">
        <f t="shared" ref="M3906:M3958" si="183">K3906-J3906</f>
        <v>13</v>
      </c>
      <c r="N3906" s="193">
        <f t="shared" ref="N3906:N3958" si="184">H3906/L3906</f>
        <v>2.0883035714285718</v>
      </c>
      <c r="O3906" s="194">
        <f t="shared" ref="O3906:O3958" si="185">N3906/M3906</f>
        <v>0.16063873626373629</v>
      </c>
    </row>
    <row r="3907" spans="1:15" ht="12.75" customHeight="1">
      <c r="A3907" s="188" t="s">
        <v>620</v>
      </c>
      <c r="B3907" s="188" t="s">
        <v>4996</v>
      </c>
      <c r="C3907" s="188" t="s">
        <v>678</v>
      </c>
      <c r="D3907" s="188" t="s">
        <v>5720</v>
      </c>
      <c r="E3907" s="189">
        <v>39415</v>
      </c>
      <c r="F3907" s="190">
        <v>0</v>
      </c>
      <c r="G3907" s="190">
        <v>77.92</v>
      </c>
      <c r="H3907" s="191">
        <v>2046</v>
      </c>
      <c r="I3907" s="191">
        <v>292.2</v>
      </c>
      <c r="J3907" s="188" t="s">
        <v>624</v>
      </c>
      <c r="K3907" s="188" t="s">
        <v>652</v>
      </c>
      <c r="L3907" s="188" t="s">
        <v>3625</v>
      </c>
      <c r="M3907" s="192">
        <f t="shared" si="183"/>
        <v>13</v>
      </c>
      <c r="N3907" s="193">
        <f t="shared" si="184"/>
        <v>2.1006160164271046</v>
      </c>
      <c r="O3907" s="194">
        <f t="shared" si="185"/>
        <v>0.16158584741746959</v>
      </c>
    </row>
    <row r="3908" spans="1:15" ht="12.75" customHeight="1">
      <c r="A3908" s="188" t="s">
        <v>620</v>
      </c>
      <c r="B3908" s="188" t="s">
        <v>4996</v>
      </c>
      <c r="C3908" s="188" t="s">
        <v>678</v>
      </c>
      <c r="D3908" s="188" t="s">
        <v>5721</v>
      </c>
      <c r="E3908" s="189">
        <v>39407</v>
      </c>
      <c r="F3908" s="190">
        <v>0</v>
      </c>
      <c r="G3908" s="190">
        <v>84</v>
      </c>
      <c r="H3908" s="191">
        <v>3568</v>
      </c>
      <c r="I3908" s="191">
        <v>315</v>
      </c>
      <c r="J3908" s="188" t="s">
        <v>624</v>
      </c>
      <c r="K3908" s="188" t="s">
        <v>1344</v>
      </c>
      <c r="L3908" s="188" t="s">
        <v>1139</v>
      </c>
      <c r="M3908" s="192">
        <f t="shared" si="183"/>
        <v>21</v>
      </c>
      <c r="N3908" s="193">
        <f t="shared" si="184"/>
        <v>3.3980952380952383</v>
      </c>
      <c r="O3908" s="194">
        <f t="shared" si="185"/>
        <v>0.16181405895691611</v>
      </c>
    </row>
    <row r="3909" spans="1:15" ht="12.75" customHeight="1">
      <c r="A3909" s="188" t="s">
        <v>620</v>
      </c>
      <c r="B3909" s="188" t="s">
        <v>4996</v>
      </c>
      <c r="C3909" s="188" t="s">
        <v>678</v>
      </c>
      <c r="D3909" s="188" t="s">
        <v>5722</v>
      </c>
      <c r="E3909" s="189">
        <v>39324</v>
      </c>
      <c r="F3909" s="190">
        <v>0</v>
      </c>
      <c r="G3909" s="190">
        <v>99.84</v>
      </c>
      <c r="H3909" s="191">
        <v>2221.94</v>
      </c>
      <c r="I3909" s="191">
        <v>374.4</v>
      </c>
      <c r="J3909" s="188" t="s">
        <v>624</v>
      </c>
      <c r="K3909" s="188" t="s">
        <v>639</v>
      </c>
      <c r="L3909" s="188" t="s">
        <v>2101</v>
      </c>
      <c r="M3909" s="192">
        <f t="shared" si="183"/>
        <v>11</v>
      </c>
      <c r="N3909" s="193">
        <f t="shared" si="184"/>
        <v>1.780400641025641</v>
      </c>
      <c r="O3909" s="194">
        <f t="shared" si="185"/>
        <v>0.16185460372960372</v>
      </c>
    </row>
    <row r="3910" spans="1:15" ht="12.75" customHeight="1">
      <c r="A3910" s="188" t="s">
        <v>620</v>
      </c>
      <c r="B3910" s="188" t="s">
        <v>4996</v>
      </c>
      <c r="C3910" s="188" t="s">
        <v>678</v>
      </c>
      <c r="D3910" s="188" t="s">
        <v>5723</v>
      </c>
      <c r="E3910" s="189">
        <v>39395</v>
      </c>
      <c r="F3910" s="190">
        <v>0</v>
      </c>
      <c r="G3910" s="190">
        <v>76.56</v>
      </c>
      <c r="H3910" s="191">
        <v>2016</v>
      </c>
      <c r="I3910" s="191">
        <v>287.10000000000002</v>
      </c>
      <c r="J3910" s="188" t="s">
        <v>624</v>
      </c>
      <c r="K3910" s="188" t="s">
        <v>652</v>
      </c>
      <c r="L3910" s="188" t="s">
        <v>5671</v>
      </c>
      <c r="M3910" s="192">
        <f t="shared" si="183"/>
        <v>13</v>
      </c>
      <c r="N3910" s="193">
        <f t="shared" si="184"/>
        <v>2.1065830721003134</v>
      </c>
      <c r="O3910" s="194">
        <f t="shared" si="185"/>
        <v>0.16204485170002411</v>
      </c>
    </row>
    <row r="3911" spans="1:15" ht="12.75" customHeight="1">
      <c r="A3911" s="188" t="s">
        <v>620</v>
      </c>
      <c r="B3911" s="188" t="s">
        <v>4996</v>
      </c>
      <c r="C3911" s="188" t="s">
        <v>678</v>
      </c>
      <c r="D3911" s="188" t="s">
        <v>5724</v>
      </c>
      <c r="E3911" s="189">
        <v>39429</v>
      </c>
      <c r="F3911" s="190">
        <v>0</v>
      </c>
      <c r="G3911" s="190">
        <v>124.32</v>
      </c>
      <c r="H3911" s="191">
        <v>3276</v>
      </c>
      <c r="I3911" s="191">
        <v>466.2</v>
      </c>
      <c r="J3911" s="188" t="s">
        <v>624</v>
      </c>
      <c r="K3911" s="188" t="s">
        <v>652</v>
      </c>
      <c r="L3911" s="188" t="s">
        <v>5654</v>
      </c>
      <c r="M3911" s="192">
        <f t="shared" si="183"/>
        <v>13</v>
      </c>
      <c r="N3911" s="193">
        <f t="shared" si="184"/>
        <v>2.1081081081081079</v>
      </c>
      <c r="O3911" s="194">
        <f t="shared" si="185"/>
        <v>0.16216216216216214</v>
      </c>
    </row>
    <row r="3912" spans="1:15" ht="12.75" customHeight="1">
      <c r="A3912" s="188" t="s">
        <v>620</v>
      </c>
      <c r="B3912" s="188" t="s">
        <v>4996</v>
      </c>
      <c r="C3912" s="188" t="s">
        <v>678</v>
      </c>
      <c r="D3912" s="188" t="s">
        <v>5725</v>
      </c>
      <c r="E3912" s="189">
        <v>39471</v>
      </c>
      <c r="F3912" s="190">
        <v>0</v>
      </c>
      <c r="G3912" s="190">
        <v>67.760000000000005</v>
      </c>
      <c r="H3912" s="191">
        <v>2064</v>
      </c>
      <c r="I3912" s="191">
        <v>254.1</v>
      </c>
      <c r="J3912" s="188" t="s">
        <v>624</v>
      </c>
      <c r="K3912" s="188" t="s">
        <v>571</v>
      </c>
      <c r="L3912" s="188" t="s">
        <v>4935</v>
      </c>
      <c r="M3912" s="192">
        <f t="shared" si="183"/>
        <v>15</v>
      </c>
      <c r="N3912" s="193">
        <f t="shared" si="184"/>
        <v>2.4368358913813459</v>
      </c>
      <c r="O3912" s="194">
        <f t="shared" si="185"/>
        <v>0.16245572609208972</v>
      </c>
    </row>
    <row r="3913" spans="1:15" ht="12.75" customHeight="1">
      <c r="A3913" s="188" t="s">
        <v>620</v>
      </c>
      <c r="B3913" s="188" t="s">
        <v>4996</v>
      </c>
      <c r="C3913" s="188" t="s">
        <v>678</v>
      </c>
      <c r="D3913" s="188" t="s">
        <v>5726</v>
      </c>
      <c r="E3913" s="189">
        <v>39478</v>
      </c>
      <c r="F3913" s="190">
        <v>0</v>
      </c>
      <c r="G3913" s="190">
        <v>100.4</v>
      </c>
      <c r="H3913" s="191">
        <v>2269.15</v>
      </c>
      <c r="I3913" s="191">
        <v>376.5</v>
      </c>
      <c r="J3913" s="188" t="s">
        <v>624</v>
      </c>
      <c r="K3913" s="188" t="s">
        <v>639</v>
      </c>
      <c r="L3913" s="188" t="s">
        <v>856</v>
      </c>
      <c r="M3913" s="192">
        <f t="shared" si="183"/>
        <v>11</v>
      </c>
      <c r="N3913" s="193">
        <f t="shared" si="184"/>
        <v>1.8080876494023905</v>
      </c>
      <c r="O3913" s="194">
        <f t="shared" si="185"/>
        <v>0.16437160449112642</v>
      </c>
    </row>
    <row r="3914" spans="1:15" ht="12.75" customHeight="1">
      <c r="A3914" s="188" t="s">
        <v>620</v>
      </c>
      <c r="B3914" s="188" t="s">
        <v>4996</v>
      </c>
      <c r="C3914" s="188" t="s">
        <v>678</v>
      </c>
      <c r="D3914" s="188" t="s">
        <v>5727</v>
      </c>
      <c r="E3914" s="189">
        <v>39499</v>
      </c>
      <c r="F3914" s="190">
        <v>0</v>
      </c>
      <c r="G3914" s="190">
        <v>59.6</v>
      </c>
      <c r="H3914" s="191">
        <v>1352</v>
      </c>
      <c r="I3914" s="191">
        <v>223.5</v>
      </c>
      <c r="J3914" s="188" t="s">
        <v>624</v>
      </c>
      <c r="K3914" s="188" t="s">
        <v>639</v>
      </c>
      <c r="L3914" s="188" t="s">
        <v>4033</v>
      </c>
      <c r="M3914" s="192">
        <f t="shared" si="183"/>
        <v>11</v>
      </c>
      <c r="N3914" s="193">
        <f t="shared" si="184"/>
        <v>1.8147651006711409</v>
      </c>
      <c r="O3914" s="194">
        <f t="shared" si="185"/>
        <v>0.16497864551555827</v>
      </c>
    </row>
    <row r="3915" spans="1:15" ht="12.75" customHeight="1">
      <c r="A3915" s="188" t="s">
        <v>620</v>
      </c>
      <c r="B3915" s="188" t="s">
        <v>4996</v>
      </c>
      <c r="C3915" s="188" t="s">
        <v>678</v>
      </c>
      <c r="D3915" s="188" t="s">
        <v>5728</v>
      </c>
      <c r="E3915" s="189">
        <v>39555</v>
      </c>
      <c r="F3915" s="190">
        <v>0</v>
      </c>
      <c r="G3915" s="190">
        <v>43.2</v>
      </c>
      <c r="H3915" s="191">
        <v>1176</v>
      </c>
      <c r="I3915" s="191">
        <v>162</v>
      </c>
      <c r="J3915" s="188" t="s">
        <v>624</v>
      </c>
      <c r="K3915" s="188" t="s">
        <v>652</v>
      </c>
      <c r="L3915" s="188" t="s">
        <v>1081</v>
      </c>
      <c r="M3915" s="192">
        <f t="shared" si="183"/>
        <v>13</v>
      </c>
      <c r="N3915" s="193">
        <f t="shared" si="184"/>
        <v>2.1777777777777776</v>
      </c>
      <c r="O3915" s="194">
        <f t="shared" si="185"/>
        <v>0.16752136752136751</v>
      </c>
    </row>
    <row r="3916" spans="1:15" ht="12.75" customHeight="1">
      <c r="A3916" s="188" t="s">
        <v>620</v>
      </c>
      <c r="B3916" s="188" t="s">
        <v>4996</v>
      </c>
      <c r="C3916" s="188" t="s">
        <v>678</v>
      </c>
      <c r="D3916" s="188" t="s">
        <v>5729</v>
      </c>
      <c r="E3916" s="189">
        <v>39541</v>
      </c>
      <c r="F3916" s="190">
        <v>0</v>
      </c>
      <c r="G3916" s="190">
        <v>104</v>
      </c>
      <c r="H3916" s="191">
        <v>2396</v>
      </c>
      <c r="I3916" s="191">
        <v>390</v>
      </c>
      <c r="J3916" s="188" t="s">
        <v>624</v>
      </c>
      <c r="K3916" s="188" t="s">
        <v>639</v>
      </c>
      <c r="L3916" s="188" t="s">
        <v>699</v>
      </c>
      <c r="M3916" s="192">
        <f t="shared" si="183"/>
        <v>11</v>
      </c>
      <c r="N3916" s="193">
        <f t="shared" si="184"/>
        <v>1.8430769230769231</v>
      </c>
      <c r="O3916" s="194">
        <f t="shared" si="185"/>
        <v>0.16755244755244755</v>
      </c>
    </row>
    <row r="3917" spans="1:15" ht="12.75" customHeight="1">
      <c r="A3917" s="188" t="s">
        <v>620</v>
      </c>
      <c r="B3917" s="188" t="s">
        <v>4996</v>
      </c>
      <c r="C3917" s="188" t="s">
        <v>678</v>
      </c>
      <c r="D3917" s="188" t="s">
        <v>5730</v>
      </c>
      <c r="E3917" s="189">
        <v>39618</v>
      </c>
      <c r="F3917" s="190">
        <v>0</v>
      </c>
      <c r="G3917" s="190">
        <v>92.8</v>
      </c>
      <c r="H3917" s="191">
        <v>2556</v>
      </c>
      <c r="I3917" s="191">
        <v>348</v>
      </c>
      <c r="J3917" s="188" t="s">
        <v>624</v>
      </c>
      <c r="K3917" s="188" t="s">
        <v>652</v>
      </c>
      <c r="L3917" s="188" t="s">
        <v>1001</v>
      </c>
      <c r="M3917" s="192">
        <f t="shared" si="183"/>
        <v>13</v>
      </c>
      <c r="N3917" s="193">
        <f t="shared" si="184"/>
        <v>2.203448275862069</v>
      </c>
      <c r="O3917" s="194">
        <f t="shared" si="185"/>
        <v>0.16949602122015917</v>
      </c>
    </row>
    <row r="3918" spans="1:15" ht="12.75" customHeight="1">
      <c r="A3918" s="188" t="s">
        <v>620</v>
      </c>
      <c r="B3918" s="188" t="s">
        <v>4996</v>
      </c>
      <c r="C3918" s="188" t="s">
        <v>678</v>
      </c>
      <c r="D3918" s="188" t="s">
        <v>5731</v>
      </c>
      <c r="E3918" s="189">
        <v>39499</v>
      </c>
      <c r="F3918" s="190">
        <v>0</v>
      </c>
      <c r="G3918" s="190">
        <v>64</v>
      </c>
      <c r="H3918" s="191">
        <v>1768</v>
      </c>
      <c r="I3918" s="191">
        <v>240</v>
      </c>
      <c r="J3918" s="188" t="s">
        <v>624</v>
      </c>
      <c r="K3918" s="188" t="s">
        <v>652</v>
      </c>
      <c r="L3918" s="188" t="s">
        <v>752</v>
      </c>
      <c r="M3918" s="192">
        <f t="shared" si="183"/>
        <v>13</v>
      </c>
      <c r="N3918" s="193">
        <f t="shared" si="184"/>
        <v>2.21</v>
      </c>
      <c r="O3918" s="194">
        <f t="shared" si="185"/>
        <v>0.16999999999999998</v>
      </c>
    </row>
    <row r="3919" spans="1:15" ht="12.75" customHeight="1">
      <c r="A3919" s="188" t="s">
        <v>620</v>
      </c>
      <c r="B3919" s="188" t="s">
        <v>4996</v>
      </c>
      <c r="C3919" s="188" t="s">
        <v>678</v>
      </c>
      <c r="D3919" s="188" t="s">
        <v>5732</v>
      </c>
      <c r="E3919" s="189">
        <v>39597</v>
      </c>
      <c r="F3919" s="190">
        <v>0</v>
      </c>
      <c r="G3919" s="190">
        <v>100.8</v>
      </c>
      <c r="H3919" s="191">
        <v>2790</v>
      </c>
      <c r="I3919" s="191">
        <v>378</v>
      </c>
      <c r="J3919" s="188" t="s">
        <v>624</v>
      </c>
      <c r="K3919" s="188" t="s">
        <v>652</v>
      </c>
      <c r="L3919" s="188" t="s">
        <v>680</v>
      </c>
      <c r="M3919" s="192">
        <f t="shared" si="183"/>
        <v>13</v>
      </c>
      <c r="N3919" s="193">
        <f t="shared" si="184"/>
        <v>2.2142857142857144</v>
      </c>
      <c r="O3919" s="194">
        <f t="shared" si="185"/>
        <v>0.17032967032967034</v>
      </c>
    </row>
    <row r="3920" spans="1:15" ht="12.75" customHeight="1">
      <c r="A3920" s="188" t="s">
        <v>620</v>
      </c>
      <c r="B3920" s="188" t="s">
        <v>4996</v>
      </c>
      <c r="C3920" s="188" t="s">
        <v>678</v>
      </c>
      <c r="D3920" s="188" t="s">
        <v>5733</v>
      </c>
      <c r="E3920" s="189">
        <v>39429</v>
      </c>
      <c r="F3920" s="190">
        <v>0</v>
      </c>
      <c r="G3920" s="190">
        <v>48</v>
      </c>
      <c r="H3920" s="191">
        <v>1330</v>
      </c>
      <c r="I3920" s="191">
        <v>180</v>
      </c>
      <c r="J3920" s="188" t="s">
        <v>624</v>
      </c>
      <c r="K3920" s="188" t="s">
        <v>652</v>
      </c>
      <c r="L3920" s="188" t="s">
        <v>677</v>
      </c>
      <c r="M3920" s="192">
        <f t="shared" si="183"/>
        <v>13</v>
      </c>
      <c r="N3920" s="193">
        <f t="shared" si="184"/>
        <v>2.2166666666666668</v>
      </c>
      <c r="O3920" s="194">
        <f t="shared" si="185"/>
        <v>0.17051282051282052</v>
      </c>
    </row>
    <row r="3921" spans="1:15" ht="12.75" customHeight="1">
      <c r="A3921" s="188" t="s">
        <v>620</v>
      </c>
      <c r="B3921" s="188" t="s">
        <v>4996</v>
      </c>
      <c r="C3921" s="188" t="s">
        <v>678</v>
      </c>
      <c r="D3921" s="188" t="s">
        <v>5734</v>
      </c>
      <c r="E3921" s="189">
        <v>39583</v>
      </c>
      <c r="F3921" s="190">
        <v>0</v>
      </c>
      <c r="G3921" s="190">
        <v>16</v>
      </c>
      <c r="H3921" s="191">
        <v>450</v>
      </c>
      <c r="I3921" s="191">
        <v>60</v>
      </c>
      <c r="J3921" s="188" t="s">
        <v>624</v>
      </c>
      <c r="K3921" s="188" t="s">
        <v>652</v>
      </c>
      <c r="L3921" s="188" t="s">
        <v>1322</v>
      </c>
      <c r="M3921" s="192">
        <f t="shared" si="183"/>
        <v>13</v>
      </c>
      <c r="N3921" s="193">
        <f t="shared" si="184"/>
        <v>2.25</v>
      </c>
      <c r="O3921" s="194">
        <f t="shared" si="185"/>
        <v>0.17307692307692307</v>
      </c>
    </row>
    <row r="3922" spans="1:15" ht="12.75" customHeight="1">
      <c r="A3922" s="188" t="s">
        <v>620</v>
      </c>
      <c r="B3922" s="188" t="s">
        <v>4996</v>
      </c>
      <c r="C3922" s="188" t="s">
        <v>678</v>
      </c>
      <c r="D3922" s="188" t="s">
        <v>5735</v>
      </c>
      <c r="E3922" s="189">
        <v>39499</v>
      </c>
      <c r="F3922" s="190">
        <v>0</v>
      </c>
      <c r="G3922" s="190">
        <v>174.4</v>
      </c>
      <c r="H3922" s="191">
        <v>5040</v>
      </c>
      <c r="I3922" s="191">
        <v>654</v>
      </c>
      <c r="J3922" s="188" t="s">
        <v>624</v>
      </c>
      <c r="K3922" s="188" t="s">
        <v>652</v>
      </c>
      <c r="L3922" s="188" t="s">
        <v>5736</v>
      </c>
      <c r="M3922" s="192">
        <f t="shared" si="183"/>
        <v>13</v>
      </c>
      <c r="N3922" s="193">
        <f t="shared" si="184"/>
        <v>2.3119266055045871</v>
      </c>
      <c r="O3922" s="194">
        <f t="shared" si="185"/>
        <v>0.17784050811573746</v>
      </c>
    </row>
    <row r="3923" spans="1:15" ht="12.75" customHeight="1">
      <c r="A3923" s="188" t="s">
        <v>620</v>
      </c>
      <c r="B3923" s="188" t="s">
        <v>4996</v>
      </c>
      <c r="C3923" s="188" t="s">
        <v>678</v>
      </c>
      <c r="D3923" s="188" t="s">
        <v>5737</v>
      </c>
      <c r="E3923" s="189">
        <v>39471</v>
      </c>
      <c r="F3923" s="190">
        <v>0</v>
      </c>
      <c r="G3923" s="190">
        <v>74.88</v>
      </c>
      <c r="H3923" s="191">
        <v>2196</v>
      </c>
      <c r="I3923" s="191">
        <v>280.8</v>
      </c>
      <c r="J3923" s="188" t="s">
        <v>624</v>
      </c>
      <c r="K3923" s="188" t="s">
        <v>652</v>
      </c>
      <c r="L3923" s="188" t="s">
        <v>1618</v>
      </c>
      <c r="M3923" s="192">
        <f t="shared" si="183"/>
        <v>13</v>
      </c>
      <c r="N3923" s="193">
        <f t="shared" si="184"/>
        <v>2.3461538461538463</v>
      </c>
      <c r="O3923" s="194">
        <f t="shared" si="185"/>
        <v>0.18047337278106509</v>
      </c>
    </row>
    <row r="3924" spans="1:15" ht="12.75" customHeight="1">
      <c r="A3924" s="188" t="s">
        <v>620</v>
      </c>
      <c r="B3924" s="188" t="s">
        <v>4996</v>
      </c>
      <c r="C3924" s="188" t="s">
        <v>678</v>
      </c>
      <c r="D3924" s="188" t="s">
        <v>5738</v>
      </c>
      <c r="E3924" s="189">
        <v>39296</v>
      </c>
      <c r="F3924" s="190">
        <v>0</v>
      </c>
      <c r="G3924" s="190">
        <v>110.72</v>
      </c>
      <c r="H3924" s="191">
        <v>3247.97</v>
      </c>
      <c r="I3924" s="191">
        <v>415.2</v>
      </c>
      <c r="J3924" s="188" t="s">
        <v>624</v>
      </c>
      <c r="K3924" s="188" t="s">
        <v>652</v>
      </c>
      <c r="L3924" s="188" t="s">
        <v>1155</v>
      </c>
      <c r="M3924" s="192">
        <f t="shared" si="183"/>
        <v>13</v>
      </c>
      <c r="N3924" s="193">
        <f t="shared" si="184"/>
        <v>2.3467991329479769</v>
      </c>
      <c r="O3924" s="194">
        <f t="shared" si="185"/>
        <v>0.18052301022676745</v>
      </c>
    </row>
    <row r="3925" spans="1:15" ht="12.75" customHeight="1">
      <c r="A3925" s="188" t="s">
        <v>620</v>
      </c>
      <c r="B3925" s="188" t="s">
        <v>4996</v>
      </c>
      <c r="C3925" s="188" t="s">
        <v>678</v>
      </c>
      <c r="D3925" s="188" t="s">
        <v>5739</v>
      </c>
      <c r="E3925" s="189">
        <v>39597</v>
      </c>
      <c r="F3925" s="190">
        <v>0</v>
      </c>
      <c r="G3925" s="190">
        <v>76</v>
      </c>
      <c r="H3925" s="191">
        <v>2250</v>
      </c>
      <c r="I3925" s="191">
        <v>285</v>
      </c>
      <c r="J3925" s="188" t="s">
        <v>624</v>
      </c>
      <c r="K3925" s="188" t="s">
        <v>652</v>
      </c>
      <c r="L3925" s="188" t="s">
        <v>1164</v>
      </c>
      <c r="M3925" s="192">
        <f t="shared" si="183"/>
        <v>13</v>
      </c>
      <c r="N3925" s="193">
        <f t="shared" si="184"/>
        <v>2.3684210526315788</v>
      </c>
      <c r="O3925" s="194">
        <f t="shared" si="185"/>
        <v>0.18218623481781376</v>
      </c>
    </row>
    <row r="3926" spans="1:15" ht="12.75" customHeight="1">
      <c r="A3926" s="188" t="s">
        <v>620</v>
      </c>
      <c r="B3926" s="188" t="s">
        <v>4996</v>
      </c>
      <c r="C3926" s="188" t="s">
        <v>678</v>
      </c>
      <c r="D3926" s="188" t="s">
        <v>5740</v>
      </c>
      <c r="E3926" s="189">
        <v>39366</v>
      </c>
      <c r="F3926" s="190">
        <v>0</v>
      </c>
      <c r="G3926" s="190">
        <v>81.599999999999994</v>
      </c>
      <c r="H3926" s="191">
        <v>2428</v>
      </c>
      <c r="I3926" s="191">
        <v>306</v>
      </c>
      <c r="J3926" s="188" t="s">
        <v>624</v>
      </c>
      <c r="K3926" s="188" t="s">
        <v>652</v>
      </c>
      <c r="L3926" s="188" t="s">
        <v>658</v>
      </c>
      <c r="M3926" s="192">
        <f t="shared" si="183"/>
        <v>13</v>
      </c>
      <c r="N3926" s="193">
        <f t="shared" si="184"/>
        <v>2.3803921568627451</v>
      </c>
      <c r="O3926" s="194">
        <f t="shared" si="185"/>
        <v>0.18310708898944192</v>
      </c>
    </row>
    <row r="3927" spans="1:15" ht="12.75" customHeight="1">
      <c r="A3927" s="188" t="s">
        <v>620</v>
      </c>
      <c r="B3927" s="188" t="s">
        <v>4996</v>
      </c>
      <c r="C3927" s="188" t="s">
        <v>678</v>
      </c>
      <c r="D3927" s="188" t="s">
        <v>5741</v>
      </c>
      <c r="E3927" s="189">
        <v>39507</v>
      </c>
      <c r="F3927" s="190">
        <v>0</v>
      </c>
      <c r="G3927" s="190">
        <v>120.88</v>
      </c>
      <c r="H3927" s="191">
        <v>3636</v>
      </c>
      <c r="I3927" s="191">
        <v>453.3</v>
      </c>
      <c r="J3927" s="188" t="s">
        <v>624</v>
      </c>
      <c r="K3927" s="188" t="s">
        <v>652</v>
      </c>
      <c r="L3927" s="188" t="s">
        <v>5742</v>
      </c>
      <c r="M3927" s="192">
        <f t="shared" si="183"/>
        <v>13</v>
      </c>
      <c r="N3927" s="193">
        <f t="shared" si="184"/>
        <v>2.4063534083388483</v>
      </c>
      <c r="O3927" s="194">
        <f t="shared" si="185"/>
        <v>0.18510410833375757</v>
      </c>
    </row>
    <row r="3928" spans="1:15" ht="12.75" customHeight="1">
      <c r="A3928" s="188" t="s">
        <v>620</v>
      </c>
      <c r="B3928" s="188" t="s">
        <v>4996</v>
      </c>
      <c r="C3928" s="188" t="s">
        <v>678</v>
      </c>
      <c r="D3928" s="188" t="s">
        <v>5743</v>
      </c>
      <c r="E3928" s="189">
        <v>39447</v>
      </c>
      <c r="F3928" s="190">
        <v>0</v>
      </c>
      <c r="G3928" s="190">
        <v>64</v>
      </c>
      <c r="H3928" s="191">
        <v>1938</v>
      </c>
      <c r="I3928" s="191">
        <v>240</v>
      </c>
      <c r="J3928" s="188" t="s">
        <v>624</v>
      </c>
      <c r="K3928" s="188" t="s">
        <v>652</v>
      </c>
      <c r="L3928" s="188" t="s">
        <v>752</v>
      </c>
      <c r="M3928" s="192">
        <f t="shared" si="183"/>
        <v>13</v>
      </c>
      <c r="N3928" s="193">
        <f t="shared" si="184"/>
        <v>2.4224999999999999</v>
      </c>
      <c r="O3928" s="194">
        <f t="shared" si="185"/>
        <v>0.18634615384615383</v>
      </c>
    </row>
    <row r="3929" spans="1:15" ht="12.75" customHeight="1">
      <c r="A3929" s="188" t="s">
        <v>620</v>
      </c>
      <c r="B3929" s="188" t="s">
        <v>4996</v>
      </c>
      <c r="C3929" s="188" t="s">
        <v>678</v>
      </c>
      <c r="D3929" s="188" t="s">
        <v>5744</v>
      </c>
      <c r="E3929" s="189">
        <v>39485</v>
      </c>
      <c r="F3929" s="190">
        <v>0</v>
      </c>
      <c r="G3929" s="190">
        <v>157.68</v>
      </c>
      <c r="H3929" s="191">
        <v>4892.8999999999996</v>
      </c>
      <c r="I3929" s="191">
        <v>591.29999999999995</v>
      </c>
      <c r="J3929" s="188" t="s">
        <v>624</v>
      </c>
      <c r="K3929" s="188" t="s">
        <v>652</v>
      </c>
      <c r="L3929" s="188" t="s">
        <v>5745</v>
      </c>
      <c r="M3929" s="192">
        <f t="shared" si="183"/>
        <v>13</v>
      </c>
      <c r="N3929" s="193">
        <f t="shared" si="184"/>
        <v>2.4824454591577876</v>
      </c>
      <c r="O3929" s="194">
        <f t="shared" si="185"/>
        <v>0.19095734301213751</v>
      </c>
    </row>
    <row r="3930" spans="1:15" ht="12.75" customHeight="1">
      <c r="A3930" s="188" t="s">
        <v>620</v>
      </c>
      <c r="B3930" s="188" t="s">
        <v>4996</v>
      </c>
      <c r="C3930" s="188" t="s">
        <v>678</v>
      </c>
      <c r="D3930" s="188" t="s">
        <v>5746</v>
      </c>
      <c r="E3930" s="189">
        <v>39373</v>
      </c>
      <c r="F3930" s="190">
        <v>0</v>
      </c>
      <c r="G3930" s="190">
        <v>108</v>
      </c>
      <c r="H3930" s="191">
        <v>3910</v>
      </c>
      <c r="I3930" s="191">
        <v>405</v>
      </c>
      <c r="J3930" s="188" t="s">
        <v>624</v>
      </c>
      <c r="K3930" s="188" t="s">
        <v>571</v>
      </c>
      <c r="L3930" s="188" t="s">
        <v>707</v>
      </c>
      <c r="M3930" s="192">
        <f t="shared" si="183"/>
        <v>15</v>
      </c>
      <c r="N3930" s="193">
        <f t="shared" si="184"/>
        <v>2.8962962962962964</v>
      </c>
      <c r="O3930" s="194">
        <f t="shared" si="185"/>
        <v>0.19308641975308644</v>
      </c>
    </row>
    <row r="3931" spans="1:15" ht="12.75" customHeight="1">
      <c r="A3931" s="188" t="s">
        <v>620</v>
      </c>
      <c r="B3931" s="188" t="s">
        <v>4996</v>
      </c>
      <c r="C3931" s="188" t="s">
        <v>678</v>
      </c>
      <c r="D3931" s="188" t="s">
        <v>5747</v>
      </c>
      <c r="E3931" s="189">
        <v>39282</v>
      </c>
      <c r="F3931" s="190">
        <v>0</v>
      </c>
      <c r="G3931" s="190">
        <v>24</v>
      </c>
      <c r="H3931" s="191">
        <v>879</v>
      </c>
      <c r="I3931" s="191">
        <v>90</v>
      </c>
      <c r="J3931" s="188" t="s">
        <v>624</v>
      </c>
      <c r="K3931" s="188" t="s">
        <v>571</v>
      </c>
      <c r="L3931" s="188" t="s">
        <v>1315</v>
      </c>
      <c r="M3931" s="192">
        <f t="shared" si="183"/>
        <v>15</v>
      </c>
      <c r="N3931" s="193">
        <f t="shared" si="184"/>
        <v>2.93</v>
      </c>
      <c r="O3931" s="194">
        <f t="shared" si="185"/>
        <v>0.19533333333333333</v>
      </c>
    </row>
    <row r="3932" spans="1:15" ht="12.75" customHeight="1">
      <c r="A3932" s="188" t="s">
        <v>620</v>
      </c>
      <c r="B3932" s="188" t="s">
        <v>4996</v>
      </c>
      <c r="C3932" s="188" t="s">
        <v>678</v>
      </c>
      <c r="D3932" s="188" t="s">
        <v>5748</v>
      </c>
      <c r="E3932" s="189">
        <v>39447</v>
      </c>
      <c r="F3932" s="190">
        <v>0</v>
      </c>
      <c r="G3932" s="190">
        <v>78.239999999999995</v>
      </c>
      <c r="H3932" s="191">
        <v>2521</v>
      </c>
      <c r="I3932" s="191">
        <v>293.39999999999998</v>
      </c>
      <c r="J3932" s="188" t="s">
        <v>624</v>
      </c>
      <c r="K3932" s="188" t="s">
        <v>652</v>
      </c>
      <c r="L3932" s="188" t="s">
        <v>5579</v>
      </c>
      <c r="M3932" s="192">
        <f t="shared" si="183"/>
        <v>13</v>
      </c>
      <c r="N3932" s="193">
        <f t="shared" si="184"/>
        <v>2.5777096114519429</v>
      </c>
      <c r="O3932" s="194">
        <f t="shared" si="185"/>
        <v>0.19828535472707254</v>
      </c>
    </row>
    <row r="3933" spans="1:15" ht="12.75" customHeight="1">
      <c r="A3933" s="188" t="s">
        <v>620</v>
      </c>
      <c r="B3933" s="188" t="s">
        <v>4996</v>
      </c>
      <c r="C3933" s="188" t="s">
        <v>678</v>
      </c>
      <c r="D3933" s="188" t="s">
        <v>5748</v>
      </c>
      <c r="E3933" s="189">
        <v>39534</v>
      </c>
      <c r="F3933" s="190">
        <v>0</v>
      </c>
      <c r="G3933" s="190">
        <v>-70.42</v>
      </c>
      <c r="H3933" s="191">
        <v>2521</v>
      </c>
      <c r="I3933" s="191">
        <v>293.39999999999998</v>
      </c>
      <c r="J3933" s="188" t="s">
        <v>624</v>
      </c>
      <c r="K3933" s="188" t="s">
        <v>652</v>
      </c>
      <c r="L3933" s="188" t="s">
        <v>5579</v>
      </c>
      <c r="M3933" s="192">
        <f t="shared" si="183"/>
        <v>13</v>
      </c>
      <c r="N3933" s="193">
        <f t="shared" si="184"/>
        <v>2.5777096114519429</v>
      </c>
      <c r="O3933" s="194">
        <f t="shared" si="185"/>
        <v>0.19828535472707254</v>
      </c>
    </row>
    <row r="3934" spans="1:15" ht="12.75" customHeight="1">
      <c r="A3934" s="188" t="s">
        <v>620</v>
      </c>
      <c r="B3934" s="188" t="s">
        <v>4996</v>
      </c>
      <c r="C3934" s="188" t="s">
        <v>678</v>
      </c>
      <c r="D3934" s="188" t="s">
        <v>5749</v>
      </c>
      <c r="E3934" s="189">
        <v>39534</v>
      </c>
      <c r="F3934" s="190">
        <v>0</v>
      </c>
      <c r="G3934" s="190">
        <v>78.239999999999995</v>
      </c>
      <c r="H3934" s="191">
        <v>2521</v>
      </c>
      <c r="I3934" s="191">
        <v>293.39999999999998</v>
      </c>
      <c r="J3934" s="188" t="s">
        <v>624</v>
      </c>
      <c r="K3934" s="188" t="s">
        <v>652</v>
      </c>
      <c r="L3934" s="188" t="s">
        <v>5579</v>
      </c>
      <c r="M3934" s="192">
        <f t="shared" si="183"/>
        <v>13</v>
      </c>
      <c r="N3934" s="193">
        <f t="shared" si="184"/>
        <v>2.5777096114519429</v>
      </c>
      <c r="O3934" s="194">
        <f t="shared" si="185"/>
        <v>0.19828535472707254</v>
      </c>
    </row>
    <row r="3935" spans="1:15" ht="12.75" customHeight="1">
      <c r="A3935" s="188" t="s">
        <v>620</v>
      </c>
      <c r="B3935" s="188" t="s">
        <v>4996</v>
      </c>
      <c r="C3935" s="188" t="s">
        <v>678</v>
      </c>
      <c r="D3935" s="188" t="s">
        <v>5749</v>
      </c>
      <c r="E3935" s="189">
        <v>39548</v>
      </c>
      <c r="F3935" s="190">
        <v>0</v>
      </c>
      <c r="G3935" s="190">
        <v>-78.239999999999995</v>
      </c>
      <c r="H3935" s="191">
        <v>2521</v>
      </c>
      <c r="I3935" s="191">
        <v>293.39999999999998</v>
      </c>
      <c r="J3935" s="188" t="s">
        <v>624</v>
      </c>
      <c r="K3935" s="188" t="s">
        <v>652</v>
      </c>
      <c r="L3935" s="188" t="s">
        <v>5579</v>
      </c>
      <c r="M3935" s="192">
        <f t="shared" si="183"/>
        <v>13</v>
      </c>
      <c r="N3935" s="193">
        <f t="shared" si="184"/>
        <v>2.5777096114519429</v>
      </c>
      <c r="O3935" s="194">
        <f t="shared" si="185"/>
        <v>0.19828535472707254</v>
      </c>
    </row>
    <row r="3936" spans="1:15" ht="12.75" customHeight="1">
      <c r="A3936" s="188" t="s">
        <v>620</v>
      </c>
      <c r="B3936" s="188" t="s">
        <v>4996</v>
      </c>
      <c r="C3936" s="188" t="s">
        <v>678</v>
      </c>
      <c r="D3936" s="188" t="s">
        <v>5750</v>
      </c>
      <c r="E3936" s="189">
        <v>39555</v>
      </c>
      <c r="F3936" s="190">
        <v>0</v>
      </c>
      <c r="G3936" s="190">
        <v>78.239999999999995</v>
      </c>
      <c r="H3936" s="191">
        <v>2521</v>
      </c>
      <c r="I3936" s="191">
        <v>293.39999999999998</v>
      </c>
      <c r="J3936" s="188" t="s">
        <v>624</v>
      </c>
      <c r="K3936" s="188" t="s">
        <v>652</v>
      </c>
      <c r="L3936" s="188" t="s">
        <v>5579</v>
      </c>
      <c r="M3936" s="192">
        <f t="shared" si="183"/>
        <v>13</v>
      </c>
      <c r="N3936" s="193">
        <f t="shared" si="184"/>
        <v>2.5777096114519429</v>
      </c>
      <c r="O3936" s="194">
        <f t="shared" si="185"/>
        <v>0.19828535472707254</v>
      </c>
    </row>
    <row r="3937" spans="1:15" ht="12.75" customHeight="1">
      <c r="A3937" s="188" t="s">
        <v>620</v>
      </c>
      <c r="B3937" s="188" t="s">
        <v>4996</v>
      </c>
      <c r="C3937" s="188" t="s">
        <v>678</v>
      </c>
      <c r="D3937" s="188" t="s">
        <v>5751</v>
      </c>
      <c r="E3937" s="189">
        <v>39492</v>
      </c>
      <c r="F3937" s="190">
        <v>0</v>
      </c>
      <c r="G3937" s="190">
        <v>64</v>
      </c>
      <c r="H3937" s="191">
        <v>1748</v>
      </c>
      <c r="I3937" s="191">
        <v>240</v>
      </c>
      <c r="J3937" s="188" t="s">
        <v>624</v>
      </c>
      <c r="K3937" s="188" t="s">
        <v>639</v>
      </c>
      <c r="L3937" s="188" t="s">
        <v>752</v>
      </c>
      <c r="M3937" s="192">
        <f t="shared" si="183"/>
        <v>11</v>
      </c>
      <c r="N3937" s="193">
        <f t="shared" si="184"/>
        <v>2.1850000000000001</v>
      </c>
      <c r="O3937" s="194">
        <f t="shared" si="185"/>
        <v>0.19863636363636364</v>
      </c>
    </row>
    <row r="3938" spans="1:15" ht="12.75" customHeight="1">
      <c r="A3938" s="188" t="s">
        <v>620</v>
      </c>
      <c r="B3938" s="188" t="s">
        <v>4996</v>
      </c>
      <c r="C3938" s="188" t="s">
        <v>678</v>
      </c>
      <c r="D3938" s="188" t="s">
        <v>5752</v>
      </c>
      <c r="E3938" s="189">
        <v>39499</v>
      </c>
      <c r="F3938" s="190">
        <v>0</v>
      </c>
      <c r="G3938" s="190">
        <v>69.599999999999994</v>
      </c>
      <c r="H3938" s="191">
        <v>2259</v>
      </c>
      <c r="I3938" s="191">
        <v>261</v>
      </c>
      <c r="J3938" s="188" t="s">
        <v>624</v>
      </c>
      <c r="K3938" s="188" t="s">
        <v>652</v>
      </c>
      <c r="L3938" s="188" t="s">
        <v>1979</v>
      </c>
      <c r="M3938" s="192">
        <f t="shared" si="183"/>
        <v>13</v>
      </c>
      <c r="N3938" s="193">
        <f t="shared" si="184"/>
        <v>2.5965517241379312</v>
      </c>
      <c r="O3938" s="194">
        <f t="shared" si="185"/>
        <v>0.19973474801061009</v>
      </c>
    </row>
    <row r="3939" spans="1:15" ht="12.75" customHeight="1">
      <c r="A3939" s="188" t="s">
        <v>620</v>
      </c>
      <c r="B3939" s="188" t="s">
        <v>4996</v>
      </c>
      <c r="C3939" s="188" t="s">
        <v>678</v>
      </c>
      <c r="D3939" s="188" t="s">
        <v>5753</v>
      </c>
      <c r="E3939" s="189">
        <v>39639</v>
      </c>
      <c r="F3939" s="190">
        <v>0</v>
      </c>
      <c r="G3939" s="190">
        <v>54.4</v>
      </c>
      <c r="H3939" s="191">
        <v>1776</v>
      </c>
      <c r="I3939" s="191">
        <v>204</v>
      </c>
      <c r="J3939" s="188" t="s">
        <v>624</v>
      </c>
      <c r="K3939" s="188" t="s">
        <v>652</v>
      </c>
      <c r="L3939" s="188" t="s">
        <v>1611</v>
      </c>
      <c r="M3939" s="192">
        <f t="shared" si="183"/>
        <v>13</v>
      </c>
      <c r="N3939" s="193">
        <f t="shared" si="184"/>
        <v>2.611764705882353</v>
      </c>
      <c r="O3939" s="194">
        <f t="shared" si="185"/>
        <v>0.20090497737556562</v>
      </c>
    </row>
    <row r="3940" spans="1:15" ht="12.75" customHeight="1">
      <c r="A3940" s="188" t="s">
        <v>620</v>
      </c>
      <c r="B3940" s="188" t="s">
        <v>4996</v>
      </c>
      <c r="C3940" s="188" t="s">
        <v>678</v>
      </c>
      <c r="D3940" s="188" t="s">
        <v>5754</v>
      </c>
      <c r="E3940" s="189">
        <v>39513</v>
      </c>
      <c r="F3940" s="190">
        <v>0</v>
      </c>
      <c r="G3940" s="190">
        <v>135.04</v>
      </c>
      <c r="H3940" s="191">
        <v>4495</v>
      </c>
      <c r="I3940" s="191">
        <v>506.4</v>
      </c>
      <c r="J3940" s="188" t="s">
        <v>624</v>
      </c>
      <c r="K3940" s="188" t="s">
        <v>652</v>
      </c>
      <c r="L3940" s="188" t="s">
        <v>1095</v>
      </c>
      <c r="M3940" s="192">
        <f t="shared" si="183"/>
        <v>13</v>
      </c>
      <c r="N3940" s="193">
        <f t="shared" si="184"/>
        <v>2.6629146919431279</v>
      </c>
      <c r="O3940" s="194">
        <f t="shared" si="185"/>
        <v>0.20483959168793292</v>
      </c>
    </row>
    <row r="3941" spans="1:15" ht="12.75" customHeight="1">
      <c r="A3941" s="188" t="s">
        <v>620</v>
      </c>
      <c r="B3941" s="188" t="s">
        <v>4996</v>
      </c>
      <c r="C3941" s="188" t="s">
        <v>678</v>
      </c>
      <c r="D3941" s="188" t="s">
        <v>5755</v>
      </c>
      <c r="E3941" s="189">
        <v>39407</v>
      </c>
      <c r="F3941" s="190">
        <v>0</v>
      </c>
      <c r="G3941" s="190">
        <v>86.4</v>
      </c>
      <c r="H3941" s="191">
        <v>2890</v>
      </c>
      <c r="I3941" s="191">
        <v>324</v>
      </c>
      <c r="J3941" s="188" t="s">
        <v>624</v>
      </c>
      <c r="K3941" s="188" t="s">
        <v>652</v>
      </c>
      <c r="L3941" s="188" t="s">
        <v>817</v>
      </c>
      <c r="M3941" s="192">
        <f t="shared" si="183"/>
        <v>13</v>
      </c>
      <c r="N3941" s="193">
        <f t="shared" si="184"/>
        <v>2.675925925925926</v>
      </c>
      <c r="O3941" s="194">
        <f t="shared" si="185"/>
        <v>0.20584045584045585</v>
      </c>
    </row>
    <row r="3942" spans="1:15" ht="12.75" customHeight="1">
      <c r="A3942" s="188" t="s">
        <v>620</v>
      </c>
      <c r="B3942" s="188" t="s">
        <v>4996</v>
      </c>
      <c r="C3942" s="188" t="s">
        <v>678</v>
      </c>
      <c r="D3942" s="188" t="s">
        <v>5756</v>
      </c>
      <c r="E3942" s="189">
        <v>39507</v>
      </c>
      <c r="F3942" s="190">
        <v>0</v>
      </c>
      <c r="G3942" s="190">
        <v>65.28</v>
      </c>
      <c r="H3942" s="191">
        <v>2300</v>
      </c>
      <c r="I3942" s="191">
        <v>244.8</v>
      </c>
      <c r="J3942" s="188" t="s">
        <v>624</v>
      </c>
      <c r="K3942" s="188" t="s">
        <v>652</v>
      </c>
      <c r="L3942" s="188" t="s">
        <v>1490</v>
      </c>
      <c r="M3942" s="192">
        <f t="shared" si="183"/>
        <v>13</v>
      </c>
      <c r="N3942" s="193">
        <f t="shared" si="184"/>
        <v>2.8186274509803924</v>
      </c>
      <c r="O3942" s="194">
        <f t="shared" si="185"/>
        <v>0.21681749622926094</v>
      </c>
    </row>
    <row r="3943" spans="1:15" ht="12.75" customHeight="1">
      <c r="A3943" s="188" t="s">
        <v>620</v>
      </c>
      <c r="B3943" s="188" t="s">
        <v>4996</v>
      </c>
      <c r="C3943" s="188" t="s">
        <v>678</v>
      </c>
      <c r="D3943" s="188" t="s">
        <v>5757</v>
      </c>
      <c r="E3943" s="189">
        <v>39583</v>
      </c>
      <c r="F3943" s="190">
        <v>0</v>
      </c>
      <c r="G3943" s="190">
        <v>72</v>
      </c>
      <c r="H3943" s="191">
        <v>2585</v>
      </c>
      <c r="I3943" s="191">
        <v>270</v>
      </c>
      <c r="J3943" s="188" t="s">
        <v>624</v>
      </c>
      <c r="K3943" s="188" t="s">
        <v>652</v>
      </c>
      <c r="L3943" s="188" t="s">
        <v>740</v>
      </c>
      <c r="M3943" s="192">
        <f t="shared" si="183"/>
        <v>13</v>
      </c>
      <c r="N3943" s="193">
        <f t="shared" si="184"/>
        <v>2.8722222222222222</v>
      </c>
      <c r="O3943" s="194">
        <f t="shared" si="185"/>
        <v>0.22094017094017093</v>
      </c>
    </row>
    <row r="3944" spans="1:15" ht="12.75" customHeight="1">
      <c r="A3944" s="188" t="s">
        <v>620</v>
      </c>
      <c r="B3944" s="188" t="s">
        <v>4996</v>
      </c>
      <c r="C3944" s="188" t="s">
        <v>678</v>
      </c>
      <c r="D3944" s="188" t="s">
        <v>5758</v>
      </c>
      <c r="E3944" s="189">
        <v>39485</v>
      </c>
      <c r="F3944" s="190">
        <v>0</v>
      </c>
      <c r="G3944" s="190">
        <v>121.6</v>
      </c>
      <c r="H3944" s="191">
        <v>4411</v>
      </c>
      <c r="I3944" s="191">
        <v>456</v>
      </c>
      <c r="J3944" s="188" t="s">
        <v>624</v>
      </c>
      <c r="K3944" s="188" t="s">
        <v>652</v>
      </c>
      <c r="L3944" s="188" t="s">
        <v>1452</v>
      </c>
      <c r="M3944" s="192">
        <f t="shared" si="183"/>
        <v>13</v>
      </c>
      <c r="N3944" s="193">
        <f t="shared" si="184"/>
        <v>2.9019736842105264</v>
      </c>
      <c r="O3944" s="194">
        <f t="shared" si="185"/>
        <v>0.22322874493927125</v>
      </c>
    </row>
    <row r="3945" spans="1:15" ht="12.75" customHeight="1">
      <c r="A3945" s="188" t="s">
        <v>620</v>
      </c>
      <c r="B3945" s="188" t="s">
        <v>4996</v>
      </c>
      <c r="C3945" s="188" t="s">
        <v>678</v>
      </c>
      <c r="D3945" s="188" t="s">
        <v>5759</v>
      </c>
      <c r="E3945" s="189">
        <v>39261</v>
      </c>
      <c r="F3945" s="190">
        <v>0</v>
      </c>
      <c r="G3945" s="190">
        <v>79.44</v>
      </c>
      <c r="H3945" s="191">
        <v>3187.03</v>
      </c>
      <c r="I3945" s="191">
        <v>297.89999999999998</v>
      </c>
      <c r="J3945" s="188" t="s">
        <v>624</v>
      </c>
      <c r="K3945" s="188" t="s">
        <v>1052</v>
      </c>
      <c r="L3945" s="188" t="s">
        <v>5760</v>
      </c>
      <c r="M3945" s="192">
        <f t="shared" si="183"/>
        <v>14</v>
      </c>
      <c r="N3945" s="193">
        <f t="shared" si="184"/>
        <v>3.2094964753272914</v>
      </c>
      <c r="O3945" s="194">
        <f t="shared" si="185"/>
        <v>0.22924974823766367</v>
      </c>
    </row>
    <row r="3946" spans="1:15" ht="12.75" customHeight="1">
      <c r="A3946" s="188" t="s">
        <v>620</v>
      </c>
      <c r="B3946" s="188" t="s">
        <v>4996</v>
      </c>
      <c r="C3946" s="188" t="s">
        <v>678</v>
      </c>
      <c r="D3946" s="188" t="s">
        <v>5761</v>
      </c>
      <c r="E3946" s="189">
        <v>39499</v>
      </c>
      <c r="F3946" s="190">
        <v>0</v>
      </c>
      <c r="G3946" s="190">
        <v>65.599999999999994</v>
      </c>
      <c r="H3946" s="191">
        <v>2450</v>
      </c>
      <c r="I3946" s="191">
        <v>246</v>
      </c>
      <c r="J3946" s="188" t="s">
        <v>624</v>
      </c>
      <c r="K3946" s="188" t="s">
        <v>652</v>
      </c>
      <c r="L3946" s="188" t="s">
        <v>1003</v>
      </c>
      <c r="M3946" s="192">
        <f t="shared" si="183"/>
        <v>13</v>
      </c>
      <c r="N3946" s="193">
        <f t="shared" si="184"/>
        <v>2.9878048780487805</v>
      </c>
      <c r="O3946" s="194">
        <f t="shared" si="185"/>
        <v>0.22983114446529079</v>
      </c>
    </row>
    <row r="3947" spans="1:15" ht="12.75" customHeight="1">
      <c r="A3947" s="188" t="s">
        <v>620</v>
      </c>
      <c r="B3947" s="188" t="s">
        <v>4996</v>
      </c>
      <c r="C3947" s="188" t="s">
        <v>678</v>
      </c>
      <c r="D3947" s="188" t="s">
        <v>5762</v>
      </c>
      <c r="E3947" s="189">
        <v>39485</v>
      </c>
      <c r="F3947" s="190">
        <v>0</v>
      </c>
      <c r="G3947" s="190">
        <v>79.599999999999994</v>
      </c>
      <c r="H3947" s="191">
        <v>3287</v>
      </c>
      <c r="I3947" s="191">
        <v>298.5</v>
      </c>
      <c r="J3947" s="188" t="s">
        <v>624</v>
      </c>
      <c r="K3947" s="188" t="s">
        <v>1052</v>
      </c>
      <c r="L3947" s="188" t="s">
        <v>4432</v>
      </c>
      <c r="M3947" s="192">
        <f t="shared" si="183"/>
        <v>14</v>
      </c>
      <c r="N3947" s="193">
        <f t="shared" si="184"/>
        <v>3.3035175879396985</v>
      </c>
      <c r="O3947" s="194">
        <f t="shared" si="185"/>
        <v>0.23596554199569275</v>
      </c>
    </row>
    <row r="3948" spans="1:15" ht="12.75" customHeight="1">
      <c r="A3948" s="188" t="s">
        <v>620</v>
      </c>
      <c r="B3948" s="188" t="s">
        <v>4996</v>
      </c>
      <c r="C3948" s="188" t="s">
        <v>678</v>
      </c>
      <c r="D3948" s="188" t="s">
        <v>5763</v>
      </c>
      <c r="E3948" s="189">
        <v>39331</v>
      </c>
      <c r="F3948" s="190">
        <v>0</v>
      </c>
      <c r="G3948" s="190">
        <v>67.680000000000007</v>
      </c>
      <c r="H3948" s="191">
        <v>2986.97</v>
      </c>
      <c r="I3948" s="191">
        <v>253.8</v>
      </c>
      <c r="J3948" s="188" t="s">
        <v>624</v>
      </c>
      <c r="K3948" s="188" t="s">
        <v>1052</v>
      </c>
      <c r="L3948" s="188" t="s">
        <v>1005</v>
      </c>
      <c r="M3948" s="192">
        <f t="shared" si="183"/>
        <v>14</v>
      </c>
      <c r="N3948" s="193">
        <f t="shared" si="184"/>
        <v>3.5306973995271864</v>
      </c>
      <c r="O3948" s="194">
        <f t="shared" si="185"/>
        <v>0.25219267139479901</v>
      </c>
    </row>
    <row r="3949" spans="1:15" ht="12.75" customHeight="1">
      <c r="A3949" s="188" t="s">
        <v>620</v>
      </c>
      <c r="B3949" s="188" t="s">
        <v>4996</v>
      </c>
      <c r="C3949" s="188" t="s">
        <v>678</v>
      </c>
      <c r="D3949" s="188" t="s">
        <v>5764</v>
      </c>
      <c r="E3949" s="189">
        <v>39219</v>
      </c>
      <c r="F3949" s="190">
        <v>0</v>
      </c>
      <c r="G3949" s="190">
        <v>55.04</v>
      </c>
      <c r="H3949" s="191">
        <v>1988.32</v>
      </c>
      <c r="I3949" s="191">
        <v>206.4</v>
      </c>
      <c r="J3949" s="188" t="s">
        <v>624</v>
      </c>
      <c r="K3949" s="188" t="s">
        <v>639</v>
      </c>
      <c r="L3949" s="188" t="s">
        <v>3065</v>
      </c>
      <c r="M3949" s="192">
        <f t="shared" si="183"/>
        <v>11</v>
      </c>
      <c r="N3949" s="193">
        <f t="shared" si="184"/>
        <v>2.89</v>
      </c>
      <c r="O3949" s="194">
        <f t="shared" si="185"/>
        <v>0.26272727272727275</v>
      </c>
    </row>
    <row r="3950" spans="1:15" ht="12.75" customHeight="1">
      <c r="A3950" s="188" t="s">
        <v>620</v>
      </c>
      <c r="B3950" s="188" t="s">
        <v>4996</v>
      </c>
      <c r="C3950" s="188" t="s">
        <v>678</v>
      </c>
      <c r="D3950" s="188" t="s">
        <v>5765</v>
      </c>
      <c r="E3950" s="189">
        <v>39401</v>
      </c>
      <c r="F3950" s="190">
        <v>0</v>
      </c>
      <c r="G3950" s="190">
        <v>64</v>
      </c>
      <c r="H3950" s="191">
        <v>3335</v>
      </c>
      <c r="I3950" s="191">
        <v>240</v>
      </c>
      <c r="J3950" s="188" t="s">
        <v>624</v>
      </c>
      <c r="K3950" s="188" t="s">
        <v>571</v>
      </c>
      <c r="L3950" s="188" t="s">
        <v>752</v>
      </c>
      <c r="M3950" s="192">
        <f t="shared" si="183"/>
        <v>15</v>
      </c>
      <c r="N3950" s="193">
        <f t="shared" si="184"/>
        <v>4.1687500000000002</v>
      </c>
      <c r="O3950" s="194">
        <f t="shared" si="185"/>
        <v>0.2779166666666667</v>
      </c>
    </row>
    <row r="3951" spans="1:15" ht="12.75" customHeight="1">
      <c r="A3951" s="188" t="s">
        <v>620</v>
      </c>
      <c r="B3951" s="188" t="s">
        <v>4996</v>
      </c>
      <c r="C3951" s="188" t="s">
        <v>678</v>
      </c>
      <c r="D3951" s="188" t="s">
        <v>5766</v>
      </c>
      <c r="E3951" s="189">
        <v>39436</v>
      </c>
      <c r="F3951" s="190">
        <v>0</v>
      </c>
      <c r="G3951" s="190">
        <v>79.040000000000006</v>
      </c>
      <c r="H3951" s="191">
        <v>3875</v>
      </c>
      <c r="I3951" s="191">
        <v>296.39999999999998</v>
      </c>
      <c r="J3951" s="188" t="s">
        <v>624</v>
      </c>
      <c r="K3951" s="188" t="s">
        <v>652</v>
      </c>
      <c r="L3951" s="188" t="s">
        <v>1083</v>
      </c>
      <c r="M3951" s="192">
        <f t="shared" si="183"/>
        <v>13</v>
      </c>
      <c r="N3951" s="193">
        <f t="shared" si="184"/>
        <v>3.9220647773279351</v>
      </c>
      <c r="O3951" s="194">
        <f t="shared" si="185"/>
        <v>0.30169729056368733</v>
      </c>
    </row>
    <row r="3952" spans="1:15" ht="12.75" customHeight="1">
      <c r="A3952" s="188" t="s">
        <v>620</v>
      </c>
      <c r="B3952" s="188" t="s">
        <v>4996</v>
      </c>
      <c r="C3952" s="188" t="s">
        <v>678</v>
      </c>
      <c r="D3952" s="188" t="s">
        <v>5767</v>
      </c>
      <c r="E3952" s="189">
        <v>39611</v>
      </c>
      <c r="F3952" s="190">
        <v>0</v>
      </c>
      <c r="G3952" s="190">
        <v>11.92</v>
      </c>
      <c r="H3952" s="191">
        <v>668</v>
      </c>
      <c r="I3952" s="191">
        <v>44.7</v>
      </c>
      <c r="J3952" s="188" t="s">
        <v>624</v>
      </c>
      <c r="K3952" s="188" t="s">
        <v>652</v>
      </c>
      <c r="L3952" s="188" t="s">
        <v>5768</v>
      </c>
      <c r="M3952" s="192">
        <f t="shared" si="183"/>
        <v>13</v>
      </c>
      <c r="N3952" s="193">
        <f t="shared" si="184"/>
        <v>4.4832214765100673</v>
      </c>
      <c r="O3952" s="194">
        <f t="shared" si="185"/>
        <v>0.34486319050077441</v>
      </c>
    </row>
    <row r="3953" spans="1:15" ht="12.75" customHeight="1">
      <c r="A3953" s="188" t="s">
        <v>620</v>
      </c>
      <c r="B3953" s="188" t="s">
        <v>4996</v>
      </c>
      <c r="C3953" s="188" t="s">
        <v>678</v>
      </c>
      <c r="D3953" s="188" t="s">
        <v>5769</v>
      </c>
      <c r="E3953" s="189">
        <v>39317</v>
      </c>
      <c r="F3953" s="190">
        <v>0</v>
      </c>
      <c r="G3953" s="190">
        <v>3.84</v>
      </c>
      <c r="H3953" s="191">
        <v>437</v>
      </c>
      <c r="I3953" s="191">
        <v>14.4</v>
      </c>
      <c r="J3953" s="188" t="s">
        <v>624</v>
      </c>
      <c r="K3953" s="188" t="s">
        <v>427</v>
      </c>
      <c r="L3953" s="188" t="s">
        <v>442</v>
      </c>
      <c r="M3953" s="192">
        <f t="shared" si="183"/>
        <v>25</v>
      </c>
      <c r="N3953" s="193">
        <f t="shared" si="184"/>
        <v>9.1041666666666661</v>
      </c>
      <c r="O3953" s="194">
        <f t="shared" si="185"/>
        <v>0.36416666666666664</v>
      </c>
    </row>
    <row r="3954" spans="1:15" ht="12.75" customHeight="1">
      <c r="A3954" s="188" t="s">
        <v>620</v>
      </c>
      <c r="B3954" s="188" t="s">
        <v>4996</v>
      </c>
      <c r="C3954" s="188" t="s">
        <v>678</v>
      </c>
      <c r="D3954" s="188" t="s">
        <v>5770</v>
      </c>
      <c r="E3954" s="189">
        <v>39471</v>
      </c>
      <c r="F3954" s="190">
        <v>0</v>
      </c>
      <c r="G3954" s="190">
        <v>8</v>
      </c>
      <c r="H3954" s="191">
        <v>414</v>
      </c>
      <c r="I3954" s="191">
        <v>30</v>
      </c>
      <c r="J3954" s="188" t="s">
        <v>624</v>
      </c>
      <c r="K3954" s="188" t="s">
        <v>639</v>
      </c>
      <c r="L3954" s="188" t="s">
        <v>3372</v>
      </c>
      <c r="M3954" s="192">
        <f t="shared" si="183"/>
        <v>11</v>
      </c>
      <c r="N3954" s="193">
        <f t="shared" si="184"/>
        <v>4.1399999999999997</v>
      </c>
      <c r="O3954" s="194">
        <f t="shared" si="185"/>
        <v>0.37636363636363634</v>
      </c>
    </row>
    <row r="3955" spans="1:15" ht="12.75" customHeight="1">
      <c r="A3955" s="188" t="s">
        <v>620</v>
      </c>
      <c r="B3955" s="188" t="s">
        <v>4996</v>
      </c>
      <c r="C3955" s="188" t="s">
        <v>678</v>
      </c>
      <c r="D3955" s="188" t="s">
        <v>5771</v>
      </c>
      <c r="E3955" s="189">
        <v>39401</v>
      </c>
      <c r="F3955" s="190">
        <v>0</v>
      </c>
      <c r="G3955" s="190">
        <v>14.24</v>
      </c>
      <c r="H3955" s="191">
        <v>1045</v>
      </c>
      <c r="I3955" s="191">
        <v>53.4</v>
      </c>
      <c r="J3955" s="188" t="s">
        <v>624</v>
      </c>
      <c r="K3955" s="188" t="s">
        <v>571</v>
      </c>
      <c r="L3955" s="188" t="s">
        <v>481</v>
      </c>
      <c r="M3955" s="192">
        <f t="shared" si="183"/>
        <v>15</v>
      </c>
      <c r="N3955" s="193">
        <f t="shared" si="184"/>
        <v>5.8707865168539328</v>
      </c>
      <c r="O3955" s="194">
        <f t="shared" si="185"/>
        <v>0.39138576779026218</v>
      </c>
    </row>
    <row r="3956" spans="1:15" ht="12.75" customHeight="1">
      <c r="A3956" s="188" t="s">
        <v>620</v>
      </c>
      <c r="B3956" s="188" t="s">
        <v>4996</v>
      </c>
      <c r="C3956" s="188" t="s">
        <v>678</v>
      </c>
      <c r="D3956" s="188" t="s">
        <v>5772</v>
      </c>
      <c r="E3956" s="189">
        <v>39611</v>
      </c>
      <c r="F3956" s="190">
        <v>0</v>
      </c>
      <c r="G3956" s="190">
        <v>10.96</v>
      </c>
      <c r="H3956" s="191">
        <v>726</v>
      </c>
      <c r="I3956" s="191">
        <v>41.1</v>
      </c>
      <c r="J3956" s="188" t="s">
        <v>624</v>
      </c>
      <c r="K3956" s="188" t="s">
        <v>652</v>
      </c>
      <c r="L3956" s="188" t="s">
        <v>5773</v>
      </c>
      <c r="M3956" s="192">
        <f t="shared" si="183"/>
        <v>13</v>
      </c>
      <c r="N3956" s="193">
        <f t="shared" si="184"/>
        <v>5.2992700729927007</v>
      </c>
      <c r="O3956" s="194">
        <f t="shared" si="185"/>
        <v>0.40763615946097698</v>
      </c>
    </row>
    <row r="3957" spans="1:15" ht="12.75" customHeight="1">
      <c r="A3957" s="188" t="s">
        <v>620</v>
      </c>
      <c r="B3957" s="188" t="s">
        <v>4996</v>
      </c>
      <c r="C3957" s="188" t="s">
        <v>678</v>
      </c>
      <c r="D3957" s="188" t="s">
        <v>5774</v>
      </c>
      <c r="E3957" s="189">
        <v>39429</v>
      </c>
      <c r="F3957" s="190">
        <v>0</v>
      </c>
      <c r="G3957" s="190">
        <v>8</v>
      </c>
      <c r="H3957" s="191">
        <v>1000</v>
      </c>
      <c r="I3957" s="191">
        <v>30</v>
      </c>
      <c r="J3957" s="188" t="s">
        <v>624</v>
      </c>
      <c r="K3957" s="188" t="s">
        <v>639</v>
      </c>
      <c r="L3957" s="188" t="s">
        <v>3372</v>
      </c>
      <c r="M3957" s="192">
        <f t="shared" si="183"/>
        <v>11</v>
      </c>
      <c r="N3957" s="193">
        <f t="shared" si="184"/>
        <v>10</v>
      </c>
      <c r="O3957" s="194">
        <f t="shared" si="185"/>
        <v>0.90909090909090906</v>
      </c>
    </row>
    <row r="3958" spans="1:15" ht="12.75" customHeight="1">
      <c r="A3958" s="188" t="s">
        <v>620</v>
      </c>
      <c r="B3958" s="188" t="s">
        <v>4996</v>
      </c>
      <c r="C3958" s="188" t="s">
        <v>678</v>
      </c>
      <c r="D3958" s="188" t="s">
        <v>5775</v>
      </c>
      <c r="E3958" s="189">
        <v>39576</v>
      </c>
      <c r="F3958" s="190">
        <v>0</v>
      </c>
      <c r="G3958" s="190">
        <v>62.72</v>
      </c>
      <c r="H3958" s="191">
        <v>17074.080000000002</v>
      </c>
      <c r="I3958" s="191">
        <v>235.2</v>
      </c>
      <c r="J3958" s="188" t="s">
        <v>624</v>
      </c>
      <c r="K3958" s="188" t="s">
        <v>571</v>
      </c>
      <c r="L3958" s="188" t="s">
        <v>713</v>
      </c>
      <c r="M3958" s="192">
        <f t="shared" si="183"/>
        <v>15</v>
      </c>
      <c r="N3958" s="193">
        <f t="shared" si="184"/>
        <v>21.778163265306123</v>
      </c>
      <c r="O3958" s="194">
        <f t="shared" si="185"/>
        <v>1.4518775510204083</v>
      </c>
    </row>
    <row r="3961" spans="1:15" ht="25.5">
      <c r="C3961" s="206" t="s">
        <v>5776</v>
      </c>
      <c r="D3961" s="206" t="s">
        <v>615</v>
      </c>
      <c r="E3961" s="206" t="s">
        <v>5777</v>
      </c>
      <c r="F3961" s="206" t="s">
        <v>5778</v>
      </c>
      <c r="G3961" s="206" t="s">
        <v>584</v>
      </c>
      <c r="J3961" s="178"/>
      <c r="K3961" s="178"/>
    </row>
    <row r="3962" spans="1:15">
      <c r="C3962" s="208" t="s">
        <v>236</v>
      </c>
      <c r="D3962" s="209">
        <f>AVERAGE(M$2:M$471)</f>
        <v>28.095744680851062</v>
      </c>
      <c r="E3962" s="210">
        <f>AVERAGE(N$2:N$471)</f>
        <v>0.72312584060409912</v>
      </c>
      <c r="F3962" s="210">
        <f>AVERAGE(O$2:O$471)</f>
        <v>2.6777262702071918E-2</v>
      </c>
      <c r="G3962" s="192">
        <f>COUNT(M$2:M$471)</f>
        <v>470</v>
      </c>
      <c r="H3962" s="211"/>
      <c r="J3962" s="178"/>
      <c r="K3962" s="178"/>
    </row>
    <row r="3963" spans="1:15">
      <c r="C3963" s="208" t="s">
        <v>227</v>
      </c>
      <c r="D3963" s="209">
        <f>MEDIAN(M$2:M$471)</f>
        <v>28</v>
      </c>
      <c r="E3963" s="210">
        <f>MEDIAN(N$2:N$471)</f>
        <v>0.64652682778537773</v>
      </c>
      <c r="F3963" s="212">
        <f>MEDIAN(O$2:O$471)</f>
        <v>2.2781509347384078E-2</v>
      </c>
      <c r="G3963" s="192"/>
    </row>
    <row r="3964" spans="1:15">
      <c r="C3964" s="213" t="s">
        <v>5779</v>
      </c>
      <c r="D3964" s="192"/>
      <c r="E3964" s="192"/>
      <c r="F3964" s="192"/>
      <c r="G3964" s="192"/>
    </row>
    <row r="3965" spans="1:15">
      <c r="C3965" s="208" t="s">
        <v>236</v>
      </c>
      <c r="D3965" s="209">
        <f>AVERAGE(M$472:M$1999)</f>
        <v>28.826570680628272</v>
      </c>
      <c r="E3965" s="210">
        <f>AVERAGE(N$472:N$1999)</f>
        <v>4.8996584008570281</v>
      </c>
      <c r="F3965" s="210">
        <f>AVERAGE(O$472:O$1999)</f>
        <v>0.15710874126095345</v>
      </c>
      <c r="G3965" s="209">
        <v>1528</v>
      </c>
      <c r="H3965" s="195"/>
    </row>
    <row r="3966" spans="1:15">
      <c r="C3966" s="208" t="s">
        <v>227</v>
      </c>
      <c r="D3966" s="209">
        <f>MEDIAN(M$472:M$1999)</f>
        <v>28</v>
      </c>
      <c r="E3966" s="210">
        <f>MEDIAN(N$472:N$1999)</f>
        <v>0.7007521126760563</v>
      </c>
      <c r="F3966" s="212">
        <f>MEDIAN(O$472:O$1999)</f>
        <v>2.4865060853275653E-2</v>
      </c>
      <c r="G3966" s="192"/>
      <c r="H3966" s="195"/>
    </row>
    <row r="3967" spans="1:15">
      <c r="C3967" s="213" t="s">
        <v>5780</v>
      </c>
      <c r="D3967" s="192"/>
      <c r="E3967" s="192"/>
      <c r="F3967" s="192"/>
      <c r="G3967" s="192"/>
      <c r="H3967" s="195"/>
    </row>
    <row r="3968" spans="1:15">
      <c r="C3968" s="208" t="s">
        <v>236</v>
      </c>
      <c r="D3968" s="209">
        <f>AVERAGE(M$2000:M$2299)</f>
        <v>24.09</v>
      </c>
      <c r="E3968" s="210">
        <f>AVERAGE(N$2000:N$2299)</f>
        <v>1.2374705164831497</v>
      </c>
      <c r="F3968" s="210">
        <f>AVERAGE(O$2000:O$2299)</f>
        <v>5.2505311068724594E-2</v>
      </c>
      <c r="G3968" s="209">
        <v>300</v>
      </c>
    </row>
    <row r="3969" spans="3:7">
      <c r="C3969" s="208" t="s">
        <v>227</v>
      </c>
      <c r="D3969" s="209">
        <f>MEDIAN(M$2000:M$2299)</f>
        <v>25</v>
      </c>
      <c r="E3969" s="210">
        <f>MEDIAN(N$2000:N$2299)</f>
        <v>1.116597222222222</v>
      </c>
      <c r="F3969" s="212">
        <f>MEDIAN(O$2000:O$2299)</f>
        <v>4.7070775156475689E-2</v>
      </c>
      <c r="G3969" s="192"/>
    </row>
    <row r="3970" spans="3:7">
      <c r="C3970" s="213" t="s">
        <v>5781</v>
      </c>
      <c r="D3970" s="192"/>
      <c r="E3970" s="192"/>
      <c r="F3970" s="192"/>
      <c r="G3970" s="192"/>
    </row>
    <row r="3971" spans="3:7">
      <c r="C3971" s="208" t="s">
        <v>236</v>
      </c>
      <c r="D3971" s="209">
        <f>AVERAGE(M$2300:M$3225)</f>
        <v>24.779697624190064</v>
      </c>
      <c r="E3971" s="210">
        <f>AVERAGE(N$2300:N$3225)</f>
        <v>4.4328417694900724</v>
      </c>
      <c r="F3971" s="210">
        <f>AVERAGE(O$2300:O$3225)</f>
        <v>0.17976646683537525</v>
      </c>
      <c r="G3971" s="209">
        <v>926</v>
      </c>
    </row>
    <row r="3972" spans="3:7">
      <c r="C3972" s="208" t="s">
        <v>227</v>
      </c>
      <c r="D3972" s="209">
        <f>MEDIAN(M$2300:M$3225)</f>
        <v>25</v>
      </c>
      <c r="E3972" s="210">
        <f>MEDIAN(N$2300:N$3225)</f>
        <v>1.1602493966210781</v>
      </c>
      <c r="F3972" s="212">
        <f>MEDIAN(O$2300:O$3225)</f>
        <v>4.7595190854119424E-2</v>
      </c>
      <c r="G3972" s="192"/>
    </row>
    <row r="3973" spans="3:7">
      <c r="C3973" s="213" t="s">
        <v>5782</v>
      </c>
      <c r="D3973" s="192"/>
      <c r="E3973" s="192"/>
      <c r="F3973" s="192"/>
      <c r="G3973" s="192"/>
    </row>
    <row r="3974" spans="3:7">
      <c r="C3974" s="208" t="s">
        <v>236</v>
      </c>
      <c r="D3974" s="209">
        <f>AVERAGE(M$3226:M$3318)</f>
        <v>14.978494623655914</v>
      </c>
      <c r="E3974" s="210">
        <f>AVERAGE(N$3226:N$3318)</f>
        <v>1.4418664549980154</v>
      </c>
      <c r="F3974" s="210">
        <f>AVERAGE(O$3226:O$3318)</f>
        <v>0.10147770455940994</v>
      </c>
      <c r="G3974" s="209">
        <v>93</v>
      </c>
    </row>
    <row r="3975" spans="3:7">
      <c r="C3975" s="208" t="s">
        <v>227</v>
      </c>
      <c r="D3975" s="209">
        <f>MEDIAN(M$3226:M$3318)</f>
        <v>15</v>
      </c>
      <c r="E3975" s="210">
        <f>MEDIAN(N$3226:N$3318)</f>
        <v>1.3051724137931036</v>
      </c>
      <c r="F3975" s="212">
        <f>MEDIAN(O$3226:O$3318)</f>
        <v>9.1333333333333336E-2</v>
      </c>
      <c r="G3975" s="192"/>
    </row>
    <row r="3976" spans="3:7">
      <c r="C3976" s="213" t="s">
        <v>5783</v>
      </c>
      <c r="D3976" s="192"/>
      <c r="E3976" s="192"/>
      <c r="F3976" s="192"/>
      <c r="G3976" s="192"/>
    </row>
    <row r="3977" spans="3:7">
      <c r="C3977" s="208" t="s">
        <v>236</v>
      </c>
      <c r="D3977" s="209">
        <f>AVERAGE(M$3319:M$3958)</f>
        <v>14.2046875</v>
      </c>
      <c r="E3977" s="210">
        <f>AVERAGE(N$3319:N$3958)</f>
        <v>1.4355876134633263</v>
      </c>
      <c r="F3977" s="210">
        <f>AVERAGE(O$3319:O$3958)</f>
        <v>0.10428071951606147</v>
      </c>
      <c r="G3977" s="209">
        <v>640</v>
      </c>
    </row>
    <row r="3978" spans="3:7">
      <c r="C3978" s="208" t="s">
        <v>227</v>
      </c>
      <c r="D3978" s="209">
        <f>MEDIAN(M$3319:M$3958)</f>
        <v>13</v>
      </c>
      <c r="E3978" s="210">
        <f>MEDIAN(N$3319:N$3958)</f>
        <v>1.334603404535204</v>
      </c>
      <c r="F3978" s="212">
        <f>MEDIAN(O$3319:O$3958)</f>
        <v>9.4049002799002801E-2</v>
      </c>
      <c r="G3978" s="192"/>
    </row>
    <row r="3982" spans="3:7">
      <c r="E3982" s="214" t="s">
        <v>228</v>
      </c>
      <c r="F3982" s="214">
        <v>1.0780000000000001</v>
      </c>
    </row>
    <row r="3983" spans="3:7">
      <c r="C3983" s="215" t="s">
        <v>31</v>
      </c>
      <c r="D3983" s="215" t="s">
        <v>229</v>
      </c>
      <c r="E3983" s="215" t="s">
        <v>5784</v>
      </c>
      <c r="F3983" s="215" t="s">
        <v>5809</v>
      </c>
    </row>
    <row r="3984" spans="3:7">
      <c r="C3984" s="192" t="s">
        <v>5786</v>
      </c>
      <c r="D3984" s="192">
        <v>19</v>
      </c>
      <c r="E3984" s="194">
        <f t="shared" ref="E3984:E3989" si="186">D3984*F$3963</f>
        <v>0.43284867760029749</v>
      </c>
      <c r="F3984" s="216">
        <f t="shared" ref="F3984:F3999" si="187">$F$3982*E3984</f>
        <v>0.46661087445312072</v>
      </c>
    </row>
    <row r="3985" spans="3:6">
      <c r="C3985" s="192" t="s">
        <v>5787</v>
      </c>
      <c r="D3985" s="192">
        <v>11</v>
      </c>
      <c r="E3985" s="194">
        <f t="shared" si="186"/>
        <v>0.25059660282122487</v>
      </c>
      <c r="F3985" s="216">
        <f t="shared" si="187"/>
        <v>0.27014313784128041</v>
      </c>
    </row>
    <row r="3986" spans="3:6">
      <c r="C3986" s="192" t="s">
        <v>5788</v>
      </c>
      <c r="D3986" s="192">
        <v>8</v>
      </c>
      <c r="E3986" s="194">
        <f t="shared" si="186"/>
        <v>0.18225207477907263</v>
      </c>
      <c r="F3986" s="216">
        <f t="shared" si="187"/>
        <v>0.1964677366118403</v>
      </c>
    </row>
    <row r="3987" spans="3:6">
      <c r="C3987" s="213" t="s">
        <v>5789</v>
      </c>
      <c r="D3987" s="192">
        <v>11</v>
      </c>
      <c r="E3987" s="194">
        <f t="shared" si="186"/>
        <v>0.25059660282122487</v>
      </c>
      <c r="F3987" s="216">
        <f t="shared" si="187"/>
        <v>0.27014313784128041</v>
      </c>
    </row>
    <row r="3988" spans="3:6">
      <c r="C3988" s="192" t="s">
        <v>5790</v>
      </c>
      <c r="D3988" s="192">
        <v>38</v>
      </c>
      <c r="E3988" s="194">
        <f t="shared" si="186"/>
        <v>0.86569735520059499</v>
      </c>
      <c r="F3988" s="216">
        <f t="shared" si="187"/>
        <v>0.93322174890624143</v>
      </c>
    </row>
    <row r="3989" spans="3:6">
      <c r="C3989" s="213" t="s">
        <v>5791</v>
      </c>
      <c r="D3989" s="192">
        <v>49</v>
      </c>
      <c r="E3989" s="194">
        <f t="shared" si="186"/>
        <v>1.1162939580218199</v>
      </c>
      <c r="F3989" s="216">
        <f t="shared" si="187"/>
        <v>1.203364886747522</v>
      </c>
    </row>
    <row r="3990" spans="3:6">
      <c r="C3990" s="192" t="s">
        <v>5792</v>
      </c>
      <c r="D3990" s="192">
        <v>19</v>
      </c>
      <c r="E3990" s="194">
        <f t="shared" ref="E3990:E3996" si="188">D3990*F$3969</f>
        <v>0.8943447279730381</v>
      </c>
      <c r="F3990" s="216">
        <f t="shared" si="187"/>
        <v>0.96410361675493517</v>
      </c>
    </row>
    <row r="3991" spans="3:6">
      <c r="C3991" s="213" t="s">
        <v>5793</v>
      </c>
      <c r="D3991" s="192">
        <v>6</v>
      </c>
      <c r="E3991" s="194">
        <f t="shared" si="188"/>
        <v>0.28242465093885416</v>
      </c>
      <c r="F3991" s="216">
        <f t="shared" si="187"/>
        <v>0.30445377371208482</v>
      </c>
    </row>
    <row r="3992" spans="3:6">
      <c r="C3992" s="213" t="s">
        <v>5794</v>
      </c>
      <c r="D3992" s="192">
        <v>5</v>
      </c>
      <c r="E3992" s="194">
        <f t="shared" si="188"/>
        <v>0.23535387578237843</v>
      </c>
      <c r="F3992" s="216">
        <f t="shared" si="187"/>
        <v>0.25371147809340394</v>
      </c>
    </row>
    <row r="3993" spans="3:6">
      <c r="C3993" s="213" t="s">
        <v>5795</v>
      </c>
      <c r="D3993" s="192">
        <v>8</v>
      </c>
      <c r="E3993" s="194">
        <f t="shared" si="188"/>
        <v>0.37656620125180551</v>
      </c>
      <c r="F3993" s="216">
        <f t="shared" si="187"/>
        <v>0.40593836494944635</v>
      </c>
    </row>
    <row r="3994" spans="3:6">
      <c r="C3994" s="213" t="s">
        <v>5796</v>
      </c>
      <c r="D3994" s="192">
        <v>25</v>
      </c>
      <c r="E3994" s="194">
        <f t="shared" si="188"/>
        <v>1.1767693789118923</v>
      </c>
      <c r="F3994" s="216">
        <f t="shared" si="187"/>
        <v>1.26855739046702</v>
      </c>
    </row>
    <row r="3995" spans="3:6">
      <c r="C3995" s="213" t="s">
        <v>5797</v>
      </c>
      <c r="D3995" s="192">
        <v>30</v>
      </c>
      <c r="E3995" s="194">
        <f t="shared" si="188"/>
        <v>1.4121232546942706</v>
      </c>
      <c r="F3995" s="216">
        <f t="shared" si="187"/>
        <v>1.5222688685604238</v>
      </c>
    </row>
    <row r="3996" spans="3:6">
      <c r="C3996" s="213" t="s">
        <v>5798</v>
      </c>
      <c r="D3996" s="192">
        <v>38</v>
      </c>
      <c r="E3996" s="194">
        <f t="shared" si="188"/>
        <v>1.7886894559460762</v>
      </c>
      <c r="F3996" s="216">
        <f t="shared" si="187"/>
        <v>1.9282072335098703</v>
      </c>
    </row>
    <row r="3997" spans="3:6">
      <c r="C3997" s="192" t="s">
        <v>5799</v>
      </c>
      <c r="D3997" s="192">
        <v>11</v>
      </c>
      <c r="E3997" s="194">
        <f>D3997*F$3975</f>
        <v>1.0046666666666666</v>
      </c>
      <c r="F3997" s="216">
        <f t="shared" si="187"/>
        <v>1.0830306666666667</v>
      </c>
    </row>
    <row r="3998" spans="3:6">
      <c r="C3998" s="192" t="s">
        <v>5800</v>
      </c>
      <c r="D3998" s="192">
        <v>13</v>
      </c>
      <c r="E3998" s="194">
        <f>D3998*F$3975</f>
        <v>1.1873333333333334</v>
      </c>
      <c r="F3998" s="216">
        <f t="shared" si="187"/>
        <v>1.2799453333333335</v>
      </c>
    </row>
    <row r="3999" spans="3:6">
      <c r="C3999" s="192" t="s">
        <v>5801</v>
      </c>
      <c r="D3999" s="192">
        <v>15</v>
      </c>
      <c r="E3999" s="194">
        <f>D3999*F$3975</f>
        <v>1.37</v>
      </c>
      <c r="F3999" s="216">
        <f t="shared" si="187"/>
        <v>1.4768600000000003</v>
      </c>
    </row>
    <row r="4001" spans="3:9" ht="13.5" thickBot="1"/>
    <row r="4002" spans="3:9" ht="13.5" thickBot="1">
      <c r="C4002" s="217" t="s">
        <v>5802</v>
      </c>
      <c r="D4002" s="218"/>
      <c r="E4002" s="219" t="s">
        <v>228</v>
      </c>
      <c r="F4002" s="220">
        <v>0.96948278962379841</v>
      </c>
      <c r="G4002" s="221" t="s">
        <v>5803</v>
      </c>
      <c r="H4002" s="222" t="s">
        <v>5804</v>
      </c>
      <c r="I4002" s="223" t="s">
        <v>236</v>
      </c>
    </row>
    <row r="4003" spans="3:9" ht="13.5" thickBot="1">
      <c r="C4003" s="224" t="s">
        <v>31</v>
      </c>
      <c r="D4003" s="225" t="s">
        <v>229</v>
      </c>
      <c r="E4003" s="226" t="s">
        <v>5784</v>
      </c>
      <c r="F4003" s="227" t="s">
        <v>5785</v>
      </c>
      <c r="G4003" s="228" t="s">
        <v>5805</v>
      </c>
      <c r="H4003" s="229" t="s">
        <v>5806</v>
      </c>
      <c r="I4003" s="230" t="s">
        <v>5807</v>
      </c>
    </row>
    <row r="4004" spans="3:9">
      <c r="C4004" s="231" t="s">
        <v>5786</v>
      </c>
      <c r="D4004" s="232">
        <v>19</v>
      </c>
      <c r="E4004" s="233">
        <v>0.43284867760029749</v>
      </c>
      <c r="F4004" s="234">
        <v>0.41963934344490855</v>
      </c>
      <c r="G4004" s="235">
        <v>0.66792494321343565</v>
      </c>
      <c r="H4004" s="236">
        <v>0.52835073305770208</v>
      </c>
      <c r="I4004" s="236">
        <v>0.53863833990534882</v>
      </c>
    </row>
    <row r="4005" spans="3:9">
      <c r="C4005" s="237" t="s">
        <v>5787</v>
      </c>
      <c r="D4005" s="238">
        <v>11</v>
      </c>
      <c r="E4005" s="239">
        <v>0.25059660282122487</v>
      </c>
      <c r="F4005" s="240">
        <v>0.24294909357336811</v>
      </c>
      <c r="G4005" s="241">
        <v>0.38669338817619964</v>
      </c>
      <c r="H4005" s="242">
        <v>0.30588726650709069</v>
      </c>
      <c r="I4005" s="242">
        <v>0.31184324941888614</v>
      </c>
    </row>
    <row r="4006" spans="3:9">
      <c r="C4006" s="237" t="s">
        <v>5788</v>
      </c>
      <c r="D4006" s="238">
        <v>8</v>
      </c>
      <c r="E4006" s="239">
        <v>0.18225207477907263</v>
      </c>
      <c r="F4006" s="240">
        <v>0.17669024987154044</v>
      </c>
      <c r="G4006" s="241">
        <v>0.28123155503723607</v>
      </c>
      <c r="H4006" s="242">
        <v>0.22246346655061142</v>
      </c>
      <c r="I4006" s="242">
        <v>0.22679509048646265</v>
      </c>
    </row>
    <row r="4007" spans="3:9">
      <c r="C4007" s="243" t="s">
        <v>5789</v>
      </c>
      <c r="D4007" s="238">
        <v>11</v>
      </c>
      <c r="E4007" s="239">
        <v>0.25059660282122487</v>
      </c>
      <c r="F4007" s="240">
        <v>0.24294909357336811</v>
      </c>
      <c r="G4007" s="241">
        <v>0.38669338817619964</v>
      </c>
      <c r="H4007" s="242">
        <v>0.30588726650709069</v>
      </c>
      <c r="I4007" s="242">
        <v>0.31184324941888614</v>
      </c>
    </row>
    <row r="4008" spans="3:9" ht="13.5" thickBot="1">
      <c r="C4008" s="244" t="s">
        <v>5790</v>
      </c>
      <c r="D4008" s="245">
        <v>38</v>
      </c>
      <c r="E4008" s="246">
        <v>0.86569735520059499</v>
      </c>
      <c r="F4008" s="247">
        <v>0.8392786868898171</v>
      </c>
      <c r="G4008" s="248">
        <v>1.3358498864268713</v>
      </c>
      <c r="H4008" s="249">
        <v>1.0567014661154042</v>
      </c>
      <c r="I4008" s="249">
        <v>1.0772766798106976</v>
      </c>
    </row>
    <row r="4009" spans="3:9">
      <c r="C4009" s="231" t="s">
        <v>5792</v>
      </c>
      <c r="D4009" s="232">
        <v>19</v>
      </c>
      <c r="E4009" s="233">
        <v>0.8943447279730381</v>
      </c>
      <c r="F4009" s="234">
        <v>0.86705182176063811</v>
      </c>
      <c r="G4009" s="235">
        <v>1.2292977831418712</v>
      </c>
      <c r="H4009" s="236">
        <v>1.0063715936020783</v>
      </c>
      <c r="I4009" s="236">
        <v>1.0342403995015292</v>
      </c>
    </row>
    <row r="4010" spans="3:9">
      <c r="C4010" s="237" t="s">
        <v>5808</v>
      </c>
      <c r="D4010" s="238">
        <v>11</v>
      </c>
      <c r="E4010" s="239">
        <v>0.51777852672123259</v>
      </c>
      <c r="F4010" s="250">
        <v>0.50197737049300106</v>
      </c>
      <c r="G4010" s="241">
        <v>0.71169871655582018</v>
      </c>
      <c r="H4010" s="242">
        <v>0.58263618576962428</v>
      </c>
      <c r="I4010" s="242">
        <v>0.59877075760614851</v>
      </c>
    </row>
    <row r="4011" spans="3:9">
      <c r="C4011" s="243" t="s">
        <v>5795</v>
      </c>
      <c r="D4011" s="238">
        <v>8</v>
      </c>
      <c r="E4011" s="239">
        <v>0.37656620125180551</v>
      </c>
      <c r="F4011" s="240">
        <v>0.3650744512676371</v>
      </c>
      <c r="G4011" s="241">
        <v>0.51759906658605104</v>
      </c>
      <c r="H4011" s="242">
        <v>0.42373540783245406</v>
      </c>
      <c r="I4011" s="242">
        <v>0.43546964189538073</v>
      </c>
    </row>
    <row r="4012" spans="3:9" ht="13.5" thickBot="1">
      <c r="C4012" s="251" t="s">
        <v>5797</v>
      </c>
      <c r="D4012" s="252">
        <v>30</v>
      </c>
      <c r="E4012" s="253">
        <v>1.4121232546942706</v>
      </c>
      <c r="F4012" s="254">
        <v>1.3690291922536391</v>
      </c>
      <c r="G4012" s="255">
        <v>1.9409964996976914</v>
      </c>
      <c r="H4012" s="256">
        <v>1.5890077793717028</v>
      </c>
      <c r="I4012" s="256">
        <v>1.6330111571076777</v>
      </c>
    </row>
    <row r="4013" spans="3:9">
      <c r="C4013" s="231" t="s">
        <v>5799</v>
      </c>
      <c r="D4013" s="232">
        <v>11</v>
      </c>
      <c r="E4013" s="233">
        <v>1.0046666666666666</v>
      </c>
      <c r="F4013" s="234">
        <v>0.97400704264204274</v>
      </c>
      <c r="G4013" s="235">
        <v>1.0278017511632522</v>
      </c>
      <c r="H4013" s="236">
        <v>0.76473650466447807</v>
      </c>
      <c r="I4013" s="236">
        <v>0.92218176615659109</v>
      </c>
    </row>
    <row r="4014" spans="3:9">
      <c r="C4014" s="237" t="s">
        <v>5800</v>
      </c>
      <c r="D4014" s="238">
        <v>13</v>
      </c>
      <c r="E4014" s="239">
        <v>1.1873333333333334</v>
      </c>
      <c r="F4014" s="240">
        <v>1.1510992322133233</v>
      </c>
      <c r="G4014" s="241">
        <v>1.2146747968292979</v>
      </c>
      <c r="H4014" s="242">
        <v>0.90377950551256503</v>
      </c>
      <c r="I4014" s="242">
        <v>1.0898511781850619</v>
      </c>
    </row>
    <row r="4015" spans="3:9" ht="13.5" thickBot="1">
      <c r="C4015" s="257" t="s">
        <v>5801</v>
      </c>
      <c r="D4015" s="245">
        <v>15</v>
      </c>
      <c r="E4015" s="246">
        <v>1.37</v>
      </c>
      <c r="F4015" s="247">
        <v>1.328191421784604</v>
      </c>
      <c r="G4015" s="248">
        <v>1.4015478424953438</v>
      </c>
      <c r="H4015" s="249">
        <v>1.0428225063606518</v>
      </c>
      <c r="I4015" s="249">
        <v>1.2575205902135331</v>
      </c>
    </row>
    <row r="4016" spans="3:9">
      <c r="C4016" s="178"/>
      <c r="D4016" s="178"/>
    </row>
    <row r="4017" spans="3:4">
      <c r="C4017" s="178"/>
      <c r="D4017" s="178"/>
    </row>
    <row r="4018" spans="3:4">
      <c r="C4018" s="178"/>
      <c r="D4018" s="178"/>
    </row>
  </sheetData>
  <autoFilter ref="A1:O3958"/>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sheetPr>
    <tabColor theme="5" tint="0.79998168889431442"/>
  </sheetPr>
  <dimension ref="A1:S134"/>
  <sheetViews>
    <sheetView workbookViewId="0">
      <selection activeCell="I4" sqref="I4"/>
    </sheetView>
  </sheetViews>
  <sheetFormatPr defaultRowHeight="12.75"/>
  <cols>
    <col min="1" max="1" width="15.85546875" style="112" customWidth="1"/>
    <col min="2" max="2" width="16.5703125" style="112" bestFit="1" customWidth="1"/>
    <col min="3" max="3" width="52.7109375" style="112" bestFit="1" customWidth="1"/>
    <col min="4" max="4" width="13.7109375" style="112" bestFit="1" customWidth="1"/>
    <col min="5" max="5" width="14.140625" style="112" bestFit="1" customWidth="1"/>
    <col min="6" max="6" width="13.140625" style="112" bestFit="1" customWidth="1"/>
    <col min="7" max="7" width="15.140625" style="112" customWidth="1"/>
    <col min="8" max="8" width="15.28515625" style="114" bestFit="1" customWidth="1"/>
    <col min="9" max="9" width="11.42578125" style="112" customWidth="1"/>
    <col min="10" max="10" width="16.7109375" style="112" customWidth="1"/>
    <col min="11" max="11" width="15.7109375" style="114" bestFit="1" customWidth="1"/>
    <col min="12" max="12" width="14.140625" style="112" customWidth="1"/>
    <col min="13" max="13" width="14.85546875" style="112" customWidth="1"/>
    <col min="14" max="14" width="9.7109375" style="115" customWidth="1"/>
    <col min="15" max="15" width="8.140625" style="112" customWidth="1"/>
    <col min="16" max="18" width="9.140625" style="112"/>
    <col min="19" max="19" width="9.140625" style="115"/>
    <col min="20" max="256" width="9.140625" style="112"/>
    <col min="257" max="257" width="15.85546875" style="112" customWidth="1"/>
    <col min="258" max="258" width="16.5703125" style="112" bestFit="1" customWidth="1"/>
    <col min="259" max="259" width="52.7109375" style="112" bestFit="1" customWidth="1"/>
    <col min="260" max="260" width="13.7109375" style="112" bestFit="1" customWidth="1"/>
    <col min="261" max="261" width="14.140625" style="112" bestFit="1" customWidth="1"/>
    <col min="262" max="262" width="13.140625" style="112" bestFit="1" customWidth="1"/>
    <col min="263" max="263" width="15.140625" style="112" customWidth="1"/>
    <col min="264" max="264" width="15.28515625" style="112" bestFit="1" customWidth="1"/>
    <col min="265" max="265" width="11.42578125" style="112" customWidth="1"/>
    <col min="266" max="266" width="16.7109375" style="112" customWidth="1"/>
    <col min="267" max="267" width="15.7109375" style="112" bestFit="1" customWidth="1"/>
    <col min="268" max="268" width="14.140625" style="112" customWidth="1"/>
    <col min="269" max="269" width="14.85546875" style="112" customWidth="1"/>
    <col min="270" max="270" width="9.7109375" style="112" customWidth="1"/>
    <col min="271" max="271" width="8.140625" style="112" customWidth="1"/>
    <col min="272" max="512" width="9.140625" style="112"/>
    <col min="513" max="513" width="15.85546875" style="112" customWidth="1"/>
    <col min="514" max="514" width="16.5703125" style="112" bestFit="1" customWidth="1"/>
    <col min="515" max="515" width="52.7109375" style="112" bestFit="1" customWidth="1"/>
    <col min="516" max="516" width="13.7109375" style="112" bestFit="1" customWidth="1"/>
    <col min="517" max="517" width="14.140625" style="112" bestFit="1" customWidth="1"/>
    <col min="518" max="518" width="13.140625" style="112" bestFit="1" customWidth="1"/>
    <col min="519" max="519" width="15.140625" style="112" customWidth="1"/>
    <col min="520" max="520" width="15.28515625" style="112" bestFit="1" customWidth="1"/>
    <col min="521" max="521" width="11.42578125" style="112" customWidth="1"/>
    <col min="522" max="522" width="16.7109375" style="112" customWidth="1"/>
    <col min="523" max="523" width="15.7109375" style="112" bestFit="1" customWidth="1"/>
    <col min="524" max="524" width="14.140625" style="112" customWidth="1"/>
    <col min="525" max="525" width="14.85546875" style="112" customWidth="1"/>
    <col min="526" max="526" width="9.7109375" style="112" customWidth="1"/>
    <col min="527" max="527" width="8.140625" style="112" customWidth="1"/>
    <col min="528" max="768" width="9.140625" style="112"/>
    <col min="769" max="769" width="15.85546875" style="112" customWidth="1"/>
    <col min="770" max="770" width="16.5703125" style="112" bestFit="1" customWidth="1"/>
    <col min="771" max="771" width="52.7109375" style="112" bestFit="1" customWidth="1"/>
    <col min="772" max="772" width="13.7109375" style="112" bestFit="1" customWidth="1"/>
    <col min="773" max="773" width="14.140625" style="112" bestFit="1" customWidth="1"/>
    <col min="774" max="774" width="13.140625" style="112" bestFit="1" customWidth="1"/>
    <col min="775" max="775" width="15.140625" style="112" customWidth="1"/>
    <col min="776" max="776" width="15.28515625" style="112" bestFit="1" customWidth="1"/>
    <col min="777" max="777" width="11.42578125" style="112" customWidth="1"/>
    <col min="778" max="778" width="16.7109375" style="112" customWidth="1"/>
    <col min="779" max="779" width="15.7109375" style="112" bestFit="1" customWidth="1"/>
    <col min="780" max="780" width="14.140625" style="112" customWidth="1"/>
    <col min="781" max="781" width="14.85546875" style="112" customWidth="1"/>
    <col min="782" max="782" width="9.7109375" style="112" customWidth="1"/>
    <col min="783" max="783" width="8.140625" style="112" customWidth="1"/>
    <col min="784" max="1024" width="9.140625" style="112"/>
    <col min="1025" max="1025" width="15.85546875" style="112" customWidth="1"/>
    <col min="1026" max="1026" width="16.5703125" style="112" bestFit="1" customWidth="1"/>
    <col min="1027" max="1027" width="52.7109375" style="112" bestFit="1" customWidth="1"/>
    <col min="1028" max="1028" width="13.7109375" style="112" bestFit="1" customWidth="1"/>
    <col min="1029" max="1029" width="14.140625" style="112" bestFit="1" customWidth="1"/>
    <col min="1030" max="1030" width="13.140625" style="112" bestFit="1" customWidth="1"/>
    <col min="1031" max="1031" width="15.140625" style="112" customWidth="1"/>
    <col min="1032" max="1032" width="15.28515625" style="112" bestFit="1" customWidth="1"/>
    <col min="1033" max="1033" width="11.42578125" style="112" customWidth="1"/>
    <col min="1034" max="1034" width="16.7109375" style="112" customWidth="1"/>
    <col min="1035" max="1035" width="15.7109375" style="112" bestFit="1" customWidth="1"/>
    <col min="1036" max="1036" width="14.140625" style="112" customWidth="1"/>
    <col min="1037" max="1037" width="14.85546875" style="112" customWidth="1"/>
    <col min="1038" max="1038" width="9.7109375" style="112" customWidth="1"/>
    <col min="1039" max="1039" width="8.140625" style="112" customWidth="1"/>
    <col min="1040" max="1280" width="9.140625" style="112"/>
    <col min="1281" max="1281" width="15.85546875" style="112" customWidth="1"/>
    <col min="1282" max="1282" width="16.5703125" style="112" bestFit="1" customWidth="1"/>
    <col min="1283" max="1283" width="52.7109375" style="112" bestFit="1" customWidth="1"/>
    <col min="1284" max="1284" width="13.7109375" style="112" bestFit="1" customWidth="1"/>
    <col min="1285" max="1285" width="14.140625" style="112" bestFit="1" customWidth="1"/>
    <col min="1286" max="1286" width="13.140625" style="112" bestFit="1" customWidth="1"/>
    <col min="1287" max="1287" width="15.140625" style="112" customWidth="1"/>
    <col min="1288" max="1288" width="15.28515625" style="112" bestFit="1" customWidth="1"/>
    <col min="1289" max="1289" width="11.42578125" style="112" customWidth="1"/>
    <col min="1290" max="1290" width="16.7109375" style="112" customWidth="1"/>
    <col min="1291" max="1291" width="15.7109375" style="112" bestFit="1" customWidth="1"/>
    <col min="1292" max="1292" width="14.140625" style="112" customWidth="1"/>
    <col min="1293" max="1293" width="14.85546875" style="112" customWidth="1"/>
    <col min="1294" max="1294" width="9.7109375" style="112" customWidth="1"/>
    <col min="1295" max="1295" width="8.140625" style="112" customWidth="1"/>
    <col min="1296" max="1536" width="9.140625" style="112"/>
    <col min="1537" max="1537" width="15.85546875" style="112" customWidth="1"/>
    <col min="1538" max="1538" width="16.5703125" style="112" bestFit="1" customWidth="1"/>
    <col min="1539" max="1539" width="52.7109375" style="112" bestFit="1" customWidth="1"/>
    <col min="1540" max="1540" width="13.7109375" style="112" bestFit="1" customWidth="1"/>
    <col min="1541" max="1541" width="14.140625" style="112" bestFit="1" customWidth="1"/>
    <col min="1542" max="1542" width="13.140625" style="112" bestFit="1" customWidth="1"/>
    <col min="1543" max="1543" width="15.140625" style="112" customWidth="1"/>
    <col min="1544" max="1544" width="15.28515625" style="112" bestFit="1" customWidth="1"/>
    <col min="1545" max="1545" width="11.42578125" style="112" customWidth="1"/>
    <col min="1546" max="1546" width="16.7109375" style="112" customWidth="1"/>
    <col min="1547" max="1547" width="15.7109375" style="112" bestFit="1" customWidth="1"/>
    <col min="1548" max="1548" width="14.140625" style="112" customWidth="1"/>
    <col min="1549" max="1549" width="14.85546875" style="112" customWidth="1"/>
    <col min="1550" max="1550" width="9.7109375" style="112" customWidth="1"/>
    <col min="1551" max="1551" width="8.140625" style="112" customWidth="1"/>
    <col min="1552" max="1792" width="9.140625" style="112"/>
    <col min="1793" max="1793" width="15.85546875" style="112" customWidth="1"/>
    <col min="1794" max="1794" width="16.5703125" style="112" bestFit="1" customWidth="1"/>
    <col min="1795" max="1795" width="52.7109375" style="112" bestFit="1" customWidth="1"/>
    <col min="1796" max="1796" width="13.7109375" style="112" bestFit="1" customWidth="1"/>
    <col min="1797" max="1797" width="14.140625" style="112" bestFit="1" customWidth="1"/>
    <col min="1798" max="1798" width="13.140625" style="112" bestFit="1" customWidth="1"/>
    <col min="1799" max="1799" width="15.140625" style="112" customWidth="1"/>
    <col min="1800" max="1800" width="15.28515625" style="112" bestFit="1" customWidth="1"/>
    <col min="1801" max="1801" width="11.42578125" style="112" customWidth="1"/>
    <col min="1802" max="1802" width="16.7109375" style="112" customWidth="1"/>
    <col min="1803" max="1803" width="15.7109375" style="112" bestFit="1" customWidth="1"/>
    <col min="1804" max="1804" width="14.140625" style="112" customWidth="1"/>
    <col min="1805" max="1805" width="14.85546875" style="112" customWidth="1"/>
    <col min="1806" max="1806" width="9.7109375" style="112" customWidth="1"/>
    <col min="1807" max="1807" width="8.140625" style="112" customWidth="1"/>
    <col min="1808" max="2048" width="9.140625" style="112"/>
    <col min="2049" max="2049" width="15.85546875" style="112" customWidth="1"/>
    <col min="2050" max="2050" width="16.5703125" style="112" bestFit="1" customWidth="1"/>
    <col min="2051" max="2051" width="52.7109375" style="112" bestFit="1" customWidth="1"/>
    <col min="2052" max="2052" width="13.7109375" style="112" bestFit="1" customWidth="1"/>
    <col min="2053" max="2053" width="14.140625" style="112" bestFit="1" customWidth="1"/>
    <col min="2054" max="2054" width="13.140625" style="112" bestFit="1" customWidth="1"/>
    <col min="2055" max="2055" width="15.140625" style="112" customWidth="1"/>
    <col min="2056" max="2056" width="15.28515625" style="112" bestFit="1" customWidth="1"/>
    <col min="2057" max="2057" width="11.42578125" style="112" customWidth="1"/>
    <col min="2058" max="2058" width="16.7109375" style="112" customWidth="1"/>
    <col min="2059" max="2059" width="15.7109375" style="112" bestFit="1" customWidth="1"/>
    <col min="2060" max="2060" width="14.140625" style="112" customWidth="1"/>
    <col min="2061" max="2061" width="14.85546875" style="112" customWidth="1"/>
    <col min="2062" max="2062" width="9.7109375" style="112" customWidth="1"/>
    <col min="2063" max="2063" width="8.140625" style="112" customWidth="1"/>
    <col min="2064" max="2304" width="9.140625" style="112"/>
    <col min="2305" max="2305" width="15.85546875" style="112" customWidth="1"/>
    <col min="2306" max="2306" width="16.5703125" style="112" bestFit="1" customWidth="1"/>
    <col min="2307" max="2307" width="52.7109375" style="112" bestFit="1" customWidth="1"/>
    <col min="2308" max="2308" width="13.7109375" style="112" bestFit="1" customWidth="1"/>
    <col min="2309" max="2309" width="14.140625" style="112" bestFit="1" customWidth="1"/>
    <col min="2310" max="2310" width="13.140625" style="112" bestFit="1" customWidth="1"/>
    <col min="2311" max="2311" width="15.140625" style="112" customWidth="1"/>
    <col min="2312" max="2312" width="15.28515625" style="112" bestFit="1" customWidth="1"/>
    <col min="2313" max="2313" width="11.42578125" style="112" customWidth="1"/>
    <col min="2314" max="2314" width="16.7109375" style="112" customWidth="1"/>
    <col min="2315" max="2315" width="15.7109375" style="112" bestFit="1" customWidth="1"/>
    <col min="2316" max="2316" width="14.140625" style="112" customWidth="1"/>
    <col min="2317" max="2317" width="14.85546875" style="112" customWidth="1"/>
    <col min="2318" max="2318" width="9.7109375" style="112" customWidth="1"/>
    <col min="2319" max="2319" width="8.140625" style="112" customWidth="1"/>
    <col min="2320" max="2560" width="9.140625" style="112"/>
    <col min="2561" max="2561" width="15.85546875" style="112" customWidth="1"/>
    <col min="2562" max="2562" width="16.5703125" style="112" bestFit="1" customWidth="1"/>
    <col min="2563" max="2563" width="52.7109375" style="112" bestFit="1" customWidth="1"/>
    <col min="2564" max="2564" width="13.7109375" style="112" bestFit="1" customWidth="1"/>
    <col min="2565" max="2565" width="14.140625" style="112" bestFit="1" customWidth="1"/>
    <col min="2566" max="2566" width="13.140625" style="112" bestFit="1" customWidth="1"/>
    <col min="2567" max="2567" width="15.140625" style="112" customWidth="1"/>
    <col min="2568" max="2568" width="15.28515625" style="112" bestFit="1" customWidth="1"/>
    <col min="2569" max="2569" width="11.42578125" style="112" customWidth="1"/>
    <col min="2570" max="2570" width="16.7109375" style="112" customWidth="1"/>
    <col min="2571" max="2571" width="15.7109375" style="112" bestFit="1" customWidth="1"/>
    <col min="2572" max="2572" width="14.140625" style="112" customWidth="1"/>
    <col min="2573" max="2573" width="14.85546875" style="112" customWidth="1"/>
    <col min="2574" max="2574" width="9.7109375" style="112" customWidth="1"/>
    <col min="2575" max="2575" width="8.140625" style="112" customWidth="1"/>
    <col min="2576" max="2816" width="9.140625" style="112"/>
    <col min="2817" max="2817" width="15.85546875" style="112" customWidth="1"/>
    <col min="2818" max="2818" width="16.5703125" style="112" bestFit="1" customWidth="1"/>
    <col min="2819" max="2819" width="52.7109375" style="112" bestFit="1" customWidth="1"/>
    <col min="2820" max="2820" width="13.7109375" style="112" bestFit="1" customWidth="1"/>
    <col min="2821" max="2821" width="14.140625" style="112" bestFit="1" customWidth="1"/>
    <col min="2822" max="2822" width="13.140625" style="112" bestFit="1" customWidth="1"/>
    <col min="2823" max="2823" width="15.140625" style="112" customWidth="1"/>
    <col min="2824" max="2824" width="15.28515625" style="112" bestFit="1" customWidth="1"/>
    <col min="2825" max="2825" width="11.42578125" style="112" customWidth="1"/>
    <col min="2826" max="2826" width="16.7109375" style="112" customWidth="1"/>
    <col min="2827" max="2827" width="15.7109375" style="112" bestFit="1" customWidth="1"/>
    <col min="2828" max="2828" width="14.140625" style="112" customWidth="1"/>
    <col min="2829" max="2829" width="14.85546875" style="112" customWidth="1"/>
    <col min="2830" max="2830" width="9.7109375" style="112" customWidth="1"/>
    <col min="2831" max="2831" width="8.140625" style="112" customWidth="1"/>
    <col min="2832" max="3072" width="9.140625" style="112"/>
    <col min="3073" max="3073" width="15.85546875" style="112" customWidth="1"/>
    <col min="3074" max="3074" width="16.5703125" style="112" bestFit="1" customWidth="1"/>
    <col min="3075" max="3075" width="52.7109375" style="112" bestFit="1" customWidth="1"/>
    <col min="3076" max="3076" width="13.7109375" style="112" bestFit="1" customWidth="1"/>
    <col min="3077" max="3077" width="14.140625" style="112" bestFit="1" customWidth="1"/>
    <col min="3078" max="3078" width="13.140625" style="112" bestFit="1" customWidth="1"/>
    <col min="3079" max="3079" width="15.140625" style="112" customWidth="1"/>
    <col min="3080" max="3080" width="15.28515625" style="112" bestFit="1" customWidth="1"/>
    <col min="3081" max="3081" width="11.42578125" style="112" customWidth="1"/>
    <col min="3082" max="3082" width="16.7109375" style="112" customWidth="1"/>
    <col min="3083" max="3083" width="15.7109375" style="112" bestFit="1" customWidth="1"/>
    <col min="3084" max="3084" width="14.140625" style="112" customWidth="1"/>
    <col min="3085" max="3085" width="14.85546875" style="112" customWidth="1"/>
    <col min="3086" max="3086" width="9.7109375" style="112" customWidth="1"/>
    <col min="3087" max="3087" width="8.140625" style="112" customWidth="1"/>
    <col min="3088" max="3328" width="9.140625" style="112"/>
    <col min="3329" max="3329" width="15.85546875" style="112" customWidth="1"/>
    <col min="3330" max="3330" width="16.5703125" style="112" bestFit="1" customWidth="1"/>
    <col min="3331" max="3331" width="52.7109375" style="112" bestFit="1" customWidth="1"/>
    <col min="3332" max="3332" width="13.7109375" style="112" bestFit="1" customWidth="1"/>
    <col min="3333" max="3333" width="14.140625" style="112" bestFit="1" customWidth="1"/>
    <col min="3334" max="3334" width="13.140625" style="112" bestFit="1" customWidth="1"/>
    <col min="3335" max="3335" width="15.140625" style="112" customWidth="1"/>
    <col min="3336" max="3336" width="15.28515625" style="112" bestFit="1" customWidth="1"/>
    <col min="3337" max="3337" width="11.42578125" style="112" customWidth="1"/>
    <col min="3338" max="3338" width="16.7109375" style="112" customWidth="1"/>
    <col min="3339" max="3339" width="15.7109375" style="112" bestFit="1" customWidth="1"/>
    <col min="3340" max="3340" width="14.140625" style="112" customWidth="1"/>
    <col min="3341" max="3341" width="14.85546875" style="112" customWidth="1"/>
    <col min="3342" max="3342" width="9.7109375" style="112" customWidth="1"/>
    <col min="3343" max="3343" width="8.140625" style="112" customWidth="1"/>
    <col min="3344" max="3584" width="9.140625" style="112"/>
    <col min="3585" max="3585" width="15.85546875" style="112" customWidth="1"/>
    <col min="3586" max="3586" width="16.5703125" style="112" bestFit="1" customWidth="1"/>
    <col min="3587" max="3587" width="52.7109375" style="112" bestFit="1" customWidth="1"/>
    <col min="3588" max="3588" width="13.7109375" style="112" bestFit="1" customWidth="1"/>
    <col min="3589" max="3589" width="14.140625" style="112" bestFit="1" customWidth="1"/>
    <col min="3590" max="3590" width="13.140625" style="112" bestFit="1" customWidth="1"/>
    <col min="3591" max="3591" width="15.140625" style="112" customWidth="1"/>
    <col min="3592" max="3592" width="15.28515625" style="112" bestFit="1" customWidth="1"/>
    <col min="3593" max="3593" width="11.42578125" style="112" customWidth="1"/>
    <col min="3594" max="3594" width="16.7109375" style="112" customWidth="1"/>
    <col min="3595" max="3595" width="15.7109375" style="112" bestFit="1" customWidth="1"/>
    <col min="3596" max="3596" width="14.140625" style="112" customWidth="1"/>
    <col min="3597" max="3597" width="14.85546875" style="112" customWidth="1"/>
    <col min="3598" max="3598" width="9.7109375" style="112" customWidth="1"/>
    <col min="3599" max="3599" width="8.140625" style="112" customWidth="1"/>
    <col min="3600" max="3840" width="9.140625" style="112"/>
    <col min="3841" max="3841" width="15.85546875" style="112" customWidth="1"/>
    <col min="3842" max="3842" width="16.5703125" style="112" bestFit="1" customWidth="1"/>
    <col min="3843" max="3843" width="52.7109375" style="112" bestFit="1" customWidth="1"/>
    <col min="3844" max="3844" width="13.7109375" style="112" bestFit="1" customWidth="1"/>
    <col min="3845" max="3845" width="14.140625" style="112" bestFit="1" customWidth="1"/>
    <col min="3846" max="3846" width="13.140625" style="112" bestFit="1" customWidth="1"/>
    <col min="3847" max="3847" width="15.140625" style="112" customWidth="1"/>
    <col min="3848" max="3848" width="15.28515625" style="112" bestFit="1" customWidth="1"/>
    <col min="3849" max="3849" width="11.42578125" style="112" customWidth="1"/>
    <col min="3850" max="3850" width="16.7109375" style="112" customWidth="1"/>
    <col min="3851" max="3851" width="15.7109375" style="112" bestFit="1" customWidth="1"/>
    <col min="3852" max="3852" width="14.140625" style="112" customWidth="1"/>
    <col min="3853" max="3853" width="14.85546875" style="112" customWidth="1"/>
    <col min="3854" max="3854" width="9.7109375" style="112" customWidth="1"/>
    <col min="3855" max="3855" width="8.140625" style="112" customWidth="1"/>
    <col min="3856" max="4096" width="9.140625" style="112"/>
    <col min="4097" max="4097" width="15.85546875" style="112" customWidth="1"/>
    <col min="4098" max="4098" width="16.5703125" style="112" bestFit="1" customWidth="1"/>
    <col min="4099" max="4099" width="52.7109375" style="112" bestFit="1" customWidth="1"/>
    <col min="4100" max="4100" width="13.7109375" style="112" bestFit="1" customWidth="1"/>
    <col min="4101" max="4101" width="14.140625" style="112" bestFit="1" customWidth="1"/>
    <col min="4102" max="4102" width="13.140625" style="112" bestFit="1" customWidth="1"/>
    <col min="4103" max="4103" width="15.140625" style="112" customWidth="1"/>
    <col min="4104" max="4104" width="15.28515625" style="112" bestFit="1" customWidth="1"/>
    <col min="4105" max="4105" width="11.42578125" style="112" customWidth="1"/>
    <col min="4106" max="4106" width="16.7109375" style="112" customWidth="1"/>
    <col min="4107" max="4107" width="15.7109375" style="112" bestFit="1" customWidth="1"/>
    <col min="4108" max="4108" width="14.140625" style="112" customWidth="1"/>
    <col min="4109" max="4109" width="14.85546875" style="112" customWidth="1"/>
    <col min="4110" max="4110" width="9.7109375" style="112" customWidth="1"/>
    <col min="4111" max="4111" width="8.140625" style="112" customWidth="1"/>
    <col min="4112" max="4352" width="9.140625" style="112"/>
    <col min="4353" max="4353" width="15.85546875" style="112" customWidth="1"/>
    <col min="4354" max="4354" width="16.5703125" style="112" bestFit="1" customWidth="1"/>
    <col min="4355" max="4355" width="52.7109375" style="112" bestFit="1" customWidth="1"/>
    <col min="4356" max="4356" width="13.7109375" style="112" bestFit="1" customWidth="1"/>
    <col min="4357" max="4357" width="14.140625" style="112" bestFit="1" customWidth="1"/>
    <col min="4358" max="4358" width="13.140625" style="112" bestFit="1" customWidth="1"/>
    <col min="4359" max="4359" width="15.140625" style="112" customWidth="1"/>
    <col min="4360" max="4360" width="15.28515625" style="112" bestFit="1" customWidth="1"/>
    <col min="4361" max="4361" width="11.42578125" style="112" customWidth="1"/>
    <col min="4362" max="4362" width="16.7109375" style="112" customWidth="1"/>
    <col min="4363" max="4363" width="15.7109375" style="112" bestFit="1" customWidth="1"/>
    <col min="4364" max="4364" width="14.140625" style="112" customWidth="1"/>
    <col min="4365" max="4365" width="14.85546875" style="112" customWidth="1"/>
    <col min="4366" max="4366" width="9.7109375" style="112" customWidth="1"/>
    <col min="4367" max="4367" width="8.140625" style="112" customWidth="1"/>
    <col min="4368" max="4608" width="9.140625" style="112"/>
    <col min="4609" max="4609" width="15.85546875" style="112" customWidth="1"/>
    <col min="4610" max="4610" width="16.5703125" style="112" bestFit="1" customWidth="1"/>
    <col min="4611" max="4611" width="52.7109375" style="112" bestFit="1" customWidth="1"/>
    <col min="4612" max="4612" width="13.7109375" style="112" bestFit="1" customWidth="1"/>
    <col min="4613" max="4613" width="14.140625" style="112" bestFit="1" customWidth="1"/>
    <col min="4614" max="4614" width="13.140625" style="112" bestFit="1" customWidth="1"/>
    <col min="4615" max="4615" width="15.140625" style="112" customWidth="1"/>
    <col min="4616" max="4616" width="15.28515625" style="112" bestFit="1" customWidth="1"/>
    <col min="4617" max="4617" width="11.42578125" style="112" customWidth="1"/>
    <col min="4618" max="4618" width="16.7109375" style="112" customWidth="1"/>
    <col min="4619" max="4619" width="15.7109375" style="112" bestFit="1" customWidth="1"/>
    <col min="4620" max="4620" width="14.140625" style="112" customWidth="1"/>
    <col min="4621" max="4621" width="14.85546875" style="112" customWidth="1"/>
    <col min="4622" max="4622" width="9.7109375" style="112" customWidth="1"/>
    <col min="4623" max="4623" width="8.140625" style="112" customWidth="1"/>
    <col min="4624" max="4864" width="9.140625" style="112"/>
    <col min="4865" max="4865" width="15.85546875" style="112" customWidth="1"/>
    <col min="4866" max="4866" width="16.5703125" style="112" bestFit="1" customWidth="1"/>
    <col min="4867" max="4867" width="52.7109375" style="112" bestFit="1" customWidth="1"/>
    <col min="4868" max="4868" width="13.7109375" style="112" bestFit="1" customWidth="1"/>
    <col min="4869" max="4869" width="14.140625" style="112" bestFit="1" customWidth="1"/>
    <col min="4870" max="4870" width="13.140625" style="112" bestFit="1" customWidth="1"/>
    <col min="4871" max="4871" width="15.140625" style="112" customWidth="1"/>
    <col min="4872" max="4872" width="15.28515625" style="112" bestFit="1" customWidth="1"/>
    <col min="4873" max="4873" width="11.42578125" style="112" customWidth="1"/>
    <col min="4874" max="4874" width="16.7109375" style="112" customWidth="1"/>
    <col min="4875" max="4875" width="15.7109375" style="112" bestFit="1" customWidth="1"/>
    <col min="4876" max="4876" width="14.140625" style="112" customWidth="1"/>
    <col min="4877" max="4877" width="14.85546875" style="112" customWidth="1"/>
    <col min="4878" max="4878" width="9.7109375" style="112" customWidth="1"/>
    <col min="4879" max="4879" width="8.140625" style="112" customWidth="1"/>
    <col min="4880" max="5120" width="9.140625" style="112"/>
    <col min="5121" max="5121" width="15.85546875" style="112" customWidth="1"/>
    <col min="5122" max="5122" width="16.5703125" style="112" bestFit="1" customWidth="1"/>
    <col min="5123" max="5123" width="52.7109375" style="112" bestFit="1" customWidth="1"/>
    <col min="5124" max="5124" width="13.7109375" style="112" bestFit="1" customWidth="1"/>
    <col min="5125" max="5125" width="14.140625" style="112" bestFit="1" customWidth="1"/>
    <col min="5126" max="5126" width="13.140625" style="112" bestFit="1" customWidth="1"/>
    <col min="5127" max="5127" width="15.140625" style="112" customWidth="1"/>
    <col min="5128" max="5128" width="15.28515625" style="112" bestFit="1" customWidth="1"/>
    <col min="5129" max="5129" width="11.42578125" style="112" customWidth="1"/>
    <col min="5130" max="5130" width="16.7109375" style="112" customWidth="1"/>
    <col min="5131" max="5131" width="15.7109375" style="112" bestFit="1" customWidth="1"/>
    <col min="5132" max="5132" width="14.140625" style="112" customWidth="1"/>
    <col min="5133" max="5133" width="14.85546875" style="112" customWidth="1"/>
    <col min="5134" max="5134" width="9.7109375" style="112" customWidth="1"/>
    <col min="5135" max="5135" width="8.140625" style="112" customWidth="1"/>
    <col min="5136" max="5376" width="9.140625" style="112"/>
    <col min="5377" max="5377" width="15.85546875" style="112" customWidth="1"/>
    <col min="5378" max="5378" width="16.5703125" style="112" bestFit="1" customWidth="1"/>
    <col min="5379" max="5379" width="52.7109375" style="112" bestFit="1" customWidth="1"/>
    <col min="5380" max="5380" width="13.7109375" style="112" bestFit="1" customWidth="1"/>
    <col min="5381" max="5381" width="14.140625" style="112" bestFit="1" customWidth="1"/>
    <col min="5382" max="5382" width="13.140625" style="112" bestFit="1" customWidth="1"/>
    <col min="5383" max="5383" width="15.140625" style="112" customWidth="1"/>
    <col min="5384" max="5384" width="15.28515625" style="112" bestFit="1" customWidth="1"/>
    <col min="5385" max="5385" width="11.42578125" style="112" customWidth="1"/>
    <col min="5386" max="5386" width="16.7109375" style="112" customWidth="1"/>
    <col min="5387" max="5387" width="15.7109375" style="112" bestFit="1" customWidth="1"/>
    <col min="5388" max="5388" width="14.140625" style="112" customWidth="1"/>
    <col min="5389" max="5389" width="14.85546875" style="112" customWidth="1"/>
    <col min="5390" max="5390" width="9.7109375" style="112" customWidth="1"/>
    <col min="5391" max="5391" width="8.140625" style="112" customWidth="1"/>
    <col min="5392" max="5632" width="9.140625" style="112"/>
    <col min="5633" max="5633" width="15.85546875" style="112" customWidth="1"/>
    <col min="5634" max="5634" width="16.5703125" style="112" bestFit="1" customWidth="1"/>
    <col min="5635" max="5635" width="52.7109375" style="112" bestFit="1" customWidth="1"/>
    <col min="5636" max="5636" width="13.7109375" style="112" bestFit="1" customWidth="1"/>
    <col min="5637" max="5637" width="14.140625" style="112" bestFit="1" customWidth="1"/>
    <col min="5638" max="5638" width="13.140625" style="112" bestFit="1" customWidth="1"/>
    <col min="5639" max="5639" width="15.140625" style="112" customWidth="1"/>
    <col min="5640" max="5640" width="15.28515625" style="112" bestFit="1" customWidth="1"/>
    <col min="5641" max="5641" width="11.42578125" style="112" customWidth="1"/>
    <col min="5642" max="5642" width="16.7109375" style="112" customWidth="1"/>
    <col min="5643" max="5643" width="15.7109375" style="112" bestFit="1" customWidth="1"/>
    <col min="5644" max="5644" width="14.140625" style="112" customWidth="1"/>
    <col min="5645" max="5645" width="14.85546875" style="112" customWidth="1"/>
    <col min="5646" max="5646" width="9.7109375" style="112" customWidth="1"/>
    <col min="5647" max="5647" width="8.140625" style="112" customWidth="1"/>
    <col min="5648" max="5888" width="9.140625" style="112"/>
    <col min="5889" max="5889" width="15.85546875" style="112" customWidth="1"/>
    <col min="5890" max="5890" width="16.5703125" style="112" bestFit="1" customWidth="1"/>
    <col min="5891" max="5891" width="52.7109375" style="112" bestFit="1" customWidth="1"/>
    <col min="5892" max="5892" width="13.7109375" style="112" bestFit="1" customWidth="1"/>
    <col min="5893" max="5893" width="14.140625" style="112" bestFit="1" customWidth="1"/>
    <col min="5894" max="5894" width="13.140625" style="112" bestFit="1" customWidth="1"/>
    <col min="5895" max="5895" width="15.140625" style="112" customWidth="1"/>
    <col min="5896" max="5896" width="15.28515625" style="112" bestFit="1" customWidth="1"/>
    <col min="5897" max="5897" width="11.42578125" style="112" customWidth="1"/>
    <col min="5898" max="5898" width="16.7109375" style="112" customWidth="1"/>
    <col min="5899" max="5899" width="15.7109375" style="112" bestFit="1" customWidth="1"/>
    <col min="5900" max="5900" width="14.140625" style="112" customWidth="1"/>
    <col min="5901" max="5901" width="14.85546875" style="112" customWidth="1"/>
    <col min="5902" max="5902" width="9.7109375" style="112" customWidth="1"/>
    <col min="5903" max="5903" width="8.140625" style="112" customWidth="1"/>
    <col min="5904" max="6144" width="9.140625" style="112"/>
    <col min="6145" max="6145" width="15.85546875" style="112" customWidth="1"/>
    <col min="6146" max="6146" width="16.5703125" style="112" bestFit="1" customWidth="1"/>
    <col min="6147" max="6147" width="52.7109375" style="112" bestFit="1" customWidth="1"/>
    <col min="6148" max="6148" width="13.7109375" style="112" bestFit="1" customWidth="1"/>
    <col min="6149" max="6149" width="14.140625" style="112" bestFit="1" customWidth="1"/>
    <col min="6150" max="6150" width="13.140625" style="112" bestFit="1" customWidth="1"/>
    <col min="6151" max="6151" width="15.140625" style="112" customWidth="1"/>
    <col min="6152" max="6152" width="15.28515625" style="112" bestFit="1" customWidth="1"/>
    <col min="6153" max="6153" width="11.42578125" style="112" customWidth="1"/>
    <col min="6154" max="6154" width="16.7109375" style="112" customWidth="1"/>
    <col min="6155" max="6155" width="15.7109375" style="112" bestFit="1" customWidth="1"/>
    <col min="6156" max="6156" width="14.140625" style="112" customWidth="1"/>
    <col min="6157" max="6157" width="14.85546875" style="112" customWidth="1"/>
    <col min="6158" max="6158" width="9.7109375" style="112" customWidth="1"/>
    <col min="6159" max="6159" width="8.140625" style="112" customWidth="1"/>
    <col min="6160" max="6400" width="9.140625" style="112"/>
    <col min="6401" max="6401" width="15.85546875" style="112" customWidth="1"/>
    <col min="6402" max="6402" width="16.5703125" style="112" bestFit="1" customWidth="1"/>
    <col min="6403" max="6403" width="52.7109375" style="112" bestFit="1" customWidth="1"/>
    <col min="6404" max="6404" width="13.7109375" style="112" bestFit="1" customWidth="1"/>
    <col min="6405" max="6405" width="14.140625" style="112" bestFit="1" customWidth="1"/>
    <col min="6406" max="6406" width="13.140625" style="112" bestFit="1" customWidth="1"/>
    <col min="6407" max="6407" width="15.140625" style="112" customWidth="1"/>
    <col min="6408" max="6408" width="15.28515625" style="112" bestFit="1" customWidth="1"/>
    <col min="6409" max="6409" width="11.42578125" style="112" customWidth="1"/>
    <col min="6410" max="6410" width="16.7109375" style="112" customWidth="1"/>
    <col min="6411" max="6411" width="15.7109375" style="112" bestFit="1" customWidth="1"/>
    <col min="6412" max="6412" width="14.140625" style="112" customWidth="1"/>
    <col min="6413" max="6413" width="14.85546875" style="112" customWidth="1"/>
    <col min="6414" max="6414" width="9.7109375" style="112" customWidth="1"/>
    <col min="6415" max="6415" width="8.140625" style="112" customWidth="1"/>
    <col min="6416" max="6656" width="9.140625" style="112"/>
    <col min="6657" max="6657" width="15.85546875" style="112" customWidth="1"/>
    <col min="6658" max="6658" width="16.5703125" style="112" bestFit="1" customWidth="1"/>
    <col min="6659" max="6659" width="52.7109375" style="112" bestFit="1" customWidth="1"/>
    <col min="6660" max="6660" width="13.7109375" style="112" bestFit="1" customWidth="1"/>
    <col min="6661" max="6661" width="14.140625" style="112" bestFit="1" customWidth="1"/>
    <col min="6662" max="6662" width="13.140625" style="112" bestFit="1" customWidth="1"/>
    <col min="6663" max="6663" width="15.140625" style="112" customWidth="1"/>
    <col min="6664" max="6664" width="15.28515625" style="112" bestFit="1" customWidth="1"/>
    <col min="6665" max="6665" width="11.42578125" style="112" customWidth="1"/>
    <col min="6666" max="6666" width="16.7109375" style="112" customWidth="1"/>
    <col min="6667" max="6667" width="15.7109375" style="112" bestFit="1" customWidth="1"/>
    <col min="6668" max="6668" width="14.140625" style="112" customWidth="1"/>
    <col min="6669" max="6669" width="14.85546875" style="112" customWidth="1"/>
    <col min="6670" max="6670" width="9.7109375" style="112" customWidth="1"/>
    <col min="6671" max="6671" width="8.140625" style="112" customWidth="1"/>
    <col min="6672" max="6912" width="9.140625" style="112"/>
    <col min="6913" max="6913" width="15.85546875" style="112" customWidth="1"/>
    <col min="6914" max="6914" width="16.5703125" style="112" bestFit="1" customWidth="1"/>
    <col min="6915" max="6915" width="52.7109375" style="112" bestFit="1" customWidth="1"/>
    <col min="6916" max="6916" width="13.7109375" style="112" bestFit="1" customWidth="1"/>
    <col min="6917" max="6917" width="14.140625" style="112" bestFit="1" customWidth="1"/>
    <col min="6918" max="6918" width="13.140625" style="112" bestFit="1" customWidth="1"/>
    <col min="6919" max="6919" width="15.140625" style="112" customWidth="1"/>
    <col min="6920" max="6920" width="15.28515625" style="112" bestFit="1" customWidth="1"/>
    <col min="6921" max="6921" width="11.42578125" style="112" customWidth="1"/>
    <col min="6922" max="6922" width="16.7109375" style="112" customWidth="1"/>
    <col min="6923" max="6923" width="15.7109375" style="112" bestFit="1" customWidth="1"/>
    <col min="6924" max="6924" width="14.140625" style="112" customWidth="1"/>
    <col min="6925" max="6925" width="14.85546875" style="112" customWidth="1"/>
    <col min="6926" max="6926" width="9.7109375" style="112" customWidth="1"/>
    <col min="6927" max="6927" width="8.140625" style="112" customWidth="1"/>
    <col min="6928" max="7168" width="9.140625" style="112"/>
    <col min="7169" max="7169" width="15.85546875" style="112" customWidth="1"/>
    <col min="7170" max="7170" width="16.5703125" style="112" bestFit="1" customWidth="1"/>
    <col min="7171" max="7171" width="52.7109375" style="112" bestFit="1" customWidth="1"/>
    <col min="7172" max="7172" width="13.7109375" style="112" bestFit="1" customWidth="1"/>
    <col min="7173" max="7173" width="14.140625" style="112" bestFit="1" customWidth="1"/>
    <col min="7174" max="7174" width="13.140625" style="112" bestFit="1" customWidth="1"/>
    <col min="7175" max="7175" width="15.140625" style="112" customWidth="1"/>
    <col min="7176" max="7176" width="15.28515625" style="112" bestFit="1" customWidth="1"/>
    <col min="7177" max="7177" width="11.42578125" style="112" customWidth="1"/>
    <col min="7178" max="7178" width="16.7109375" style="112" customWidth="1"/>
    <col min="7179" max="7179" width="15.7109375" style="112" bestFit="1" customWidth="1"/>
    <col min="7180" max="7180" width="14.140625" style="112" customWidth="1"/>
    <col min="7181" max="7181" width="14.85546875" style="112" customWidth="1"/>
    <col min="7182" max="7182" width="9.7109375" style="112" customWidth="1"/>
    <col min="7183" max="7183" width="8.140625" style="112" customWidth="1"/>
    <col min="7184" max="7424" width="9.140625" style="112"/>
    <col min="7425" max="7425" width="15.85546875" style="112" customWidth="1"/>
    <col min="7426" max="7426" width="16.5703125" style="112" bestFit="1" customWidth="1"/>
    <col min="7427" max="7427" width="52.7109375" style="112" bestFit="1" customWidth="1"/>
    <col min="7428" max="7428" width="13.7109375" style="112" bestFit="1" customWidth="1"/>
    <col min="7429" max="7429" width="14.140625" style="112" bestFit="1" customWidth="1"/>
    <col min="7430" max="7430" width="13.140625" style="112" bestFit="1" customWidth="1"/>
    <col min="7431" max="7431" width="15.140625" style="112" customWidth="1"/>
    <col min="7432" max="7432" width="15.28515625" style="112" bestFit="1" customWidth="1"/>
    <col min="7433" max="7433" width="11.42578125" style="112" customWidth="1"/>
    <col min="7434" max="7434" width="16.7109375" style="112" customWidth="1"/>
    <col min="7435" max="7435" width="15.7109375" style="112" bestFit="1" customWidth="1"/>
    <col min="7436" max="7436" width="14.140625" style="112" customWidth="1"/>
    <col min="7437" max="7437" width="14.85546875" style="112" customWidth="1"/>
    <col min="7438" max="7438" width="9.7109375" style="112" customWidth="1"/>
    <col min="7439" max="7439" width="8.140625" style="112" customWidth="1"/>
    <col min="7440" max="7680" width="9.140625" style="112"/>
    <col min="7681" max="7681" width="15.85546875" style="112" customWidth="1"/>
    <col min="7682" max="7682" width="16.5703125" style="112" bestFit="1" customWidth="1"/>
    <col min="7683" max="7683" width="52.7109375" style="112" bestFit="1" customWidth="1"/>
    <col min="7684" max="7684" width="13.7109375" style="112" bestFit="1" customWidth="1"/>
    <col min="7685" max="7685" width="14.140625" style="112" bestFit="1" customWidth="1"/>
    <col min="7686" max="7686" width="13.140625" style="112" bestFit="1" customWidth="1"/>
    <col min="7687" max="7687" width="15.140625" style="112" customWidth="1"/>
    <col min="7688" max="7688" width="15.28515625" style="112" bestFit="1" customWidth="1"/>
    <col min="7689" max="7689" width="11.42578125" style="112" customWidth="1"/>
    <col min="7690" max="7690" width="16.7109375" style="112" customWidth="1"/>
    <col min="7691" max="7691" width="15.7109375" style="112" bestFit="1" customWidth="1"/>
    <col min="7692" max="7692" width="14.140625" style="112" customWidth="1"/>
    <col min="7693" max="7693" width="14.85546875" style="112" customWidth="1"/>
    <col min="7694" max="7694" width="9.7109375" style="112" customWidth="1"/>
    <col min="7695" max="7695" width="8.140625" style="112" customWidth="1"/>
    <col min="7696" max="7936" width="9.140625" style="112"/>
    <col min="7937" max="7937" width="15.85546875" style="112" customWidth="1"/>
    <col min="7938" max="7938" width="16.5703125" style="112" bestFit="1" customWidth="1"/>
    <col min="7939" max="7939" width="52.7109375" style="112" bestFit="1" customWidth="1"/>
    <col min="7940" max="7940" width="13.7109375" style="112" bestFit="1" customWidth="1"/>
    <col min="7941" max="7941" width="14.140625" style="112" bestFit="1" customWidth="1"/>
    <col min="7942" max="7942" width="13.140625" style="112" bestFit="1" customWidth="1"/>
    <col min="7943" max="7943" width="15.140625" style="112" customWidth="1"/>
    <col min="7944" max="7944" width="15.28515625" style="112" bestFit="1" customWidth="1"/>
    <col min="7945" max="7945" width="11.42578125" style="112" customWidth="1"/>
    <col min="7946" max="7946" width="16.7109375" style="112" customWidth="1"/>
    <col min="7947" max="7947" width="15.7109375" style="112" bestFit="1" customWidth="1"/>
    <col min="7948" max="7948" width="14.140625" style="112" customWidth="1"/>
    <col min="7949" max="7949" width="14.85546875" style="112" customWidth="1"/>
    <col min="7950" max="7950" width="9.7109375" style="112" customWidth="1"/>
    <col min="7951" max="7951" width="8.140625" style="112" customWidth="1"/>
    <col min="7952" max="8192" width="9.140625" style="112"/>
    <col min="8193" max="8193" width="15.85546875" style="112" customWidth="1"/>
    <col min="8194" max="8194" width="16.5703125" style="112" bestFit="1" customWidth="1"/>
    <col min="8195" max="8195" width="52.7109375" style="112" bestFit="1" customWidth="1"/>
    <col min="8196" max="8196" width="13.7109375" style="112" bestFit="1" customWidth="1"/>
    <col min="8197" max="8197" width="14.140625" style="112" bestFit="1" customWidth="1"/>
    <col min="8198" max="8198" width="13.140625" style="112" bestFit="1" customWidth="1"/>
    <col min="8199" max="8199" width="15.140625" style="112" customWidth="1"/>
    <col min="8200" max="8200" width="15.28515625" style="112" bestFit="1" customWidth="1"/>
    <col min="8201" max="8201" width="11.42578125" style="112" customWidth="1"/>
    <col min="8202" max="8202" width="16.7109375" style="112" customWidth="1"/>
    <col min="8203" max="8203" width="15.7109375" style="112" bestFit="1" customWidth="1"/>
    <col min="8204" max="8204" width="14.140625" style="112" customWidth="1"/>
    <col min="8205" max="8205" width="14.85546875" style="112" customWidth="1"/>
    <col min="8206" max="8206" width="9.7109375" style="112" customWidth="1"/>
    <col min="8207" max="8207" width="8.140625" style="112" customWidth="1"/>
    <col min="8208" max="8448" width="9.140625" style="112"/>
    <col min="8449" max="8449" width="15.85546875" style="112" customWidth="1"/>
    <col min="8450" max="8450" width="16.5703125" style="112" bestFit="1" customWidth="1"/>
    <col min="8451" max="8451" width="52.7109375" style="112" bestFit="1" customWidth="1"/>
    <col min="8452" max="8452" width="13.7109375" style="112" bestFit="1" customWidth="1"/>
    <col min="8453" max="8453" width="14.140625" style="112" bestFit="1" customWidth="1"/>
    <col min="8454" max="8454" width="13.140625" style="112" bestFit="1" customWidth="1"/>
    <col min="8455" max="8455" width="15.140625" style="112" customWidth="1"/>
    <col min="8456" max="8456" width="15.28515625" style="112" bestFit="1" customWidth="1"/>
    <col min="8457" max="8457" width="11.42578125" style="112" customWidth="1"/>
    <col min="8458" max="8458" width="16.7109375" style="112" customWidth="1"/>
    <col min="8459" max="8459" width="15.7109375" style="112" bestFit="1" customWidth="1"/>
    <col min="8460" max="8460" width="14.140625" style="112" customWidth="1"/>
    <col min="8461" max="8461" width="14.85546875" style="112" customWidth="1"/>
    <col min="8462" max="8462" width="9.7109375" style="112" customWidth="1"/>
    <col min="8463" max="8463" width="8.140625" style="112" customWidth="1"/>
    <col min="8464" max="8704" width="9.140625" style="112"/>
    <col min="8705" max="8705" width="15.85546875" style="112" customWidth="1"/>
    <col min="8706" max="8706" width="16.5703125" style="112" bestFit="1" customWidth="1"/>
    <col min="8707" max="8707" width="52.7109375" style="112" bestFit="1" customWidth="1"/>
    <col min="8708" max="8708" width="13.7109375" style="112" bestFit="1" customWidth="1"/>
    <col min="8709" max="8709" width="14.140625" style="112" bestFit="1" customWidth="1"/>
    <col min="8710" max="8710" width="13.140625" style="112" bestFit="1" customWidth="1"/>
    <col min="8711" max="8711" width="15.140625" style="112" customWidth="1"/>
    <col min="8712" max="8712" width="15.28515625" style="112" bestFit="1" customWidth="1"/>
    <col min="8713" max="8713" width="11.42578125" style="112" customWidth="1"/>
    <col min="8714" max="8714" width="16.7109375" style="112" customWidth="1"/>
    <col min="8715" max="8715" width="15.7109375" style="112" bestFit="1" customWidth="1"/>
    <col min="8716" max="8716" width="14.140625" style="112" customWidth="1"/>
    <col min="8717" max="8717" width="14.85546875" style="112" customWidth="1"/>
    <col min="8718" max="8718" width="9.7109375" style="112" customWidth="1"/>
    <col min="8719" max="8719" width="8.140625" style="112" customWidth="1"/>
    <col min="8720" max="8960" width="9.140625" style="112"/>
    <col min="8961" max="8961" width="15.85546875" style="112" customWidth="1"/>
    <col min="8962" max="8962" width="16.5703125" style="112" bestFit="1" customWidth="1"/>
    <col min="8963" max="8963" width="52.7109375" style="112" bestFit="1" customWidth="1"/>
    <col min="8964" max="8964" width="13.7109375" style="112" bestFit="1" customWidth="1"/>
    <col min="8965" max="8965" width="14.140625" style="112" bestFit="1" customWidth="1"/>
    <col min="8966" max="8966" width="13.140625" style="112" bestFit="1" customWidth="1"/>
    <col min="8967" max="8967" width="15.140625" style="112" customWidth="1"/>
    <col min="8968" max="8968" width="15.28515625" style="112" bestFit="1" customWidth="1"/>
    <col min="8969" max="8969" width="11.42578125" style="112" customWidth="1"/>
    <col min="8970" max="8970" width="16.7109375" style="112" customWidth="1"/>
    <col min="8971" max="8971" width="15.7109375" style="112" bestFit="1" customWidth="1"/>
    <col min="8972" max="8972" width="14.140625" style="112" customWidth="1"/>
    <col min="8973" max="8973" width="14.85546875" style="112" customWidth="1"/>
    <col min="8974" max="8974" width="9.7109375" style="112" customWidth="1"/>
    <col min="8975" max="8975" width="8.140625" style="112" customWidth="1"/>
    <col min="8976" max="9216" width="9.140625" style="112"/>
    <col min="9217" max="9217" width="15.85546875" style="112" customWidth="1"/>
    <col min="9218" max="9218" width="16.5703125" style="112" bestFit="1" customWidth="1"/>
    <col min="9219" max="9219" width="52.7109375" style="112" bestFit="1" customWidth="1"/>
    <col min="9220" max="9220" width="13.7109375" style="112" bestFit="1" customWidth="1"/>
    <col min="9221" max="9221" width="14.140625" style="112" bestFit="1" customWidth="1"/>
    <col min="9222" max="9222" width="13.140625" style="112" bestFit="1" customWidth="1"/>
    <col min="9223" max="9223" width="15.140625" style="112" customWidth="1"/>
    <col min="9224" max="9224" width="15.28515625" style="112" bestFit="1" customWidth="1"/>
    <col min="9225" max="9225" width="11.42578125" style="112" customWidth="1"/>
    <col min="9226" max="9226" width="16.7109375" style="112" customWidth="1"/>
    <col min="9227" max="9227" width="15.7109375" style="112" bestFit="1" customWidth="1"/>
    <col min="9228" max="9228" width="14.140625" style="112" customWidth="1"/>
    <col min="9229" max="9229" width="14.85546875" style="112" customWidth="1"/>
    <col min="9230" max="9230" width="9.7109375" style="112" customWidth="1"/>
    <col min="9231" max="9231" width="8.140625" style="112" customWidth="1"/>
    <col min="9232" max="9472" width="9.140625" style="112"/>
    <col min="9473" max="9473" width="15.85546875" style="112" customWidth="1"/>
    <col min="9474" max="9474" width="16.5703125" style="112" bestFit="1" customWidth="1"/>
    <col min="9475" max="9475" width="52.7109375" style="112" bestFit="1" customWidth="1"/>
    <col min="9476" max="9476" width="13.7109375" style="112" bestFit="1" customWidth="1"/>
    <col min="9477" max="9477" width="14.140625" style="112" bestFit="1" customWidth="1"/>
    <col min="9478" max="9478" width="13.140625" style="112" bestFit="1" customWidth="1"/>
    <col min="9479" max="9479" width="15.140625" style="112" customWidth="1"/>
    <col min="9480" max="9480" width="15.28515625" style="112" bestFit="1" customWidth="1"/>
    <col min="9481" max="9481" width="11.42578125" style="112" customWidth="1"/>
    <col min="9482" max="9482" width="16.7109375" style="112" customWidth="1"/>
    <col min="9483" max="9483" width="15.7109375" style="112" bestFit="1" customWidth="1"/>
    <col min="9484" max="9484" width="14.140625" style="112" customWidth="1"/>
    <col min="9485" max="9485" width="14.85546875" style="112" customWidth="1"/>
    <col min="9486" max="9486" width="9.7109375" style="112" customWidth="1"/>
    <col min="9487" max="9487" width="8.140625" style="112" customWidth="1"/>
    <col min="9488" max="9728" width="9.140625" style="112"/>
    <col min="9729" max="9729" width="15.85546875" style="112" customWidth="1"/>
    <col min="9730" max="9730" width="16.5703125" style="112" bestFit="1" customWidth="1"/>
    <col min="9731" max="9731" width="52.7109375" style="112" bestFit="1" customWidth="1"/>
    <col min="9732" max="9732" width="13.7109375" style="112" bestFit="1" customWidth="1"/>
    <col min="9733" max="9733" width="14.140625" style="112" bestFit="1" customWidth="1"/>
    <col min="9734" max="9734" width="13.140625" style="112" bestFit="1" customWidth="1"/>
    <col min="9735" max="9735" width="15.140625" style="112" customWidth="1"/>
    <col min="9736" max="9736" width="15.28515625" style="112" bestFit="1" customWidth="1"/>
    <col min="9737" max="9737" width="11.42578125" style="112" customWidth="1"/>
    <col min="9738" max="9738" width="16.7109375" style="112" customWidth="1"/>
    <col min="9739" max="9739" width="15.7109375" style="112" bestFit="1" customWidth="1"/>
    <col min="9740" max="9740" width="14.140625" style="112" customWidth="1"/>
    <col min="9741" max="9741" width="14.85546875" style="112" customWidth="1"/>
    <col min="9742" max="9742" width="9.7109375" style="112" customWidth="1"/>
    <col min="9743" max="9743" width="8.140625" style="112" customWidth="1"/>
    <col min="9744" max="9984" width="9.140625" style="112"/>
    <col min="9985" max="9985" width="15.85546875" style="112" customWidth="1"/>
    <col min="9986" max="9986" width="16.5703125" style="112" bestFit="1" customWidth="1"/>
    <col min="9987" max="9987" width="52.7109375" style="112" bestFit="1" customWidth="1"/>
    <col min="9988" max="9988" width="13.7109375" style="112" bestFit="1" customWidth="1"/>
    <col min="9989" max="9989" width="14.140625" style="112" bestFit="1" customWidth="1"/>
    <col min="9990" max="9990" width="13.140625" style="112" bestFit="1" customWidth="1"/>
    <col min="9991" max="9991" width="15.140625" style="112" customWidth="1"/>
    <col min="9992" max="9992" width="15.28515625" style="112" bestFit="1" customWidth="1"/>
    <col min="9993" max="9993" width="11.42578125" style="112" customWidth="1"/>
    <col min="9994" max="9994" width="16.7109375" style="112" customWidth="1"/>
    <col min="9995" max="9995" width="15.7109375" style="112" bestFit="1" customWidth="1"/>
    <col min="9996" max="9996" width="14.140625" style="112" customWidth="1"/>
    <col min="9997" max="9997" width="14.85546875" style="112" customWidth="1"/>
    <col min="9998" max="9998" width="9.7109375" style="112" customWidth="1"/>
    <col min="9999" max="9999" width="8.140625" style="112" customWidth="1"/>
    <col min="10000" max="10240" width="9.140625" style="112"/>
    <col min="10241" max="10241" width="15.85546875" style="112" customWidth="1"/>
    <col min="10242" max="10242" width="16.5703125" style="112" bestFit="1" customWidth="1"/>
    <col min="10243" max="10243" width="52.7109375" style="112" bestFit="1" customWidth="1"/>
    <col min="10244" max="10244" width="13.7109375" style="112" bestFit="1" customWidth="1"/>
    <col min="10245" max="10245" width="14.140625" style="112" bestFit="1" customWidth="1"/>
    <col min="10246" max="10246" width="13.140625" style="112" bestFit="1" customWidth="1"/>
    <col min="10247" max="10247" width="15.140625" style="112" customWidth="1"/>
    <col min="10248" max="10248" width="15.28515625" style="112" bestFit="1" customWidth="1"/>
    <col min="10249" max="10249" width="11.42578125" style="112" customWidth="1"/>
    <col min="10250" max="10250" width="16.7109375" style="112" customWidth="1"/>
    <col min="10251" max="10251" width="15.7109375" style="112" bestFit="1" customWidth="1"/>
    <col min="10252" max="10252" width="14.140625" style="112" customWidth="1"/>
    <col min="10253" max="10253" width="14.85546875" style="112" customWidth="1"/>
    <col min="10254" max="10254" width="9.7109375" style="112" customWidth="1"/>
    <col min="10255" max="10255" width="8.140625" style="112" customWidth="1"/>
    <col min="10256" max="10496" width="9.140625" style="112"/>
    <col min="10497" max="10497" width="15.85546875" style="112" customWidth="1"/>
    <col min="10498" max="10498" width="16.5703125" style="112" bestFit="1" customWidth="1"/>
    <col min="10499" max="10499" width="52.7109375" style="112" bestFit="1" customWidth="1"/>
    <col min="10500" max="10500" width="13.7109375" style="112" bestFit="1" customWidth="1"/>
    <col min="10501" max="10501" width="14.140625" style="112" bestFit="1" customWidth="1"/>
    <col min="10502" max="10502" width="13.140625" style="112" bestFit="1" customWidth="1"/>
    <col min="10503" max="10503" width="15.140625" style="112" customWidth="1"/>
    <col min="10504" max="10504" width="15.28515625" style="112" bestFit="1" customWidth="1"/>
    <col min="10505" max="10505" width="11.42578125" style="112" customWidth="1"/>
    <col min="10506" max="10506" width="16.7109375" style="112" customWidth="1"/>
    <col min="10507" max="10507" width="15.7109375" style="112" bestFit="1" customWidth="1"/>
    <col min="10508" max="10508" width="14.140625" style="112" customWidth="1"/>
    <col min="10509" max="10509" width="14.85546875" style="112" customWidth="1"/>
    <col min="10510" max="10510" width="9.7109375" style="112" customWidth="1"/>
    <col min="10511" max="10511" width="8.140625" style="112" customWidth="1"/>
    <col min="10512" max="10752" width="9.140625" style="112"/>
    <col min="10753" max="10753" width="15.85546875" style="112" customWidth="1"/>
    <col min="10754" max="10754" width="16.5703125" style="112" bestFit="1" customWidth="1"/>
    <col min="10755" max="10755" width="52.7109375" style="112" bestFit="1" customWidth="1"/>
    <col min="10756" max="10756" width="13.7109375" style="112" bestFit="1" customWidth="1"/>
    <col min="10757" max="10757" width="14.140625" style="112" bestFit="1" customWidth="1"/>
    <col min="10758" max="10758" width="13.140625" style="112" bestFit="1" customWidth="1"/>
    <col min="10759" max="10759" width="15.140625" style="112" customWidth="1"/>
    <col min="10760" max="10760" width="15.28515625" style="112" bestFit="1" customWidth="1"/>
    <col min="10761" max="10761" width="11.42578125" style="112" customWidth="1"/>
    <col min="10762" max="10762" width="16.7109375" style="112" customWidth="1"/>
    <col min="10763" max="10763" width="15.7109375" style="112" bestFit="1" customWidth="1"/>
    <col min="10764" max="10764" width="14.140625" style="112" customWidth="1"/>
    <col min="10765" max="10765" width="14.85546875" style="112" customWidth="1"/>
    <col min="10766" max="10766" width="9.7109375" style="112" customWidth="1"/>
    <col min="10767" max="10767" width="8.140625" style="112" customWidth="1"/>
    <col min="10768" max="11008" width="9.140625" style="112"/>
    <col min="11009" max="11009" width="15.85546875" style="112" customWidth="1"/>
    <col min="11010" max="11010" width="16.5703125" style="112" bestFit="1" customWidth="1"/>
    <col min="11011" max="11011" width="52.7109375" style="112" bestFit="1" customWidth="1"/>
    <col min="11012" max="11012" width="13.7109375" style="112" bestFit="1" customWidth="1"/>
    <col min="11013" max="11013" width="14.140625" style="112" bestFit="1" customWidth="1"/>
    <col min="11014" max="11014" width="13.140625" style="112" bestFit="1" customWidth="1"/>
    <col min="11015" max="11015" width="15.140625" style="112" customWidth="1"/>
    <col min="11016" max="11016" width="15.28515625" style="112" bestFit="1" customWidth="1"/>
    <col min="11017" max="11017" width="11.42578125" style="112" customWidth="1"/>
    <col min="11018" max="11018" width="16.7109375" style="112" customWidth="1"/>
    <col min="11019" max="11019" width="15.7109375" style="112" bestFit="1" customWidth="1"/>
    <col min="11020" max="11020" width="14.140625" style="112" customWidth="1"/>
    <col min="11021" max="11021" width="14.85546875" style="112" customWidth="1"/>
    <col min="11022" max="11022" width="9.7109375" style="112" customWidth="1"/>
    <col min="11023" max="11023" width="8.140625" style="112" customWidth="1"/>
    <col min="11024" max="11264" width="9.140625" style="112"/>
    <col min="11265" max="11265" width="15.85546875" style="112" customWidth="1"/>
    <col min="11266" max="11266" width="16.5703125" style="112" bestFit="1" customWidth="1"/>
    <col min="11267" max="11267" width="52.7109375" style="112" bestFit="1" customWidth="1"/>
    <col min="11268" max="11268" width="13.7109375" style="112" bestFit="1" customWidth="1"/>
    <col min="11269" max="11269" width="14.140625" style="112" bestFit="1" customWidth="1"/>
    <col min="11270" max="11270" width="13.140625" style="112" bestFit="1" customWidth="1"/>
    <col min="11271" max="11271" width="15.140625" style="112" customWidth="1"/>
    <col min="11272" max="11272" width="15.28515625" style="112" bestFit="1" customWidth="1"/>
    <col min="11273" max="11273" width="11.42578125" style="112" customWidth="1"/>
    <col min="11274" max="11274" width="16.7109375" style="112" customWidth="1"/>
    <col min="11275" max="11275" width="15.7109375" style="112" bestFit="1" customWidth="1"/>
    <col min="11276" max="11276" width="14.140625" style="112" customWidth="1"/>
    <col min="11277" max="11277" width="14.85546875" style="112" customWidth="1"/>
    <col min="11278" max="11278" width="9.7109375" style="112" customWidth="1"/>
    <col min="11279" max="11279" width="8.140625" style="112" customWidth="1"/>
    <col min="11280" max="11520" width="9.140625" style="112"/>
    <col min="11521" max="11521" width="15.85546875" style="112" customWidth="1"/>
    <col min="11522" max="11522" width="16.5703125" style="112" bestFit="1" customWidth="1"/>
    <col min="11523" max="11523" width="52.7109375" style="112" bestFit="1" customWidth="1"/>
    <col min="11524" max="11524" width="13.7109375" style="112" bestFit="1" customWidth="1"/>
    <col min="11525" max="11525" width="14.140625" style="112" bestFit="1" customWidth="1"/>
    <col min="11526" max="11526" width="13.140625" style="112" bestFit="1" customWidth="1"/>
    <col min="11527" max="11527" width="15.140625" style="112" customWidth="1"/>
    <col min="11528" max="11528" width="15.28515625" style="112" bestFit="1" customWidth="1"/>
    <col min="11529" max="11529" width="11.42578125" style="112" customWidth="1"/>
    <col min="11530" max="11530" width="16.7109375" style="112" customWidth="1"/>
    <col min="11531" max="11531" width="15.7109375" style="112" bestFit="1" customWidth="1"/>
    <col min="11532" max="11532" width="14.140625" style="112" customWidth="1"/>
    <col min="11533" max="11533" width="14.85546875" style="112" customWidth="1"/>
    <col min="11534" max="11534" width="9.7109375" style="112" customWidth="1"/>
    <col min="11535" max="11535" width="8.140625" style="112" customWidth="1"/>
    <col min="11536" max="11776" width="9.140625" style="112"/>
    <col min="11777" max="11777" width="15.85546875" style="112" customWidth="1"/>
    <col min="11778" max="11778" width="16.5703125" style="112" bestFit="1" customWidth="1"/>
    <col min="11779" max="11779" width="52.7109375" style="112" bestFit="1" customWidth="1"/>
    <col min="11780" max="11780" width="13.7109375" style="112" bestFit="1" customWidth="1"/>
    <col min="11781" max="11781" width="14.140625" style="112" bestFit="1" customWidth="1"/>
    <col min="11782" max="11782" width="13.140625" style="112" bestFit="1" customWidth="1"/>
    <col min="11783" max="11783" width="15.140625" style="112" customWidth="1"/>
    <col min="11784" max="11784" width="15.28515625" style="112" bestFit="1" customWidth="1"/>
    <col min="11785" max="11785" width="11.42578125" style="112" customWidth="1"/>
    <col min="11786" max="11786" width="16.7109375" style="112" customWidth="1"/>
    <col min="11787" max="11787" width="15.7109375" style="112" bestFit="1" customWidth="1"/>
    <col min="11788" max="11788" width="14.140625" style="112" customWidth="1"/>
    <col min="11789" max="11789" width="14.85546875" style="112" customWidth="1"/>
    <col min="11790" max="11790" width="9.7109375" style="112" customWidth="1"/>
    <col min="11791" max="11791" width="8.140625" style="112" customWidth="1"/>
    <col min="11792" max="12032" width="9.140625" style="112"/>
    <col min="12033" max="12033" width="15.85546875" style="112" customWidth="1"/>
    <col min="12034" max="12034" width="16.5703125" style="112" bestFit="1" customWidth="1"/>
    <col min="12035" max="12035" width="52.7109375" style="112" bestFit="1" customWidth="1"/>
    <col min="12036" max="12036" width="13.7109375" style="112" bestFit="1" customWidth="1"/>
    <col min="12037" max="12037" width="14.140625" style="112" bestFit="1" customWidth="1"/>
    <col min="12038" max="12038" width="13.140625" style="112" bestFit="1" customWidth="1"/>
    <col min="12039" max="12039" width="15.140625" style="112" customWidth="1"/>
    <col min="12040" max="12040" width="15.28515625" style="112" bestFit="1" customWidth="1"/>
    <col min="12041" max="12041" width="11.42578125" style="112" customWidth="1"/>
    <col min="12042" max="12042" width="16.7109375" style="112" customWidth="1"/>
    <col min="12043" max="12043" width="15.7109375" style="112" bestFit="1" customWidth="1"/>
    <col min="12044" max="12044" width="14.140625" style="112" customWidth="1"/>
    <col min="12045" max="12045" width="14.85546875" style="112" customWidth="1"/>
    <col min="12046" max="12046" width="9.7109375" style="112" customWidth="1"/>
    <col min="12047" max="12047" width="8.140625" style="112" customWidth="1"/>
    <col min="12048" max="12288" width="9.140625" style="112"/>
    <col min="12289" max="12289" width="15.85546875" style="112" customWidth="1"/>
    <col min="12290" max="12290" width="16.5703125" style="112" bestFit="1" customWidth="1"/>
    <col min="12291" max="12291" width="52.7109375" style="112" bestFit="1" customWidth="1"/>
    <col min="12292" max="12292" width="13.7109375" style="112" bestFit="1" customWidth="1"/>
    <col min="12293" max="12293" width="14.140625" style="112" bestFit="1" customWidth="1"/>
    <col min="12294" max="12294" width="13.140625" style="112" bestFit="1" customWidth="1"/>
    <col min="12295" max="12295" width="15.140625" style="112" customWidth="1"/>
    <col min="12296" max="12296" width="15.28515625" style="112" bestFit="1" customWidth="1"/>
    <col min="12297" max="12297" width="11.42578125" style="112" customWidth="1"/>
    <col min="12298" max="12298" width="16.7109375" style="112" customWidth="1"/>
    <col min="12299" max="12299" width="15.7109375" style="112" bestFit="1" customWidth="1"/>
    <col min="12300" max="12300" width="14.140625" style="112" customWidth="1"/>
    <col min="12301" max="12301" width="14.85546875" style="112" customWidth="1"/>
    <col min="12302" max="12302" width="9.7109375" style="112" customWidth="1"/>
    <col min="12303" max="12303" width="8.140625" style="112" customWidth="1"/>
    <col min="12304" max="12544" width="9.140625" style="112"/>
    <col min="12545" max="12545" width="15.85546875" style="112" customWidth="1"/>
    <col min="12546" max="12546" width="16.5703125" style="112" bestFit="1" customWidth="1"/>
    <col min="12547" max="12547" width="52.7109375" style="112" bestFit="1" customWidth="1"/>
    <col min="12548" max="12548" width="13.7109375" style="112" bestFit="1" customWidth="1"/>
    <col min="12549" max="12549" width="14.140625" style="112" bestFit="1" customWidth="1"/>
    <col min="12550" max="12550" width="13.140625" style="112" bestFit="1" customWidth="1"/>
    <col min="12551" max="12551" width="15.140625" style="112" customWidth="1"/>
    <col min="12552" max="12552" width="15.28515625" style="112" bestFit="1" customWidth="1"/>
    <col min="12553" max="12553" width="11.42578125" style="112" customWidth="1"/>
    <col min="12554" max="12554" width="16.7109375" style="112" customWidth="1"/>
    <col min="12555" max="12555" width="15.7109375" style="112" bestFit="1" customWidth="1"/>
    <col min="12556" max="12556" width="14.140625" style="112" customWidth="1"/>
    <col min="12557" max="12557" width="14.85546875" style="112" customWidth="1"/>
    <col min="12558" max="12558" width="9.7109375" style="112" customWidth="1"/>
    <col min="12559" max="12559" width="8.140625" style="112" customWidth="1"/>
    <col min="12560" max="12800" width="9.140625" style="112"/>
    <col min="12801" max="12801" width="15.85546875" style="112" customWidth="1"/>
    <col min="12802" max="12802" width="16.5703125" style="112" bestFit="1" customWidth="1"/>
    <col min="12803" max="12803" width="52.7109375" style="112" bestFit="1" customWidth="1"/>
    <col min="12804" max="12804" width="13.7109375" style="112" bestFit="1" customWidth="1"/>
    <col min="12805" max="12805" width="14.140625" style="112" bestFit="1" customWidth="1"/>
    <col min="12806" max="12806" width="13.140625" style="112" bestFit="1" customWidth="1"/>
    <col min="12807" max="12807" width="15.140625" style="112" customWidth="1"/>
    <col min="12808" max="12808" width="15.28515625" style="112" bestFit="1" customWidth="1"/>
    <col min="12809" max="12809" width="11.42578125" style="112" customWidth="1"/>
    <col min="12810" max="12810" width="16.7109375" style="112" customWidth="1"/>
    <col min="12811" max="12811" width="15.7109375" style="112" bestFit="1" customWidth="1"/>
    <col min="12812" max="12812" width="14.140625" style="112" customWidth="1"/>
    <col min="12813" max="12813" width="14.85546875" style="112" customWidth="1"/>
    <col min="12814" max="12814" width="9.7109375" style="112" customWidth="1"/>
    <col min="12815" max="12815" width="8.140625" style="112" customWidth="1"/>
    <col min="12816" max="13056" width="9.140625" style="112"/>
    <col min="13057" max="13057" width="15.85546875" style="112" customWidth="1"/>
    <col min="13058" max="13058" width="16.5703125" style="112" bestFit="1" customWidth="1"/>
    <col min="13059" max="13059" width="52.7109375" style="112" bestFit="1" customWidth="1"/>
    <col min="13060" max="13060" width="13.7109375" style="112" bestFit="1" customWidth="1"/>
    <col min="13061" max="13061" width="14.140625" style="112" bestFit="1" customWidth="1"/>
    <col min="13062" max="13062" width="13.140625" style="112" bestFit="1" customWidth="1"/>
    <col min="13063" max="13063" width="15.140625" style="112" customWidth="1"/>
    <col min="13064" max="13064" width="15.28515625" style="112" bestFit="1" customWidth="1"/>
    <col min="13065" max="13065" width="11.42578125" style="112" customWidth="1"/>
    <col min="13066" max="13066" width="16.7109375" style="112" customWidth="1"/>
    <col min="13067" max="13067" width="15.7109375" style="112" bestFit="1" customWidth="1"/>
    <col min="13068" max="13068" width="14.140625" style="112" customWidth="1"/>
    <col min="13069" max="13069" width="14.85546875" style="112" customWidth="1"/>
    <col min="13070" max="13070" width="9.7109375" style="112" customWidth="1"/>
    <col min="13071" max="13071" width="8.140625" style="112" customWidth="1"/>
    <col min="13072" max="13312" width="9.140625" style="112"/>
    <col min="13313" max="13313" width="15.85546875" style="112" customWidth="1"/>
    <col min="13314" max="13314" width="16.5703125" style="112" bestFit="1" customWidth="1"/>
    <col min="13315" max="13315" width="52.7109375" style="112" bestFit="1" customWidth="1"/>
    <col min="13316" max="13316" width="13.7109375" style="112" bestFit="1" customWidth="1"/>
    <col min="13317" max="13317" width="14.140625" style="112" bestFit="1" customWidth="1"/>
    <col min="13318" max="13318" width="13.140625" style="112" bestFit="1" customWidth="1"/>
    <col min="13319" max="13319" width="15.140625" style="112" customWidth="1"/>
    <col min="13320" max="13320" width="15.28515625" style="112" bestFit="1" customWidth="1"/>
    <col min="13321" max="13321" width="11.42578125" style="112" customWidth="1"/>
    <col min="13322" max="13322" width="16.7109375" style="112" customWidth="1"/>
    <col min="13323" max="13323" width="15.7109375" style="112" bestFit="1" customWidth="1"/>
    <col min="13324" max="13324" width="14.140625" style="112" customWidth="1"/>
    <col min="13325" max="13325" width="14.85546875" style="112" customWidth="1"/>
    <col min="13326" max="13326" width="9.7109375" style="112" customWidth="1"/>
    <col min="13327" max="13327" width="8.140625" style="112" customWidth="1"/>
    <col min="13328" max="13568" width="9.140625" style="112"/>
    <col min="13569" max="13569" width="15.85546875" style="112" customWidth="1"/>
    <col min="13570" max="13570" width="16.5703125" style="112" bestFit="1" customWidth="1"/>
    <col min="13571" max="13571" width="52.7109375" style="112" bestFit="1" customWidth="1"/>
    <col min="13572" max="13572" width="13.7109375" style="112" bestFit="1" customWidth="1"/>
    <col min="13573" max="13573" width="14.140625" style="112" bestFit="1" customWidth="1"/>
    <col min="13574" max="13574" width="13.140625" style="112" bestFit="1" customWidth="1"/>
    <col min="13575" max="13575" width="15.140625" style="112" customWidth="1"/>
    <col min="13576" max="13576" width="15.28515625" style="112" bestFit="1" customWidth="1"/>
    <col min="13577" max="13577" width="11.42578125" style="112" customWidth="1"/>
    <col min="13578" max="13578" width="16.7109375" style="112" customWidth="1"/>
    <col min="13579" max="13579" width="15.7109375" style="112" bestFit="1" customWidth="1"/>
    <col min="13580" max="13580" width="14.140625" style="112" customWidth="1"/>
    <col min="13581" max="13581" width="14.85546875" style="112" customWidth="1"/>
    <col min="13582" max="13582" width="9.7109375" style="112" customWidth="1"/>
    <col min="13583" max="13583" width="8.140625" style="112" customWidth="1"/>
    <col min="13584" max="13824" width="9.140625" style="112"/>
    <col min="13825" max="13825" width="15.85546875" style="112" customWidth="1"/>
    <col min="13826" max="13826" width="16.5703125" style="112" bestFit="1" customWidth="1"/>
    <col min="13827" max="13827" width="52.7109375" style="112" bestFit="1" customWidth="1"/>
    <col min="13828" max="13828" width="13.7109375" style="112" bestFit="1" customWidth="1"/>
    <col min="13829" max="13829" width="14.140625" style="112" bestFit="1" customWidth="1"/>
    <col min="13830" max="13830" width="13.140625" style="112" bestFit="1" customWidth="1"/>
    <col min="13831" max="13831" width="15.140625" style="112" customWidth="1"/>
    <col min="13832" max="13832" width="15.28515625" style="112" bestFit="1" customWidth="1"/>
    <col min="13833" max="13833" width="11.42578125" style="112" customWidth="1"/>
    <col min="13834" max="13834" width="16.7109375" style="112" customWidth="1"/>
    <col min="13835" max="13835" width="15.7109375" style="112" bestFit="1" customWidth="1"/>
    <col min="13836" max="13836" width="14.140625" style="112" customWidth="1"/>
    <col min="13837" max="13837" width="14.85546875" style="112" customWidth="1"/>
    <col min="13838" max="13838" width="9.7109375" style="112" customWidth="1"/>
    <col min="13839" max="13839" width="8.140625" style="112" customWidth="1"/>
    <col min="13840" max="14080" width="9.140625" style="112"/>
    <col min="14081" max="14081" width="15.85546875" style="112" customWidth="1"/>
    <col min="14082" max="14082" width="16.5703125" style="112" bestFit="1" customWidth="1"/>
    <col min="14083" max="14083" width="52.7109375" style="112" bestFit="1" customWidth="1"/>
    <col min="14084" max="14084" width="13.7109375" style="112" bestFit="1" customWidth="1"/>
    <col min="14085" max="14085" width="14.140625" style="112" bestFit="1" customWidth="1"/>
    <col min="14086" max="14086" width="13.140625" style="112" bestFit="1" customWidth="1"/>
    <col min="14087" max="14087" width="15.140625" style="112" customWidth="1"/>
    <col min="14088" max="14088" width="15.28515625" style="112" bestFit="1" customWidth="1"/>
    <col min="14089" max="14089" width="11.42578125" style="112" customWidth="1"/>
    <col min="14090" max="14090" width="16.7109375" style="112" customWidth="1"/>
    <col min="14091" max="14091" width="15.7109375" style="112" bestFit="1" customWidth="1"/>
    <col min="14092" max="14092" width="14.140625" style="112" customWidth="1"/>
    <col min="14093" max="14093" width="14.85546875" style="112" customWidth="1"/>
    <col min="14094" max="14094" width="9.7109375" style="112" customWidth="1"/>
    <col min="14095" max="14095" width="8.140625" style="112" customWidth="1"/>
    <col min="14096" max="14336" width="9.140625" style="112"/>
    <col min="14337" max="14337" width="15.85546875" style="112" customWidth="1"/>
    <col min="14338" max="14338" width="16.5703125" style="112" bestFit="1" customWidth="1"/>
    <col min="14339" max="14339" width="52.7109375" style="112" bestFit="1" customWidth="1"/>
    <col min="14340" max="14340" width="13.7109375" style="112" bestFit="1" customWidth="1"/>
    <col min="14341" max="14341" width="14.140625" style="112" bestFit="1" customWidth="1"/>
    <col min="14342" max="14342" width="13.140625" style="112" bestFit="1" customWidth="1"/>
    <col min="14343" max="14343" width="15.140625" style="112" customWidth="1"/>
    <col min="14344" max="14344" width="15.28515625" style="112" bestFit="1" customWidth="1"/>
    <col min="14345" max="14345" width="11.42578125" style="112" customWidth="1"/>
    <col min="14346" max="14346" width="16.7109375" style="112" customWidth="1"/>
    <col min="14347" max="14347" width="15.7109375" style="112" bestFit="1" customWidth="1"/>
    <col min="14348" max="14348" width="14.140625" style="112" customWidth="1"/>
    <col min="14349" max="14349" width="14.85546875" style="112" customWidth="1"/>
    <col min="14350" max="14350" width="9.7109375" style="112" customWidth="1"/>
    <col min="14351" max="14351" width="8.140625" style="112" customWidth="1"/>
    <col min="14352" max="14592" width="9.140625" style="112"/>
    <col min="14593" max="14593" width="15.85546875" style="112" customWidth="1"/>
    <col min="14594" max="14594" width="16.5703125" style="112" bestFit="1" customWidth="1"/>
    <col min="14595" max="14595" width="52.7109375" style="112" bestFit="1" customWidth="1"/>
    <col min="14596" max="14596" width="13.7109375" style="112" bestFit="1" customWidth="1"/>
    <col min="14597" max="14597" width="14.140625" style="112" bestFit="1" customWidth="1"/>
    <col min="14598" max="14598" width="13.140625" style="112" bestFit="1" customWidth="1"/>
    <col min="14599" max="14599" width="15.140625" style="112" customWidth="1"/>
    <col min="14600" max="14600" width="15.28515625" style="112" bestFit="1" customWidth="1"/>
    <col min="14601" max="14601" width="11.42578125" style="112" customWidth="1"/>
    <col min="14602" max="14602" width="16.7109375" style="112" customWidth="1"/>
    <col min="14603" max="14603" width="15.7109375" style="112" bestFit="1" customWidth="1"/>
    <col min="14604" max="14604" width="14.140625" style="112" customWidth="1"/>
    <col min="14605" max="14605" width="14.85546875" style="112" customWidth="1"/>
    <col min="14606" max="14606" width="9.7109375" style="112" customWidth="1"/>
    <col min="14607" max="14607" width="8.140625" style="112" customWidth="1"/>
    <col min="14608" max="14848" width="9.140625" style="112"/>
    <col min="14849" max="14849" width="15.85546875" style="112" customWidth="1"/>
    <col min="14850" max="14850" width="16.5703125" style="112" bestFit="1" customWidth="1"/>
    <col min="14851" max="14851" width="52.7109375" style="112" bestFit="1" customWidth="1"/>
    <col min="14852" max="14852" width="13.7109375" style="112" bestFit="1" customWidth="1"/>
    <col min="14853" max="14853" width="14.140625" style="112" bestFit="1" customWidth="1"/>
    <col min="14854" max="14854" width="13.140625" style="112" bestFit="1" customWidth="1"/>
    <col min="14855" max="14855" width="15.140625" style="112" customWidth="1"/>
    <col min="14856" max="14856" width="15.28515625" style="112" bestFit="1" customWidth="1"/>
    <col min="14857" max="14857" width="11.42578125" style="112" customWidth="1"/>
    <col min="14858" max="14858" width="16.7109375" style="112" customWidth="1"/>
    <col min="14859" max="14859" width="15.7109375" style="112" bestFit="1" customWidth="1"/>
    <col min="14860" max="14860" width="14.140625" style="112" customWidth="1"/>
    <col min="14861" max="14861" width="14.85546875" style="112" customWidth="1"/>
    <col min="14862" max="14862" width="9.7109375" style="112" customWidth="1"/>
    <col min="14863" max="14863" width="8.140625" style="112" customWidth="1"/>
    <col min="14864" max="15104" width="9.140625" style="112"/>
    <col min="15105" max="15105" width="15.85546875" style="112" customWidth="1"/>
    <col min="15106" max="15106" width="16.5703125" style="112" bestFit="1" customWidth="1"/>
    <col min="15107" max="15107" width="52.7109375" style="112" bestFit="1" customWidth="1"/>
    <col min="15108" max="15108" width="13.7109375" style="112" bestFit="1" customWidth="1"/>
    <col min="15109" max="15109" width="14.140625" style="112" bestFit="1" customWidth="1"/>
    <col min="15110" max="15110" width="13.140625" style="112" bestFit="1" customWidth="1"/>
    <col min="15111" max="15111" width="15.140625" style="112" customWidth="1"/>
    <col min="15112" max="15112" width="15.28515625" style="112" bestFit="1" customWidth="1"/>
    <col min="15113" max="15113" width="11.42578125" style="112" customWidth="1"/>
    <col min="15114" max="15114" width="16.7109375" style="112" customWidth="1"/>
    <col min="15115" max="15115" width="15.7109375" style="112" bestFit="1" customWidth="1"/>
    <col min="15116" max="15116" width="14.140625" style="112" customWidth="1"/>
    <col min="15117" max="15117" width="14.85546875" style="112" customWidth="1"/>
    <col min="15118" max="15118" width="9.7109375" style="112" customWidth="1"/>
    <col min="15119" max="15119" width="8.140625" style="112" customWidth="1"/>
    <col min="15120" max="15360" width="9.140625" style="112"/>
    <col min="15361" max="15361" width="15.85546875" style="112" customWidth="1"/>
    <col min="15362" max="15362" width="16.5703125" style="112" bestFit="1" customWidth="1"/>
    <col min="15363" max="15363" width="52.7109375" style="112" bestFit="1" customWidth="1"/>
    <col min="15364" max="15364" width="13.7109375" style="112" bestFit="1" customWidth="1"/>
    <col min="15365" max="15365" width="14.140625" style="112" bestFit="1" customWidth="1"/>
    <col min="15366" max="15366" width="13.140625" style="112" bestFit="1" customWidth="1"/>
    <col min="15367" max="15367" width="15.140625" style="112" customWidth="1"/>
    <col min="15368" max="15368" width="15.28515625" style="112" bestFit="1" customWidth="1"/>
    <col min="15369" max="15369" width="11.42578125" style="112" customWidth="1"/>
    <col min="15370" max="15370" width="16.7109375" style="112" customWidth="1"/>
    <col min="15371" max="15371" width="15.7109375" style="112" bestFit="1" customWidth="1"/>
    <col min="15372" max="15372" width="14.140625" style="112" customWidth="1"/>
    <col min="15373" max="15373" width="14.85546875" style="112" customWidth="1"/>
    <col min="15374" max="15374" width="9.7109375" style="112" customWidth="1"/>
    <col min="15375" max="15375" width="8.140625" style="112" customWidth="1"/>
    <col min="15376" max="15616" width="9.140625" style="112"/>
    <col min="15617" max="15617" width="15.85546875" style="112" customWidth="1"/>
    <col min="15618" max="15618" width="16.5703125" style="112" bestFit="1" customWidth="1"/>
    <col min="15619" max="15619" width="52.7109375" style="112" bestFit="1" customWidth="1"/>
    <col min="15620" max="15620" width="13.7109375" style="112" bestFit="1" customWidth="1"/>
    <col min="15621" max="15621" width="14.140625" style="112" bestFit="1" customWidth="1"/>
    <col min="15622" max="15622" width="13.140625" style="112" bestFit="1" customWidth="1"/>
    <col min="15623" max="15623" width="15.140625" style="112" customWidth="1"/>
    <col min="15624" max="15624" width="15.28515625" style="112" bestFit="1" customWidth="1"/>
    <col min="15625" max="15625" width="11.42578125" style="112" customWidth="1"/>
    <col min="15626" max="15626" width="16.7109375" style="112" customWidth="1"/>
    <col min="15627" max="15627" width="15.7109375" style="112" bestFit="1" customWidth="1"/>
    <col min="15628" max="15628" width="14.140625" style="112" customWidth="1"/>
    <col min="15629" max="15629" width="14.85546875" style="112" customWidth="1"/>
    <col min="15630" max="15630" width="9.7109375" style="112" customWidth="1"/>
    <col min="15631" max="15631" width="8.140625" style="112" customWidth="1"/>
    <col min="15632" max="15872" width="9.140625" style="112"/>
    <col min="15873" max="15873" width="15.85546875" style="112" customWidth="1"/>
    <col min="15874" max="15874" width="16.5703125" style="112" bestFit="1" customWidth="1"/>
    <col min="15875" max="15875" width="52.7109375" style="112" bestFit="1" customWidth="1"/>
    <col min="15876" max="15876" width="13.7109375" style="112" bestFit="1" customWidth="1"/>
    <col min="15877" max="15877" width="14.140625" style="112" bestFit="1" customWidth="1"/>
    <col min="15878" max="15878" width="13.140625" style="112" bestFit="1" customWidth="1"/>
    <col min="15879" max="15879" width="15.140625" style="112" customWidth="1"/>
    <col min="15880" max="15880" width="15.28515625" style="112" bestFit="1" customWidth="1"/>
    <col min="15881" max="15881" width="11.42578125" style="112" customWidth="1"/>
    <col min="15882" max="15882" width="16.7109375" style="112" customWidth="1"/>
    <col min="15883" max="15883" width="15.7109375" style="112" bestFit="1" customWidth="1"/>
    <col min="15884" max="15884" width="14.140625" style="112" customWidth="1"/>
    <col min="15885" max="15885" width="14.85546875" style="112" customWidth="1"/>
    <col min="15886" max="15886" width="9.7109375" style="112" customWidth="1"/>
    <col min="15887" max="15887" width="8.140625" style="112" customWidth="1"/>
    <col min="15888" max="16128" width="9.140625" style="112"/>
    <col min="16129" max="16129" width="15.85546875" style="112" customWidth="1"/>
    <col min="16130" max="16130" width="16.5703125" style="112" bestFit="1" customWidth="1"/>
    <col min="16131" max="16131" width="52.7109375" style="112" bestFit="1" customWidth="1"/>
    <col min="16132" max="16132" width="13.7109375" style="112" bestFit="1" customWidth="1"/>
    <col min="16133" max="16133" width="14.140625" style="112" bestFit="1" customWidth="1"/>
    <col min="16134" max="16134" width="13.140625" style="112" bestFit="1" customWidth="1"/>
    <col min="16135" max="16135" width="15.140625" style="112" customWidth="1"/>
    <col min="16136" max="16136" width="15.28515625" style="112" bestFit="1" customWidth="1"/>
    <col min="16137" max="16137" width="11.42578125" style="112" customWidth="1"/>
    <col min="16138" max="16138" width="16.7109375" style="112" customWidth="1"/>
    <col min="16139" max="16139" width="15.7109375" style="112" bestFit="1" customWidth="1"/>
    <col min="16140" max="16140" width="14.140625" style="112" customWidth="1"/>
    <col min="16141" max="16141" width="14.85546875" style="112" customWidth="1"/>
    <col min="16142" max="16142" width="9.7109375" style="112" customWidth="1"/>
    <col min="16143" max="16143" width="8.140625" style="112" customWidth="1"/>
    <col min="16144" max="16384" width="9.140625" style="112"/>
  </cols>
  <sheetData>
    <row r="1" spans="1:19" ht="12.75" customHeight="1" thickBot="1">
      <c r="A1" s="144" t="s">
        <v>215</v>
      </c>
      <c r="B1" s="144" t="s">
        <v>216</v>
      </c>
      <c r="C1" s="144" t="s">
        <v>217</v>
      </c>
      <c r="D1" s="144" t="s">
        <v>218</v>
      </c>
      <c r="E1" s="144" t="s">
        <v>219</v>
      </c>
      <c r="F1" s="144" t="s">
        <v>220</v>
      </c>
      <c r="G1" s="144" t="s">
        <v>221</v>
      </c>
      <c r="H1" s="110" t="s">
        <v>223</v>
      </c>
      <c r="I1" s="144" t="s">
        <v>241</v>
      </c>
      <c r="J1" s="144" t="s">
        <v>224</v>
      </c>
      <c r="K1" s="110" t="s">
        <v>222</v>
      </c>
      <c r="L1" s="144" t="s">
        <v>242</v>
      </c>
      <c r="M1" s="144" t="s">
        <v>243</v>
      </c>
      <c r="N1" s="111" t="s">
        <v>244</v>
      </c>
      <c r="O1" s="144" t="s">
        <v>245</v>
      </c>
      <c r="R1" s="144" t="s">
        <v>226</v>
      </c>
      <c r="S1" s="111" t="s">
        <v>246</v>
      </c>
    </row>
    <row r="2" spans="1:19" ht="12.75" customHeight="1">
      <c r="A2" s="145" t="s">
        <v>225</v>
      </c>
      <c r="B2" s="146" t="s">
        <v>247</v>
      </c>
      <c r="C2" s="146" t="s">
        <v>248</v>
      </c>
      <c r="D2" s="146" t="s">
        <v>249</v>
      </c>
      <c r="E2" s="147">
        <v>39282</v>
      </c>
      <c r="F2" s="148">
        <v>47474</v>
      </c>
      <c r="G2" s="148">
        <v>0</v>
      </c>
      <c r="H2" s="149">
        <v>76890</v>
      </c>
      <c r="I2" s="148" t="s">
        <v>250</v>
      </c>
      <c r="J2" s="150">
        <f t="shared" ref="J2:J65" si="0">H2/I2</f>
        <v>26.368312757201647</v>
      </c>
      <c r="K2" s="149">
        <v>7290</v>
      </c>
      <c r="L2" s="148" t="s">
        <v>251</v>
      </c>
      <c r="M2" s="148" t="s">
        <v>252</v>
      </c>
      <c r="N2" s="151" t="s">
        <v>253</v>
      </c>
      <c r="O2" s="152" t="s">
        <v>254</v>
      </c>
      <c r="P2" s="112">
        <v>1</v>
      </c>
      <c r="R2" s="113">
        <v>26.368312757201647</v>
      </c>
      <c r="S2" s="115">
        <v>0.35</v>
      </c>
    </row>
    <row r="3" spans="1:19" ht="12.75" customHeight="1">
      <c r="A3" s="153" t="s">
        <v>225</v>
      </c>
      <c r="B3" s="154" t="s">
        <v>247</v>
      </c>
      <c r="C3" s="154" t="s">
        <v>248</v>
      </c>
      <c r="D3" s="154" t="s">
        <v>255</v>
      </c>
      <c r="E3" s="155">
        <v>39380</v>
      </c>
      <c r="F3" s="156">
        <v>10094</v>
      </c>
      <c r="G3" s="156">
        <v>0</v>
      </c>
      <c r="H3" s="157">
        <v>13825</v>
      </c>
      <c r="I3" s="156" t="s">
        <v>256</v>
      </c>
      <c r="J3" s="158">
        <f t="shared" si="0"/>
        <v>22.298387096774192</v>
      </c>
      <c r="K3" s="157">
        <v>1550</v>
      </c>
      <c r="L3" s="156" t="s">
        <v>251</v>
      </c>
      <c r="M3" s="156" t="s">
        <v>252</v>
      </c>
      <c r="N3" s="159" t="s">
        <v>253</v>
      </c>
      <c r="O3" s="160" t="s">
        <v>257</v>
      </c>
      <c r="P3" s="112">
        <v>1</v>
      </c>
      <c r="R3" s="113">
        <v>22.298387096774192</v>
      </c>
      <c r="S3" s="115">
        <v>0.35</v>
      </c>
    </row>
    <row r="4" spans="1:19" ht="12.75" customHeight="1">
      <c r="A4" s="153" t="s">
        <v>225</v>
      </c>
      <c r="B4" s="154" t="s">
        <v>247</v>
      </c>
      <c r="C4" s="154" t="s">
        <v>248</v>
      </c>
      <c r="D4" s="154" t="s">
        <v>258</v>
      </c>
      <c r="E4" s="155">
        <v>39534</v>
      </c>
      <c r="F4" s="156">
        <v>34287</v>
      </c>
      <c r="G4" s="156">
        <v>0</v>
      </c>
      <c r="H4" s="157">
        <v>20782.7</v>
      </c>
      <c r="I4" s="156" t="s">
        <v>259</v>
      </c>
      <c r="J4" s="158">
        <f t="shared" si="0"/>
        <v>9.8683285849952522</v>
      </c>
      <c r="K4" s="157">
        <v>5265</v>
      </c>
      <c r="L4" s="156" t="s">
        <v>59</v>
      </c>
      <c r="M4" s="156" t="s">
        <v>252</v>
      </c>
      <c r="N4" s="159" t="s">
        <v>253</v>
      </c>
      <c r="O4" s="160" t="s">
        <v>59</v>
      </c>
      <c r="P4" s="112">
        <v>1</v>
      </c>
      <c r="R4" s="113">
        <v>9.8683285849952522</v>
      </c>
      <c r="S4" s="115">
        <v>0.35</v>
      </c>
    </row>
    <row r="5" spans="1:19" ht="12.75" customHeight="1">
      <c r="A5" s="153" t="s">
        <v>225</v>
      </c>
      <c r="B5" s="154" t="s">
        <v>260</v>
      </c>
      <c r="C5" s="154" t="s">
        <v>261</v>
      </c>
      <c r="D5" s="154" t="s">
        <v>262</v>
      </c>
      <c r="E5" s="155">
        <v>39282</v>
      </c>
      <c r="F5" s="156">
        <v>0</v>
      </c>
      <c r="G5" s="156">
        <v>9665.5</v>
      </c>
      <c r="H5" s="157">
        <v>425467</v>
      </c>
      <c r="I5" s="156" t="s">
        <v>263</v>
      </c>
      <c r="J5" s="158">
        <f t="shared" si="0"/>
        <v>20.314505347593585</v>
      </c>
      <c r="K5" s="157">
        <v>36652</v>
      </c>
      <c r="L5" s="156" t="s">
        <v>251</v>
      </c>
      <c r="M5" s="156" t="s">
        <v>252</v>
      </c>
      <c r="N5" s="159" t="s">
        <v>253</v>
      </c>
      <c r="O5" s="160" t="s">
        <v>264</v>
      </c>
      <c r="P5" s="112">
        <v>1</v>
      </c>
      <c r="R5" s="113">
        <v>20.314505347593585</v>
      </c>
      <c r="S5" s="115">
        <v>0.35</v>
      </c>
    </row>
    <row r="6" spans="1:19" ht="12.75" customHeight="1">
      <c r="A6" s="153" t="s">
        <v>225</v>
      </c>
      <c r="B6" s="154" t="s">
        <v>265</v>
      </c>
      <c r="C6" s="154" t="s">
        <v>266</v>
      </c>
      <c r="D6" s="154" t="s">
        <v>267</v>
      </c>
      <c r="E6" s="155">
        <v>39366</v>
      </c>
      <c r="F6" s="156">
        <v>39318</v>
      </c>
      <c r="G6" s="156">
        <v>0</v>
      </c>
      <c r="H6" s="157">
        <v>55915.29</v>
      </c>
      <c r="I6" s="156" t="s">
        <v>268</v>
      </c>
      <c r="J6" s="158">
        <f t="shared" si="0"/>
        <v>23.153329192546583</v>
      </c>
      <c r="K6" s="157">
        <v>6037.5</v>
      </c>
      <c r="L6" s="156" t="s">
        <v>251</v>
      </c>
      <c r="M6" s="156" t="s">
        <v>252</v>
      </c>
      <c r="N6" s="159" t="s">
        <v>269</v>
      </c>
      <c r="O6" s="160" t="s">
        <v>270</v>
      </c>
      <c r="P6" s="112">
        <v>1</v>
      </c>
      <c r="R6" s="113">
        <v>23.153329192546583</v>
      </c>
      <c r="S6" s="115">
        <v>0.34</v>
      </c>
    </row>
    <row r="7" spans="1:19" ht="12.75" customHeight="1">
      <c r="A7" s="153" t="s">
        <v>225</v>
      </c>
      <c r="B7" s="154" t="s">
        <v>265</v>
      </c>
      <c r="C7" s="154" t="s">
        <v>266</v>
      </c>
      <c r="D7" s="154" t="s">
        <v>271</v>
      </c>
      <c r="E7" s="155">
        <v>39366</v>
      </c>
      <c r="F7" s="156">
        <v>29565</v>
      </c>
      <c r="G7" s="156">
        <v>0</v>
      </c>
      <c r="H7" s="157">
        <v>39170.120000000003</v>
      </c>
      <c r="I7" s="156" t="s">
        <v>272</v>
      </c>
      <c r="J7" s="158">
        <f t="shared" si="0"/>
        <v>21.569449339207051</v>
      </c>
      <c r="K7" s="157">
        <v>4540</v>
      </c>
      <c r="L7" s="156" t="s">
        <v>251</v>
      </c>
      <c r="M7" s="156" t="s">
        <v>252</v>
      </c>
      <c r="N7" s="159" t="s">
        <v>269</v>
      </c>
      <c r="O7" s="160" t="s">
        <v>273</v>
      </c>
      <c r="P7" s="112">
        <v>1</v>
      </c>
      <c r="R7" s="113">
        <v>21.569449339207051</v>
      </c>
      <c r="S7" s="115">
        <v>0.34</v>
      </c>
    </row>
    <row r="8" spans="1:19" ht="12.75" customHeight="1">
      <c r="A8" s="153" t="s">
        <v>225</v>
      </c>
      <c r="B8" s="154" t="s">
        <v>247</v>
      </c>
      <c r="C8" s="154" t="s">
        <v>248</v>
      </c>
      <c r="D8" s="154" t="s">
        <v>274</v>
      </c>
      <c r="E8" s="155">
        <v>39345</v>
      </c>
      <c r="F8" s="156">
        <v>32643</v>
      </c>
      <c r="G8" s="156">
        <v>0</v>
      </c>
      <c r="H8" s="157">
        <v>60709.38</v>
      </c>
      <c r="I8" s="156" t="s">
        <v>275</v>
      </c>
      <c r="J8" s="158">
        <f t="shared" si="0"/>
        <v>30.278992518703241</v>
      </c>
      <c r="K8" s="157">
        <v>5012.5</v>
      </c>
      <c r="L8" s="156" t="s">
        <v>251</v>
      </c>
      <c r="M8" s="156" t="s">
        <v>252</v>
      </c>
      <c r="N8" s="159" t="s">
        <v>269</v>
      </c>
      <c r="O8" s="160" t="s">
        <v>276</v>
      </c>
      <c r="P8" s="112">
        <v>1</v>
      </c>
      <c r="R8" s="113">
        <v>30.278992518703241</v>
      </c>
      <c r="S8" s="115">
        <v>0.34</v>
      </c>
    </row>
    <row r="9" spans="1:19" ht="12.75" customHeight="1">
      <c r="A9" s="153" t="s">
        <v>225</v>
      </c>
      <c r="B9" s="154" t="s">
        <v>247</v>
      </c>
      <c r="C9" s="154" t="s">
        <v>248</v>
      </c>
      <c r="D9" s="154" t="s">
        <v>277</v>
      </c>
      <c r="E9" s="155">
        <v>39359</v>
      </c>
      <c r="F9" s="156">
        <v>41499</v>
      </c>
      <c r="G9" s="156">
        <v>0</v>
      </c>
      <c r="H9" s="157">
        <v>49385</v>
      </c>
      <c r="I9" s="156" t="s">
        <v>278</v>
      </c>
      <c r="J9" s="158">
        <f t="shared" si="0"/>
        <v>19.374264417418594</v>
      </c>
      <c r="K9" s="157">
        <v>6372.5</v>
      </c>
      <c r="L9" s="156" t="s">
        <v>251</v>
      </c>
      <c r="M9" s="156" t="s">
        <v>252</v>
      </c>
      <c r="N9" s="159" t="s">
        <v>269</v>
      </c>
      <c r="O9" s="160" t="s">
        <v>279</v>
      </c>
      <c r="P9" s="112">
        <v>1</v>
      </c>
      <c r="R9" s="113">
        <v>19.374264417418594</v>
      </c>
      <c r="S9" s="115">
        <v>0.34</v>
      </c>
    </row>
    <row r="10" spans="1:19" ht="12.75" customHeight="1">
      <c r="A10" s="153" t="s">
        <v>225</v>
      </c>
      <c r="B10" s="154" t="s">
        <v>247</v>
      </c>
      <c r="C10" s="154" t="s">
        <v>248</v>
      </c>
      <c r="D10" s="154" t="s">
        <v>280</v>
      </c>
      <c r="E10" s="155">
        <v>39407</v>
      </c>
      <c r="F10" s="156">
        <v>8727</v>
      </c>
      <c r="G10" s="156">
        <v>0</v>
      </c>
      <c r="H10" s="157">
        <v>14998</v>
      </c>
      <c r="I10" s="156" t="s">
        <v>281</v>
      </c>
      <c r="J10" s="158">
        <f t="shared" si="0"/>
        <v>27.981343283582088</v>
      </c>
      <c r="K10" s="157">
        <v>1340</v>
      </c>
      <c r="L10" s="156" t="s">
        <v>251</v>
      </c>
      <c r="M10" s="156" t="s">
        <v>252</v>
      </c>
      <c r="N10" s="159" t="s">
        <v>269</v>
      </c>
      <c r="O10" s="160" t="s">
        <v>282</v>
      </c>
      <c r="P10" s="112">
        <v>1</v>
      </c>
      <c r="R10" s="113">
        <v>27.981343283582088</v>
      </c>
      <c r="S10" s="115">
        <v>0.34</v>
      </c>
    </row>
    <row r="11" spans="1:19" ht="12.75" customHeight="1">
      <c r="A11" s="153" t="s">
        <v>225</v>
      </c>
      <c r="B11" s="154" t="s">
        <v>260</v>
      </c>
      <c r="C11" s="154" t="s">
        <v>261</v>
      </c>
      <c r="D11" s="154" t="s">
        <v>283</v>
      </c>
      <c r="E11" s="155">
        <v>39339</v>
      </c>
      <c r="F11" s="156">
        <v>0</v>
      </c>
      <c r="G11" s="156">
        <v>153.4</v>
      </c>
      <c r="H11" s="157">
        <v>9960</v>
      </c>
      <c r="I11" s="156" t="s">
        <v>284</v>
      </c>
      <c r="J11" s="158">
        <f t="shared" si="0"/>
        <v>30</v>
      </c>
      <c r="K11" s="157">
        <v>581</v>
      </c>
      <c r="L11" s="156" t="s">
        <v>251</v>
      </c>
      <c r="M11" s="156" t="s">
        <v>252</v>
      </c>
      <c r="N11" s="159" t="s">
        <v>269</v>
      </c>
      <c r="O11" s="160" t="s">
        <v>285</v>
      </c>
      <c r="P11" s="112">
        <v>1</v>
      </c>
      <c r="R11" s="113">
        <v>30</v>
      </c>
      <c r="S11" s="115">
        <v>0.34</v>
      </c>
    </row>
    <row r="12" spans="1:19" ht="12.75" customHeight="1">
      <c r="A12" s="153" t="s">
        <v>225</v>
      </c>
      <c r="B12" s="154" t="s">
        <v>247</v>
      </c>
      <c r="C12" s="154" t="s">
        <v>248</v>
      </c>
      <c r="D12" s="154" t="s">
        <v>286</v>
      </c>
      <c r="E12" s="155">
        <v>39387</v>
      </c>
      <c r="F12" s="156">
        <v>44381</v>
      </c>
      <c r="G12" s="156">
        <v>0</v>
      </c>
      <c r="H12" s="157">
        <v>49611</v>
      </c>
      <c r="I12" s="156" t="s">
        <v>287</v>
      </c>
      <c r="J12" s="158">
        <f t="shared" si="0"/>
        <v>18.199192956713134</v>
      </c>
      <c r="K12" s="157">
        <v>6815</v>
      </c>
      <c r="L12" s="156" t="s">
        <v>251</v>
      </c>
      <c r="M12" s="156" t="s">
        <v>252</v>
      </c>
      <c r="N12" s="159" t="s">
        <v>288</v>
      </c>
      <c r="O12" s="160" t="s">
        <v>289</v>
      </c>
      <c r="P12" s="112">
        <v>1</v>
      </c>
      <c r="R12" s="113">
        <v>18.199192956713134</v>
      </c>
      <c r="S12" s="115">
        <v>0.33</v>
      </c>
    </row>
    <row r="13" spans="1:19" ht="12.75" customHeight="1">
      <c r="A13" s="153" t="s">
        <v>225</v>
      </c>
      <c r="B13" s="154" t="s">
        <v>265</v>
      </c>
      <c r="C13" s="154" t="s">
        <v>266</v>
      </c>
      <c r="D13" s="154" t="s">
        <v>290</v>
      </c>
      <c r="E13" s="155">
        <v>39407</v>
      </c>
      <c r="F13" s="156">
        <v>27905</v>
      </c>
      <c r="G13" s="156">
        <v>0</v>
      </c>
      <c r="H13" s="157">
        <v>27411</v>
      </c>
      <c r="I13" s="156" t="s">
        <v>291</v>
      </c>
      <c r="J13" s="158">
        <f t="shared" si="0"/>
        <v>15.992415402567094</v>
      </c>
      <c r="K13" s="157">
        <v>4285</v>
      </c>
      <c r="L13" s="156" t="s">
        <v>251</v>
      </c>
      <c r="M13" s="156" t="s">
        <v>252</v>
      </c>
      <c r="N13" s="159" t="s">
        <v>292</v>
      </c>
      <c r="O13" s="160" t="s">
        <v>293</v>
      </c>
      <c r="P13" s="112">
        <v>1</v>
      </c>
      <c r="R13" s="113">
        <v>15.992415402567094</v>
      </c>
      <c r="S13" s="115">
        <v>0.32</v>
      </c>
    </row>
    <row r="14" spans="1:19" ht="12.75" customHeight="1">
      <c r="A14" s="153" t="s">
        <v>225</v>
      </c>
      <c r="B14" s="154" t="s">
        <v>247</v>
      </c>
      <c r="C14" s="154" t="s">
        <v>248</v>
      </c>
      <c r="D14" s="154" t="s">
        <v>294</v>
      </c>
      <c r="E14" s="155">
        <v>39226</v>
      </c>
      <c r="F14" s="156">
        <v>25935</v>
      </c>
      <c r="G14" s="156">
        <v>0</v>
      </c>
      <c r="H14" s="157">
        <v>29535</v>
      </c>
      <c r="I14" s="156" t="s">
        <v>295</v>
      </c>
      <c r="J14" s="158">
        <f t="shared" si="0"/>
        <v>18.540489642184557</v>
      </c>
      <c r="K14" s="157">
        <v>4779</v>
      </c>
      <c r="L14" s="156" t="s">
        <v>251</v>
      </c>
      <c r="M14" s="156" t="s">
        <v>252</v>
      </c>
      <c r="N14" s="159" t="s">
        <v>292</v>
      </c>
      <c r="O14" s="160" t="s">
        <v>296</v>
      </c>
      <c r="P14" s="112">
        <v>1</v>
      </c>
      <c r="R14" s="113">
        <v>18.540489642184557</v>
      </c>
      <c r="S14" s="115">
        <v>0.32</v>
      </c>
    </row>
    <row r="15" spans="1:19" ht="12.75" customHeight="1">
      <c r="A15" s="153" t="s">
        <v>225</v>
      </c>
      <c r="B15" s="154" t="s">
        <v>247</v>
      </c>
      <c r="C15" s="154" t="s">
        <v>248</v>
      </c>
      <c r="D15" s="154" t="s">
        <v>297</v>
      </c>
      <c r="E15" s="155">
        <v>39353</v>
      </c>
      <c r="F15" s="156">
        <v>16770</v>
      </c>
      <c r="G15" s="156">
        <v>0</v>
      </c>
      <c r="H15" s="157">
        <v>17694.310000000001</v>
      </c>
      <c r="I15" s="156" t="s">
        <v>298</v>
      </c>
      <c r="J15" s="158">
        <f t="shared" si="0"/>
        <v>17.178941747572818</v>
      </c>
      <c r="K15" s="157">
        <v>2575</v>
      </c>
      <c r="L15" s="156" t="s">
        <v>251</v>
      </c>
      <c r="M15" s="156" t="s">
        <v>252</v>
      </c>
      <c r="N15" s="159" t="s">
        <v>292</v>
      </c>
      <c r="O15" s="160" t="s">
        <v>299</v>
      </c>
      <c r="P15" s="112">
        <v>1</v>
      </c>
      <c r="R15" s="113">
        <v>17.178941747572818</v>
      </c>
      <c r="S15" s="115">
        <v>0.32</v>
      </c>
    </row>
    <row r="16" spans="1:19" ht="12.75" customHeight="1">
      <c r="A16" s="153" t="s">
        <v>225</v>
      </c>
      <c r="B16" s="154" t="s">
        <v>247</v>
      </c>
      <c r="C16" s="154" t="s">
        <v>248</v>
      </c>
      <c r="D16" s="154" t="s">
        <v>300</v>
      </c>
      <c r="E16" s="155">
        <v>39359</v>
      </c>
      <c r="F16" s="156">
        <v>64764</v>
      </c>
      <c r="G16" s="156">
        <v>0</v>
      </c>
      <c r="H16" s="157">
        <v>69050</v>
      </c>
      <c r="I16" s="156" t="s">
        <v>301</v>
      </c>
      <c r="J16" s="158">
        <f t="shared" si="0"/>
        <v>17.357968828557063</v>
      </c>
      <c r="K16" s="157">
        <v>9945</v>
      </c>
      <c r="L16" s="156" t="s">
        <v>251</v>
      </c>
      <c r="M16" s="156" t="s">
        <v>252</v>
      </c>
      <c r="N16" s="159" t="s">
        <v>292</v>
      </c>
      <c r="O16" s="160" t="s">
        <v>302</v>
      </c>
      <c r="P16" s="112">
        <v>1</v>
      </c>
      <c r="R16" s="113">
        <v>17.357968828557063</v>
      </c>
      <c r="S16" s="115">
        <v>0.32</v>
      </c>
    </row>
    <row r="17" spans="1:19" ht="12.75" customHeight="1">
      <c r="A17" s="153" t="s">
        <v>225</v>
      </c>
      <c r="B17" s="154" t="s">
        <v>247</v>
      </c>
      <c r="C17" s="154" t="s">
        <v>248</v>
      </c>
      <c r="D17" s="154" t="s">
        <v>303</v>
      </c>
      <c r="E17" s="155">
        <v>39353</v>
      </c>
      <c r="F17" s="156">
        <v>26797</v>
      </c>
      <c r="G17" s="156">
        <v>0</v>
      </c>
      <c r="H17" s="157">
        <v>39492</v>
      </c>
      <c r="I17" s="156" t="s">
        <v>304</v>
      </c>
      <c r="J17" s="158">
        <f t="shared" si="0"/>
        <v>23.992709599027947</v>
      </c>
      <c r="K17" s="157">
        <v>4938</v>
      </c>
      <c r="L17" s="156" t="s">
        <v>251</v>
      </c>
      <c r="M17" s="156" t="s">
        <v>252</v>
      </c>
      <c r="N17" s="159" t="s">
        <v>292</v>
      </c>
      <c r="O17" s="160" t="s">
        <v>305</v>
      </c>
      <c r="P17" s="112">
        <v>1</v>
      </c>
      <c r="R17" s="113">
        <v>23.992709599027947</v>
      </c>
      <c r="S17" s="115">
        <v>0.32</v>
      </c>
    </row>
    <row r="18" spans="1:19" ht="12.75" customHeight="1">
      <c r="A18" s="153" t="s">
        <v>225</v>
      </c>
      <c r="B18" s="154" t="s">
        <v>247</v>
      </c>
      <c r="C18" s="154" t="s">
        <v>248</v>
      </c>
      <c r="D18" s="154" t="s">
        <v>306</v>
      </c>
      <c r="E18" s="155">
        <v>39380</v>
      </c>
      <c r="F18" s="156">
        <v>60011</v>
      </c>
      <c r="G18" s="156">
        <v>0</v>
      </c>
      <c r="H18" s="157">
        <v>65836</v>
      </c>
      <c r="I18" s="156" t="s">
        <v>307</v>
      </c>
      <c r="J18" s="158">
        <f t="shared" si="0"/>
        <v>17.861096039066737</v>
      </c>
      <c r="K18" s="157">
        <v>9215</v>
      </c>
      <c r="L18" s="156" t="s">
        <v>251</v>
      </c>
      <c r="M18" s="156" t="s">
        <v>252</v>
      </c>
      <c r="N18" s="159" t="s">
        <v>292</v>
      </c>
      <c r="O18" s="160" t="s">
        <v>308</v>
      </c>
      <c r="P18" s="112">
        <v>1</v>
      </c>
      <c r="R18" s="113">
        <v>17.861096039066737</v>
      </c>
      <c r="S18" s="115">
        <v>0.32</v>
      </c>
    </row>
    <row r="19" spans="1:19" ht="12.75" customHeight="1">
      <c r="A19" s="153" t="s">
        <v>225</v>
      </c>
      <c r="B19" s="154" t="s">
        <v>247</v>
      </c>
      <c r="C19" s="154" t="s">
        <v>248</v>
      </c>
      <c r="D19" s="154" t="s">
        <v>309</v>
      </c>
      <c r="E19" s="155">
        <v>39395</v>
      </c>
      <c r="F19" s="156">
        <v>39334</v>
      </c>
      <c r="G19" s="156">
        <v>0</v>
      </c>
      <c r="H19" s="157">
        <v>54964.28</v>
      </c>
      <c r="I19" s="156" t="s">
        <v>310</v>
      </c>
      <c r="J19" s="158">
        <f t="shared" si="0"/>
        <v>22.750115894039734</v>
      </c>
      <c r="K19" s="157">
        <v>7248</v>
      </c>
      <c r="L19" s="156" t="s">
        <v>251</v>
      </c>
      <c r="M19" s="156" t="s">
        <v>252</v>
      </c>
      <c r="N19" s="159" t="s">
        <v>292</v>
      </c>
      <c r="O19" s="160" t="s">
        <v>311</v>
      </c>
      <c r="P19" s="112">
        <v>1</v>
      </c>
      <c r="R19" s="113">
        <v>22.750115894039734</v>
      </c>
      <c r="S19" s="115">
        <v>0.32</v>
      </c>
    </row>
    <row r="20" spans="1:19" ht="12.75" customHeight="1">
      <c r="A20" s="153" t="s">
        <v>225</v>
      </c>
      <c r="B20" s="154" t="s">
        <v>247</v>
      </c>
      <c r="C20" s="154" t="s">
        <v>248</v>
      </c>
      <c r="D20" s="154" t="s">
        <v>312</v>
      </c>
      <c r="E20" s="155">
        <v>39429</v>
      </c>
      <c r="F20" s="156">
        <v>11721</v>
      </c>
      <c r="G20" s="156">
        <v>0</v>
      </c>
      <c r="H20" s="157">
        <v>13647.63</v>
      </c>
      <c r="I20" s="156" t="s">
        <v>313</v>
      </c>
      <c r="J20" s="158">
        <f t="shared" si="0"/>
        <v>18.955041666666666</v>
      </c>
      <c r="K20" s="157">
        <v>1799.83</v>
      </c>
      <c r="L20" s="156" t="s">
        <v>251</v>
      </c>
      <c r="M20" s="156" t="s">
        <v>252</v>
      </c>
      <c r="N20" s="159" t="s">
        <v>292</v>
      </c>
      <c r="O20" s="160" t="s">
        <v>296</v>
      </c>
      <c r="P20" s="112">
        <v>1</v>
      </c>
      <c r="R20" s="113">
        <v>18.955041666666666</v>
      </c>
      <c r="S20" s="115">
        <v>0.32</v>
      </c>
    </row>
    <row r="21" spans="1:19" ht="12.75" customHeight="1">
      <c r="A21" s="153" t="s">
        <v>225</v>
      </c>
      <c r="B21" s="154" t="s">
        <v>247</v>
      </c>
      <c r="C21" s="154" t="s">
        <v>248</v>
      </c>
      <c r="D21" s="154" t="s">
        <v>314</v>
      </c>
      <c r="E21" s="155">
        <v>39447</v>
      </c>
      <c r="F21" s="156">
        <v>18007</v>
      </c>
      <c r="G21" s="156">
        <v>0</v>
      </c>
      <c r="H21" s="157">
        <v>24598.32</v>
      </c>
      <c r="I21" s="156" t="s">
        <v>315</v>
      </c>
      <c r="J21" s="158">
        <f t="shared" si="0"/>
        <v>22.240795660036166</v>
      </c>
      <c r="K21" s="157">
        <v>2765</v>
      </c>
      <c r="L21" s="156" t="s">
        <v>251</v>
      </c>
      <c r="M21" s="156" t="s">
        <v>252</v>
      </c>
      <c r="N21" s="159" t="s">
        <v>292</v>
      </c>
      <c r="O21" s="160" t="s">
        <v>316</v>
      </c>
      <c r="P21" s="112">
        <v>1</v>
      </c>
      <c r="R21" s="113">
        <v>22.240795660036166</v>
      </c>
      <c r="S21" s="115">
        <v>0.32</v>
      </c>
    </row>
    <row r="22" spans="1:19" ht="12.75" customHeight="1">
      <c r="A22" s="153" t="s">
        <v>225</v>
      </c>
      <c r="B22" s="154" t="s">
        <v>247</v>
      </c>
      <c r="C22" s="154" t="s">
        <v>248</v>
      </c>
      <c r="D22" s="154" t="s">
        <v>317</v>
      </c>
      <c r="E22" s="155">
        <v>39447</v>
      </c>
      <c r="F22" s="156">
        <v>20709</v>
      </c>
      <c r="G22" s="156">
        <v>0</v>
      </c>
      <c r="H22" s="157">
        <v>41300.15</v>
      </c>
      <c r="I22" s="156" t="s">
        <v>318</v>
      </c>
      <c r="J22" s="158">
        <f t="shared" si="0"/>
        <v>32.700039588281868</v>
      </c>
      <c r="K22" s="157">
        <v>3157.5</v>
      </c>
      <c r="L22" s="156" t="s">
        <v>251</v>
      </c>
      <c r="M22" s="156" t="s">
        <v>252</v>
      </c>
      <c r="N22" s="159" t="s">
        <v>292</v>
      </c>
      <c r="O22" s="160" t="s">
        <v>319</v>
      </c>
      <c r="P22" s="112">
        <v>1</v>
      </c>
      <c r="R22" s="113">
        <v>32.700039588281868</v>
      </c>
      <c r="S22" s="115">
        <v>0.32</v>
      </c>
    </row>
    <row r="23" spans="1:19" ht="12.75" customHeight="1">
      <c r="A23" s="153" t="s">
        <v>225</v>
      </c>
      <c r="B23" s="154" t="s">
        <v>247</v>
      </c>
      <c r="C23" s="154" t="s">
        <v>248</v>
      </c>
      <c r="D23" s="154" t="s">
        <v>320</v>
      </c>
      <c r="E23" s="155">
        <v>39447</v>
      </c>
      <c r="F23" s="156">
        <v>27107</v>
      </c>
      <c r="G23" s="156">
        <v>0</v>
      </c>
      <c r="H23" s="157">
        <v>39485.49</v>
      </c>
      <c r="I23" s="156" t="s">
        <v>321</v>
      </c>
      <c r="J23" s="158">
        <f t="shared" si="0"/>
        <v>23.715009009009009</v>
      </c>
      <c r="K23" s="157">
        <v>4162.5</v>
      </c>
      <c r="L23" s="156" t="s">
        <v>251</v>
      </c>
      <c r="M23" s="156" t="s">
        <v>252</v>
      </c>
      <c r="N23" s="159" t="s">
        <v>292</v>
      </c>
      <c r="O23" s="160" t="s">
        <v>322</v>
      </c>
      <c r="P23" s="112">
        <v>1</v>
      </c>
      <c r="R23" s="113">
        <v>23.715009009009009</v>
      </c>
      <c r="S23" s="115">
        <v>0.32</v>
      </c>
    </row>
    <row r="24" spans="1:19" ht="12.75" customHeight="1">
      <c r="A24" s="153" t="s">
        <v>225</v>
      </c>
      <c r="B24" s="154" t="s">
        <v>247</v>
      </c>
      <c r="C24" s="154" t="s">
        <v>248</v>
      </c>
      <c r="D24" s="154" t="s">
        <v>323</v>
      </c>
      <c r="E24" s="155">
        <v>39534</v>
      </c>
      <c r="F24" s="156">
        <v>76649</v>
      </c>
      <c r="G24" s="156">
        <v>0</v>
      </c>
      <c r="H24" s="157">
        <v>106000</v>
      </c>
      <c r="I24" s="156" t="s">
        <v>324</v>
      </c>
      <c r="J24" s="158">
        <f t="shared" si="0"/>
        <v>22.514868309260834</v>
      </c>
      <c r="K24" s="157">
        <v>11770</v>
      </c>
      <c r="L24" s="156" t="s">
        <v>59</v>
      </c>
      <c r="M24" s="156" t="s">
        <v>252</v>
      </c>
      <c r="N24" s="159" t="s">
        <v>292</v>
      </c>
      <c r="O24" s="160" t="s">
        <v>59</v>
      </c>
      <c r="P24" s="112">
        <v>1</v>
      </c>
      <c r="R24" s="113">
        <v>22.514868309260834</v>
      </c>
      <c r="S24" s="115">
        <v>0.32</v>
      </c>
    </row>
    <row r="25" spans="1:19" ht="12.75" customHeight="1">
      <c r="A25" s="153" t="s">
        <v>225</v>
      </c>
      <c r="B25" s="154" t="s">
        <v>247</v>
      </c>
      <c r="C25" s="154" t="s">
        <v>248</v>
      </c>
      <c r="D25" s="154" t="s">
        <v>325</v>
      </c>
      <c r="E25" s="155">
        <v>39625</v>
      </c>
      <c r="F25" s="156">
        <v>11380</v>
      </c>
      <c r="G25" s="156">
        <v>0</v>
      </c>
      <c r="H25" s="157">
        <v>19515</v>
      </c>
      <c r="I25" s="156" t="s">
        <v>326</v>
      </c>
      <c r="J25" s="158">
        <f t="shared" si="0"/>
        <v>27.918454935622318</v>
      </c>
      <c r="K25" s="157">
        <v>1747.5</v>
      </c>
      <c r="L25" s="156" t="s">
        <v>251</v>
      </c>
      <c r="M25" s="156" t="s">
        <v>252</v>
      </c>
      <c r="N25" s="159" t="s">
        <v>292</v>
      </c>
      <c r="O25" s="160" t="s">
        <v>327</v>
      </c>
      <c r="P25" s="112">
        <v>1</v>
      </c>
      <c r="R25" s="113">
        <v>27.918454935622318</v>
      </c>
      <c r="S25" s="115">
        <v>0.32</v>
      </c>
    </row>
    <row r="26" spans="1:19" ht="12.75" customHeight="1">
      <c r="A26" s="153" t="s">
        <v>225</v>
      </c>
      <c r="B26" s="154" t="s">
        <v>260</v>
      </c>
      <c r="C26" s="154" t="s">
        <v>261</v>
      </c>
      <c r="D26" s="154" t="s">
        <v>328</v>
      </c>
      <c r="E26" s="155">
        <v>39415</v>
      </c>
      <c r="F26" s="156">
        <v>0</v>
      </c>
      <c r="G26" s="156">
        <v>155.35</v>
      </c>
      <c r="H26" s="157">
        <v>15531</v>
      </c>
      <c r="I26" s="156" t="s">
        <v>329</v>
      </c>
      <c r="J26" s="158">
        <f t="shared" si="0"/>
        <v>46.08605341246291</v>
      </c>
      <c r="K26" s="157">
        <v>589.75</v>
      </c>
      <c r="L26" s="156" t="s">
        <v>251</v>
      </c>
      <c r="M26" s="156" t="s">
        <v>252</v>
      </c>
      <c r="N26" s="159" t="s">
        <v>292</v>
      </c>
      <c r="O26" s="160" t="s">
        <v>330</v>
      </c>
      <c r="P26" s="112">
        <v>1</v>
      </c>
      <c r="R26" s="113">
        <v>46.08605341246291</v>
      </c>
      <c r="S26" s="115">
        <v>0.32</v>
      </c>
    </row>
    <row r="27" spans="1:19" ht="12.75" customHeight="1">
      <c r="A27" s="153" t="s">
        <v>225</v>
      </c>
      <c r="B27" s="154" t="s">
        <v>260</v>
      </c>
      <c r="C27" s="154" t="s">
        <v>261</v>
      </c>
      <c r="D27" s="154" t="s">
        <v>331</v>
      </c>
      <c r="E27" s="155">
        <v>39625</v>
      </c>
      <c r="F27" s="156">
        <v>0</v>
      </c>
      <c r="G27" s="156">
        <v>239.2</v>
      </c>
      <c r="H27" s="157">
        <v>15460</v>
      </c>
      <c r="I27" s="156" t="s">
        <v>332</v>
      </c>
      <c r="J27" s="158">
        <f t="shared" si="0"/>
        <v>31.422764227642276</v>
      </c>
      <c r="K27" s="157">
        <v>861</v>
      </c>
      <c r="L27" s="156" t="s">
        <v>251</v>
      </c>
      <c r="M27" s="156" t="s">
        <v>252</v>
      </c>
      <c r="N27" s="159" t="s">
        <v>292</v>
      </c>
      <c r="O27" s="160" t="s">
        <v>333</v>
      </c>
      <c r="P27" s="112">
        <v>1</v>
      </c>
      <c r="R27" s="113">
        <v>31.422764227642276</v>
      </c>
      <c r="S27" s="115">
        <v>0.32</v>
      </c>
    </row>
    <row r="28" spans="1:19" ht="12.75" customHeight="1">
      <c r="A28" s="153" t="s">
        <v>225</v>
      </c>
      <c r="B28" s="154" t="s">
        <v>265</v>
      </c>
      <c r="C28" s="154" t="s">
        <v>266</v>
      </c>
      <c r="D28" s="154" t="s">
        <v>334</v>
      </c>
      <c r="E28" s="155">
        <v>39562</v>
      </c>
      <c r="F28" s="156">
        <v>6089</v>
      </c>
      <c r="G28" s="156">
        <v>0</v>
      </c>
      <c r="H28" s="157">
        <v>35250</v>
      </c>
      <c r="I28" s="156" t="s">
        <v>335</v>
      </c>
      <c r="J28" s="158">
        <f t="shared" si="0"/>
        <v>44.620253164556964</v>
      </c>
      <c r="K28" s="157">
        <v>1185</v>
      </c>
      <c r="L28" s="156" t="s">
        <v>59</v>
      </c>
      <c r="M28" s="156" t="s">
        <v>336</v>
      </c>
      <c r="N28" s="159" t="s">
        <v>337</v>
      </c>
      <c r="O28" s="160" t="s">
        <v>338</v>
      </c>
      <c r="P28" s="112">
        <v>1</v>
      </c>
      <c r="R28" s="113">
        <v>44.620253164556964</v>
      </c>
      <c r="S28" s="115">
        <v>0.31</v>
      </c>
    </row>
    <row r="29" spans="1:19" ht="12.75" customHeight="1">
      <c r="A29" s="153" t="s">
        <v>225</v>
      </c>
      <c r="B29" s="154" t="s">
        <v>247</v>
      </c>
      <c r="C29" s="154" t="s">
        <v>248</v>
      </c>
      <c r="D29" s="154" t="s">
        <v>339</v>
      </c>
      <c r="E29" s="155">
        <v>39282</v>
      </c>
      <c r="F29" s="156">
        <v>38683</v>
      </c>
      <c r="G29" s="156">
        <v>0</v>
      </c>
      <c r="H29" s="157">
        <v>89200</v>
      </c>
      <c r="I29" s="156" t="s">
        <v>340</v>
      </c>
      <c r="J29" s="158">
        <f t="shared" si="0"/>
        <v>37.542087542087543</v>
      </c>
      <c r="K29" s="157">
        <v>7128</v>
      </c>
      <c r="L29" s="156" t="s">
        <v>251</v>
      </c>
      <c r="M29" s="156" t="s">
        <v>252</v>
      </c>
      <c r="N29" s="159" t="s">
        <v>337</v>
      </c>
      <c r="O29" s="160" t="s">
        <v>341</v>
      </c>
      <c r="P29" s="112">
        <v>1</v>
      </c>
      <c r="R29" s="113">
        <v>37.542087542087543</v>
      </c>
      <c r="S29" s="115">
        <v>0.31</v>
      </c>
    </row>
    <row r="30" spans="1:19" ht="12.75" customHeight="1">
      <c r="A30" s="153" t="s">
        <v>225</v>
      </c>
      <c r="B30" s="154" t="s">
        <v>247</v>
      </c>
      <c r="C30" s="154" t="s">
        <v>248</v>
      </c>
      <c r="D30" s="154" t="s">
        <v>342</v>
      </c>
      <c r="E30" s="155">
        <v>39443</v>
      </c>
      <c r="F30" s="156">
        <v>6691</v>
      </c>
      <c r="G30" s="156">
        <v>0</v>
      </c>
      <c r="H30" s="157">
        <v>7482.46</v>
      </c>
      <c r="I30" s="156" t="s">
        <v>343</v>
      </c>
      <c r="J30" s="158">
        <f t="shared" si="0"/>
        <v>18.205498783454988</v>
      </c>
      <c r="K30" s="157">
        <v>1027.5</v>
      </c>
      <c r="L30" s="156" t="s">
        <v>251</v>
      </c>
      <c r="M30" s="156" t="s">
        <v>252</v>
      </c>
      <c r="N30" s="159" t="s">
        <v>337</v>
      </c>
      <c r="O30" s="160" t="s">
        <v>344</v>
      </c>
      <c r="P30" s="112">
        <v>1</v>
      </c>
      <c r="R30" s="113">
        <v>18.205498783454988</v>
      </c>
      <c r="S30" s="115">
        <v>0.31</v>
      </c>
    </row>
    <row r="31" spans="1:19" ht="12.75" customHeight="1">
      <c r="A31" s="153" t="s">
        <v>225</v>
      </c>
      <c r="B31" s="154" t="s">
        <v>247</v>
      </c>
      <c r="C31" s="154" t="s">
        <v>248</v>
      </c>
      <c r="D31" s="154" t="s">
        <v>345</v>
      </c>
      <c r="E31" s="155">
        <v>39443</v>
      </c>
      <c r="F31" s="156">
        <v>18918</v>
      </c>
      <c r="G31" s="156">
        <v>0</v>
      </c>
      <c r="H31" s="157">
        <v>14458.61</v>
      </c>
      <c r="I31" s="156" t="s">
        <v>346</v>
      </c>
      <c r="J31" s="158">
        <f t="shared" si="0"/>
        <v>12.442865748709123</v>
      </c>
      <c r="K31" s="157">
        <v>2905</v>
      </c>
      <c r="L31" s="156" t="s">
        <v>251</v>
      </c>
      <c r="M31" s="156" t="s">
        <v>252</v>
      </c>
      <c r="N31" s="159" t="s">
        <v>337</v>
      </c>
      <c r="O31" s="160" t="s">
        <v>347</v>
      </c>
      <c r="P31" s="112">
        <v>1</v>
      </c>
      <c r="R31" s="113">
        <v>12.442865748709123</v>
      </c>
      <c r="S31" s="115">
        <v>0.31</v>
      </c>
    </row>
    <row r="32" spans="1:19" ht="12.75" customHeight="1">
      <c r="A32" s="153" t="s">
        <v>225</v>
      </c>
      <c r="B32" s="154" t="s">
        <v>247</v>
      </c>
      <c r="C32" s="154" t="s">
        <v>248</v>
      </c>
      <c r="D32" s="154" t="s">
        <v>348</v>
      </c>
      <c r="E32" s="155">
        <v>39447</v>
      </c>
      <c r="F32" s="156">
        <v>67206</v>
      </c>
      <c r="G32" s="156">
        <v>0</v>
      </c>
      <c r="H32" s="157">
        <v>56586.45</v>
      </c>
      <c r="I32" s="156" t="s">
        <v>349</v>
      </c>
      <c r="J32" s="158">
        <f t="shared" si="0"/>
        <v>13.707957848837209</v>
      </c>
      <c r="K32" s="157">
        <v>10320</v>
      </c>
      <c r="L32" s="156" t="s">
        <v>251</v>
      </c>
      <c r="M32" s="156" t="s">
        <v>252</v>
      </c>
      <c r="N32" s="159" t="s">
        <v>337</v>
      </c>
      <c r="O32" s="160" t="s">
        <v>350</v>
      </c>
      <c r="P32" s="112">
        <v>1</v>
      </c>
      <c r="R32" s="113">
        <v>13.707957848837209</v>
      </c>
      <c r="S32" s="115">
        <v>0.31</v>
      </c>
    </row>
    <row r="33" spans="1:19" ht="12.75" customHeight="1">
      <c r="A33" s="153" t="s">
        <v>225</v>
      </c>
      <c r="B33" s="154" t="s">
        <v>247</v>
      </c>
      <c r="C33" s="154" t="s">
        <v>248</v>
      </c>
      <c r="D33" s="154" t="s">
        <v>351</v>
      </c>
      <c r="E33" s="155">
        <v>39447</v>
      </c>
      <c r="F33" s="156">
        <v>3419</v>
      </c>
      <c r="G33" s="156">
        <v>0</v>
      </c>
      <c r="H33" s="157">
        <v>9325.9</v>
      </c>
      <c r="I33" s="156" t="s">
        <v>352</v>
      </c>
      <c r="J33" s="158">
        <f t="shared" si="0"/>
        <v>44.40904761904762</v>
      </c>
      <c r="K33" s="157">
        <v>525</v>
      </c>
      <c r="L33" s="156" t="s">
        <v>251</v>
      </c>
      <c r="M33" s="156" t="s">
        <v>252</v>
      </c>
      <c r="N33" s="159" t="s">
        <v>337</v>
      </c>
      <c r="O33" s="160" t="s">
        <v>353</v>
      </c>
      <c r="P33" s="112">
        <v>1</v>
      </c>
      <c r="R33" s="113">
        <v>44.40904761904762</v>
      </c>
      <c r="S33" s="115">
        <v>0.31</v>
      </c>
    </row>
    <row r="34" spans="1:19" ht="12.75" customHeight="1">
      <c r="A34" s="153" t="s">
        <v>225</v>
      </c>
      <c r="B34" s="154" t="s">
        <v>247</v>
      </c>
      <c r="C34" s="154" t="s">
        <v>248</v>
      </c>
      <c r="D34" s="154" t="s">
        <v>354</v>
      </c>
      <c r="E34" s="155">
        <v>39447</v>
      </c>
      <c r="F34" s="156">
        <v>0</v>
      </c>
      <c r="G34" s="156">
        <v>0</v>
      </c>
      <c r="H34" s="157">
        <v>6001.25</v>
      </c>
      <c r="I34" s="156" t="s">
        <v>355</v>
      </c>
      <c r="J34" s="158">
        <f t="shared" si="0"/>
        <v>9.2611882716049383</v>
      </c>
      <c r="K34" s="157">
        <v>1944</v>
      </c>
      <c r="L34" s="156" t="s">
        <v>251</v>
      </c>
      <c r="M34" s="156" t="s">
        <v>252</v>
      </c>
      <c r="N34" s="159" t="s">
        <v>337</v>
      </c>
      <c r="O34" s="160" t="s">
        <v>356</v>
      </c>
      <c r="P34" s="112">
        <v>1</v>
      </c>
      <c r="R34" s="113">
        <v>9.2611882716049383</v>
      </c>
      <c r="S34" s="115">
        <v>0.31</v>
      </c>
    </row>
    <row r="35" spans="1:19" ht="12.75" customHeight="1">
      <c r="A35" s="153" t="s">
        <v>225</v>
      </c>
      <c r="B35" s="154" t="s">
        <v>247</v>
      </c>
      <c r="C35" s="154" t="s">
        <v>248</v>
      </c>
      <c r="D35" s="154" t="s">
        <v>357</v>
      </c>
      <c r="E35" s="155">
        <v>39486</v>
      </c>
      <c r="F35" s="156">
        <v>10550</v>
      </c>
      <c r="G35" s="156">
        <v>0</v>
      </c>
      <c r="H35" s="157">
        <v>6001.25</v>
      </c>
      <c r="I35" s="156" t="s">
        <v>355</v>
      </c>
      <c r="J35" s="158">
        <f t="shared" si="0"/>
        <v>9.2611882716049383</v>
      </c>
      <c r="K35" s="157">
        <v>1944</v>
      </c>
      <c r="L35" s="156" t="s">
        <v>251</v>
      </c>
      <c r="M35" s="156" t="s">
        <v>252</v>
      </c>
      <c r="N35" s="159" t="s">
        <v>358</v>
      </c>
      <c r="O35" s="160" t="s">
        <v>356</v>
      </c>
      <c r="P35" s="112">
        <v>1</v>
      </c>
      <c r="R35" s="113">
        <v>9.2611882716049383</v>
      </c>
      <c r="S35" s="115">
        <v>0.31</v>
      </c>
    </row>
    <row r="36" spans="1:19" ht="12.75" customHeight="1">
      <c r="A36" s="153" t="s">
        <v>225</v>
      </c>
      <c r="B36" s="154" t="s">
        <v>247</v>
      </c>
      <c r="C36" s="154" t="s">
        <v>248</v>
      </c>
      <c r="D36" s="154" t="s">
        <v>359</v>
      </c>
      <c r="E36" s="155">
        <v>39520</v>
      </c>
      <c r="F36" s="156">
        <v>2344</v>
      </c>
      <c r="G36" s="156">
        <v>0</v>
      </c>
      <c r="H36" s="157">
        <v>4624.66</v>
      </c>
      <c r="I36" s="156" t="s">
        <v>360</v>
      </c>
      <c r="J36" s="158">
        <f t="shared" si="0"/>
        <v>32.115694444444443</v>
      </c>
      <c r="K36" s="157">
        <v>360</v>
      </c>
      <c r="L36" s="156" t="s">
        <v>59</v>
      </c>
      <c r="M36" s="156" t="s">
        <v>252</v>
      </c>
      <c r="N36" s="159" t="s">
        <v>337</v>
      </c>
      <c r="O36" s="160" t="s">
        <v>361</v>
      </c>
      <c r="P36" s="112">
        <v>1</v>
      </c>
      <c r="R36" s="113">
        <v>32.115694444444443</v>
      </c>
      <c r="S36" s="115">
        <v>0.31</v>
      </c>
    </row>
    <row r="37" spans="1:19" ht="12.75" customHeight="1">
      <c r="A37" s="153" t="s">
        <v>225</v>
      </c>
      <c r="B37" s="154" t="s">
        <v>247</v>
      </c>
      <c r="C37" s="154" t="s">
        <v>248</v>
      </c>
      <c r="D37" s="154" t="s">
        <v>362</v>
      </c>
      <c r="E37" s="155">
        <v>39534</v>
      </c>
      <c r="F37" s="156">
        <v>29680</v>
      </c>
      <c r="G37" s="156">
        <v>0</v>
      </c>
      <c r="H37" s="157">
        <v>26884</v>
      </c>
      <c r="I37" s="156" t="s">
        <v>363</v>
      </c>
      <c r="J37" s="158">
        <f t="shared" si="0"/>
        <v>14.747120131651124</v>
      </c>
      <c r="K37" s="157">
        <v>4557.5</v>
      </c>
      <c r="L37" s="156" t="s">
        <v>59</v>
      </c>
      <c r="M37" s="156" t="s">
        <v>252</v>
      </c>
      <c r="N37" s="159" t="s">
        <v>337</v>
      </c>
      <c r="O37" s="160" t="s">
        <v>59</v>
      </c>
      <c r="P37" s="112">
        <v>1</v>
      </c>
      <c r="R37" s="113">
        <v>14.747120131651124</v>
      </c>
      <c r="S37" s="115">
        <v>0.31</v>
      </c>
    </row>
    <row r="38" spans="1:19" ht="12.75" customHeight="1">
      <c r="A38" s="153" t="s">
        <v>225</v>
      </c>
      <c r="B38" s="154" t="s">
        <v>247</v>
      </c>
      <c r="C38" s="154" t="s">
        <v>248</v>
      </c>
      <c r="D38" s="154" t="s">
        <v>364</v>
      </c>
      <c r="E38" s="155">
        <v>39555</v>
      </c>
      <c r="F38" s="156">
        <v>15824</v>
      </c>
      <c r="G38" s="156">
        <v>0</v>
      </c>
      <c r="H38" s="157">
        <v>27412.84</v>
      </c>
      <c r="I38" s="156" t="s">
        <v>365</v>
      </c>
      <c r="J38" s="158">
        <f t="shared" si="0"/>
        <v>28.202510288065845</v>
      </c>
      <c r="K38" s="157">
        <v>2430</v>
      </c>
      <c r="L38" s="156" t="s">
        <v>59</v>
      </c>
      <c r="M38" s="156" t="s">
        <v>252</v>
      </c>
      <c r="N38" s="159" t="s">
        <v>337</v>
      </c>
      <c r="O38" s="160" t="s">
        <v>366</v>
      </c>
      <c r="P38" s="112">
        <v>1</v>
      </c>
      <c r="R38" s="113">
        <v>28.202510288065845</v>
      </c>
      <c r="S38" s="115">
        <v>0.31</v>
      </c>
    </row>
    <row r="39" spans="1:19" ht="12.75" customHeight="1">
      <c r="A39" s="153" t="s">
        <v>225</v>
      </c>
      <c r="B39" s="154" t="s">
        <v>247</v>
      </c>
      <c r="C39" s="154" t="s">
        <v>248</v>
      </c>
      <c r="D39" s="154" t="s">
        <v>367</v>
      </c>
      <c r="E39" s="155">
        <v>39597</v>
      </c>
      <c r="F39" s="156">
        <v>21881</v>
      </c>
      <c r="G39" s="156">
        <v>0</v>
      </c>
      <c r="H39" s="157">
        <v>23584</v>
      </c>
      <c r="I39" s="156" t="s">
        <v>368</v>
      </c>
      <c r="J39" s="158">
        <f t="shared" si="0"/>
        <v>17.679160419790104</v>
      </c>
      <c r="K39" s="157">
        <v>3360</v>
      </c>
      <c r="L39" s="156" t="s">
        <v>251</v>
      </c>
      <c r="M39" s="156" t="s">
        <v>252</v>
      </c>
      <c r="N39" s="159" t="s">
        <v>337</v>
      </c>
      <c r="O39" s="160" t="s">
        <v>369</v>
      </c>
      <c r="P39" s="112">
        <v>1</v>
      </c>
      <c r="R39" s="113">
        <v>17.679160419790104</v>
      </c>
      <c r="S39" s="115">
        <v>0.31</v>
      </c>
    </row>
    <row r="40" spans="1:19" ht="12.75" customHeight="1">
      <c r="A40" s="153" t="s">
        <v>225</v>
      </c>
      <c r="B40" s="154" t="s">
        <v>247</v>
      </c>
      <c r="C40" s="154" t="s">
        <v>248</v>
      </c>
      <c r="D40" s="154" t="s">
        <v>367</v>
      </c>
      <c r="E40" s="155">
        <v>39618</v>
      </c>
      <c r="F40" s="156">
        <v>-21881</v>
      </c>
      <c r="G40" s="156">
        <v>0</v>
      </c>
      <c r="H40" s="157">
        <v>23584</v>
      </c>
      <c r="I40" s="156" t="s">
        <v>368</v>
      </c>
      <c r="J40" s="158">
        <f t="shared" si="0"/>
        <v>17.679160419790104</v>
      </c>
      <c r="K40" s="157">
        <v>3360</v>
      </c>
      <c r="L40" s="156" t="s">
        <v>251</v>
      </c>
      <c r="M40" s="156" t="s">
        <v>252</v>
      </c>
      <c r="N40" s="159" t="s">
        <v>337</v>
      </c>
      <c r="O40" s="160" t="s">
        <v>369</v>
      </c>
      <c r="P40" s="112">
        <v>1</v>
      </c>
      <c r="R40" s="113">
        <v>17.679160419790104</v>
      </c>
      <c r="S40" s="115">
        <v>0.31</v>
      </c>
    </row>
    <row r="41" spans="1:19" ht="12.75" customHeight="1">
      <c r="A41" s="153" t="s">
        <v>225</v>
      </c>
      <c r="B41" s="154" t="s">
        <v>247</v>
      </c>
      <c r="C41" s="154" t="s">
        <v>248</v>
      </c>
      <c r="D41" s="154" t="s">
        <v>367</v>
      </c>
      <c r="E41" s="155">
        <v>39618</v>
      </c>
      <c r="F41" s="156">
        <v>21881</v>
      </c>
      <c r="G41" s="156">
        <v>0</v>
      </c>
      <c r="H41" s="157">
        <v>23584</v>
      </c>
      <c r="I41" s="156" t="s">
        <v>368</v>
      </c>
      <c r="J41" s="158">
        <f t="shared" si="0"/>
        <v>17.679160419790104</v>
      </c>
      <c r="K41" s="157">
        <v>3360</v>
      </c>
      <c r="L41" s="156" t="s">
        <v>251</v>
      </c>
      <c r="M41" s="156" t="s">
        <v>252</v>
      </c>
      <c r="N41" s="159" t="s">
        <v>337</v>
      </c>
      <c r="O41" s="160" t="s">
        <v>369</v>
      </c>
      <c r="P41" s="112">
        <v>1</v>
      </c>
      <c r="R41" s="113">
        <v>17.679160419790104</v>
      </c>
      <c r="S41" s="115">
        <v>0.31</v>
      </c>
    </row>
    <row r="42" spans="1:19" ht="12.75" customHeight="1">
      <c r="A42" s="153" t="s">
        <v>225</v>
      </c>
      <c r="B42" s="154" t="s">
        <v>260</v>
      </c>
      <c r="C42" s="154" t="s">
        <v>261</v>
      </c>
      <c r="D42" s="154" t="s">
        <v>370</v>
      </c>
      <c r="E42" s="155">
        <v>39247</v>
      </c>
      <c r="F42" s="156">
        <v>0</v>
      </c>
      <c r="G42" s="156">
        <v>2951.65</v>
      </c>
      <c r="H42" s="157">
        <v>173800</v>
      </c>
      <c r="I42" s="156" t="s">
        <v>371</v>
      </c>
      <c r="J42" s="158">
        <f t="shared" si="0"/>
        <v>27.173233270794245</v>
      </c>
      <c r="K42" s="157">
        <v>14391</v>
      </c>
      <c r="L42" s="156" t="s">
        <v>251</v>
      </c>
      <c r="M42" s="156" t="s">
        <v>252</v>
      </c>
      <c r="N42" s="159" t="s">
        <v>337</v>
      </c>
      <c r="O42" s="160" t="s">
        <v>372</v>
      </c>
      <c r="P42" s="112">
        <v>1</v>
      </c>
      <c r="R42" s="113">
        <v>27.173233270794245</v>
      </c>
      <c r="S42" s="115">
        <v>0.31</v>
      </c>
    </row>
    <row r="43" spans="1:19" ht="12.75" customHeight="1">
      <c r="A43" s="153" t="s">
        <v>225</v>
      </c>
      <c r="B43" s="154" t="s">
        <v>260</v>
      </c>
      <c r="C43" s="154" t="s">
        <v>261</v>
      </c>
      <c r="D43" s="154" t="s">
        <v>373</v>
      </c>
      <c r="E43" s="155">
        <v>39443</v>
      </c>
      <c r="F43" s="156">
        <v>0</v>
      </c>
      <c r="G43" s="156">
        <v>252.2</v>
      </c>
      <c r="H43" s="157">
        <v>9167.4</v>
      </c>
      <c r="I43" s="156" t="s">
        <v>374</v>
      </c>
      <c r="J43" s="158">
        <f t="shared" si="0"/>
        <v>16.759414990859231</v>
      </c>
      <c r="K43" s="157">
        <v>957.25</v>
      </c>
      <c r="L43" s="156" t="s">
        <v>251</v>
      </c>
      <c r="M43" s="156" t="s">
        <v>252</v>
      </c>
      <c r="N43" s="159" t="s">
        <v>337</v>
      </c>
      <c r="O43" s="160" t="s">
        <v>375</v>
      </c>
      <c r="P43" s="112">
        <v>1</v>
      </c>
      <c r="R43" s="113">
        <v>16.759414990859231</v>
      </c>
      <c r="S43" s="115">
        <v>0.31</v>
      </c>
    </row>
    <row r="44" spans="1:19" ht="12.75" customHeight="1">
      <c r="A44" s="153" t="s">
        <v>225</v>
      </c>
      <c r="B44" s="154" t="s">
        <v>376</v>
      </c>
      <c r="C44" s="154" t="s">
        <v>377</v>
      </c>
      <c r="D44" s="154" t="s">
        <v>378</v>
      </c>
      <c r="E44" s="155">
        <v>39359</v>
      </c>
      <c r="F44" s="156">
        <v>62550</v>
      </c>
      <c r="G44" s="156">
        <v>0</v>
      </c>
      <c r="H44" s="157">
        <v>47789.52</v>
      </c>
      <c r="I44" s="156" t="s">
        <v>379</v>
      </c>
      <c r="J44" s="158">
        <f t="shared" si="0"/>
        <v>12.438709005726183</v>
      </c>
      <c r="K44" s="157">
        <v>15368</v>
      </c>
      <c r="L44" s="156" t="s">
        <v>251</v>
      </c>
      <c r="M44" s="156" t="s">
        <v>252</v>
      </c>
      <c r="N44" s="159" t="s">
        <v>380</v>
      </c>
      <c r="O44" s="160" t="s">
        <v>381</v>
      </c>
      <c r="P44" s="112">
        <v>1</v>
      </c>
      <c r="R44" s="113">
        <v>12.438709005726183</v>
      </c>
      <c r="S44" s="115">
        <v>0.3</v>
      </c>
    </row>
    <row r="45" spans="1:19" ht="12.75" customHeight="1">
      <c r="A45" s="153" t="s">
        <v>225</v>
      </c>
      <c r="B45" s="154" t="s">
        <v>376</v>
      </c>
      <c r="C45" s="154" t="s">
        <v>377</v>
      </c>
      <c r="D45" s="154" t="s">
        <v>382</v>
      </c>
      <c r="E45" s="155">
        <v>39366</v>
      </c>
      <c r="F45" s="156">
        <v>20873</v>
      </c>
      <c r="G45" s="156">
        <v>0</v>
      </c>
      <c r="H45" s="157">
        <v>23711.78</v>
      </c>
      <c r="I45" s="156" t="s">
        <v>383</v>
      </c>
      <c r="J45" s="158">
        <f t="shared" si="0"/>
        <v>18.495928237129483</v>
      </c>
      <c r="K45" s="157">
        <v>3846</v>
      </c>
      <c r="L45" s="156" t="s">
        <v>251</v>
      </c>
      <c r="M45" s="156" t="s">
        <v>252</v>
      </c>
      <c r="N45" s="159" t="s">
        <v>380</v>
      </c>
      <c r="O45" s="160" t="s">
        <v>384</v>
      </c>
      <c r="P45" s="112">
        <v>1</v>
      </c>
      <c r="R45" s="113">
        <v>18.495928237129483</v>
      </c>
      <c r="S45" s="115">
        <v>0.3</v>
      </c>
    </row>
    <row r="46" spans="1:19" ht="12.75" customHeight="1">
      <c r="A46" s="153" t="s">
        <v>225</v>
      </c>
      <c r="B46" s="154" t="s">
        <v>376</v>
      </c>
      <c r="C46" s="154" t="s">
        <v>377</v>
      </c>
      <c r="D46" s="154" t="s">
        <v>385</v>
      </c>
      <c r="E46" s="155">
        <v>39407</v>
      </c>
      <c r="F46" s="156">
        <v>25852</v>
      </c>
      <c r="G46" s="156">
        <v>0</v>
      </c>
      <c r="H46" s="157">
        <v>86299</v>
      </c>
      <c r="I46" s="156" t="s">
        <v>386</v>
      </c>
      <c r="J46" s="158">
        <f t="shared" si="0"/>
        <v>25.730172927847345</v>
      </c>
      <c r="K46" s="157">
        <v>6708</v>
      </c>
      <c r="L46" s="156" t="s">
        <v>387</v>
      </c>
      <c r="M46" s="156" t="s">
        <v>336</v>
      </c>
      <c r="N46" s="159" t="s">
        <v>380</v>
      </c>
      <c r="O46" s="160" t="s">
        <v>388</v>
      </c>
      <c r="P46" s="112">
        <v>1</v>
      </c>
      <c r="R46" s="113">
        <v>25.730172927847345</v>
      </c>
      <c r="S46" s="115">
        <v>0.3</v>
      </c>
    </row>
    <row r="47" spans="1:19" ht="12.75" customHeight="1">
      <c r="A47" s="153" t="s">
        <v>225</v>
      </c>
      <c r="B47" s="154" t="s">
        <v>376</v>
      </c>
      <c r="C47" s="154" t="s">
        <v>377</v>
      </c>
      <c r="D47" s="154" t="s">
        <v>389</v>
      </c>
      <c r="E47" s="155">
        <v>39429</v>
      </c>
      <c r="F47" s="156">
        <v>113003</v>
      </c>
      <c r="G47" s="156">
        <v>0</v>
      </c>
      <c r="H47" s="157">
        <v>334127</v>
      </c>
      <c r="I47" s="156" t="s">
        <v>390</v>
      </c>
      <c r="J47" s="158">
        <f t="shared" si="0"/>
        <v>22.790191664961462</v>
      </c>
      <c r="K47" s="157">
        <v>29322</v>
      </c>
      <c r="L47" s="156" t="s">
        <v>387</v>
      </c>
      <c r="M47" s="156" t="s">
        <v>336</v>
      </c>
      <c r="N47" s="159" t="s">
        <v>380</v>
      </c>
      <c r="O47" s="160" t="s">
        <v>391</v>
      </c>
      <c r="P47" s="112">
        <v>1</v>
      </c>
      <c r="R47" s="113">
        <v>22.790191664961462</v>
      </c>
      <c r="S47" s="115">
        <v>0.3</v>
      </c>
    </row>
    <row r="48" spans="1:19" ht="12.75" customHeight="1">
      <c r="A48" s="153" t="s">
        <v>225</v>
      </c>
      <c r="B48" s="154" t="s">
        <v>376</v>
      </c>
      <c r="C48" s="154" t="s">
        <v>377</v>
      </c>
      <c r="D48" s="154" t="s">
        <v>392</v>
      </c>
      <c r="E48" s="155">
        <v>39447</v>
      </c>
      <c r="F48" s="156">
        <v>25691</v>
      </c>
      <c r="G48" s="156">
        <v>0</v>
      </c>
      <c r="H48" s="157">
        <v>46852</v>
      </c>
      <c r="I48" s="156" t="s">
        <v>393</v>
      </c>
      <c r="J48" s="158">
        <f t="shared" si="0"/>
        <v>29.690747782002536</v>
      </c>
      <c r="K48" s="157">
        <v>6312</v>
      </c>
      <c r="L48" s="156" t="s">
        <v>251</v>
      </c>
      <c r="M48" s="156" t="s">
        <v>252</v>
      </c>
      <c r="N48" s="159" t="s">
        <v>380</v>
      </c>
      <c r="O48" s="160" t="s">
        <v>289</v>
      </c>
      <c r="P48" s="112">
        <v>1</v>
      </c>
      <c r="R48" s="113">
        <v>29.690747782002536</v>
      </c>
      <c r="S48" s="115">
        <v>0.3</v>
      </c>
    </row>
    <row r="49" spans="1:19" ht="12.75" customHeight="1">
      <c r="A49" s="153" t="s">
        <v>225</v>
      </c>
      <c r="B49" s="154" t="s">
        <v>376</v>
      </c>
      <c r="C49" s="154" t="s">
        <v>377</v>
      </c>
      <c r="D49" s="154" t="s">
        <v>394</v>
      </c>
      <c r="E49" s="155">
        <v>39447</v>
      </c>
      <c r="F49" s="156">
        <v>115152</v>
      </c>
      <c r="G49" s="156">
        <v>0</v>
      </c>
      <c r="H49" s="157">
        <v>124623</v>
      </c>
      <c r="I49" s="156" t="s">
        <v>395</v>
      </c>
      <c r="J49" s="158">
        <f t="shared" si="0"/>
        <v>17.619539092322917</v>
      </c>
      <c r="K49" s="157">
        <v>28292</v>
      </c>
      <c r="L49" s="156" t="s">
        <v>251</v>
      </c>
      <c r="M49" s="156" t="s">
        <v>252</v>
      </c>
      <c r="N49" s="159" t="s">
        <v>380</v>
      </c>
      <c r="O49" s="160" t="s">
        <v>396</v>
      </c>
      <c r="P49" s="112">
        <v>1</v>
      </c>
      <c r="R49" s="113">
        <v>17.619539092322917</v>
      </c>
      <c r="S49" s="115">
        <v>0.3</v>
      </c>
    </row>
    <row r="50" spans="1:19" ht="12.75" customHeight="1">
      <c r="A50" s="153" t="s">
        <v>225</v>
      </c>
      <c r="B50" s="154" t="s">
        <v>397</v>
      </c>
      <c r="C50" s="154" t="s">
        <v>398</v>
      </c>
      <c r="D50" s="154" t="s">
        <v>399</v>
      </c>
      <c r="E50" s="155">
        <v>39198</v>
      </c>
      <c r="F50" s="156">
        <v>67467</v>
      </c>
      <c r="G50" s="156">
        <v>0</v>
      </c>
      <c r="H50" s="157">
        <v>104552</v>
      </c>
      <c r="I50" s="156" t="s">
        <v>400</v>
      </c>
      <c r="J50" s="158">
        <f t="shared" si="0"/>
        <v>25.22972972972973</v>
      </c>
      <c r="K50" s="157">
        <v>12432</v>
      </c>
      <c r="L50" s="156" t="s">
        <v>251</v>
      </c>
      <c r="M50" s="156" t="s">
        <v>252</v>
      </c>
      <c r="N50" s="159" t="s">
        <v>380</v>
      </c>
      <c r="O50" s="160" t="s">
        <v>401</v>
      </c>
      <c r="P50" s="112">
        <v>1</v>
      </c>
      <c r="R50" s="113">
        <v>25.22972972972973</v>
      </c>
      <c r="S50" s="115">
        <v>0.3</v>
      </c>
    </row>
    <row r="51" spans="1:19" ht="12.75" customHeight="1">
      <c r="A51" s="153" t="s">
        <v>225</v>
      </c>
      <c r="B51" s="154" t="s">
        <v>397</v>
      </c>
      <c r="C51" s="154" t="s">
        <v>398</v>
      </c>
      <c r="D51" s="154" t="s">
        <v>402</v>
      </c>
      <c r="E51" s="155">
        <v>39247</v>
      </c>
      <c r="F51" s="156">
        <v>35558</v>
      </c>
      <c r="G51" s="156">
        <v>0</v>
      </c>
      <c r="H51" s="157">
        <v>43997.46</v>
      </c>
      <c r="I51" s="156" t="s">
        <v>403</v>
      </c>
      <c r="J51" s="158">
        <f t="shared" si="0"/>
        <v>20.145357142857144</v>
      </c>
      <c r="K51" s="157">
        <v>6552</v>
      </c>
      <c r="L51" s="156" t="s">
        <v>251</v>
      </c>
      <c r="M51" s="156" t="s">
        <v>252</v>
      </c>
      <c r="N51" s="159" t="s">
        <v>380</v>
      </c>
      <c r="O51" s="160" t="s">
        <v>404</v>
      </c>
      <c r="P51" s="112">
        <v>1</v>
      </c>
      <c r="R51" s="113">
        <v>20.145357142857144</v>
      </c>
      <c r="S51" s="115">
        <v>0.3</v>
      </c>
    </row>
    <row r="52" spans="1:19" ht="12.75" customHeight="1">
      <c r="A52" s="153" t="s">
        <v>225</v>
      </c>
      <c r="B52" s="154" t="s">
        <v>397</v>
      </c>
      <c r="C52" s="154" t="s">
        <v>398</v>
      </c>
      <c r="D52" s="154" t="s">
        <v>405</v>
      </c>
      <c r="E52" s="155">
        <v>39345</v>
      </c>
      <c r="F52" s="156">
        <v>29110</v>
      </c>
      <c r="G52" s="156">
        <v>0</v>
      </c>
      <c r="H52" s="157">
        <v>34457</v>
      </c>
      <c r="I52" s="156" t="s">
        <v>406</v>
      </c>
      <c r="J52" s="158">
        <f t="shared" si="0"/>
        <v>19.271252796420583</v>
      </c>
      <c r="K52" s="157">
        <v>5364</v>
      </c>
      <c r="L52" s="156" t="s">
        <v>251</v>
      </c>
      <c r="M52" s="156" t="s">
        <v>252</v>
      </c>
      <c r="N52" s="159" t="s">
        <v>380</v>
      </c>
      <c r="O52" s="160" t="s">
        <v>407</v>
      </c>
      <c r="P52" s="112">
        <v>1</v>
      </c>
      <c r="R52" s="113">
        <v>19.271252796420583</v>
      </c>
      <c r="S52" s="115">
        <v>0.3</v>
      </c>
    </row>
    <row r="53" spans="1:19" ht="12.75" customHeight="1">
      <c r="A53" s="153" t="s">
        <v>225</v>
      </c>
      <c r="B53" s="154" t="s">
        <v>397</v>
      </c>
      <c r="C53" s="154" t="s">
        <v>398</v>
      </c>
      <c r="D53" s="154" t="s">
        <v>408</v>
      </c>
      <c r="E53" s="155">
        <v>39380</v>
      </c>
      <c r="F53" s="156">
        <v>19097</v>
      </c>
      <c r="G53" s="156">
        <v>0</v>
      </c>
      <c r="H53" s="157">
        <v>29076.95</v>
      </c>
      <c r="I53" s="156" t="s">
        <v>409</v>
      </c>
      <c r="J53" s="158">
        <f t="shared" si="0"/>
        <v>24.788533674339302</v>
      </c>
      <c r="K53" s="157">
        <v>4692</v>
      </c>
      <c r="L53" s="156" t="s">
        <v>251</v>
      </c>
      <c r="M53" s="156" t="s">
        <v>252</v>
      </c>
      <c r="N53" s="159" t="s">
        <v>380</v>
      </c>
      <c r="O53" s="160" t="s">
        <v>410</v>
      </c>
      <c r="P53" s="112">
        <v>1</v>
      </c>
      <c r="R53" s="113">
        <v>24.788533674339302</v>
      </c>
      <c r="S53" s="115">
        <v>0.3</v>
      </c>
    </row>
    <row r="54" spans="1:19" ht="12.75" customHeight="1">
      <c r="A54" s="153" t="s">
        <v>225</v>
      </c>
      <c r="B54" s="154" t="s">
        <v>397</v>
      </c>
      <c r="C54" s="154" t="s">
        <v>398</v>
      </c>
      <c r="D54" s="154" t="s">
        <v>411</v>
      </c>
      <c r="E54" s="155">
        <v>39380</v>
      </c>
      <c r="F54" s="156">
        <v>9841</v>
      </c>
      <c r="G54" s="156">
        <v>0</v>
      </c>
      <c r="H54" s="157">
        <v>16809</v>
      </c>
      <c r="I54" s="156" t="s">
        <v>412</v>
      </c>
      <c r="J54" s="158">
        <f t="shared" si="0"/>
        <v>27.783471074380166</v>
      </c>
      <c r="K54" s="157">
        <v>1813.5</v>
      </c>
      <c r="L54" s="156" t="s">
        <v>251</v>
      </c>
      <c r="M54" s="156" t="s">
        <v>252</v>
      </c>
      <c r="N54" s="159" t="s">
        <v>380</v>
      </c>
      <c r="O54" s="160" t="s">
        <v>330</v>
      </c>
      <c r="P54" s="112">
        <v>1</v>
      </c>
      <c r="R54" s="113">
        <v>27.783471074380166</v>
      </c>
      <c r="S54" s="115">
        <v>0.3</v>
      </c>
    </row>
    <row r="55" spans="1:19" ht="12.75" customHeight="1">
      <c r="A55" s="153" t="s">
        <v>225</v>
      </c>
      <c r="B55" s="154" t="s">
        <v>397</v>
      </c>
      <c r="C55" s="154" t="s">
        <v>398</v>
      </c>
      <c r="D55" s="154" t="s">
        <v>413</v>
      </c>
      <c r="E55" s="155">
        <v>39387</v>
      </c>
      <c r="F55" s="156">
        <v>34841</v>
      </c>
      <c r="G55" s="156">
        <v>0</v>
      </c>
      <c r="H55" s="157">
        <v>19854</v>
      </c>
      <c r="I55" s="156" t="s">
        <v>414</v>
      </c>
      <c r="J55" s="158">
        <f t="shared" si="0"/>
        <v>9.2775700934579444</v>
      </c>
      <c r="K55" s="157">
        <v>6420</v>
      </c>
      <c r="L55" s="156" t="s">
        <v>251</v>
      </c>
      <c r="M55" s="156" t="s">
        <v>252</v>
      </c>
      <c r="N55" s="159" t="s">
        <v>380</v>
      </c>
      <c r="O55" s="160" t="s">
        <v>415</v>
      </c>
      <c r="P55" s="112">
        <v>1</v>
      </c>
      <c r="R55" s="113">
        <v>9.2775700934579444</v>
      </c>
      <c r="S55" s="115">
        <v>0.3</v>
      </c>
    </row>
    <row r="56" spans="1:19" ht="12.75" customHeight="1">
      <c r="A56" s="153" t="s">
        <v>225</v>
      </c>
      <c r="B56" s="154" t="s">
        <v>397</v>
      </c>
      <c r="C56" s="154" t="s">
        <v>398</v>
      </c>
      <c r="D56" s="154" t="s">
        <v>416</v>
      </c>
      <c r="E56" s="155">
        <v>39387</v>
      </c>
      <c r="F56" s="156">
        <v>24877</v>
      </c>
      <c r="G56" s="156">
        <v>0</v>
      </c>
      <c r="H56" s="157">
        <v>31700</v>
      </c>
      <c r="I56" s="156" t="s">
        <v>417</v>
      </c>
      <c r="J56" s="158">
        <f t="shared" si="0"/>
        <v>20.746073298429319</v>
      </c>
      <c r="K56" s="157">
        <v>4584</v>
      </c>
      <c r="L56" s="156" t="s">
        <v>251</v>
      </c>
      <c r="M56" s="156" t="s">
        <v>252</v>
      </c>
      <c r="N56" s="159" t="s">
        <v>380</v>
      </c>
      <c r="O56" s="160" t="s">
        <v>418</v>
      </c>
      <c r="P56" s="112">
        <v>1</v>
      </c>
      <c r="R56" s="113">
        <v>20.746073298429319</v>
      </c>
      <c r="S56" s="115">
        <v>0.3</v>
      </c>
    </row>
    <row r="57" spans="1:19" ht="12.75" customHeight="1">
      <c r="A57" s="153" t="s">
        <v>225</v>
      </c>
      <c r="B57" s="154" t="s">
        <v>397</v>
      </c>
      <c r="C57" s="154" t="s">
        <v>398</v>
      </c>
      <c r="D57" s="154" t="s">
        <v>419</v>
      </c>
      <c r="E57" s="155">
        <v>39407</v>
      </c>
      <c r="F57" s="156">
        <v>19179</v>
      </c>
      <c r="G57" s="156">
        <v>0</v>
      </c>
      <c r="H57" s="157">
        <v>17248</v>
      </c>
      <c r="I57" s="156" t="s">
        <v>420</v>
      </c>
      <c r="J57" s="158">
        <f t="shared" si="0"/>
        <v>14.64176570458404</v>
      </c>
      <c r="K57" s="157">
        <v>4712</v>
      </c>
      <c r="L57" s="156" t="s">
        <v>251</v>
      </c>
      <c r="M57" s="156" t="s">
        <v>252</v>
      </c>
      <c r="N57" s="159" t="s">
        <v>380</v>
      </c>
      <c r="O57" s="160" t="s">
        <v>421</v>
      </c>
      <c r="P57" s="112">
        <v>1</v>
      </c>
      <c r="R57" s="113">
        <v>14.64176570458404</v>
      </c>
      <c r="S57" s="115">
        <v>0.3</v>
      </c>
    </row>
    <row r="58" spans="1:19" ht="12.75" customHeight="1">
      <c r="A58" s="153" t="s">
        <v>225</v>
      </c>
      <c r="B58" s="154" t="s">
        <v>397</v>
      </c>
      <c r="C58" s="154" t="s">
        <v>398</v>
      </c>
      <c r="D58" s="154" t="s">
        <v>422</v>
      </c>
      <c r="E58" s="155">
        <v>39407</v>
      </c>
      <c r="F58" s="156">
        <v>20009</v>
      </c>
      <c r="G58" s="156">
        <v>0</v>
      </c>
      <c r="H58" s="157">
        <v>27752</v>
      </c>
      <c r="I58" s="156" t="s">
        <v>423</v>
      </c>
      <c r="J58" s="158">
        <f t="shared" si="0"/>
        <v>22.580960130187144</v>
      </c>
      <c r="K58" s="157">
        <v>4916</v>
      </c>
      <c r="L58" s="156" t="s">
        <v>251</v>
      </c>
      <c r="M58" s="156" t="s">
        <v>252</v>
      </c>
      <c r="N58" s="159" t="s">
        <v>380</v>
      </c>
      <c r="O58" s="160" t="s">
        <v>424</v>
      </c>
      <c r="P58" s="112">
        <v>1</v>
      </c>
      <c r="R58" s="113">
        <v>22.580960130187144</v>
      </c>
      <c r="S58" s="115">
        <v>0.3</v>
      </c>
    </row>
    <row r="59" spans="1:19" ht="12.75" customHeight="1">
      <c r="A59" s="153" t="s">
        <v>225</v>
      </c>
      <c r="B59" s="154" t="s">
        <v>397</v>
      </c>
      <c r="C59" s="154" t="s">
        <v>398</v>
      </c>
      <c r="D59" s="154" t="s">
        <v>425</v>
      </c>
      <c r="E59" s="155">
        <v>39407</v>
      </c>
      <c r="F59" s="156">
        <v>7684</v>
      </c>
      <c r="G59" s="156">
        <v>0</v>
      </c>
      <c r="H59" s="157">
        <v>12469.77</v>
      </c>
      <c r="I59" s="156" t="s">
        <v>426</v>
      </c>
      <c r="J59" s="158">
        <f t="shared" si="0"/>
        <v>26.419004237288135</v>
      </c>
      <c r="K59" s="157">
        <v>1888</v>
      </c>
      <c r="L59" s="156" t="s">
        <v>251</v>
      </c>
      <c r="M59" s="156" t="s">
        <v>252</v>
      </c>
      <c r="N59" s="159" t="s">
        <v>380</v>
      </c>
      <c r="O59" s="160" t="s">
        <v>427</v>
      </c>
      <c r="P59" s="112">
        <v>1</v>
      </c>
      <c r="R59" s="113">
        <v>26.419004237288135</v>
      </c>
      <c r="S59" s="115">
        <v>0.3</v>
      </c>
    </row>
    <row r="60" spans="1:19" ht="12.75" customHeight="1">
      <c r="A60" s="153" t="s">
        <v>225</v>
      </c>
      <c r="B60" s="154" t="s">
        <v>397</v>
      </c>
      <c r="C60" s="154" t="s">
        <v>398</v>
      </c>
      <c r="D60" s="154" t="s">
        <v>428</v>
      </c>
      <c r="E60" s="155">
        <v>39429</v>
      </c>
      <c r="F60" s="156">
        <v>40245</v>
      </c>
      <c r="G60" s="156">
        <v>0</v>
      </c>
      <c r="H60" s="157">
        <v>70257.759999999995</v>
      </c>
      <c r="I60" s="156" t="s">
        <v>429</v>
      </c>
      <c r="J60" s="158">
        <f t="shared" si="0"/>
        <v>28.421423948220063</v>
      </c>
      <c r="K60" s="157">
        <v>9888</v>
      </c>
      <c r="L60" s="156" t="s">
        <v>251</v>
      </c>
      <c r="M60" s="156" t="s">
        <v>252</v>
      </c>
      <c r="N60" s="159" t="s">
        <v>380</v>
      </c>
      <c r="O60" s="160" t="s">
        <v>430</v>
      </c>
      <c r="P60" s="112">
        <v>1</v>
      </c>
      <c r="R60" s="113">
        <v>28.421423948220063</v>
      </c>
      <c r="S60" s="115">
        <v>0.3</v>
      </c>
    </row>
    <row r="61" spans="1:19" ht="12.75" customHeight="1">
      <c r="A61" s="153" t="s">
        <v>225</v>
      </c>
      <c r="B61" s="154" t="s">
        <v>397</v>
      </c>
      <c r="C61" s="154" t="s">
        <v>398</v>
      </c>
      <c r="D61" s="154" t="s">
        <v>431</v>
      </c>
      <c r="E61" s="155">
        <v>39429</v>
      </c>
      <c r="F61" s="156">
        <v>119565</v>
      </c>
      <c r="G61" s="156">
        <v>0</v>
      </c>
      <c r="H61" s="157">
        <v>191500</v>
      </c>
      <c r="I61" s="156" t="s">
        <v>432</v>
      </c>
      <c r="J61" s="158">
        <f t="shared" si="0"/>
        <v>26.075708061002178</v>
      </c>
      <c r="K61" s="157">
        <v>29376</v>
      </c>
      <c r="L61" s="156" t="s">
        <v>251</v>
      </c>
      <c r="M61" s="156" t="s">
        <v>252</v>
      </c>
      <c r="N61" s="159" t="s">
        <v>380</v>
      </c>
      <c r="O61" s="160" t="s">
        <v>433</v>
      </c>
      <c r="P61" s="112">
        <v>1</v>
      </c>
      <c r="R61" s="113">
        <v>26.075708061002178</v>
      </c>
      <c r="S61" s="115">
        <v>0.3</v>
      </c>
    </row>
    <row r="62" spans="1:19" ht="12.75" customHeight="1">
      <c r="A62" s="153" t="s">
        <v>225</v>
      </c>
      <c r="B62" s="154" t="s">
        <v>397</v>
      </c>
      <c r="C62" s="154" t="s">
        <v>398</v>
      </c>
      <c r="D62" s="154" t="s">
        <v>434</v>
      </c>
      <c r="E62" s="155">
        <v>39429</v>
      </c>
      <c r="F62" s="156">
        <v>11482</v>
      </c>
      <c r="G62" s="156">
        <v>0</v>
      </c>
      <c r="H62" s="157">
        <v>20484</v>
      </c>
      <c r="I62" s="156" t="s">
        <v>435</v>
      </c>
      <c r="J62" s="158">
        <f t="shared" si="0"/>
        <v>29.055319148936171</v>
      </c>
      <c r="K62" s="157">
        <v>2821</v>
      </c>
      <c r="L62" s="156" t="s">
        <v>251</v>
      </c>
      <c r="M62" s="156" t="s">
        <v>252</v>
      </c>
      <c r="N62" s="159" t="s">
        <v>380</v>
      </c>
      <c r="O62" s="160" t="s">
        <v>327</v>
      </c>
      <c r="P62" s="112">
        <v>1</v>
      </c>
      <c r="R62" s="113">
        <v>29.055319148936171</v>
      </c>
      <c r="S62" s="115">
        <v>0.3</v>
      </c>
    </row>
    <row r="63" spans="1:19" ht="12.75" customHeight="1">
      <c r="A63" s="153" t="s">
        <v>225</v>
      </c>
      <c r="B63" s="154" t="s">
        <v>397</v>
      </c>
      <c r="C63" s="154" t="s">
        <v>398</v>
      </c>
      <c r="D63" s="154" t="s">
        <v>436</v>
      </c>
      <c r="E63" s="155">
        <v>39436</v>
      </c>
      <c r="F63" s="156">
        <v>19179</v>
      </c>
      <c r="G63" s="156">
        <v>0</v>
      </c>
      <c r="H63" s="157">
        <v>19498.87</v>
      </c>
      <c r="I63" s="156" t="s">
        <v>420</v>
      </c>
      <c r="J63" s="158">
        <f t="shared" si="0"/>
        <v>16.552521222410864</v>
      </c>
      <c r="K63" s="157">
        <v>4712</v>
      </c>
      <c r="L63" s="156" t="s">
        <v>251</v>
      </c>
      <c r="M63" s="156" t="s">
        <v>252</v>
      </c>
      <c r="N63" s="159" t="s">
        <v>380</v>
      </c>
      <c r="O63" s="160" t="s">
        <v>282</v>
      </c>
      <c r="P63" s="112">
        <v>1</v>
      </c>
      <c r="R63" s="113">
        <v>16.552521222410864</v>
      </c>
      <c r="S63" s="115">
        <v>0.3</v>
      </c>
    </row>
    <row r="64" spans="1:19" ht="12.75" customHeight="1">
      <c r="A64" s="153" t="s">
        <v>225</v>
      </c>
      <c r="B64" s="154" t="s">
        <v>397</v>
      </c>
      <c r="C64" s="154" t="s">
        <v>398</v>
      </c>
      <c r="D64" s="154" t="s">
        <v>437</v>
      </c>
      <c r="E64" s="155">
        <v>39443</v>
      </c>
      <c r="F64" s="156">
        <v>14962</v>
      </c>
      <c r="G64" s="156">
        <v>0</v>
      </c>
      <c r="H64" s="157">
        <v>18095</v>
      </c>
      <c r="I64" s="156" t="s">
        <v>438</v>
      </c>
      <c r="J64" s="158">
        <f t="shared" si="0"/>
        <v>19.689880304678997</v>
      </c>
      <c r="K64" s="157">
        <v>3676</v>
      </c>
      <c r="L64" s="156" t="s">
        <v>251</v>
      </c>
      <c r="M64" s="156" t="s">
        <v>252</v>
      </c>
      <c r="N64" s="159" t="s">
        <v>380</v>
      </c>
      <c r="O64" s="160" t="s">
        <v>439</v>
      </c>
      <c r="P64" s="112">
        <v>1</v>
      </c>
      <c r="R64" s="113">
        <v>19.689880304678997</v>
      </c>
      <c r="S64" s="115">
        <v>0.3</v>
      </c>
    </row>
    <row r="65" spans="1:19" ht="12.75" customHeight="1">
      <c r="A65" s="153" t="s">
        <v>225</v>
      </c>
      <c r="B65" s="154" t="s">
        <v>397</v>
      </c>
      <c r="C65" s="154" t="s">
        <v>398</v>
      </c>
      <c r="D65" s="154" t="s">
        <v>440</v>
      </c>
      <c r="E65" s="155">
        <v>39447</v>
      </c>
      <c r="F65" s="156">
        <v>9052</v>
      </c>
      <c r="G65" s="156">
        <v>0</v>
      </c>
      <c r="H65" s="157">
        <v>15527</v>
      </c>
      <c r="I65" s="156" t="s">
        <v>441</v>
      </c>
      <c r="J65" s="158">
        <f t="shared" si="0"/>
        <v>27.926258992805757</v>
      </c>
      <c r="K65" s="157">
        <v>2224</v>
      </c>
      <c r="L65" s="156" t="s">
        <v>251</v>
      </c>
      <c r="M65" s="156" t="s">
        <v>252</v>
      </c>
      <c r="N65" s="159" t="s">
        <v>380</v>
      </c>
      <c r="O65" s="160" t="s">
        <v>442</v>
      </c>
      <c r="P65" s="112">
        <v>1</v>
      </c>
      <c r="R65" s="113">
        <v>27.926258992805757</v>
      </c>
      <c r="S65" s="115">
        <v>0.3</v>
      </c>
    </row>
    <row r="66" spans="1:19" ht="12.75" customHeight="1">
      <c r="A66" s="153" t="s">
        <v>225</v>
      </c>
      <c r="B66" s="154" t="s">
        <v>397</v>
      </c>
      <c r="C66" s="154" t="s">
        <v>398</v>
      </c>
      <c r="D66" s="154" t="s">
        <v>443</v>
      </c>
      <c r="E66" s="155">
        <v>39447</v>
      </c>
      <c r="F66" s="156">
        <v>172281</v>
      </c>
      <c r="G66" s="156">
        <v>0</v>
      </c>
      <c r="H66" s="157">
        <v>201381.19</v>
      </c>
      <c r="I66" s="156" t="s">
        <v>444</v>
      </c>
      <c r="J66" s="158">
        <f t="shared" ref="J66:J119" si="1">H66/I66</f>
        <v>19.030541485541487</v>
      </c>
      <c r="K66" s="157">
        <v>42328</v>
      </c>
      <c r="L66" s="156" t="s">
        <v>251</v>
      </c>
      <c r="M66" s="156" t="s">
        <v>252</v>
      </c>
      <c r="N66" s="159" t="s">
        <v>380</v>
      </c>
      <c r="O66" s="160" t="s">
        <v>445</v>
      </c>
      <c r="P66" s="112">
        <v>1</v>
      </c>
      <c r="R66" s="113">
        <v>19.030541485541487</v>
      </c>
      <c r="S66" s="115">
        <v>0.3</v>
      </c>
    </row>
    <row r="67" spans="1:19" ht="12.75" customHeight="1">
      <c r="A67" s="153" t="s">
        <v>225</v>
      </c>
      <c r="B67" s="154" t="s">
        <v>397</v>
      </c>
      <c r="C67" s="154" t="s">
        <v>398</v>
      </c>
      <c r="D67" s="154" t="s">
        <v>446</v>
      </c>
      <c r="E67" s="155">
        <v>39447</v>
      </c>
      <c r="F67" s="156">
        <v>19212</v>
      </c>
      <c r="G67" s="156">
        <v>0</v>
      </c>
      <c r="H67" s="157">
        <v>19722</v>
      </c>
      <c r="I67" s="156" t="s">
        <v>447</v>
      </c>
      <c r="J67" s="158">
        <f t="shared" si="1"/>
        <v>16.713559322033898</v>
      </c>
      <c r="K67" s="157">
        <v>4720</v>
      </c>
      <c r="L67" s="156" t="s">
        <v>251</v>
      </c>
      <c r="M67" s="156" t="s">
        <v>252</v>
      </c>
      <c r="N67" s="159" t="s">
        <v>380</v>
      </c>
      <c r="O67" s="160" t="s">
        <v>448</v>
      </c>
      <c r="P67" s="112">
        <v>1</v>
      </c>
      <c r="R67" s="113">
        <v>16.713559322033898</v>
      </c>
      <c r="S67" s="115">
        <v>0.3</v>
      </c>
    </row>
    <row r="68" spans="1:19" ht="12.75" customHeight="1">
      <c r="A68" s="153" t="s">
        <v>225</v>
      </c>
      <c r="B68" s="154" t="s">
        <v>397</v>
      </c>
      <c r="C68" s="154" t="s">
        <v>398</v>
      </c>
      <c r="D68" s="154" t="s">
        <v>449</v>
      </c>
      <c r="E68" s="155">
        <v>39447</v>
      </c>
      <c r="F68" s="156">
        <v>16557</v>
      </c>
      <c r="G68" s="156">
        <v>0</v>
      </c>
      <c r="H68" s="157">
        <v>32218</v>
      </c>
      <c r="I68" s="156" t="s">
        <v>450</v>
      </c>
      <c r="J68" s="158">
        <f t="shared" si="1"/>
        <v>31.679449360865291</v>
      </c>
      <c r="K68" s="157">
        <v>4068</v>
      </c>
      <c r="L68" s="156" t="s">
        <v>251</v>
      </c>
      <c r="M68" s="156" t="s">
        <v>252</v>
      </c>
      <c r="N68" s="159" t="s">
        <v>380</v>
      </c>
      <c r="O68" s="160" t="s">
        <v>451</v>
      </c>
      <c r="P68" s="112">
        <v>1</v>
      </c>
      <c r="R68" s="113">
        <v>31.679449360865291</v>
      </c>
      <c r="S68" s="115">
        <v>0.3</v>
      </c>
    </row>
    <row r="69" spans="1:19" ht="12.75" customHeight="1">
      <c r="A69" s="153" t="s">
        <v>225</v>
      </c>
      <c r="B69" s="154" t="s">
        <v>397</v>
      </c>
      <c r="C69" s="154" t="s">
        <v>398</v>
      </c>
      <c r="D69" s="154" t="s">
        <v>452</v>
      </c>
      <c r="E69" s="155">
        <v>39447</v>
      </c>
      <c r="F69" s="156">
        <v>53335</v>
      </c>
      <c r="G69" s="156">
        <v>0</v>
      </c>
      <c r="H69" s="157">
        <v>71007</v>
      </c>
      <c r="I69" s="156" t="s">
        <v>453</v>
      </c>
      <c r="J69" s="158">
        <f t="shared" si="1"/>
        <v>21.674908424908423</v>
      </c>
      <c r="K69" s="157">
        <v>13104</v>
      </c>
      <c r="L69" s="156" t="s">
        <v>251</v>
      </c>
      <c r="M69" s="156" t="s">
        <v>252</v>
      </c>
      <c r="N69" s="159" t="s">
        <v>380</v>
      </c>
      <c r="O69" s="160" t="s">
        <v>454</v>
      </c>
      <c r="P69" s="112">
        <v>1</v>
      </c>
      <c r="R69" s="113">
        <v>21.674908424908423</v>
      </c>
      <c r="S69" s="115">
        <v>0.3</v>
      </c>
    </row>
    <row r="70" spans="1:19" ht="12.75" customHeight="1">
      <c r="A70" s="153" t="s">
        <v>225</v>
      </c>
      <c r="B70" s="154" t="s">
        <v>397</v>
      </c>
      <c r="C70" s="154" t="s">
        <v>398</v>
      </c>
      <c r="D70" s="154" t="s">
        <v>455</v>
      </c>
      <c r="E70" s="155">
        <v>39447</v>
      </c>
      <c r="F70" s="156">
        <v>23420</v>
      </c>
      <c r="G70" s="156">
        <v>0</v>
      </c>
      <c r="H70" s="157">
        <v>28557</v>
      </c>
      <c r="I70" s="156" t="s">
        <v>456</v>
      </c>
      <c r="J70" s="158">
        <f t="shared" si="1"/>
        <v>19.845031271716469</v>
      </c>
      <c r="K70" s="157">
        <v>5754</v>
      </c>
      <c r="L70" s="156" t="s">
        <v>251</v>
      </c>
      <c r="M70" s="156" t="s">
        <v>252</v>
      </c>
      <c r="N70" s="159" t="s">
        <v>380</v>
      </c>
      <c r="O70" s="160" t="s">
        <v>457</v>
      </c>
      <c r="P70" s="112">
        <v>1</v>
      </c>
      <c r="R70" s="113">
        <v>19.845031271716469</v>
      </c>
      <c r="S70" s="115">
        <v>0.3</v>
      </c>
    </row>
    <row r="71" spans="1:19" ht="12.75" customHeight="1">
      <c r="A71" s="153" t="s">
        <v>225</v>
      </c>
      <c r="B71" s="154" t="s">
        <v>397</v>
      </c>
      <c r="C71" s="154" t="s">
        <v>398</v>
      </c>
      <c r="D71" s="154" t="s">
        <v>458</v>
      </c>
      <c r="E71" s="155">
        <v>39447</v>
      </c>
      <c r="F71" s="156">
        <v>29695</v>
      </c>
      <c r="G71" s="156">
        <v>0</v>
      </c>
      <c r="H71" s="157">
        <v>40492.800000000003</v>
      </c>
      <c r="I71" s="156" t="s">
        <v>459</v>
      </c>
      <c r="J71" s="158">
        <f t="shared" si="1"/>
        <v>22.200000000000003</v>
      </c>
      <c r="K71" s="157">
        <v>7296</v>
      </c>
      <c r="L71" s="156" t="s">
        <v>251</v>
      </c>
      <c r="M71" s="156" t="s">
        <v>252</v>
      </c>
      <c r="N71" s="159" t="s">
        <v>380</v>
      </c>
      <c r="O71" s="160" t="s">
        <v>460</v>
      </c>
      <c r="P71" s="112">
        <v>1</v>
      </c>
      <c r="R71" s="113">
        <v>22.2</v>
      </c>
      <c r="S71" s="115">
        <v>0.3</v>
      </c>
    </row>
    <row r="72" spans="1:19" ht="12.75" customHeight="1">
      <c r="A72" s="153" t="s">
        <v>225</v>
      </c>
      <c r="B72" s="154" t="s">
        <v>397</v>
      </c>
      <c r="C72" s="154" t="s">
        <v>398</v>
      </c>
      <c r="D72" s="154" t="s">
        <v>461</v>
      </c>
      <c r="E72" s="155">
        <v>39447</v>
      </c>
      <c r="F72" s="156">
        <v>27840</v>
      </c>
      <c r="G72" s="156">
        <v>0</v>
      </c>
      <c r="H72" s="157">
        <v>37962</v>
      </c>
      <c r="I72" s="156" t="s">
        <v>462</v>
      </c>
      <c r="J72" s="158">
        <f t="shared" si="1"/>
        <v>22.2</v>
      </c>
      <c r="K72" s="157">
        <v>6840</v>
      </c>
      <c r="L72" s="156" t="s">
        <v>251</v>
      </c>
      <c r="M72" s="156" t="s">
        <v>252</v>
      </c>
      <c r="N72" s="159" t="s">
        <v>380</v>
      </c>
      <c r="O72" s="160" t="s">
        <v>463</v>
      </c>
      <c r="P72" s="112">
        <v>1</v>
      </c>
      <c r="R72" s="113">
        <v>22.2</v>
      </c>
      <c r="S72" s="115">
        <v>0.3</v>
      </c>
    </row>
    <row r="73" spans="1:19" ht="12.75" customHeight="1">
      <c r="A73" s="153" t="s">
        <v>225</v>
      </c>
      <c r="B73" s="154" t="s">
        <v>397</v>
      </c>
      <c r="C73" s="154" t="s">
        <v>398</v>
      </c>
      <c r="D73" s="154" t="s">
        <v>464</v>
      </c>
      <c r="E73" s="155">
        <v>39447</v>
      </c>
      <c r="F73" s="156">
        <v>33408</v>
      </c>
      <c r="G73" s="156">
        <v>0</v>
      </c>
      <c r="H73" s="157">
        <v>45554.400000000001</v>
      </c>
      <c r="I73" s="156" t="s">
        <v>465</v>
      </c>
      <c r="J73" s="158">
        <f t="shared" si="1"/>
        <v>22.2</v>
      </c>
      <c r="K73" s="157">
        <v>8208</v>
      </c>
      <c r="L73" s="156" t="s">
        <v>251</v>
      </c>
      <c r="M73" s="156" t="s">
        <v>252</v>
      </c>
      <c r="N73" s="159" t="s">
        <v>380</v>
      </c>
      <c r="O73" s="160" t="s">
        <v>466</v>
      </c>
      <c r="P73" s="112">
        <v>1</v>
      </c>
      <c r="R73" s="113">
        <v>22.2</v>
      </c>
      <c r="S73" s="115">
        <v>0.3</v>
      </c>
    </row>
    <row r="74" spans="1:19" ht="12.75" customHeight="1">
      <c r="A74" s="153" t="s">
        <v>225</v>
      </c>
      <c r="B74" s="154" t="s">
        <v>397</v>
      </c>
      <c r="C74" s="154" t="s">
        <v>398</v>
      </c>
      <c r="D74" s="154" t="s">
        <v>467</v>
      </c>
      <c r="E74" s="155">
        <v>39447</v>
      </c>
      <c r="F74" s="156">
        <v>29695</v>
      </c>
      <c r="G74" s="156">
        <v>0</v>
      </c>
      <c r="H74" s="157">
        <v>40492.800000000003</v>
      </c>
      <c r="I74" s="156" t="s">
        <v>459</v>
      </c>
      <c r="J74" s="158">
        <f t="shared" si="1"/>
        <v>22.200000000000003</v>
      </c>
      <c r="K74" s="157">
        <v>7296</v>
      </c>
      <c r="L74" s="156" t="s">
        <v>251</v>
      </c>
      <c r="M74" s="156" t="s">
        <v>252</v>
      </c>
      <c r="N74" s="159" t="s">
        <v>380</v>
      </c>
      <c r="O74" s="160" t="s">
        <v>463</v>
      </c>
      <c r="P74" s="112">
        <v>1</v>
      </c>
      <c r="R74" s="113">
        <v>22.2</v>
      </c>
      <c r="S74" s="115">
        <v>0.3</v>
      </c>
    </row>
    <row r="75" spans="1:19" ht="12.75" customHeight="1">
      <c r="A75" s="153" t="s">
        <v>225</v>
      </c>
      <c r="B75" s="154" t="s">
        <v>397</v>
      </c>
      <c r="C75" s="154" t="s">
        <v>398</v>
      </c>
      <c r="D75" s="154" t="s">
        <v>468</v>
      </c>
      <c r="E75" s="155">
        <v>39447</v>
      </c>
      <c r="F75" s="156">
        <v>33408</v>
      </c>
      <c r="G75" s="156">
        <v>0</v>
      </c>
      <c r="H75" s="157">
        <v>45554.400000000001</v>
      </c>
      <c r="I75" s="156" t="s">
        <v>465</v>
      </c>
      <c r="J75" s="158">
        <f t="shared" si="1"/>
        <v>22.2</v>
      </c>
      <c r="K75" s="157">
        <v>8208</v>
      </c>
      <c r="L75" s="156" t="s">
        <v>251</v>
      </c>
      <c r="M75" s="156" t="s">
        <v>252</v>
      </c>
      <c r="N75" s="159" t="s">
        <v>380</v>
      </c>
      <c r="O75" s="160" t="s">
        <v>466</v>
      </c>
      <c r="P75" s="112">
        <v>1</v>
      </c>
      <c r="R75" s="113">
        <v>22.2</v>
      </c>
      <c r="S75" s="115">
        <v>0.3</v>
      </c>
    </row>
    <row r="76" spans="1:19" ht="12.75" customHeight="1">
      <c r="A76" s="153" t="s">
        <v>225</v>
      </c>
      <c r="B76" s="154" t="s">
        <v>397</v>
      </c>
      <c r="C76" s="154" t="s">
        <v>398</v>
      </c>
      <c r="D76" s="154" t="s">
        <v>469</v>
      </c>
      <c r="E76" s="155">
        <v>39447</v>
      </c>
      <c r="F76" s="156">
        <v>31552</v>
      </c>
      <c r="G76" s="156">
        <v>0</v>
      </c>
      <c r="H76" s="157">
        <v>43023.6</v>
      </c>
      <c r="I76" s="156" t="s">
        <v>470</v>
      </c>
      <c r="J76" s="158">
        <f t="shared" si="1"/>
        <v>22.2</v>
      </c>
      <c r="K76" s="157">
        <v>7752</v>
      </c>
      <c r="L76" s="156" t="s">
        <v>251</v>
      </c>
      <c r="M76" s="156" t="s">
        <v>252</v>
      </c>
      <c r="N76" s="159" t="s">
        <v>380</v>
      </c>
      <c r="O76" s="160" t="s">
        <v>466</v>
      </c>
      <c r="P76" s="112">
        <v>1</v>
      </c>
      <c r="R76" s="113">
        <v>22.2</v>
      </c>
      <c r="S76" s="115">
        <v>0.3</v>
      </c>
    </row>
    <row r="77" spans="1:19" ht="12.75" customHeight="1">
      <c r="A77" s="153" t="s">
        <v>225</v>
      </c>
      <c r="B77" s="154" t="s">
        <v>397</v>
      </c>
      <c r="C77" s="154" t="s">
        <v>398</v>
      </c>
      <c r="D77" s="154" t="s">
        <v>471</v>
      </c>
      <c r="E77" s="155">
        <v>39447</v>
      </c>
      <c r="F77" s="156">
        <v>50111</v>
      </c>
      <c r="G77" s="156">
        <v>0</v>
      </c>
      <c r="H77" s="157">
        <v>68331.600000000006</v>
      </c>
      <c r="I77" s="156" t="s">
        <v>472</v>
      </c>
      <c r="J77" s="158">
        <f t="shared" si="1"/>
        <v>22.200000000000003</v>
      </c>
      <c r="K77" s="157">
        <v>12312</v>
      </c>
      <c r="L77" s="156" t="s">
        <v>251</v>
      </c>
      <c r="M77" s="156" t="s">
        <v>252</v>
      </c>
      <c r="N77" s="159" t="s">
        <v>380</v>
      </c>
      <c r="O77" s="160" t="s">
        <v>473</v>
      </c>
      <c r="P77" s="112">
        <v>1</v>
      </c>
      <c r="R77" s="113">
        <v>22.2</v>
      </c>
      <c r="S77" s="115">
        <v>0.3</v>
      </c>
    </row>
    <row r="78" spans="1:19" ht="12.75" customHeight="1">
      <c r="A78" s="153" t="s">
        <v>225</v>
      </c>
      <c r="B78" s="154" t="s">
        <v>397</v>
      </c>
      <c r="C78" s="154" t="s">
        <v>398</v>
      </c>
      <c r="D78" s="154" t="s">
        <v>474</v>
      </c>
      <c r="E78" s="155">
        <v>39447</v>
      </c>
      <c r="F78" s="156">
        <v>20026</v>
      </c>
      <c r="G78" s="156">
        <v>0</v>
      </c>
      <c r="H78" s="157">
        <v>19964</v>
      </c>
      <c r="I78" s="156" t="s">
        <v>475</v>
      </c>
      <c r="J78" s="158">
        <f t="shared" si="1"/>
        <v>16.230894308943089</v>
      </c>
      <c r="K78" s="157">
        <v>3690</v>
      </c>
      <c r="L78" s="156" t="s">
        <v>251</v>
      </c>
      <c r="M78" s="156" t="s">
        <v>252</v>
      </c>
      <c r="N78" s="159" t="s">
        <v>380</v>
      </c>
      <c r="O78" s="160" t="s">
        <v>476</v>
      </c>
      <c r="P78" s="112">
        <v>1</v>
      </c>
      <c r="R78" s="113">
        <v>16.230894308943089</v>
      </c>
      <c r="S78" s="115">
        <v>0.3</v>
      </c>
    </row>
    <row r="79" spans="1:19" ht="12.75" customHeight="1">
      <c r="A79" s="153" t="s">
        <v>225</v>
      </c>
      <c r="B79" s="154" t="s">
        <v>397</v>
      </c>
      <c r="C79" s="154" t="s">
        <v>398</v>
      </c>
      <c r="D79" s="154" t="s">
        <v>477</v>
      </c>
      <c r="E79" s="155">
        <v>39447</v>
      </c>
      <c r="F79" s="156">
        <v>13334</v>
      </c>
      <c r="G79" s="156">
        <v>0</v>
      </c>
      <c r="H79" s="157">
        <v>21451</v>
      </c>
      <c r="I79" s="156" t="s">
        <v>478</v>
      </c>
      <c r="J79" s="158">
        <f t="shared" si="1"/>
        <v>26.191697191697191</v>
      </c>
      <c r="K79" s="157">
        <v>3276</v>
      </c>
      <c r="L79" s="156" t="s">
        <v>251</v>
      </c>
      <c r="M79" s="156" t="s">
        <v>252</v>
      </c>
      <c r="N79" s="159" t="s">
        <v>380</v>
      </c>
      <c r="O79" s="160" t="s">
        <v>257</v>
      </c>
      <c r="P79" s="112">
        <v>1</v>
      </c>
      <c r="R79" s="113">
        <v>26.191697191697191</v>
      </c>
      <c r="S79" s="115">
        <v>0.3</v>
      </c>
    </row>
    <row r="80" spans="1:19" ht="12.75" customHeight="1">
      <c r="A80" s="153" t="s">
        <v>225</v>
      </c>
      <c r="B80" s="154" t="s">
        <v>397</v>
      </c>
      <c r="C80" s="154" t="s">
        <v>398</v>
      </c>
      <c r="D80" s="154" t="s">
        <v>479</v>
      </c>
      <c r="E80" s="155">
        <v>39447</v>
      </c>
      <c r="F80" s="156">
        <v>56657</v>
      </c>
      <c r="G80" s="156">
        <v>0</v>
      </c>
      <c r="H80" s="157">
        <v>86246</v>
      </c>
      <c r="I80" s="156" t="s">
        <v>480</v>
      </c>
      <c r="J80" s="158">
        <f t="shared" si="1"/>
        <v>24.783333333333335</v>
      </c>
      <c r="K80" s="157">
        <v>13920</v>
      </c>
      <c r="L80" s="156" t="s">
        <v>251</v>
      </c>
      <c r="M80" s="156" t="s">
        <v>252</v>
      </c>
      <c r="N80" s="159" t="s">
        <v>380</v>
      </c>
      <c r="O80" s="160" t="s">
        <v>481</v>
      </c>
      <c r="P80" s="112">
        <v>1</v>
      </c>
      <c r="R80" s="113">
        <v>24.783333333333335</v>
      </c>
      <c r="S80" s="115">
        <v>0.3</v>
      </c>
    </row>
    <row r="81" spans="1:19" ht="12.75" customHeight="1">
      <c r="A81" s="153" t="s">
        <v>225</v>
      </c>
      <c r="B81" s="154" t="s">
        <v>397</v>
      </c>
      <c r="C81" s="154" t="s">
        <v>398</v>
      </c>
      <c r="D81" s="154" t="s">
        <v>482</v>
      </c>
      <c r="E81" s="155">
        <v>39447</v>
      </c>
      <c r="F81" s="156">
        <v>55029</v>
      </c>
      <c r="G81" s="156">
        <v>0</v>
      </c>
      <c r="H81" s="157">
        <v>95986</v>
      </c>
      <c r="I81" s="156" t="s">
        <v>483</v>
      </c>
      <c r="J81" s="158">
        <f t="shared" si="1"/>
        <v>28.398224852071007</v>
      </c>
      <c r="K81" s="157">
        <v>13520</v>
      </c>
      <c r="L81" s="156" t="s">
        <v>251</v>
      </c>
      <c r="M81" s="156" t="s">
        <v>252</v>
      </c>
      <c r="N81" s="159" t="s">
        <v>380</v>
      </c>
      <c r="O81" s="160" t="s">
        <v>484</v>
      </c>
      <c r="P81" s="112">
        <v>1</v>
      </c>
      <c r="R81" s="113">
        <v>28.398224852071007</v>
      </c>
      <c r="S81" s="115">
        <v>0.3</v>
      </c>
    </row>
    <row r="82" spans="1:19" ht="12.75" customHeight="1">
      <c r="A82" s="153" t="s">
        <v>225</v>
      </c>
      <c r="B82" s="154" t="s">
        <v>397</v>
      </c>
      <c r="C82" s="154" t="s">
        <v>398</v>
      </c>
      <c r="D82" s="154" t="s">
        <v>485</v>
      </c>
      <c r="E82" s="155">
        <v>39447</v>
      </c>
      <c r="F82" s="156">
        <v>6123</v>
      </c>
      <c r="G82" s="156">
        <v>0</v>
      </c>
      <c r="H82" s="157">
        <v>20200</v>
      </c>
      <c r="I82" s="156" t="s">
        <v>486</v>
      </c>
      <c r="J82" s="158">
        <f t="shared" si="1"/>
        <v>38.041431261770242</v>
      </c>
      <c r="K82" s="157">
        <v>2124</v>
      </c>
      <c r="L82" s="156" t="s">
        <v>251</v>
      </c>
      <c r="M82" s="156" t="s">
        <v>252</v>
      </c>
      <c r="N82" s="159" t="s">
        <v>380</v>
      </c>
      <c r="O82" s="160" t="s">
        <v>487</v>
      </c>
      <c r="P82" s="112">
        <v>1</v>
      </c>
      <c r="R82" s="113">
        <v>38.041431261770242</v>
      </c>
      <c r="S82" s="115">
        <v>0.3</v>
      </c>
    </row>
    <row r="83" spans="1:19" ht="12.75" customHeight="1">
      <c r="A83" s="153" t="s">
        <v>225</v>
      </c>
      <c r="B83" s="154" t="s">
        <v>397</v>
      </c>
      <c r="C83" s="154" t="s">
        <v>398</v>
      </c>
      <c r="D83" s="154" t="s">
        <v>488</v>
      </c>
      <c r="E83" s="155">
        <v>39447</v>
      </c>
      <c r="F83" s="156">
        <v>17795</v>
      </c>
      <c r="G83" s="156">
        <v>0</v>
      </c>
      <c r="H83" s="157">
        <v>48539.839999999997</v>
      </c>
      <c r="I83" s="156" t="s">
        <v>489</v>
      </c>
      <c r="J83" s="158">
        <f t="shared" si="1"/>
        <v>44.409734675205854</v>
      </c>
      <c r="K83" s="157">
        <v>4372</v>
      </c>
      <c r="L83" s="156" t="s">
        <v>251</v>
      </c>
      <c r="M83" s="156" t="s">
        <v>252</v>
      </c>
      <c r="N83" s="159" t="s">
        <v>380</v>
      </c>
      <c r="O83" s="160" t="s">
        <v>451</v>
      </c>
      <c r="P83" s="112">
        <v>1</v>
      </c>
      <c r="R83" s="113">
        <v>44.409734675205854</v>
      </c>
      <c r="S83" s="115">
        <v>0.3</v>
      </c>
    </row>
    <row r="84" spans="1:19" ht="12.75" customHeight="1">
      <c r="A84" s="153" t="s">
        <v>225</v>
      </c>
      <c r="B84" s="154" t="s">
        <v>397</v>
      </c>
      <c r="C84" s="154" t="s">
        <v>398</v>
      </c>
      <c r="D84" s="154" t="s">
        <v>490</v>
      </c>
      <c r="E84" s="155">
        <v>39447</v>
      </c>
      <c r="F84" s="156">
        <v>60792</v>
      </c>
      <c r="G84" s="156">
        <v>0</v>
      </c>
      <c r="H84" s="157">
        <v>89045</v>
      </c>
      <c r="I84" s="156" t="s">
        <v>491</v>
      </c>
      <c r="J84" s="158">
        <f t="shared" si="1"/>
        <v>23.84708087841457</v>
      </c>
      <c r="K84" s="157">
        <v>14936</v>
      </c>
      <c r="L84" s="156" t="s">
        <v>251</v>
      </c>
      <c r="M84" s="156" t="s">
        <v>252</v>
      </c>
      <c r="N84" s="159" t="s">
        <v>380</v>
      </c>
      <c r="O84" s="160" t="s">
        <v>492</v>
      </c>
      <c r="P84" s="112">
        <v>1</v>
      </c>
      <c r="R84" s="113">
        <v>23.84708087841457</v>
      </c>
      <c r="S84" s="115">
        <v>0.3</v>
      </c>
    </row>
    <row r="85" spans="1:19" ht="12.75" customHeight="1">
      <c r="A85" s="153" t="s">
        <v>225</v>
      </c>
      <c r="B85" s="154" t="s">
        <v>397</v>
      </c>
      <c r="C85" s="154" t="s">
        <v>398</v>
      </c>
      <c r="D85" s="154" t="s">
        <v>493</v>
      </c>
      <c r="E85" s="155">
        <v>39534</v>
      </c>
      <c r="F85" s="156">
        <v>35166</v>
      </c>
      <c r="G85" s="156">
        <v>0</v>
      </c>
      <c r="H85" s="157">
        <v>55000</v>
      </c>
      <c r="I85" s="156" t="s">
        <v>494</v>
      </c>
      <c r="J85" s="158">
        <f t="shared" si="1"/>
        <v>25.462962962962962</v>
      </c>
      <c r="K85" s="157">
        <v>6480</v>
      </c>
      <c r="L85" s="156" t="s">
        <v>59</v>
      </c>
      <c r="M85" s="156" t="s">
        <v>252</v>
      </c>
      <c r="N85" s="159">
        <v>0.3</v>
      </c>
      <c r="O85" s="160" t="s">
        <v>495</v>
      </c>
      <c r="P85" s="112">
        <v>1</v>
      </c>
      <c r="R85" s="113">
        <v>25.462962962962962</v>
      </c>
      <c r="S85" s="115">
        <v>0.3</v>
      </c>
    </row>
    <row r="86" spans="1:19" ht="12.75" customHeight="1">
      <c r="A86" s="153" t="s">
        <v>225</v>
      </c>
      <c r="B86" s="154" t="s">
        <v>397</v>
      </c>
      <c r="C86" s="154" t="s">
        <v>398</v>
      </c>
      <c r="D86" s="154" t="s">
        <v>496</v>
      </c>
      <c r="E86" s="155">
        <v>39568</v>
      </c>
      <c r="F86" s="156">
        <v>116341</v>
      </c>
      <c r="G86" s="156">
        <v>0</v>
      </c>
      <c r="H86" s="157">
        <v>102973.86</v>
      </c>
      <c r="I86" s="156" t="s">
        <v>497</v>
      </c>
      <c r="J86" s="158">
        <f t="shared" si="1"/>
        <v>14.41</v>
      </c>
      <c r="K86" s="157">
        <v>21438</v>
      </c>
      <c r="L86" s="156" t="s">
        <v>251</v>
      </c>
      <c r="M86" s="156" t="s">
        <v>252</v>
      </c>
      <c r="N86" s="159" t="s">
        <v>380</v>
      </c>
      <c r="O86" s="160" t="s">
        <v>498</v>
      </c>
      <c r="P86" s="112">
        <v>1</v>
      </c>
      <c r="R86" s="113">
        <v>14.41</v>
      </c>
      <c r="S86" s="115">
        <v>0.3</v>
      </c>
    </row>
    <row r="87" spans="1:19" ht="12.75" customHeight="1">
      <c r="A87" s="153" t="s">
        <v>225</v>
      </c>
      <c r="B87" s="154" t="s">
        <v>397</v>
      </c>
      <c r="C87" s="154" t="s">
        <v>398</v>
      </c>
      <c r="D87" s="154" t="s">
        <v>499</v>
      </c>
      <c r="E87" s="155">
        <v>39562</v>
      </c>
      <c r="F87" s="156">
        <v>7229</v>
      </c>
      <c r="G87" s="156">
        <v>0</v>
      </c>
      <c r="H87" s="157">
        <v>5267</v>
      </c>
      <c r="I87" s="156" t="s">
        <v>500</v>
      </c>
      <c r="J87" s="158">
        <f t="shared" si="1"/>
        <v>11.862612612612613</v>
      </c>
      <c r="K87" s="157">
        <v>1332</v>
      </c>
      <c r="L87" s="156" t="s">
        <v>251</v>
      </c>
      <c r="M87" s="156" t="s">
        <v>252</v>
      </c>
      <c r="N87" s="159" t="s">
        <v>380</v>
      </c>
      <c r="O87" s="160" t="s">
        <v>285</v>
      </c>
      <c r="P87" s="112">
        <v>1</v>
      </c>
      <c r="R87" s="113">
        <v>11.862612612612613</v>
      </c>
      <c r="S87" s="115">
        <v>0.3</v>
      </c>
    </row>
    <row r="88" spans="1:19" ht="12.75" customHeight="1">
      <c r="A88" s="153" t="s">
        <v>225</v>
      </c>
      <c r="B88" s="154" t="s">
        <v>397</v>
      </c>
      <c r="C88" s="154" t="s">
        <v>398</v>
      </c>
      <c r="D88" s="154" t="s">
        <v>501</v>
      </c>
      <c r="E88" s="155">
        <v>39568</v>
      </c>
      <c r="F88" s="156">
        <v>5454</v>
      </c>
      <c r="G88" s="156">
        <v>0</v>
      </c>
      <c r="H88" s="157">
        <v>9652</v>
      </c>
      <c r="I88" s="156" t="s">
        <v>502</v>
      </c>
      <c r="J88" s="158">
        <f t="shared" si="1"/>
        <v>28.811940298507462</v>
      </c>
      <c r="K88" s="157">
        <v>1005</v>
      </c>
      <c r="L88" s="156" t="s">
        <v>59</v>
      </c>
      <c r="M88" s="156" t="s">
        <v>252</v>
      </c>
      <c r="N88" s="159" t="s">
        <v>380</v>
      </c>
      <c r="O88" s="160" t="s">
        <v>503</v>
      </c>
      <c r="P88" s="112">
        <v>1</v>
      </c>
      <c r="R88" s="113">
        <v>28.811940298507462</v>
      </c>
      <c r="S88" s="115">
        <v>0.3</v>
      </c>
    </row>
    <row r="89" spans="1:19" ht="12.75" customHeight="1">
      <c r="A89" s="153" t="s">
        <v>225</v>
      </c>
      <c r="B89" s="154" t="s">
        <v>397</v>
      </c>
      <c r="C89" s="154" t="s">
        <v>398</v>
      </c>
      <c r="D89" s="154" t="s">
        <v>504</v>
      </c>
      <c r="E89" s="155">
        <v>39611</v>
      </c>
      <c r="F89" s="156">
        <v>8832</v>
      </c>
      <c r="G89" s="156">
        <v>0</v>
      </c>
      <c r="H89" s="157">
        <v>14268</v>
      </c>
      <c r="I89" s="156" t="s">
        <v>505</v>
      </c>
      <c r="J89" s="158">
        <f t="shared" si="1"/>
        <v>26.276243093922652</v>
      </c>
      <c r="K89" s="157">
        <v>1627.5</v>
      </c>
      <c r="L89" s="156" t="s">
        <v>59</v>
      </c>
      <c r="M89" s="156" t="s">
        <v>252</v>
      </c>
      <c r="N89" s="159" t="s">
        <v>380</v>
      </c>
      <c r="O89" s="160" t="s">
        <v>257</v>
      </c>
      <c r="P89" s="112">
        <v>1</v>
      </c>
      <c r="R89" s="113">
        <v>26.276243093922652</v>
      </c>
      <c r="S89" s="115">
        <v>0.3</v>
      </c>
    </row>
    <row r="90" spans="1:19" ht="12.75" customHeight="1">
      <c r="A90" s="153" t="s">
        <v>225</v>
      </c>
      <c r="B90" s="154" t="s">
        <v>247</v>
      </c>
      <c r="C90" s="154" t="s">
        <v>248</v>
      </c>
      <c r="D90" s="154" t="s">
        <v>506</v>
      </c>
      <c r="E90" s="155">
        <v>39407</v>
      </c>
      <c r="F90" s="156">
        <v>0</v>
      </c>
      <c r="G90" s="156">
        <v>0</v>
      </c>
      <c r="H90" s="157">
        <v>19552</v>
      </c>
      <c r="I90" s="156" t="s">
        <v>507</v>
      </c>
      <c r="J90" s="158">
        <f t="shared" si="1"/>
        <v>19.09375</v>
      </c>
      <c r="K90" s="157">
        <v>4096</v>
      </c>
      <c r="L90" s="156" t="s">
        <v>251</v>
      </c>
      <c r="M90" s="156" t="s">
        <v>252</v>
      </c>
      <c r="N90" s="159" t="s">
        <v>380</v>
      </c>
      <c r="O90" s="160" t="s">
        <v>508</v>
      </c>
      <c r="P90" s="112">
        <v>1</v>
      </c>
      <c r="R90" s="113">
        <v>19.09375</v>
      </c>
      <c r="S90" s="115">
        <v>0.3</v>
      </c>
    </row>
    <row r="91" spans="1:19" ht="12.75" customHeight="1">
      <c r="A91" s="153" t="s">
        <v>225</v>
      </c>
      <c r="B91" s="154" t="s">
        <v>247</v>
      </c>
      <c r="C91" s="154" t="s">
        <v>248</v>
      </c>
      <c r="D91" s="154" t="s">
        <v>509</v>
      </c>
      <c r="E91" s="155">
        <v>39422</v>
      </c>
      <c r="F91" s="156">
        <v>0</v>
      </c>
      <c r="G91" s="156">
        <v>0</v>
      </c>
      <c r="H91" s="157">
        <v>19552</v>
      </c>
      <c r="I91" s="156" t="s">
        <v>507</v>
      </c>
      <c r="J91" s="158">
        <f t="shared" si="1"/>
        <v>19.09375</v>
      </c>
      <c r="K91" s="157">
        <v>4096</v>
      </c>
      <c r="L91" s="156" t="s">
        <v>251</v>
      </c>
      <c r="M91" s="156" t="s">
        <v>252</v>
      </c>
      <c r="N91" s="159">
        <v>0.3</v>
      </c>
      <c r="O91" s="160" t="s">
        <v>508</v>
      </c>
      <c r="P91" s="112">
        <v>1</v>
      </c>
      <c r="R91" s="113">
        <v>19.09375</v>
      </c>
      <c r="S91" s="115">
        <v>0.3</v>
      </c>
    </row>
    <row r="92" spans="1:19" ht="12.75" customHeight="1">
      <c r="A92" s="153" t="s">
        <v>225</v>
      </c>
      <c r="B92" s="154" t="s">
        <v>510</v>
      </c>
      <c r="C92" s="154" t="s">
        <v>511</v>
      </c>
      <c r="D92" s="154" t="s">
        <v>512</v>
      </c>
      <c r="E92" s="155">
        <v>39380</v>
      </c>
      <c r="F92" s="156">
        <v>0</v>
      </c>
      <c r="G92" s="156">
        <v>200.85</v>
      </c>
      <c r="H92" s="157">
        <v>7300</v>
      </c>
      <c r="I92" s="156" t="s">
        <v>513</v>
      </c>
      <c r="J92" s="158">
        <f t="shared" si="1"/>
        <v>16.743119266055047</v>
      </c>
      <c r="K92" s="157">
        <v>1743</v>
      </c>
      <c r="L92" s="156" t="s">
        <v>251</v>
      </c>
      <c r="M92" s="156" t="s">
        <v>252</v>
      </c>
      <c r="N92" s="159" t="s">
        <v>380</v>
      </c>
      <c r="O92" s="160" t="s">
        <v>508</v>
      </c>
      <c r="P92" s="112">
        <v>1</v>
      </c>
      <c r="R92" s="113">
        <v>16.743119266055047</v>
      </c>
      <c r="S92" s="115">
        <v>0.3</v>
      </c>
    </row>
    <row r="93" spans="1:19" ht="12.75" customHeight="1">
      <c r="A93" s="153" t="s">
        <v>225</v>
      </c>
      <c r="B93" s="154" t="s">
        <v>510</v>
      </c>
      <c r="C93" s="154" t="s">
        <v>511</v>
      </c>
      <c r="D93" s="154" t="s">
        <v>514</v>
      </c>
      <c r="E93" s="155">
        <v>39395</v>
      </c>
      <c r="F93" s="156">
        <v>0</v>
      </c>
      <c r="G93" s="156">
        <v>187.2</v>
      </c>
      <c r="H93" s="157">
        <v>9256</v>
      </c>
      <c r="I93" s="156" t="s">
        <v>515</v>
      </c>
      <c r="J93" s="158">
        <f t="shared" si="1"/>
        <v>22.798029556650246</v>
      </c>
      <c r="K93" s="157">
        <v>913.5</v>
      </c>
      <c r="L93" s="156" t="s">
        <v>251</v>
      </c>
      <c r="M93" s="156" t="s">
        <v>252</v>
      </c>
      <c r="N93" s="159" t="s">
        <v>380</v>
      </c>
      <c r="O93" s="160" t="s">
        <v>338</v>
      </c>
      <c r="P93" s="112">
        <v>1</v>
      </c>
      <c r="R93" s="113">
        <v>22.798029556650246</v>
      </c>
      <c r="S93" s="115">
        <v>0.3</v>
      </c>
    </row>
    <row r="94" spans="1:19" ht="12.75" customHeight="1">
      <c r="A94" s="153" t="s">
        <v>225</v>
      </c>
      <c r="B94" s="154" t="s">
        <v>510</v>
      </c>
      <c r="C94" s="154" t="s">
        <v>511</v>
      </c>
      <c r="D94" s="154" t="s">
        <v>516</v>
      </c>
      <c r="E94" s="155">
        <v>39395</v>
      </c>
      <c r="F94" s="156">
        <v>0</v>
      </c>
      <c r="G94" s="156">
        <v>267.8</v>
      </c>
      <c r="H94" s="157">
        <v>18670</v>
      </c>
      <c r="I94" s="156" t="s">
        <v>517</v>
      </c>
      <c r="J94" s="158">
        <f t="shared" si="1"/>
        <v>32.189655172413794</v>
      </c>
      <c r="K94" s="157">
        <v>2320</v>
      </c>
      <c r="L94" s="156" t="s">
        <v>251</v>
      </c>
      <c r="M94" s="156" t="s">
        <v>252</v>
      </c>
      <c r="N94" s="159" t="s">
        <v>380</v>
      </c>
      <c r="O94" s="160" t="s">
        <v>442</v>
      </c>
      <c r="P94" s="112">
        <v>1</v>
      </c>
      <c r="R94" s="113">
        <v>32.189655172413794</v>
      </c>
      <c r="S94" s="115">
        <v>0.3</v>
      </c>
    </row>
    <row r="95" spans="1:19" ht="12.75" customHeight="1">
      <c r="A95" s="153" t="s">
        <v>225</v>
      </c>
      <c r="B95" s="154" t="s">
        <v>510</v>
      </c>
      <c r="C95" s="154" t="s">
        <v>511</v>
      </c>
      <c r="D95" s="154" t="s">
        <v>518</v>
      </c>
      <c r="E95" s="155">
        <v>39407</v>
      </c>
      <c r="F95" s="156">
        <v>0</v>
      </c>
      <c r="G95" s="156">
        <v>549.25</v>
      </c>
      <c r="H95" s="157">
        <v>21160</v>
      </c>
      <c r="I95" s="156" t="s">
        <v>519</v>
      </c>
      <c r="J95" s="158">
        <f t="shared" si="1"/>
        <v>17.781512605042018</v>
      </c>
      <c r="K95" s="157">
        <v>4760</v>
      </c>
      <c r="L95" s="156" t="s">
        <v>251</v>
      </c>
      <c r="M95" s="156" t="s">
        <v>252</v>
      </c>
      <c r="N95" s="159" t="s">
        <v>380</v>
      </c>
      <c r="O95" s="160" t="s">
        <v>327</v>
      </c>
      <c r="P95" s="112">
        <v>1</v>
      </c>
      <c r="R95" s="113">
        <v>17.781512605042018</v>
      </c>
      <c r="S95" s="115">
        <v>0.3</v>
      </c>
    </row>
    <row r="96" spans="1:19" ht="12.75" customHeight="1">
      <c r="A96" s="153" t="s">
        <v>225</v>
      </c>
      <c r="B96" s="154" t="s">
        <v>510</v>
      </c>
      <c r="C96" s="154" t="s">
        <v>511</v>
      </c>
      <c r="D96" s="154" t="s">
        <v>520</v>
      </c>
      <c r="E96" s="155">
        <v>39407</v>
      </c>
      <c r="F96" s="156">
        <v>0</v>
      </c>
      <c r="G96" s="156">
        <v>206.05</v>
      </c>
      <c r="H96" s="157">
        <v>11981</v>
      </c>
      <c r="I96" s="156" t="s">
        <v>521</v>
      </c>
      <c r="J96" s="158">
        <f t="shared" si="1"/>
        <v>26.86322869955157</v>
      </c>
      <c r="K96" s="157">
        <v>1003.5</v>
      </c>
      <c r="L96" s="156" t="s">
        <v>251</v>
      </c>
      <c r="M96" s="156" t="s">
        <v>252</v>
      </c>
      <c r="N96" s="159" t="s">
        <v>380</v>
      </c>
      <c r="O96" s="160" t="s">
        <v>522</v>
      </c>
      <c r="P96" s="112">
        <v>1</v>
      </c>
      <c r="R96" s="113">
        <v>26.86322869955157</v>
      </c>
      <c r="S96" s="115">
        <v>0.3</v>
      </c>
    </row>
    <row r="97" spans="1:19" ht="12.75" customHeight="1">
      <c r="A97" s="153" t="s">
        <v>225</v>
      </c>
      <c r="B97" s="154" t="s">
        <v>510</v>
      </c>
      <c r="C97" s="154" t="s">
        <v>511</v>
      </c>
      <c r="D97" s="154" t="s">
        <v>523</v>
      </c>
      <c r="E97" s="155">
        <v>39415</v>
      </c>
      <c r="F97" s="156">
        <v>0</v>
      </c>
      <c r="G97" s="156">
        <v>308.10000000000002</v>
      </c>
      <c r="H97" s="157">
        <v>18331</v>
      </c>
      <c r="I97" s="156" t="s">
        <v>524</v>
      </c>
      <c r="J97" s="158">
        <f t="shared" si="1"/>
        <v>27.441616766467067</v>
      </c>
      <c r="K97" s="157">
        <v>2672</v>
      </c>
      <c r="L97" s="156" t="s">
        <v>251</v>
      </c>
      <c r="M97" s="156" t="s">
        <v>252</v>
      </c>
      <c r="N97" s="159" t="s">
        <v>380</v>
      </c>
      <c r="O97" s="160" t="s">
        <v>525</v>
      </c>
      <c r="P97" s="112">
        <v>1</v>
      </c>
      <c r="R97" s="113">
        <v>27.441616766467067</v>
      </c>
      <c r="S97" s="115">
        <v>0.3</v>
      </c>
    </row>
    <row r="98" spans="1:19" ht="12.75" customHeight="1">
      <c r="A98" s="153" t="s">
        <v>225</v>
      </c>
      <c r="B98" s="154" t="s">
        <v>510</v>
      </c>
      <c r="C98" s="154" t="s">
        <v>511</v>
      </c>
      <c r="D98" s="154" t="s">
        <v>526</v>
      </c>
      <c r="E98" s="155">
        <v>39407</v>
      </c>
      <c r="F98" s="156">
        <v>0</v>
      </c>
      <c r="G98" s="156">
        <v>435.5</v>
      </c>
      <c r="H98" s="157">
        <v>30980</v>
      </c>
      <c r="I98" s="156" t="s">
        <v>527</v>
      </c>
      <c r="J98" s="158">
        <f t="shared" si="1"/>
        <v>32.817796610169495</v>
      </c>
      <c r="K98" s="157">
        <v>3776</v>
      </c>
      <c r="L98" s="156" t="s">
        <v>251</v>
      </c>
      <c r="M98" s="156" t="s">
        <v>252</v>
      </c>
      <c r="N98" s="159" t="s">
        <v>380</v>
      </c>
      <c r="O98" s="160" t="s">
        <v>528</v>
      </c>
      <c r="P98" s="112">
        <v>1</v>
      </c>
      <c r="R98" s="113">
        <v>32.817796610169495</v>
      </c>
      <c r="S98" s="115">
        <v>0.3</v>
      </c>
    </row>
    <row r="99" spans="1:19" ht="12.75" customHeight="1">
      <c r="A99" s="153" t="s">
        <v>225</v>
      </c>
      <c r="B99" s="154" t="s">
        <v>510</v>
      </c>
      <c r="C99" s="154" t="s">
        <v>511</v>
      </c>
      <c r="D99" s="154" t="s">
        <v>529</v>
      </c>
      <c r="E99" s="155">
        <v>39429</v>
      </c>
      <c r="F99" s="156">
        <v>0</v>
      </c>
      <c r="G99" s="156">
        <v>979.55</v>
      </c>
      <c r="H99" s="157">
        <v>34300</v>
      </c>
      <c r="I99" s="156" t="s">
        <v>530</v>
      </c>
      <c r="J99" s="158">
        <f t="shared" si="1"/>
        <v>16.156382477626</v>
      </c>
      <c r="K99" s="157">
        <v>4776.75</v>
      </c>
      <c r="L99" s="156" t="s">
        <v>251</v>
      </c>
      <c r="M99" s="156" t="s">
        <v>252</v>
      </c>
      <c r="N99" s="159" t="s">
        <v>380</v>
      </c>
      <c r="O99" s="160" t="s">
        <v>531</v>
      </c>
      <c r="P99" s="112">
        <v>1</v>
      </c>
      <c r="R99" s="113">
        <v>16.156382477626</v>
      </c>
      <c r="S99" s="115">
        <v>0.3</v>
      </c>
    </row>
    <row r="100" spans="1:19" ht="12.75" customHeight="1">
      <c r="A100" s="153" t="s">
        <v>225</v>
      </c>
      <c r="B100" s="154" t="s">
        <v>510</v>
      </c>
      <c r="C100" s="154" t="s">
        <v>511</v>
      </c>
      <c r="D100" s="154" t="s">
        <v>532</v>
      </c>
      <c r="E100" s="155">
        <v>39443</v>
      </c>
      <c r="F100" s="156">
        <v>0</v>
      </c>
      <c r="G100" s="156">
        <v>421.85</v>
      </c>
      <c r="H100" s="157">
        <v>56756</v>
      </c>
      <c r="I100" s="156" t="s">
        <v>533</v>
      </c>
      <c r="J100" s="158">
        <f t="shared" si="1"/>
        <v>23.520928305014504</v>
      </c>
      <c r="K100" s="157">
        <v>5429.25</v>
      </c>
      <c r="L100" s="156" t="s">
        <v>251</v>
      </c>
      <c r="M100" s="156" t="s">
        <v>534</v>
      </c>
      <c r="N100" s="159" t="s">
        <v>380</v>
      </c>
      <c r="O100" s="160" t="s">
        <v>460</v>
      </c>
      <c r="P100" s="112">
        <v>1</v>
      </c>
      <c r="R100" s="113">
        <v>23.520928305014504</v>
      </c>
      <c r="S100" s="115">
        <v>0.3</v>
      </c>
    </row>
    <row r="101" spans="1:19" ht="12.75" customHeight="1">
      <c r="A101" s="153" t="s">
        <v>225</v>
      </c>
      <c r="B101" s="154" t="s">
        <v>510</v>
      </c>
      <c r="C101" s="154" t="s">
        <v>511</v>
      </c>
      <c r="D101" s="154" t="s">
        <v>535</v>
      </c>
      <c r="E101" s="155">
        <v>39436</v>
      </c>
      <c r="F101" s="156">
        <v>0</v>
      </c>
      <c r="G101" s="156">
        <v>549.25</v>
      </c>
      <c r="H101" s="157">
        <v>21160</v>
      </c>
      <c r="I101" s="156" t="s">
        <v>519</v>
      </c>
      <c r="J101" s="158">
        <f t="shared" si="1"/>
        <v>17.781512605042018</v>
      </c>
      <c r="K101" s="157">
        <v>4760</v>
      </c>
      <c r="L101" s="156" t="s">
        <v>251</v>
      </c>
      <c r="M101" s="156" t="s">
        <v>252</v>
      </c>
      <c r="N101" s="159" t="s">
        <v>380</v>
      </c>
      <c r="O101" s="160" t="s">
        <v>327</v>
      </c>
      <c r="P101" s="112">
        <v>1</v>
      </c>
      <c r="R101" s="113">
        <v>17.781512605042018</v>
      </c>
      <c r="S101" s="115">
        <v>0.3</v>
      </c>
    </row>
    <row r="102" spans="1:19" ht="12.75" customHeight="1">
      <c r="A102" s="153" t="s">
        <v>225</v>
      </c>
      <c r="B102" s="154" t="s">
        <v>510</v>
      </c>
      <c r="C102" s="154" t="s">
        <v>511</v>
      </c>
      <c r="D102" s="154" t="s">
        <v>536</v>
      </c>
      <c r="E102" s="155">
        <v>39447</v>
      </c>
      <c r="F102" s="156">
        <v>0</v>
      </c>
      <c r="G102" s="156">
        <v>114.4</v>
      </c>
      <c r="H102" s="157">
        <v>15546</v>
      </c>
      <c r="I102" s="156" t="s">
        <v>537</v>
      </c>
      <c r="J102" s="158">
        <f t="shared" si="1"/>
        <v>29.724665391969406</v>
      </c>
      <c r="K102" s="157">
        <v>1176.08</v>
      </c>
      <c r="L102" s="156" t="s">
        <v>251</v>
      </c>
      <c r="M102" s="156" t="s">
        <v>534</v>
      </c>
      <c r="N102" s="159" t="s">
        <v>380</v>
      </c>
      <c r="O102" s="160" t="s">
        <v>338</v>
      </c>
      <c r="P102" s="112">
        <v>1</v>
      </c>
      <c r="R102" s="113">
        <v>29.724665391969406</v>
      </c>
      <c r="S102" s="115">
        <v>0.3</v>
      </c>
    </row>
    <row r="103" spans="1:19" ht="12.75" customHeight="1">
      <c r="A103" s="153" t="s">
        <v>225</v>
      </c>
      <c r="B103" s="154" t="s">
        <v>510</v>
      </c>
      <c r="C103" s="154" t="s">
        <v>511</v>
      </c>
      <c r="D103" s="154" t="s">
        <v>538</v>
      </c>
      <c r="E103" s="155">
        <v>39447</v>
      </c>
      <c r="F103" s="156">
        <v>0</v>
      </c>
      <c r="G103" s="156">
        <v>1107.5999999999999</v>
      </c>
      <c r="H103" s="157">
        <v>66382</v>
      </c>
      <c r="I103" s="156" t="s">
        <v>539</v>
      </c>
      <c r="J103" s="158">
        <f t="shared" si="1"/>
        <v>27.659166666666668</v>
      </c>
      <c r="K103" s="157">
        <v>9599</v>
      </c>
      <c r="L103" s="156" t="s">
        <v>251</v>
      </c>
      <c r="M103" s="156" t="s">
        <v>252</v>
      </c>
      <c r="N103" s="159" t="s">
        <v>380</v>
      </c>
      <c r="O103" s="160" t="s">
        <v>540</v>
      </c>
      <c r="P103" s="112">
        <v>1</v>
      </c>
      <c r="R103" s="113">
        <v>27.659166666666668</v>
      </c>
      <c r="S103" s="115">
        <v>0.3</v>
      </c>
    </row>
    <row r="104" spans="1:19" ht="12.75" customHeight="1">
      <c r="A104" s="153" t="s">
        <v>225</v>
      </c>
      <c r="B104" s="154" t="s">
        <v>510</v>
      </c>
      <c r="C104" s="154" t="s">
        <v>511</v>
      </c>
      <c r="D104" s="154" t="s">
        <v>541</v>
      </c>
      <c r="E104" s="155">
        <v>39568</v>
      </c>
      <c r="F104" s="156">
        <v>0</v>
      </c>
      <c r="G104" s="156">
        <v>6169.15</v>
      </c>
      <c r="H104" s="157">
        <v>192732.18</v>
      </c>
      <c r="I104" s="156" t="s">
        <v>542</v>
      </c>
      <c r="J104" s="158">
        <f t="shared" si="1"/>
        <v>14.417428186714542</v>
      </c>
      <c r="K104" s="157">
        <v>30078</v>
      </c>
      <c r="L104" s="156" t="s">
        <v>251</v>
      </c>
      <c r="M104" s="156" t="s">
        <v>252</v>
      </c>
      <c r="N104" s="159" t="s">
        <v>380</v>
      </c>
      <c r="O104" s="160" t="s">
        <v>543</v>
      </c>
      <c r="P104" s="112">
        <v>1</v>
      </c>
      <c r="R104" s="113">
        <v>14.417428186714542</v>
      </c>
      <c r="S104" s="115">
        <v>0.3</v>
      </c>
    </row>
    <row r="105" spans="1:19" ht="12.75" customHeight="1">
      <c r="A105" s="153" t="s">
        <v>225</v>
      </c>
      <c r="B105" s="154" t="s">
        <v>510</v>
      </c>
      <c r="C105" s="154" t="s">
        <v>511</v>
      </c>
      <c r="D105" s="154" t="s">
        <v>544</v>
      </c>
      <c r="E105" s="155">
        <v>39568</v>
      </c>
      <c r="F105" s="156">
        <v>0</v>
      </c>
      <c r="G105" s="156">
        <v>1502.8</v>
      </c>
      <c r="H105" s="157">
        <v>46918.96</v>
      </c>
      <c r="I105" s="156" t="s">
        <v>545</v>
      </c>
      <c r="J105" s="158">
        <f t="shared" si="1"/>
        <v>14.41</v>
      </c>
      <c r="K105" s="157">
        <v>7326</v>
      </c>
      <c r="L105" s="156" t="s">
        <v>251</v>
      </c>
      <c r="M105" s="156" t="s">
        <v>252</v>
      </c>
      <c r="N105" s="159" t="s">
        <v>380</v>
      </c>
      <c r="O105" s="160" t="s">
        <v>350</v>
      </c>
      <c r="P105" s="112">
        <v>1</v>
      </c>
      <c r="R105" s="113">
        <v>14.41</v>
      </c>
      <c r="S105" s="115">
        <v>0.3</v>
      </c>
    </row>
    <row r="106" spans="1:19" ht="12.75" customHeight="1">
      <c r="A106" s="153" t="s">
        <v>225</v>
      </c>
      <c r="B106" s="154" t="s">
        <v>376</v>
      </c>
      <c r="C106" s="154" t="s">
        <v>377</v>
      </c>
      <c r="D106" s="154" t="s">
        <v>546</v>
      </c>
      <c r="E106" s="155">
        <v>39447</v>
      </c>
      <c r="F106" s="156">
        <v>6890</v>
      </c>
      <c r="G106" s="156">
        <v>0</v>
      </c>
      <c r="H106" s="157">
        <v>16985</v>
      </c>
      <c r="I106" s="156" t="s">
        <v>547</v>
      </c>
      <c r="J106" s="158">
        <f t="shared" si="1"/>
        <v>18.998881431767337</v>
      </c>
      <c r="K106" s="157">
        <v>1788</v>
      </c>
      <c r="L106" s="156" t="s">
        <v>387</v>
      </c>
      <c r="M106" s="156" t="s">
        <v>336</v>
      </c>
      <c r="N106" s="159" t="s">
        <v>548</v>
      </c>
      <c r="O106" s="160" t="s">
        <v>549</v>
      </c>
      <c r="P106" s="112">
        <v>1</v>
      </c>
      <c r="R106" s="113">
        <v>18.998881431767337</v>
      </c>
      <c r="S106" s="115">
        <v>0.28999999999999998</v>
      </c>
    </row>
    <row r="107" spans="1:19" ht="12.75" customHeight="1">
      <c r="A107" s="153" t="s">
        <v>225</v>
      </c>
      <c r="B107" s="154" t="s">
        <v>397</v>
      </c>
      <c r="C107" s="154" t="s">
        <v>398</v>
      </c>
      <c r="D107" s="154" t="s">
        <v>550</v>
      </c>
      <c r="E107" s="155">
        <v>39317</v>
      </c>
      <c r="F107" s="156">
        <v>36559</v>
      </c>
      <c r="G107" s="156">
        <v>0</v>
      </c>
      <c r="H107" s="157">
        <v>60580</v>
      </c>
      <c r="I107" s="156" t="s">
        <v>551</v>
      </c>
      <c r="J107" s="158">
        <f t="shared" si="1"/>
        <v>22.757325319308791</v>
      </c>
      <c r="K107" s="157">
        <v>7986</v>
      </c>
      <c r="L107" s="156" t="s">
        <v>251</v>
      </c>
      <c r="M107" s="156" t="s">
        <v>252</v>
      </c>
      <c r="N107" s="159" t="s">
        <v>548</v>
      </c>
      <c r="O107" s="160" t="s">
        <v>552</v>
      </c>
      <c r="P107" s="112">
        <v>1</v>
      </c>
      <c r="R107" s="113">
        <v>22.757325319308791</v>
      </c>
      <c r="S107" s="115">
        <v>0.28999999999999998</v>
      </c>
    </row>
    <row r="108" spans="1:19" ht="12.75" customHeight="1">
      <c r="A108" s="153" t="s">
        <v>225</v>
      </c>
      <c r="B108" s="154" t="s">
        <v>397</v>
      </c>
      <c r="C108" s="154" t="s">
        <v>398</v>
      </c>
      <c r="D108" s="154" t="s">
        <v>553</v>
      </c>
      <c r="E108" s="155">
        <v>39387</v>
      </c>
      <c r="F108" s="156">
        <v>89629</v>
      </c>
      <c r="G108" s="156">
        <v>0</v>
      </c>
      <c r="H108" s="157">
        <v>152580</v>
      </c>
      <c r="I108" s="156" t="s">
        <v>554</v>
      </c>
      <c r="J108" s="158">
        <f t="shared" si="1"/>
        <v>27.716621253405993</v>
      </c>
      <c r="K108" s="157">
        <v>22021</v>
      </c>
      <c r="L108" s="156" t="s">
        <v>251</v>
      </c>
      <c r="M108" s="156" t="s">
        <v>534</v>
      </c>
      <c r="N108" s="159" t="s">
        <v>548</v>
      </c>
      <c r="O108" s="160" t="s">
        <v>555</v>
      </c>
      <c r="P108" s="112">
        <v>1</v>
      </c>
      <c r="R108" s="113">
        <v>27.716621253405993</v>
      </c>
      <c r="S108" s="115">
        <v>0.28999999999999998</v>
      </c>
    </row>
    <row r="109" spans="1:19" ht="12.75" customHeight="1">
      <c r="A109" s="153" t="s">
        <v>225</v>
      </c>
      <c r="B109" s="154" t="s">
        <v>397</v>
      </c>
      <c r="C109" s="154" t="s">
        <v>398</v>
      </c>
      <c r="D109" s="154" t="s">
        <v>556</v>
      </c>
      <c r="E109" s="155">
        <v>39429</v>
      </c>
      <c r="F109" s="156">
        <v>17909</v>
      </c>
      <c r="G109" s="156">
        <v>0</v>
      </c>
      <c r="H109" s="157">
        <v>29060</v>
      </c>
      <c r="I109" s="156" t="s">
        <v>557</v>
      </c>
      <c r="J109" s="158">
        <f t="shared" si="1"/>
        <v>26.418181818181818</v>
      </c>
      <c r="K109" s="157">
        <v>4400</v>
      </c>
      <c r="L109" s="156" t="s">
        <v>251</v>
      </c>
      <c r="M109" s="156" t="s">
        <v>252</v>
      </c>
      <c r="N109" s="159" t="s">
        <v>548</v>
      </c>
      <c r="O109" s="160" t="s">
        <v>327</v>
      </c>
      <c r="P109" s="112">
        <v>1</v>
      </c>
      <c r="R109" s="113">
        <v>26.418181818181818</v>
      </c>
      <c r="S109" s="115">
        <v>0.28999999999999998</v>
      </c>
    </row>
    <row r="110" spans="1:19" ht="12.75" customHeight="1">
      <c r="A110" s="153" t="s">
        <v>225</v>
      </c>
      <c r="B110" s="154" t="s">
        <v>397</v>
      </c>
      <c r="C110" s="154" t="s">
        <v>398</v>
      </c>
      <c r="D110" s="154" t="s">
        <v>558</v>
      </c>
      <c r="E110" s="155">
        <v>39429</v>
      </c>
      <c r="F110" s="156">
        <v>24779</v>
      </c>
      <c r="G110" s="156">
        <v>0</v>
      </c>
      <c r="H110" s="157">
        <v>28852.37</v>
      </c>
      <c r="I110" s="156" t="s">
        <v>559</v>
      </c>
      <c r="J110" s="158">
        <f t="shared" si="1"/>
        <v>18.956879106438894</v>
      </c>
      <c r="K110" s="157">
        <v>4566</v>
      </c>
      <c r="L110" s="156" t="s">
        <v>251</v>
      </c>
      <c r="M110" s="156" t="s">
        <v>252</v>
      </c>
      <c r="N110" s="159" t="s">
        <v>548</v>
      </c>
      <c r="O110" s="160" t="s">
        <v>560</v>
      </c>
      <c r="P110" s="112">
        <v>1</v>
      </c>
      <c r="R110" s="113">
        <v>18.956879106438894</v>
      </c>
      <c r="S110" s="115">
        <v>0.28999999999999998</v>
      </c>
    </row>
    <row r="111" spans="1:19" ht="12.75" customHeight="1">
      <c r="A111" s="153" t="s">
        <v>225</v>
      </c>
      <c r="B111" s="154" t="s">
        <v>397</v>
      </c>
      <c r="C111" s="154" t="s">
        <v>398</v>
      </c>
      <c r="D111" s="154" t="s">
        <v>561</v>
      </c>
      <c r="E111" s="155">
        <v>39447</v>
      </c>
      <c r="F111" s="156">
        <v>50307</v>
      </c>
      <c r="G111" s="156">
        <v>0</v>
      </c>
      <c r="H111" s="157">
        <v>52647</v>
      </c>
      <c r="I111" s="156" t="s">
        <v>562</v>
      </c>
      <c r="J111" s="158">
        <f t="shared" si="1"/>
        <v>17.037864077669902</v>
      </c>
      <c r="K111" s="157">
        <v>6180</v>
      </c>
      <c r="L111" s="156" t="s">
        <v>387</v>
      </c>
      <c r="M111" s="156" t="s">
        <v>336</v>
      </c>
      <c r="N111" s="159" t="s">
        <v>548</v>
      </c>
      <c r="O111" s="160" t="s">
        <v>563</v>
      </c>
      <c r="P111" s="112">
        <v>1</v>
      </c>
      <c r="R111" s="113">
        <v>17.037864077669902</v>
      </c>
      <c r="S111" s="115">
        <v>0.28999999999999998</v>
      </c>
    </row>
    <row r="112" spans="1:19" ht="12.75" customHeight="1">
      <c r="A112" s="153" t="s">
        <v>225</v>
      </c>
      <c r="B112" s="154" t="s">
        <v>397</v>
      </c>
      <c r="C112" s="154" t="s">
        <v>398</v>
      </c>
      <c r="D112" s="154" t="s">
        <v>564</v>
      </c>
      <c r="E112" s="155">
        <v>39447</v>
      </c>
      <c r="F112" s="156">
        <v>41499</v>
      </c>
      <c r="G112" s="156">
        <v>0</v>
      </c>
      <c r="H112" s="157">
        <v>40000</v>
      </c>
      <c r="I112" s="156" t="s">
        <v>278</v>
      </c>
      <c r="J112" s="158">
        <f t="shared" si="1"/>
        <v>15.692428403295409</v>
      </c>
      <c r="K112" s="157">
        <v>10196</v>
      </c>
      <c r="L112" s="156" t="s">
        <v>251</v>
      </c>
      <c r="M112" s="156" t="s">
        <v>252</v>
      </c>
      <c r="N112" s="159" t="s">
        <v>548</v>
      </c>
      <c r="O112" s="160" t="s">
        <v>273</v>
      </c>
      <c r="P112" s="112">
        <v>1</v>
      </c>
      <c r="R112" s="113">
        <v>15.692428403295409</v>
      </c>
      <c r="S112" s="115">
        <v>0.28999999999999998</v>
      </c>
    </row>
    <row r="113" spans="1:19" ht="12.75" customHeight="1">
      <c r="A113" s="153" t="s">
        <v>225</v>
      </c>
      <c r="B113" s="154" t="s">
        <v>397</v>
      </c>
      <c r="C113" s="154" t="s">
        <v>398</v>
      </c>
      <c r="D113" s="154" t="s">
        <v>565</v>
      </c>
      <c r="E113" s="155">
        <v>39527</v>
      </c>
      <c r="F113" s="156">
        <v>50307</v>
      </c>
      <c r="G113" s="156">
        <v>0</v>
      </c>
      <c r="H113" s="157">
        <v>52647</v>
      </c>
      <c r="I113" s="156" t="s">
        <v>562</v>
      </c>
      <c r="J113" s="158">
        <f t="shared" si="1"/>
        <v>17.037864077669902</v>
      </c>
      <c r="K113" s="157">
        <v>9270</v>
      </c>
      <c r="L113" s="156" t="s">
        <v>251</v>
      </c>
      <c r="M113" s="156" t="s">
        <v>252</v>
      </c>
      <c r="N113" s="159">
        <v>0.28999999999999998</v>
      </c>
      <c r="O113" s="160" t="s">
        <v>563</v>
      </c>
      <c r="P113" s="112">
        <v>1</v>
      </c>
      <c r="R113" s="113">
        <v>17.037864077669902</v>
      </c>
      <c r="S113" s="115">
        <v>0.28999999999999998</v>
      </c>
    </row>
    <row r="114" spans="1:19" ht="12.75" customHeight="1">
      <c r="A114" s="153" t="s">
        <v>225</v>
      </c>
      <c r="B114" s="154" t="s">
        <v>397</v>
      </c>
      <c r="C114" s="154" t="s">
        <v>398</v>
      </c>
      <c r="D114" s="154" t="s">
        <v>566</v>
      </c>
      <c r="E114" s="155">
        <v>39625</v>
      </c>
      <c r="F114" s="156">
        <v>63608</v>
      </c>
      <c r="G114" s="156">
        <v>0</v>
      </c>
      <c r="H114" s="157">
        <v>92038</v>
      </c>
      <c r="I114" s="156" t="s">
        <v>567</v>
      </c>
      <c r="J114" s="158">
        <f t="shared" si="1"/>
        <v>23.557205016636807</v>
      </c>
      <c r="K114" s="157">
        <v>11721</v>
      </c>
      <c r="L114" s="156" t="s">
        <v>251</v>
      </c>
      <c r="M114" s="156" t="s">
        <v>252</v>
      </c>
      <c r="N114" s="159" t="s">
        <v>548</v>
      </c>
      <c r="O114" s="160" t="s">
        <v>568</v>
      </c>
      <c r="P114" s="112">
        <v>1</v>
      </c>
      <c r="R114" s="113">
        <v>23.557205016636807</v>
      </c>
      <c r="S114" s="115">
        <v>0.28999999999999998</v>
      </c>
    </row>
    <row r="115" spans="1:19" ht="12.75" customHeight="1">
      <c r="A115" s="153" t="s">
        <v>225</v>
      </c>
      <c r="B115" s="154" t="s">
        <v>510</v>
      </c>
      <c r="C115" s="154" t="s">
        <v>511</v>
      </c>
      <c r="D115" s="154" t="s">
        <v>569</v>
      </c>
      <c r="E115" s="155">
        <v>39219</v>
      </c>
      <c r="F115" s="156">
        <v>0</v>
      </c>
      <c r="G115" s="156">
        <v>126.75</v>
      </c>
      <c r="H115" s="157">
        <v>7345</v>
      </c>
      <c r="I115" s="156" t="s">
        <v>570</v>
      </c>
      <c r="J115" s="158">
        <f t="shared" si="1"/>
        <v>26.806569343065693</v>
      </c>
      <c r="K115" s="157">
        <v>616.9</v>
      </c>
      <c r="L115" s="156" t="s">
        <v>251</v>
      </c>
      <c r="M115" s="156" t="s">
        <v>252</v>
      </c>
      <c r="N115" s="159" t="s">
        <v>548</v>
      </c>
      <c r="O115" s="160" t="s">
        <v>571</v>
      </c>
      <c r="P115" s="112">
        <v>1</v>
      </c>
      <c r="R115" s="113">
        <v>26.806569343065693</v>
      </c>
      <c r="S115" s="115">
        <v>0.28999999999999998</v>
      </c>
    </row>
    <row r="116" spans="1:19" ht="12.75" customHeight="1">
      <c r="A116" s="153" t="s">
        <v>225</v>
      </c>
      <c r="B116" s="154" t="s">
        <v>510</v>
      </c>
      <c r="C116" s="154" t="s">
        <v>511</v>
      </c>
      <c r="D116" s="154" t="s">
        <v>572</v>
      </c>
      <c r="E116" s="155">
        <v>39247</v>
      </c>
      <c r="F116" s="156">
        <v>0</v>
      </c>
      <c r="G116" s="156">
        <v>511.55</v>
      </c>
      <c r="H116" s="157">
        <v>31809</v>
      </c>
      <c r="I116" s="156" t="s">
        <v>573</v>
      </c>
      <c r="J116" s="158">
        <f t="shared" si="1"/>
        <v>28.682596934174931</v>
      </c>
      <c r="K116" s="157">
        <v>2495.25</v>
      </c>
      <c r="L116" s="156" t="s">
        <v>251</v>
      </c>
      <c r="M116" s="156" t="s">
        <v>252</v>
      </c>
      <c r="N116" s="159" t="s">
        <v>548</v>
      </c>
      <c r="O116" s="160" t="s">
        <v>311</v>
      </c>
      <c r="P116" s="112">
        <v>1</v>
      </c>
      <c r="R116" s="113">
        <v>28.682596934174931</v>
      </c>
      <c r="S116" s="115">
        <v>0.28999999999999998</v>
      </c>
    </row>
    <row r="117" spans="1:19" ht="12.75" customHeight="1">
      <c r="A117" s="153" t="s">
        <v>225</v>
      </c>
      <c r="B117" s="154" t="s">
        <v>510</v>
      </c>
      <c r="C117" s="154" t="s">
        <v>511</v>
      </c>
      <c r="D117" s="154" t="s">
        <v>574</v>
      </c>
      <c r="E117" s="155">
        <v>39568</v>
      </c>
      <c r="F117" s="156">
        <v>0</v>
      </c>
      <c r="G117" s="156">
        <v>469.3</v>
      </c>
      <c r="H117" s="157">
        <v>44434</v>
      </c>
      <c r="I117" s="156" t="s">
        <v>575</v>
      </c>
      <c r="J117" s="158">
        <f t="shared" si="1"/>
        <v>41.066543438077638</v>
      </c>
      <c r="K117" s="157">
        <v>2434.5</v>
      </c>
      <c r="L117" s="156" t="s">
        <v>59</v>
      </c>
      <c r="M117" s="156" t="s">
        <v>252</v>
      </c>
      <c r="N117" s="159" t="s">
        <v>548</v>
      </c>
      <c r="O117" s="160" t="s">
        <v>333</v>
      </c>
      <c r="P117" s="112">
        <v>1</v>
      </c>
      <c r="R117" s="113">
        <v>41.066543438077638</v>
      </c>
      <c r="S117" s="115">
        <v>0.28999999999999998</v>
      </c>
    </row>
    <row r="118" spans="1:19" ht="12.75" customHeight="1">
      <c r="A118" s="153" t="s">
        <v>225</v>
      </c>
      <c r="B118" s="154" t="s">
        <v>510</v>
      </c>
      <c r="C118" s="154" t="s">
        <v>511</v>
      </c>
      <c r="D118" s="154" t="s">
        <v>576</v>
      </c>
      <c r="E118" s="155">
        <v>39387</v>
      </c>
      <c r="F118" s="156">
        <v>23379</v>
      </c>
      <c r="G118" s="156">
        <v>0</v>
      </c>
      <c r="H118" s="157">
        <v>59542</v>
      </c>
      <c r="I118" s="156" t="s">
        <v>577</v>
      </c>
      <c r="J118" s="158">
        <f t="shared" si="1"/>
        <v>41.463788300835652</v>
      </c>
      <c r="K118" s="157">
        <v>3231</v>
      </c>
      <c r="L118" s="156" t="s">
        <v>251</v>
      </c>
      <c r="M118" s="156" t="s">
        <v>252</v>
      </c>
      <c r="N118" s="159" t="s">
        <v>578</v>
      </c>
      <c r="O118" s="160" t="s">
        <v>531</v>
      </c>
      <c r="P118" s="112">
        <v>1</v>
      </c>
      <c r="R118" s="113">
        <v>41.463788300835652</v>
      </c>
      <c r="S118" s="115">
        <v>0.25</v>
      </c>
    </row>
    <row r="119" spans="1:19" ht="12.75" customHeight="1" thickBot="1">
      <c r="A119" s="161" t="s">
        <v>225</v>
      </c>
      <c r="B119" s="162" t="s">
        <v>510</v>
      </c>
      <c r="C119" s="162" t="s">
        <v>511</v>
      </c>
      <c r="D119" s="162" t="s">
        <v>579</v>
      </c>
      <c r="E119" s="163">
        <v>39407</v>
      </c>
      <c r="F119" s="164">
        <v>0</v>
      </c>
      <c r="G119" s="164">
        <v>663</v>
      </c>
      <c r="H119" s="165">
        <v>59542</v>
      </c>
      <c r="I119" s="164" t="s">
        <v>577</v>
      </c>
      <c r="J119" s="166">
        <f t="shared" si="1"/>
        <v>41.463788300835652</v>
      </c>
      <c r="K119" s="165">
        <v>3231</v>
      </c>
      <c r="L119" s="164" t="s">
        <v>251</v>
      </c>
      <c r="M119" s="164" t="s">
        <v>252</v>
      </c>
      <c r="N119" s="167" t="s">
        <v>578</v>
      </c>
      <c r="O119" s="168" t="s">
        <v>531</v>
      </c>
      <c r="P119" s="112">
        <v>1</v>
      </c>
      <c r="R119" s="113">
        <v>41.463788300835652</v>
      </c>
      <c r="S119" s="115">
        <v>0.25</v>
      </c>
    </row>
    <row r="122" spans="1:19">
      <c r="J122" s="116" t="s">
        <v>580</v>
      </c>
      <c r="K122" s="117" t="s">
        <v>581</v>
      </c>
      <c r="L122" s="116" t="s">
        <v>582</v>
      </c>
      <c r="M122" s="116" t="s">
        <v>583</v>
      </c>
      <c r="N122" s="116" t="s">
        <v>584</v>
      </c>
    </row>
    <row r="123" spans="1:19">
      <c r="J123" s="169">
        <v>0.35</v>
      </c>
      <c r="K123" s="170">
        <f>AVERAGE($J2:$J5)</f>
        <v>19.712383446641169</v>
      </c>
      <c r="L123" s="121">
        <f>MEDIAN($J2:$J5)</f>
        <v>21.306446222183887</v>
      </c>
      <c r="M123" s="121">
        <f>QUARTILE($J2:$J5,1)</f>
        <v>17.702961156943999</v>
      </c>
      <c r="N123" s="120">
        <f>COUNT($P2:$P5)</f>
        <v>4</v>
      </c>
    </row>
    <row r="124" spans="1:19">
      <c r="J124" s="171">
        <v>0.34</v>
      </c>
      <c r="K124" s="117">
        <f>AVERAGE($J6:$J11)</f>
        <v>25.392896458576264</v>
      </c>
      <c r="L124" s="117">
        <f>MEDIAN($J6:$J11)</f>
        <v>25.567336238064335</v>
      </c>
      <c r="M124" s="117">
        <f>QUARTILE($J6:$J11,1)</f>
        <v>21.965419302541932</v>
      </c>
      <c r="N124" s="118">
        <f>COUNT($P6:$P11)</f>
        <v>6</v>
      </c>
    </row>
    <row r="125" spans="1:19">
      <c r="J125" s="171">
        <v>0.33</v>
      </c>
      <c r="K125" s="117">
        <f>$J12</f>
        <v>18.199192956713134</v>
      </c>
      <c r="L125" s="117">
        <f>$J12</f>
        <v>18.199192956713134</v>
      </c>
      <c r="M125" s="117">
        <f>$J12</f>
        <v>18.199192956713134</v>
      </c>
      <c r="N125" s="118">
        <v>1</v>
      </c>
    </row>
    <row r="126" spans="1:19">
      <c r="J126" s="171">
        <v>0.32</v>
      </c>
      <c r="K126" s="117">
        <f>AVERAGE($J13:$J27)</f>
        <v>23.948450930799865</v>
      </c>
      <c r="L126" s="117">
        <f>MEDIAN($J13:$J27)</f>
        <v>22.514868309260834</v>
      </c>
      <c r="M126" s="117">
        <f>QUARTILE($J13:$J27,1)</f>
        <v>18.200792840625645</v>
      </c>
      <c r="N126" s="118">
        <f>COUNT($P13:$P27)</f>
        <v>15</v>
      </c>
    </row>
    <row r="127" spans="1:19">
      <c r="J127" s="171">
        <v>0.31</v>
      </c>
      <c r="K127" s="117">
        <f>AVERAGE($J28:$J43)</f>
        <v>22.592846352193028</v>
      </c>
      <c r="L127" s="117">
        <f>MEDIAN($J28:$J43)</f>
        <v>17.679160419790104</v>
      </c>
      <c r="M127" s="117">
        <f>QUARTILE($J28:$J43,1)</f>
        <v>14.487329560947646</v>
      </c>
      <c r="N127" s="118">
        <f>COUNT($P28:$P43)</f>
        <v>16</v>
      </c>
    </row>
    <row r="128" spans="1:19">
      <c r="J128" s="169">
        <v>0.3</v>
      </c>
      <c r="K128" s="172">
        <f>AVERAGE($J44:$J105)</f>
        <v>22.853746869574302</v>
      </c>
      <c r="L128" s="121">
        <f>MEDIAN($J44:$J105)</f>
        <v>22.200000000000003</v>
      </c>
      <c r="M128" s="121">
        <f>QUARTILE($J44:$J105,1)</f>
        <v>18.629581549232483</v>
      </c>
      <c r="N128" s="120">
        <f>COUNT($P44:$P105)</f>
        <v>62</v>
      </c>
    </row>
    <row r="129" spans="10:14">
      <c r="J129" s="171">
        <v>0.28999999999999998</v>
      </c>
      <c r="K129" s="117">
        <f>AVERAGE($J106:$J117)</f>
        <v>23.727413351641093</v>
      </c>
      <c r="L129" s="117">
        <f>MEDIAN($J106:$J117)</f>
        <v>23.157265167972799</v>
      </c>
      <c r="M129" s="117">
        <f>QUARTILE($J106:$J117,1)</f>
        <v>18.477125349246645</v>
      </c>
      <c r="N129" s="118">
        <f>COUNT($P106:$P117)</f>
        <v>12</v>
      </c>
    </row>
    <row r="130" spans="10:14">
      <c r="J130" s="173">
        <v>0.25</v>
      </c>
      <c r="K130" s="174">
        <f>AVERAGE($J118:$J119)</f>
        <v>41.463788300835652</v>
      </c>
      <c r="L130" s="174">
        <f>MEDIAN($J118:$J119)</f>
        <v>41.463788300835652</v>
      </c>
      <c r="M130" s="174">
        <f>QUARTILE($J118:$J119,1)</f>
        <v>41.463788300835652</v>
      </c>
      <c r="N130" s="175">
        <f>COUNT($P118:$P119)</f>
        <v>2</v>
      </c>
    </row>
    <row r="132" spans="10:14">
      <c r="J132" s="116" t="s">
        <v>580</v>
      </c>
      <c r="K132" s="117" t="s">
        <v>581</v>
      </c>
      <c r="L132" s="116" t="s">
        <v>582</v>
      </c>
      <c r="M132" s="176" t="s">
        <v>583</v>
      </c>
    </row>
    <row r="133" spans="10:14">
      <c r="J133" s="116" t="s">
        <v>585</v>
      </c>
      <c r="K133" s="119">
        <f>K128-K123</f>
        <v>3.1413634229331322</v>
      </c>
      <c r="L133" s="119">
        <f>L128-L123</f>
        <v>0.89355377781611622</v>
      </c>
      <c r="M133" s="177">
        <f>M128-M123</f>
        <v>0.92662039228848414</v>
      </c>
    </row>
    <row r="134" spans="10:14">
      <c r="J134" s="116" t="s">
        <v>586</v>
      </c>
      <c r="K134" s="119">
        <f>K130-K128</f>
        <v>18.610041431261351</v>
      </c>
      <c r="L134" s="119">
        <f>L130-L128</f>
        <v>19.26378830083565</v>
      </c>
      <c r="M134" s="177">
        <f>M130-M128</f>
        <v>22.834206751603169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BD22"/>
  <sheetViews>
    <sheetView topLeftCell="A2" workbookViewId="0">
      <selection activeCell="D3" sqref="D3"/>
    </sheetView>
  </sheetViews>
  <sheetFormatPr defaultRowHeight="12.75"/>
  <cols>
    <col min="1" max="2" width="21.85546875" style="342" customWidth="1"/>
    <col min="3" max="3" width="40.28515625" style="342" bestFit="1" customWidth="1"/>
    <col min="4" max="4" width="12.28515625" style="342" bestFit="1" customWidth="1"/>
    <col min="5" max="5" width="30.5703125" style="342" bestFit="1" customWidth="1"/>
    <col min="6" max="16384" width="9.140625" style="342"/>
  </cols>
  <sheetData>
    <row r="1" spans="1:56" ht="15.75" thickBot="1">
      <c r="A1" s="334" t="s">
        <v>6442</v>
      </c>
      <c r="B1" s="334" t="s">
        <v>6443</v>
      </c>
      <c r="C1" s="334" t="s">
        <v>6444</v>
      </c>
      <c r="D1" s="334" t="s">
        <v>6445</v>
      </c>
      <c r="E1" s="334" t="s">
        <v>6446</v>
      </c>
      <c r="F1" s="334" t="s">
        <v>6447</v>
      </c>
      <c r="G1" s="334" t="s">
        <v>6448</v>
      </c>
      <c r="H1" s="334" t="s">
        <v>6449</v>
      </c>
      <c r="I1" s="334" t="s">
        <v>84</v>
      </c>
      <c r="J1" s="334" t="s">
        <v>85</v>
      </c>
      <c r="K1" s="335">
        <v>2016</v>
      </c>
      <c r="L1" s="336">
        <v>2017</v>
      </c>
      <c r="M1" s="336">
        <v>2018</v>
      </c>
      <c r="N1" s="336">
        <v>2019</v>
      </c>
      <c r="O1" s="336">
        <v>2020</v>
      </c>
      <c r="P1" s="336">
        <v>2021</v>
      </c>
      <c r="Q1" s="336">
        <v>2022</v>
      </c>
      <c r="R1" s="336">
        <v>2023</v>
      </c>
      <c r="S1" s="336">
        <v>2024</v>
      </c>
      <c r="T1" s="336">
        <v>2025</v>
      </c>
      <c r="U1" s="336">
        <v>2026</v>
      </c>
      <c r="V1" s="336">
        <v>2027</v>
      </c>
      <c r="W1" s="336">
        <v>2028</v>
      </c>
      <c r="X1" s="336">
        <v>2029</v>
      </c>
      <c r="Y1" s="336">
        <v>2030</v>
      </c>
      <c r="Z1" s="336">
        <v>2031</v>
      </c>
      <c r="AA1" s="336">
        <v>2032</v>
      </c>
      <c r="AB1" s="336">
        <v>2033</v>
      </c>
      <c r="AC1" s="336">
        <v>2034</v>
      </c>
      <c r="AD1" s="336">
        <v>2035</v>
      </c>
      <c r="AE1" s="337" t="s">
        <v>5819</v>
      </c>
      <c r="AF1" s="338" t="s">
        <v>5852</v>
      </c>
      <c r="AG1" s="339"/>
      <c r="AH1" s="339"/>
      <c r="AI1" s="339"/>
      <c r="AJ1" s="339"/>
      <c r="AK1" s="339"/>
      <c r="AL1" s="339"/>
      <c r="AM1" s="339"/>
      <c r="AN1" s="339"/>
      <c r="AO1" s="339"/>
      <c r="AP1" s="339"/>
      <c r="AQ1" s="340"/>
      <c r="AR1" s="341"/>
      <c r="AS1" s="338" t="s">
        <v>5853</v>
      </c>
      <c r="AT1" s="339"/>
      <c r="AU1" s="339"/>
      <c r="AV1" s="339"/>
      <c r="AW1" s="339"/>
      <c r="AX1" s="339"/>
      <c r="AY1" s="339"/>
      <c r="AZ1" s="339"/>
      <c r="BA1" s="339"/>
      <c r="BB1" s="339"/>
      <c r="BC1" s="339"/>
      <c r="BD1" s="340"/>
    </row>
    <row r="2" spans="1:56" ht="15">
      <c r="A2" s="334"/>
      <c r="B2" s="334"/>
      <c r="C2" s="334"/>
      <c r="D2" s="334"/>
      <c r="E2" s="334"/>
      <c r="F2" s="334" t="s">
        <v>5854</v>
      </c>
      <c r="G2" s="334" t="s">
        <v>32</v>
      </c>
      <c r="H2" s="334" t="s">
        <v>83</v>
      </c>
      <c r="I2" s="334">
        <v>1</v>
      </c>
      <c r="J2" s="334"/>
      <c r="K2" s="343" t="str">
        <f t="shared" ref="K2:AD2" si="0">CONCATENATE("aMW_",K$1)</f>
        <v>aMW_2016</v>
      </c>
      <c r="L2" s="344" t="str">
        <f t="shared" si="0"/>
        <v>aMW_2017</v>
      </c>
      <c r="M2" s="344" t="str">
        <f t="shared" si="0"/>
        <v>aMW_2018</v>
      </c>
      <c r="N2" s="344" t="str">
        <f t="shared" si="0"/>
        <v>aMW_2019</v>
      </c>
      <c r="O2" s="344" t="str">
        <f t="shared" si="0"/>
        <v>aMW_2020</v>
      </c>
      <c r="P2" s="344" t="str">
        <f t="shared" si="0"/>
        <v>aMW_2021</v>
      </c>
      <c r="Q2" s="344" t="str">
        <f t="shared" si="0"/>
        <v>aMW_2022</v>
      </c>
      <c r="R2" s="344" t="str">
        <f t="shared" si="0"/>
        <v>aMW_2023</v>
      </c>
      <c r="S2" s="344" t="str">
        <f t="shared" si="0"/>
        <v>aMW_2024</v>
      </c>
      <c r="T2" s="344" t="str">
        <f t="shared" si="0"/>
        <v>aMW_2025</v>
      </c>
      <c r="U2" s="344" t="str">
        <f t="shared" si="0"/>
        <v>aMW_2026</v>
      </c>
      <c r="V2" s="344" t="str">
        <f t="shared" si="0"/>
        <v>aMW_2027</v>
      </c>
      <c r="W2" s="344" t="str">
        <f t="shared" si="0"/>
        <v>aMW_2028</v>
      </c>
      <c r="X2" s="344" t="str">
        <f t="shared" si="0"/>
        <v>aMW_2029</v>
      </c>
      <c r="Y2" s="344" t="str">
        <f t="shared" si="0"/>
        <v>aMW_2030</v>
      </c>
      <c r="Z2" s="344" t="str">
        <f t="shared" si="0"/>
        <v>aMW_2031</v>
      </c>
      <c r="AA2" s="344" t="str">
        <f t="shared" si="0"/>
        <v>aMW_2032</v>
      </c>
      <c r="AB2" s="344" t="str">
        <f t="shared" si="0"/>
        <v>aMW_2033</v>
      </c>
      <c r="AC2" s="344" t="str">
        <f t="shared" si="0"/>
        <v>aMW_2034</v>
      </c>
      <c r="AD2" s="344" t="str">
        <f t="shared" si="0"/>
        <v>aMW_2035</v>
      </c>
      <c r="AE2" s="345" t="s">
        <v>5819</v>
      </c>
      <c r="AF2" s="346" t="s">
        <v>43</v>
      </c>
      <c r="AG2" s="346" t="s">
        <v>44</v>
      </c>
      <c r="AH2" s="346" t="s">
        <v>45</v>
      </c>
      <c r="AI2" s="346" t="s">
        <v>46</v>
      </c>
      <c r="AJ2" s="346" t="s">
        <v>47</v>
      </c>
      <c r="AK2" s="346" t="s">
        <v>48</v>
      </c>
      <c r="AL2" s="346" t="s">
        <v>49</v>
      </c>
      <c r="AM2" s="346" t="s">
        <v>50</v>
      </c>
      <c r="AN2" s="346" t="s">
        <v>51</v>
      </c>
      <c r="AO2" s="346" t="s">
        <v>52</v>
      </c>
      <c r="AP2" s="346" t="s">
        <v>53</v>
      </c>
      <c r="AQ2" s="346" t="s">
        <v>54</v>
      </c>
      <c r="AR2" s="346"/>
      <c r="AS2" s="346" t="s">
        <v>43</v>
      </c>
      <c r="AT2" s="346" t="s">
        <v>44</v>
      </c>
      <c r="AU2" s="346" t="s">
        <v>45</v>
      </c>
      <c r="AV2" s="346" t="s">
        <v>46</v>
      </c>
      <c r="AW2" s="346" t="s">
        <v>47</v>
      </c>
      <c r="AX2" s="346" t="s">
        <v>48</v>
      </c>
      <c r="AY2" s="346" t="s">
        <v>49</v>
      </c>
      <c r="AZ2" s="346" t="s">
        <v>50</v>
      </c>
      <c r="BA2" s="346" t="s">
        <v>51</v>
      </c>
      <c r="BB2" s="346" t="s">
        <v>52</v>
      </c>
      <c r="BC2" s="346" t="s">
        <v>53</v>
      </c>
      <c r="BD2" s="346" t="s">
        <v>54</v>
      </c>
    </row>
    <row r="3" spans="1:56" ht="15">
      <c r="A3" s="347" t="str">
        <f>VLOOKUP(CONCATENATE($C3," - ",$B3),[2]ACHIEV!$B$12:$C$100,2,FALSE)</f>
        <v>Retro12Med</v>
      </c>
      <c r="B3" s="347" t="str">
        <f>'SC-Retro'!$C$7</f>
        <v>Retro</v>
      </c>
      <c r="C3" s="347" t="str">
        <f>'SC-Retro'!$C$8</f>
        <v>ResWx</v>
      </c>
      <c r="D3" s="347" t="s">
        <v>6436</v>
      </c>
      <c r="E3" s="347" t="str">
        <f>'SC-Retro'!$A$9</f>
        <v>HVAC</v>
      </c>
      <c r="F3" s="348">
        <f t="shared" ref="F3:F22" si="1">VLOOKUP($J3,MeasureOutput,14,FALSE)</f>
        <v>0.52176017819055298</v>
      </c>
      <c r="G3" s="349">
        <f>'SC-Retro'!A78</f>
        <v>997.78419810830133</v>
      </c>
      <c r="H3" s="349">
        <f>'SC-Retro'!B78</f>
        <v>175.14390543938447</v>
      </c>
      <c r="I3" s="178" t="str">
        <f>'SC-Retro'!C78</f>
        <v>Manufactured</v>
      </c>
      <c r="J3" s="178" t="str">
        <f>'SC-Retro'!D78</f>
        <v>Attic R0 - R22_Electric FAF</v>
      </c>
      <c r="K3" s="350">
        <f ca="1">'SC-Retro'!E78</f>
        <v>8.093221789220878E-2</v>
      </c>
      <c r="L3" s="350">
        <f ca="1">'SC-Retro'!F78</f>
        <v>8.006729637400721E-2</v>
      </c>
      <c r="M3" s="350">
        <f ca="1">'SC-Retro'!G78</f>
        <v>7.9211618260374705E-2</v>
      </c>
      <c r="N3" s="350">
        <f ca="1">'SC-Retro'!H78</f>
        <v>7.8365084767171606E-2</v>
      </c>
      <c r="O3" s="350">
        <f ca="1">'SC-Retro'!I78</f>
        <v>7.7527598165963038E-2</v>
      </c>
      <c r="P3" s="350">
        <f ca="1">'SC-Retro'!J78</f>
        <v>6.9029155595462965E-2</v>
      </c>
      <c r="Q3" s="350">
        <f ca="1">'SC-Retro'!K78</f>
        <v>5.4633153554453286E-2</v>
      </c>
      <c r="R3" s="350">
        <f ca="1">'SC-Retro'!L78</f>
        <v>4.3239431824958478E-2</v>
      </c>
      <c r="S3" s="350">
        <f ca="1">'SC-Retro'!M78</f>
        <v>3.4221866081403103E-2</v>
      </c>
      <c r="T3" s="350">
        <f ca="1">'SC-Retro'!N78</f>
        <v>2.7084909969087276E-2</v>
      </c>
      <c r="U3" s="350">
        <f ca="1">'SC-Retro'!O78</f>
        <v>2.1436363122004427E-2</v>
      </c>
      <c r="V3" s="350">
        <f ca="1">'SC-Retro'!P78</f>
        <v>1.6965818399355622E-2</v>
      </c>
      <c r="W3" s="350">
        <f ca="1">'SC-Retro'!Q78</f>
        <v>1.342760394203469E-2</v>
      </c>
      <c r="X3" s="350">
        <f ca="1">'SC-Retro'!R78</f>
        <v>1.0627282656225621E-2</v>
      </c>
      <c r="Y3" s="350">
        <f ca="1">'SC-Retro'!S78</f>
        <v>8.410967224149463E-3</v>
      </c>
      <c r="Z3" s="350">
        <f ca="1">'SC-Retro'!T78</f>
        <v>6.6568634649303692E-3</v>
      </c>
      <c r="AA3" s="350">
        <f ca="1">'SC-Retro'!U78</f>
        <v>4.4919671546893826E-5</v>
      </c>
      <c r="AB3" s="350">
        <f ca="1">'SC-Retro'!V78</f>
        <v>1.587129129446991E-5</v>
      </c>
      <c r="AC3" s="350">
        <f ca="1">'SC-Retro'!W78</f>
        <v>5.3528437565171633E-6</v>
      </c>
      <c r="AD3" s="350">
        <f ca="1">'SC-Retro'!X78</f>
        <v>1.7268384742551246E-6</v>
      </c>
      <c r="AE3" s="350">
        <f ca="1">'SC-Retro'!Y78</f>
        <v>0.60331719186215405</v>
      </c>
      <c r="AF3" s="351">
        <f t="shared" ref="AF3:AF22" si="2">VLOOKUP($J3,MeasureOutput,15,FALSE)</f>
        <v>111.1483119039608</v>
      </c>
      <c r="AG3" s="351">
        <f t="shared" ref="AG3:AG22" si="3">VLOOKUP($J3,MeasureOutput,16,FALSE)</f>
        <v>81.093786812938603</v>
      </c>
      <c r="AH3" s="351">
        <f t="shared" ref="AH3:AH22" si="4">VLOOKUP($J3,MeasureOutput,17,FALSE)</f>
        <v>73.483461622030191</v>
      </c>
      <c r="AI3" s="351">
        <f t="shared" ref="AI3:AI22" si="5">VLOOKUP($J3,MeasureOutput,18,FALSE)</f>
        <v>58.904673892009882</v>
      </c>
      <c r="AJ3" s="351">
        <f t="shared" ref="AJ3:AJ22" si="6">VLOOKUP($J3,MeasureOutput,19,FALSE)</f>
        <v>24.269378623558477</v>
      </c>
      <c r="AK3" s="351">
        <f t="shared" ref="AK3:AK22" si="7">VLOOKUP($J3,MeasureOutput,20,FALSE)</f>
        <v>6.7790875318665824</v>
      </c>
      <c r="AL3" s="351">
        <f t="shared" ref="AL3:AL22" si="8">VLOOKUP($J3,MeasureOutput,21,FALSE)</f>
        <v>1.6507635652766988</v>
      </c>
      <c r="AM3" s="351">
        <f t="shared" ref="AM3:AM22" si="9">VLOOKUP($J3,MeasureOutput,22,FALSE)</f>
        <v>1.3877067356702422</v>
      </c>
      <c r="AN3" s="351">
        <f t="shared" ref="AN3:AN22" si="10">VLOOKUP($J3,MeasureOutput,23,FALSE)</f>
        <v>13.168140489475547</v>
      </c>
      <c r="AO3" s="351">
        <f t="shared" ref="AO3:AO22" si="11">VLOOKUP($J3,MeasureOutput,24,FALSE)</f>
        <v>45.229040339416386</v>
      </c>
      <c r="AP3" s="351">
        <f t="shared" ref="AP3:AP22" si="12">VLOOKUP($J3,MeasureOutput,25,FALSE)</f>
        <v>71.542381067492968</v>
      </c>
      <c r="AQ3" s="351">
        <f t="shared" ref="AQ3:AQ22" si="13">VLOOKUP($J3,MeasureOutput,26,FALSE)</f>
        <v>129.53261847346764</v>
      </c>
      <c r="AR3" s="351"/>
      <c r="AS3" s="351">
        <f t="shared" ref="AS3:AS22" si="14">VLOOKUP($J3,MeasureOutput,28,FALSE)</f>
        <v>70.650724343340016</v>
      </c>
      <c r="AT3" s="351">
        <f t="shared" ref="AT3:AT22" si="15">VLOOKUP($J3,MeasureOutput,29,FALSE)</f>
        <v>52.930162518433711</v>
      </c>
      <c r="AU3" s="351">
        <f t="shared" ref="AU3:AU22" si="16">VLOOKUP($J3,MeasureOutput,30,FALSE)</f>
        <v>41.000237152902464</v>
      </c>
      <c r="AV3" s="351">
        <f t="shared" ref="AV3:AV22" si="17">VLOOKUP($J3,MeasureOutput,31,FALSE)</f>
        <v>35.161761379102757</v>
      </c>
      <c r="AW3" s="351">
        <f t="shared" ref="AW3:AW22" si="18">VLOOKUP($J3,MeasureOutput,32,FALSE)</f>
        <v>13.81360259609834</v>
      </c>
      <c r="AX3" s="351">
        <f t="shared" ref="AX3:AX22" si="19">VLOOKUP($J3,MeasureOutput,33,FALSE)</f>
        <v>3.429269618142698</v>
      </c>
      <c r="AY3" s="351">
        <f t="shared" ref="AY3:AY22" si="20">VLOOKUP($J3,MeasureOutput,34,FALSE)</f>
        <v>0.92363489477593619</v>
      </c>
      <c r="AZ3" s="351">
        <f t="shared" ref="AZ3:AZ22" si="21">VLOOKUP($J3,MeasureOutput,35,FALSE)</f>
        <v>0.61760174527773726</v>
      </c>
      <c r="BA3" s="351">
        <f t="shared" ref="BA3:BA22" si="22">VLOOKUP($J3,MeasureOutput,36,FALSE)</f>
        <v>7.561843452930809</v>
      </c>
      <c r="BB3" s="351">
        <f t="shared" ref="BB3:BB22" si="23">VLOOKUP($J3,MeasureOutput,37,FALSE)</f>
        <v>23.31888384533752</v>
      </c>
      <c r="BC3" s="351">
        <f t="shared" ref="BC3:BC22" si="24">VLOOKUP($J3,MeasureOutput,38,FALSE)</f>
        <v>46.808535703304017</v>
      </c>
      <c r="BD3" s="351">
        <f t="shared" ref="BD3:BD22" si="25">VLOOKUP($J3,MeasureOutput,39,FALSE)</f>
        <v>83.378589801491373</v>
      </c>
    </row>
    <row r="4" spans="1:56" ht="15">
      <c r="A4" s="347" t="str">
        <f>VLOOKUP(CONCATENATE($C4," - ",$B4),[2]ACHIEV!$B$12:$C$100,2,FALSE)</f>
        <v>Retro12Med</v>
      </c>
      <c r="B4" s="347" t="str">
        <f>'SC-Retro'!$C$7</f>
        <v>Retro</v>
      </c>
      <c r="C4" s="347" t="str">
        <f>'SC-Retro'!$C$8</f>
        <v>ResWx</v>
      </c>
      <c r="D4" s="347" t="s">
        <v>6436</v>
      </c>
      <c r="E4" s="347" t="str">
        <f>'SC-Retro'!$A$9</f>
        <v>HVAC</v>
      </c>
      <c r="F4" s="348">
        <f t="shared" si="1"/>
        <v>0.34432532218005246</v>
      </c>
      <c r="G4" s="349">
        <f>'SC-Retro'!A79</f>
        <v>658.46797022967348</v>
      </c>
      <c r="H4" s="349">
        <f>'SC-Retro'!B79</f>
        <v>284.83502736057329</v>
      </c>
      <c r="I4" s="178" t="str">
        <f>'SC-Retro'!C79</f>
        <v>Manufactured</v>
      </c>
      <c r="J4" s="178" t="str">
        <f>'SC-Retro'!D79</f>
        <v>Attic R0 - R30_Electric FAF</v>
      </c>
      <c r="K4" s="350">
        <f ca="1">'SC-Retro'!E79</f>
        <v>0.1624869491370603</v>
      </c>
      <c r="L4" s="350">
        <f ca="1">'SC-Retro'!F79</f>
        <v>0.16075045330887541</v>
      </c>
      <c r="M4" s="350">
        <f ca="1">'SC-Retro'!G79</f>
        <v>0.15903251538812455</v>
      </c>
      <c r="N4" s="350">
        <f ca="1">'SC-Retro'!H79</f>
        <v>0.1573329370467017</v>
      </c>
      <c r="O4" s="350">
        <f ca="1">'SC-Retro'!I79</f>
        <v>0.155651522076031</v>
      </c>
      <c r="P4" s="350">
        <f ca="1">'SC-Retro'!J79</f>
        <v>0.13858926872797328</v>
      </c>
      <c r="Q4" s="350">
        <f ca="1">'SC-Retro'!K79</f>
        <v>0.10968653366972968</v>
      </c>
      <c r="R4" s="350">
        <f ca="1">'SC-Retro'!L79</f>
        <v>8.6811452134117062E-2</v>
      </c>
      <c r="S4" s="350">
        <f ca="1">'SC-Retro'!M79</f>
        <v>6.8706959455259717E-2</v>
      </c>
      <c r="T4" s="350">
        <f ca="1">'SC-Retro'!N79</f>
        <v>5.437815128692542E-2</v>
      </c>
      <c r="U4" s="350">
        <f ca="1">'SC-Retro'!O79</f>
        <v>4.3037610175564005E-2</v>
      </c>
      <c r="V4" s="350">
        <f ca="1">'SC-Retro'!P79</f>
        <v>3.4062134254077871E-2</v>
      </c>
      <c r="W4" s="350">
        <f ca="1">'SC-Retro'!Q79</f>
        <v>2.6958490148730002E-2</v>
      </c>
      <c r="X4" s="350">
        <f ca="1">'SC-Retro'!R79</f>
        <v>2.1336308103247121E-2</v>
      </c>
      <c r="Y4" s="350">
        <f ca="1">'SC-Retro'!S79</f>
        <v>1.6886629813655737E-2</v>
      </c>
      <c r="Z4" s="350">
        <f ca="1">'SC-Retro'!T79</f>
        <v>1.3364930103350412E-2</v>
      </c>
      <c r="AA4" s="350">
        <f ca="1">'SC-Retro'!U79</f>
        <v>9.0184855623439452E-5</v>
      </c>
      <c r="AB4" s="350">
        <f ca="1">'SC-Retro'!V79</f>
        <v>3.186466117533973E-5</v>
      </c>
      <c r="AC4" s="350">
        <f ca="1">'SC-Retro'!W79</f>
        <v>1.074686044514747E-5</v>
      </c>
      <c r="AD4" s="350">
        <f ca="1">'SC-Retro'!X79</f>
        <v>3.4669594216226604E-6</v>
      </c>
      <c r="AE4" s="350">
        <f ca="1">'SC-Retro'!Y79</f>
        <v>1.2112749708426955</v>
      </c>
      <c r="AF4" s="351">
        <f t="shared" si="2"/>
        <v>73.350132696641282</v>
      </c>
      <c r="AG4" s="351">
        <f t="shared" si="3"/>
        <v>53.516242592526673</v>
      </c>
      <c r="AH4" s="351">
        <f t="shared" si="4"/>
        <v>48.493958825409628</v>
      </c>
      <c r="AI4" s="351">
        <f t="shared" si="5"/>
        <v>38.872975868177249</v>
      </c>
      <c r="AJ4" s="351">
        <f t="shared" si="6"/>
        <v>16.016096978973618</v>
      </c>
      <c r="AK4" s="351">
        <f t="shared" si="7"/>
        <v>4.4737248952032065</v>
      </c>
      <c r="AL4" s="351">
        <f t="shared" si="8"/>
        <v>1.0893888039293891</v>
      </c>
      <c r="AM4" s="351">
        <f t="shared" si="9"/>
        <v>0.91578964594070378</v>
      </c>
      <c r="AN4" s="351">
        <f t="shared" si="10"/>
        <v>8.6900541782913656</v>
      </c>
      <c r="AO4" s="351">
        <f t="shared" si="11"/>
        <v>29.848011668449924</v>
      </c>
      <c r="AP4" s="351">
        <f t="shared" si="12"/>
        <v>47.212981059654631</v>
      </c>
      <c r="AQ4" s="351">
        <f t="shared" si="13"/>
        <v>85.482492633643673</v>
      </c>
      <c r="AR4" s="351"/>
      <c r="AS4" s="351">
        <f t="shared" si="14"/>
        <v>46.624549819304491</v>
      </c>
      <c r="AT4" s="351">
        <f t="shared" si="15"/>
        <v>34.930215114167197</v>
      </c>
      <c r="AU4" s="351">
        <f t="shared" si="16"/>
        <v>27.057296545877538</v>
      </c>
      <c r="AV4" s="351">
        <f t="shared" si="17"/>
        <v>23.204309798545097</v>
      </c>
      <c r="AW4" s="351">
        <f t="shared" si="18"/>
        <v>9.1160141443981306</v>
      </c>
      <c r="AX4" s="351">
        <f t="shared" si="19"/>
        <v>2.2630787389796039</v>
      </c>
      <c r="AY4" s="351">
        <f t="shared" si="20"/>
        <v>0.60953460232128809</v>
      </c>
      <c r="AZ4" s="351">
        <f t="shared" si="21"/>
        <v>0.40757407102091098</v>
      </c>
      <c r="BA4" s="351">
        <f t="shared" si="22"/>
        <v>4.9902892018995875</v>
      </c>
      <c r="BB4" s="351">
        <f t="shared" si="23"/>
        <v>15.388836727192073</v>
      </c>
      <c r="BC4" s="351">
        <f t="shared" si="24"/>
        <v>30.890368430781994</v>
      </c>
      <c r="BD4" s="351">
        <f t="shared" si="25"/>
        <v>55.02405318834424</v>
      </c>
    </row>
    <row r="5" spans="1:56" ht="15">
      <c r="A5" s="347" t="str">
        <f>VLOOKUP(CONCATENATE($C5," - ",$B5),[2]ACHIEV!$B$12:$C$100,2,FALSE)</f>
        <v>Retro12Med</v>
      </c>
      <c r="B5" s="347" t="str">
        <f>'SC-Retro'!$C$7</f>
        <v>Retro</v>
      </c>
      <c r="C5" s="347" t="str">
        <f>'SC-Retro'!$C$8</f>
        <v>ResWx</v>
      </c>
      <c r="D5" s="347" t="s">
        <v>6436</v>
      </c>
      <c r="E5" s="347" t="str">
        <f>'SC-Retro'!$A$9</f>
        <v>HVAC</v>
      </c>
      <c r="F5" s="348">
        <f t="shared" si="1"/>
        <v>0.12840091690889488</v>
      </c>
      <c r="G5" s="349">
        <f>'SC-Retro'!A80</f>
        <v>367.54737879417922</v>
      </c>
      <c r="H5" s="349">
        <f>'SC-Retro'!B80</f>
        <v>555.44832193884758</v>
      </c>
      <c r="I5" s="178" t="str">
        <f>'SC-Retro'!C80</f>
        <v>Manufactured</v>
      </c>
      <c r="J5" s="178" t="str">
        <f>'SC-Retro'!D80</f>
        <v>Attic R0 - R22_Heat Pump</v>
      </c>
      <c r="K5" s="350">
        <f ca="1">'SC-Retro'!E80</f>
        <v>8.4626028632749598E-3</v>
      </c>
      <c r="L5" s="350">
        <f ca="1">'SC-Retro'!F80</f>
        <v>8.3721631409113713E-3</v>
      </c>
      <c r="M5" s="350">
        <f ca="1">'SC-Retro'!G80</f>
        <v>8.2826899466377068E-3</v>
      </c>
      <c r="N5" s="350">
        <f ca="1">'SC-Retro'!H80</f>
        <v>8.1941729511813347E-3</v>
      </c>
      <c r="O5" s="350">
        <f ca="1">'SC-Retro'!I80</f>
        <v>8.1066019356584307E-3</v>
      </c>
      <c r="P5" s="350">
        <f ca="1">'SC-Retro'!J80</f>
        <v>7.2179701113548028E-3</v>
      </c>
      <c r="Q5" s="350">
        <f ca="1">'SC-Retro'!K80</f>
        <v>5.7126654099042742E-3</v>
      </c>
      <c r="R5" s="350">
        <f ca="1">'SC-Retro'!L80</f>
        <v>4.5212913855348872E-3</v>
      </c>
      <c r="S5" s="350">
        <f ca="1">'SC-Retro'!M80</f>
        <v>3.5783779245097641E-3</v>
      </c>
      <c r="T5" s="350">
        <f ca="1">'SC-Retro'!N80</f>
        <v>2.8321086784155471E-3</v>
      </c>
      <c r="U5" s="350">
        <f ca="1">'SC-Retro'!O80</f>
        <v>2.2414735770133914E-3</v>
      </c>
      <c r="V5" s="350">
        <f ca="1">'SC-Retro'!P80</f>
        <v>1.774015183365086E-3</v>
      </c>
      <c r="W5" s="350">
        <f ca="1">'SC-Retro'!Q80</f>
        <v>1.4040450456717819E-3</v>
      </c>
      <c r="X5" s="350">
        <f ca="1">'SC-Retro'!R80</f>
        <v>1.1112320282040003E-3</v>
      </c>
      <c r="Y5" s="350">
        <f ca="1">'SC-Retro'!S80</f>
        <v>8.7948504523624753E-4</v>
      </c>
      <c r="Z5" s="350">
        <f ca="1">'SC-Retro'!T80</f>
        <v>6.960688003605723E-4</v>
      </c>
      <c r="AA5" s="350">
        <f ca="1">'SC-Retro'!U80</f>
        <v>4.696984105346131E-6</v>
      </c>
      <c r="AB5" s="350">
        <f ca="1">'SC-Retro'!V80</f>
        <v>1.6595669641889559E-6</v>
      </c>
      <c r="AC5" s="350">
        <f ca="1">'SC-Retro'!W80</f>
        <v>5.5971517994104664E-7</v>
      </c>
      <c r="AD5" s="350">
        <f ca="1">'SC-Retro'!X80</f>
        <v>1.8056527545196065E-7</v>
      </c>
      <c r="AE5" s="350">
        <f ca="1">'SC-Retro'!Y80</f>
        <v>6.3085306794825685E-2</v>
      </c>
      <c r="AF5" s="351">
        <f t="shared" si="2"/>
        <v>31.43032548611027</v>
      </c>
      <c r="AG5" s="351">
        <f t="shared" si="3"/>
        <v>22.951340476949472</v>
      </c>
      <c r="AH5" s="351">
        <f t="shared" si="4"/>
        <v>18.59278943117755</v>
      </c>
      <c r="AI5" s="351">
        <f t="shared" si="5"/>
        <v>16.119548511305339</v>
      </c>
      <c r="AJ5" s="351">
        <f t="shared" si="6"/>
        <v>5.9147835909452047</v>
      </c>
      <c r="AK5" s="351">
        <f t="shared" si="7"/>
        <v>3.8241154379283775</v>
      </c>
      <c r="AL5" s="351">
        <f t="shared" si="8"/>
        <v>11.118554553655841</v>
      </c>
      <c r="AM5" s="351">
        <f t="shared" si="9"/>
        <v>11.089280923936379</v>
      </c>
      <c r="AN5" s="351">
        <f t="shared" si="10"/>
        <v>6.4486720162192892</v>
      </c>
      <c r="AO5" s="351">
        <f t="shared" si="11"/>
        <v>14.648896864231796</v>
      </c>
      <c r="AP5" s="351">
        <f t="shared" si="12"/>
        <v>22.745845945061578</v>
      </c>
      <c r="AQ5" s="351">
        <f t="shared" si="13"/>
        <v>39.691182383507027</v>
      </c>
      <c r="AR5" s="351"/>
      <c r="AS5" s="351">
        <f t="shared" si="14"/>
        <v>29.822230069917083</v>
      </c>
      <c r="AT5" s="351">
        <f t="shared" si="15"/>
        <v>21.122666190884164</v>
      </c>
      <c r="AU5" s="351">
        <f t="shared" si="16"/>
        <v>15.597981510515879</v>
      </c>
      <c r="AV5" s="351">
        <f t="shared" si="17"/>
        <v>14.548401133850328</v>
      </c>
      <c r="AW5" s="351">
        <f t="shared" si="18"/>
        <v>5.7513757458159649</v>
      </c>
      <c r="AX5" s="351">
        <f t="shared" si="19"/>
        <v>1.7767186721843402</v>
      </c>
      <c r="AY5" s="351">
        <f t="shared" si="20"/>
        <v>5.4729208770561053</v>
      </c>
      <c r="AZ5" s="351">
        <f t="shared" si="21"/>
        <v>3.9181677909770678</v>
      </c>
      <c r="BA5" s="351">
        <f t="shared" si="22"/>
        <v>3.7051296259118818</v>
      </c>
      <c r="BB5" s="351">
        <f t="shared" si="23"/>
        <v>8.99944929556208</v>
      </c>
      <c r="BC5" s="351">
        <f t="shared" si="24"/>
        <v>17.910442525242626</v>
      </c>
      <c r="BD5" s="351">
        <f t="shared" si="25"/>
        <v>34.34655973523364</v>
      </c>
    </row>
    <row r="6" spans="1:56" ht="15">
      <c r="A6" s="347" t="str">
        <f>VLOOKUP(CONCATENATE($C6," - ",$B6),[2]ACHIEV!$B$12:$C$100,2,FALSE)</f>
        <v>Retro12Med</v>
      </c>
      <c r="B6" s="347" t="str">
        <f>'SC-Retro'!$C$7</f>
        <v>Retro</v>
      </c>
      <c r="C6" s="347" t="str">
        <f>'SC-Retro'!$C$8</f>
        <v>ResWx</v>
      </c>
      <c r="D6" s="347" t="s">
        <v>6436</v>
      </c>
      <c r="E6" s="347" t="str">
        <f>'SC-Retro'!$A$9</f>
        <v>HVAC</v>
      </c>
      <c r="F6" s="348">
        <f t="shared" si="1"/>
        <v>0.13125750036261122</v>
      </c>
      <c r="G6" s="349">
        <f>'SC-Retro'!A81</f>
        <v>375.72434346075732</v>
      </c>
      <c r="H6" s="349">
        <f>'SC-Retro'!B81</f>
        <v>542.6546707757401</v>
      </c>
      <c r="I6" s="178" t="str">
        <f>'SC-Retro'!C81</f>
        <v>Manufactured</v>
      </c>
      <c r="J6" s="178" t="str">
        <f>'SC-Retro'!D81</f>
        <v>Attic R0 - R30_Heat Pump</v>
      </c>
      <c r="K6" s="350">
        <f ca="1">'SC-Retro'!E81</f>
        <v>2.6318369171202505E-2</v>
      </c>
      <c r="L6" s="350">
        <f ca="1">'SC-Retro'!F81</f>
        <v>2.6037105115762144E-2</v>
      </c>
      <c r="M6" s="350">
        <f ca="1">'SC-Retro'!G81</f>
        <v>2.5758846925478852E-2</v>
      </c>
      <c r="N6" s="350">
        <f ca="1">'SC-Retro'!H81</f>
        <v>2.5483562476712362E-2</v>
      </c>
      <c r="O6" s="350">
        <f ca="1">'SC-Retro'!I81</f>
        <v>2.5211219989127273E-2</v>
      </c>
      <c r="P6" s="350">
        <f ca="1">'SC-Retro'!J81</f>
        <v>2.2447609219821817E-2</v>
      </c>
      <c r="Q6" s="350">
        <f ca="1">'SC-Retro'!K81</f>
        <v>1.7766169538911355E-2</v>
      </c>
      <c r="R6" s="350">
        <f ca="1">'SC-Retro'!L81</f>
        <v>1.4061042180234783E-2</v>
      </c>
      <c r="S6" s="350">
        <f ca="1">'SC-Retro'!M81</f>
        <v>1.112861761007696E-2</v>
      </c>
      <c r="T6" s="350">
        <f ca="1">'SC-Retro'!N81</f>
        <v>8.8077489793325584E-3</v>
      </c>
      <c r="U6" s="350">
        <f ca="1">'SC-Retro'!O81</f>
        <v>6.9708965480751459E-3</v>
      </c>
      <c r="V6" s="350">
        <f ca="1">'SC-Retro'!P81</f>
        <v>5.5171189367443033E-3</v>
      </c>
      <c r="W6" s="350">
        <f ca="1">'SC-Retro'!Q81</f>
        <v>4.3665260490184038E-3</v>
      </c>
      <c r="X6" s="350">
        <f ca="1">'SC-Retro'!R81</f>
        <v>3.455888835343398E-3</v>
      </c>
      <c r="Y6" s="350">
        <f ca="1">'SC-Retro'!S81</f>
        <v>2.7351646384740956E-3</v>
      </c>
      <c r="Z6" s="350">
        <f ca="1">'SC-Retro'!T81</f>
        <v>2.1647471767753663E-3</v>
      </c>
      <c r="AA6" s="350">
        <f ca="1">'SC-Retro'!U81</f>
        <v>1.4607439776268908E-5</v>
      </c>
      <c r="AB6" s="350">
        <f ca="1">'SC-Retro'!V81</f>
        <v>5.1611893803266657E-6</v>
      </c>
      <c r="AC6" s="350">
        <f ca="1">'SC-Retro'!W81</f>
        <v>1.7406926656503655E-6</v>
      </c>
      <c r="AD6" s="350">
        <f ca="1">'SC-Retro'!X81</f>
        <v>5.6155105652748486E-7</v>
      </c>
      <c r="AE6" s="350">
        <f ca="1">'SC-Retro'!Y81</f>
        <v>0.19619287591882448</v>
      </c>
      <c r="AF6" s="351">
        <f t="shared" si="2"/>
        <v>32.129567749249603</v>
      </c>
      <c r="AG6" s="351">
        <f t="shared" si="3"/>
        <v>23.461947574043513</v>
      </c>
      <c r="AH6" s="351">
        <f t="shared" si="4"/>
        <v>19.006430205138834</v>
      </c>
      <c r="AI6" s="351">
        <f t="shared" si="5"/>
        <v>16.478166165036306</v>
      </c>
      <c r="AJ6" s="351">
        <f t="shared" si="6"/>
        <v>6.0463720043690383</v>
      </c>
      <c r="AK6" s="351">
        <f t="shared" si="7"/>
        <v>3.9091919712434655</v>
      </c>
      <c r="AL6" s="351">
        <f t="shared" si="8"/>
        <v>11.36591321535256</v>
      </c>
      <c r="AM6" s="351">
        <f t="shared" si="9"/>
        <v>11.335988324191201</v>
      </c>
      <c r="AN6" s="351">
        <f t="shared" si="10"/>
        <v>6.5921380460845285</v>
      </c>
      <c r="AO6" s="351">
        <f t="shared" si="11"/>
        <v>14.974796378074464</v>
      </c>
      <c r="AP6" s="351">
        <f t="shared" si="12"/>
        <v>23.251881328076376</v>
      </c>
      <c r="AQ6" s="351">
        <f t="shared" si="13"/>
        <v>40.574207034612996</v>
      </c>
      <c r="AR6" s="351"/>
      <c r="AS6" s="351">
        <f t="shared" si="14"/>
        <v>30.485696429982813</v>
      </c>
      <c r="AT6" s="351">
        <f t="shared" si="15"/>
        <v>21.592590083889274</v>
      </c>
      <c r="AU6" s="351">
        <f t="shared" si="16"/>
        <v>15.94499566716655</v>
      </c>
      <c r="AV6" s="351">
        <f t="shared" si="17"/>
        <v>14.872064881411198</v>
      </c>
      <c r="AW6" s="351">
        <f t="shared" si="18"/>
        <v>5.8793287634977665</v>
      </c>
      <c r="AX6" s="351">
        <f t="shared" si="19"/>
        <v>1.8162460002054617</v>
      </c>
      <c r="AY6" s="351">
        <f t="shared" si="20"/>
        <v>5.5946790046245392</v>
      </c>
      <c r="AZ6" s="351">
        <f t="shared" si="21"/>
        <v>4.0053367423369011</v>
      </c>
      <c r="BA6" s="351">
        <f t="shared" si="22"/>
        <v>3.7875590371501504</v>
      </c>
      <c r="BB6" s="351">
        <f t="shared" si="23"/>
        <v>9.1996634261862589</v>
      </c>
      <c r="BC6" s="351">
        <f t="shared" si="24"/>
        <v>18.308902871150025</v>
      </c>
      <c r="BD6" s="351">
        <f t="shared" si="25"/>
        <v>35.110680557683558</v>
      </c>
    </row>
    <row r="7" spans="1:56" ht="15">
      <c r="A7" s="347" t="str">
        <f>VLOOKUP(CONCATENATE($C7," - ",$B7),[2]ACHIEV!$B$12:$C$100,2,FALSE)</f>
        <v>Retro12Med</v>
      </c>
      <c r="B7" s="347" t="str">
        <f>'SC-Retro'!$C$7</f>
        <v>Retro</v>
      </c>
      <c r="C7" s="347" t="str">
        <f>'SC-Retro'!$C$8</f>
        <v>ResWx</v>
      </c>
      <c r="D7" s="347" t="s">
        <v>6436</v>
      </c>
      <c r="E7" s="347" t="str">
        <f>'SC-Retro'!$A$9</f>
        <v>HVAC</v>
      </c>
      <c r="F7" s="348">
        <f t="shared" si="1"/>
        <v>0.19113132938110153</v>
      </c>
      <c r="G7" s="349">
        <f>'SC-Retro'!A82</f>
        <v>365.50857691222126</v>
      </c>
      <c r="H7" s="349">
        <f>'SC-Retro'!B82</f>
        <v>881.73835537497496</v>
      </c>
      <c r="I7" s="342" t="str">
        <f>'SC-Retro'!C82</f>
        <v>Manufactured</v>
      </c>
      <c r="J7" s="342" t="str">
        <f>'SC-Retro'!D82</f>
        <v>Floor R11 - R22_Electric FAF</v>
      </c>
      <c r="K7" s="350">
        <f ca="1">'SC-Retro'!E82</f>
        <v>2.7262434032265005E-2</v>
      </c>
      <c r="L7" s="350">
        <f ca="1">'SC-Retro'!F82</f>
        <v>2.6971080768420662E-2</v>
      </c>
      <c r="M7" s="350">
        <f ca="1">'SC-Retro'!G82</f>
        <v>2.6682841192967179E-2</v>
      </c>
      <c r="N7" s="350">
        <f ca="1">'SC-Retro'!H82</f>
        <v>2.6397682029958812E-2</v>
      </c>
      <c r="O7" s="350">
        <f ca="1">'SC-Retro'!I82</f>
        <v>2.6115570359069442E-2</v>
      </c>
      <c r="P7" s="350">
        <f ca="1">'SC-Retro'!J82</f>
        <v>2.3252826250612778E-2</v>
      </c>
      <c r="Q7" s="350">
        <f ca="1">'SC-Retro'!K82</f>
        <v>1.8403458888728571E-2</v>
      </c>
      <c r="R7" s="350">
        <f ca="1">'SC-Retro'!L82</f>
        <v>1.4565425097957595E-2</v>
      </c>
      <c r="S7" s="350">
        <f ca="1">'SC-Retro'!M82</f>
        <v>1.1527811677518294E-2</v>
      </c>
      <c r="T7" s="350">
        <f ca="1">'SC-Retro'!N82</f>
        <v>9.1236912880051386E-3</v>
      </c>
      <c r="U7" s="350">
        <f ca="1">'SC-Retro'!O82</f>
        <v>7.2209492180688641E-3</v>
      </c>
      <c r="V7" s="350">
        <f ca="1">'SC-Retro'!P82</f>
        <v>5.7150232251369868E-3</v>
      </c>
      <c r="W7" s="350">
        <f ca="1">'SC-Retro'!Q82</f>
        <v>4.5231574793694511E-3</v>
      </c>
      <c r="X7" s="350">
        <f ca="1">'SC-Retro'!R82</f>
        <v>3.5798548452417541E-3</v>
      </c>
      <c r="Y7" s="350">
        <f ca="1">'SC-Retro'!S82</f>
        <v>2.8332775879356263E-3</v>
      </c>
      <c r="Z7" s="350">
        <f ca="1">'SC-Retro'!T82</f>
        <v>2.2423987109332672E-3</v>
      </c>
      <c r="AA7" s="350">
        <f ca="1">'SC-Retro'!U82</f>
        <v>1.5131422493934846E-5</v>
      </c>
      <c r="AB7" s="350">
        <f ca="1">'SC-Retro'!V82</f>
        <v>5.3463261379866649E-6</v>
      </c>
      <c r="AC7" s="350">
        <f ca="1">'SC-Retro'!W82</f>
        <v>1.8031329623442749E-6</v>
      </c>
      <c r="AD7" s="350">
        <f ca="1">'SC-Retro'!X82</f>
        <v>5.8169442546921218E-7</v>
      </c>
      <c r="AE7" s="350">
        <f ca="1">'SC-Retro'!Y82</f>
        <v>0.20323050043654811</v>
      </c>
      <c r="AF7" s="351">
        <f t="shared" si="2"/>
        <v>40.715879633326111</v>
      </c>
      <c r="AG7" s="351">
        <f t="shared" si="3"/>
        <v>29.706297885470235</v>
      </c>
      <c r="AH7" s="351">
        <f t="shared" si="4"/>
        <v>26.918481506295386</v>
      </c>
      <c r="AI7" s="351">
        <f t="shared" si="5"/>
        <v>21.577976047892957</v>
      </c>
      <c r="AJ7" s="351">
        <f t="shared" si="6"/>
        <v>8.8903653315603055</v>
      </c>
      <c r="AK7" s="351">
        <f t="shared" si="7"/>
        <v>2.4833171754309444</v>
      </c>
      <c r="AL7" s="351">
        <f t="shared" si="8"/>
        <v>0.60470815503668673</v>
      </c>
      <c r="AM7" s="351">
        <f t="shared" si="9"/>
        <v>0.50834510617423079</v>
      </c>
      <c r="AN7" s="351">
        <f t="shared" si="10"/>
        <v>4.8237567802872627</v>
      </c>
      <c r="AO7" s="351">
        <f t="shared" si="11"/>
        <v>16.568314271670957</v>
      </c>
      <c r="AP7" s="351">
        <f t="shared" si="12"/>
        <v>26.2074243533499</v>
      </c>
      <c r="AQ7" s="351">
        <f t="shared" si="13"/>
        <v>47.450423780726091</v>
      </c>
      <c r="AR7" s="351"/>
      <c r="AS7" s="351">
        <f t="shared" si="14"/>
        <v>25.880792421357739</v>
      </c>
      <c r="AT7" s="351">
        <f t="shared" si="15"/>
        <v>19.389391428050459</v>
      </c>
      <c r="AU7" s="351">
        <f t="shared" si="16"/>
        <v>15.019217946358337</v>
      </c>
      <c r="AV7" s="351">
        <f t="shared" si="17"/>
        <v>12.880465924163673</v>
      </c>
      <c r="AW7" s="351">
        <f t="shared" si="18"/>
        <v>5.0602026334985535</v>
      </c>
      <c r="AX7" s="351">
        <f t="shared" si="19"/>
        <v>1.2562109726251693</v>
      </c>
      <c r="AY7" s="351">
        <f t="shared" si="20"/>
        <v>0.33834618409077905</v>
      </c>
      <c r="AZ7" s="351">
        <f t="shared" si="21"/>
        <v>0.2262400381194129</v>
      </c>
      <c r="BA7" s="351">
        <f t="shared" si="22"/>
        <v>2.7700565358259328</v>
      </c>
      <c r="BB7" s="351">
        <f t="shared" si="23"/>
        <v>8.542179827712177</v>
      </c>
      <c r="BC7" s="351">
        <f t="shared" si="24"/>
        <v>17.14691543992814</v>
      </c>
      <c r="BD7" s="351">
        <f t="shared" si="25"/>
        <v>30.543267533269834</v>
      </c>
    </row>
    <row r="8" spans="1:56" ht="15">
      <c r="A8" s="347" t="str">
        <f>VLOOKUP(CONCATENATE($C8," - ",$B8),[2]ACHIEV!$B$12:$C$100,2,FALSE)</f>
        <v>Retro12Med</v>
      </c>
      <c r="B8" s="347" t="str">
        <f>'SC-Retro'!$C$7</f>
        <v>Retro</v>
      </c>
      <c r="C8" s="347" t="str">
        <f>'SC-Retro'!$C$8</f>
        <v>ResWx</v>
      </c>
      <c r="D8" s="347" t="s">
        <v>6436</v>
      </c>
      <c r="E8" s="347" t="str">
        <f>'SC-Retro'!$A$9</f>
        <v>HVAC</v>
      </c>
      <c r="F8" s="348">
        <f t="shared" si="1"/>
        <v>0.45062000954964321</v>
      </c>
      <c r="G8" s="349">
        <f>'SC-Retro'!A83</f>
        <v>861.73982544876924</v>
      </c>
      <c r="H8" s="349">
        <f>'SC-Retro'!B83</f>
        <v>350.9052137073852</v>
      </c>
      <c r="I8" s="342" t="str">
        <f>'SC-Retro'!C83</f>
        <v>Manufactured</v>
      </c>
      <c r="J8" s="342" t="str">
        <f>'SC-Retro'!D83</f>
        <v>Floor R0 - R22_Electric FAF</v>
      </c>
      <c r="K8" s="350">
        <f ca="1">'SC-Retro'!E83</f>
        <v>4.2226306932005686E-2</v>
      </c>
      <c r="L8" s="350">
        <f ca="1">'SC-Retro'!F83</f>
        <v>4.1775034960831993E-2</v>
      </c>
      <c r="M8" s="350">
        <f ca="1">'SC-Retro'!G83</f>
        <v>4.1328585727111879E-2</v>
      </c>
      <c r="N8" s="350">
        <f ca="1">'SC-Retro'!H83</f>
        <v>4.0886907690315381E-2</v>
      </c>
      <c r="O8" s="350">
        <f ca="1">'SC-Retro'!I83</f>
        <v>4.0449949860725504E-2</v>
      </c>
      <c r="P8" s="350">
        <f ca="1">'SC-Retro'!J83</f>
        <v>3.6015895614196484E-2</v>
      </c>
      <c r="Q8" s="350">
        <f ca="1">'SC-Retro'!K83</f>
        <v>2.8504795379836353E-2</v>
      </c>
      <c r="R8" s="350">
        <f ca="1">'SC-Retro'!L83</f>
        <v>2.2560132013656361E-2</v>
      </c>
      <c r="S8" s="350">
        <f ca="1">'SC-Retro'!M83</f>
        <v>1.7855225750318102E-2</v>
      </c>
      <c r="T8" s="350">
        <f ca="1">'SC-Retro'!N83</f>
        <v>1.4131525755338551E-2</v>
      </c>
      <c r="U8" s="350">
        <f ca="1">'SC-Retro'!O83</f>
        <v>1.1184401864548761E-2</v>
      </c>
      <c r="V8" s="350">
        <f ca="1">'SC-Retro'!P83</f>
        <v>8.8518994504514503E-3</v>
      </c>
      <c r="W8" s="350">
        <f ca="1">'SC-Retro'!Q83</f>
        <v>7.0058394565800011E-3</v>
      </c>
      <c r="X8" s="350">
        <f ca="1">'SC-Retro'!R83</f>
        <v>5.5447745160356506E-3</v>
      </c>
      <c r="Y8" s="350">
        <f ca="1">'SC-Retro'!S83</f>
        <v>4.3884140686099513E-3</v>
      </c>
      <c r="Z8" s="350">
        <f ca="1">'SC-Retro'!T83</f>
        <v>3.4732121174411213E-3</v>
      </c>
      <c r="AA8" s="350">
        <f ca="1">'SC-Retro'!U83</f>
        <v>2.3436795474335098E-5</v>
      </c>
      <c r="AB8" s="350">
        <f ca="1">'SC-Retro'!V83</f>
        <v>8.2808309850121401E-6</v>
      </c>
      <c r="AC8" s="350">
        <f ca="1">'SC-Retro'!W83</f>
        <v>2.7928410873752126E-6</v>
      </c>
      <c r="AD8" s="350">
        <f ca="1">'SC-Retro'!X83</f>
        <v>9.0097631493320276E-7</v>
      </c>
      <c r="AE8" s="350">
        <f ca="1">'SC-Retro'!Y83</f>
        <v>0.31478016523478464</v>
      </c>
      <c r="AF8" s="351">
        <f t="shared" si="2"/>
        <v>95.99362976546989</v>
      </c>
      <c r="AG8" s="351">
        <f t="shared" si="3"/>
        <v>70.036933663261237</v>
      </c>
      <c r="AH8" s="351">
        <f t="shared" si="4"/>
        <v>63.464249595849346</v>
      </c>
      <c r="AI8" s="351">
        <f t="shared" si="5"/>
        <v>50.873228393528464</v>
      </c>
      <c r="AJ8" s="351">
        <f t="shared" si="6"/>
        <v>20.960334046646569</v>
      </c>
      <c r="AK8" s="351">
        <f t="shared" si="7"/>
        <v>5.8547827450947016</v>
      </c>
      <c r="AL8" s="351">
        <f t="shared" si="8"/>
        <v>1.4256877482081816</v>
      </c>
      <c r="AM8" s="351">
        <f t="shared" si="9"/>
        <v>1.1984977938493637</v>
      </c>
      <c r="AN8" s="351">
        <f t="shared" si="10"/>
        <v>11.37271076090328</v>
      </c>
      <c r="AO8" s="351">
        <f t="shared" si="11"/>
        <v>39.062219467093151</v>
      </c>
      <c r="AP8" s="351">
        <f t="shared" si="12"/>
        <v>61.787828560699474</v>
      </c>
      <c r="AQ8" s="351">
        <f t="shared" si="13"/>
        <v>111.87130067290582</v>
      </c>
      <c r="AR8" s="351"/>
      <c r="AS8" s="351">
        <f t="shared" si="14"/>
        <v>61.017746100696037</v>
      </c>
      <c r="AT8" s="351">
        <f t="shared" si="15"/>
        <v>45.71332067203096</v>
      </c>
      <c r="AU8" s="351">
        <f t="shared" si="16"/>
        <v>35.409998749714973</v>
      </c>
      <c r="AV8" s="351">
        <f t="shared" si="17"/>
        <v>30.367578651521633</v>
      </c>
      <c r="AW8" s="351">
        <f t="shared" si="18"/>
        <v>11.930166375202901</v>
      </c>
      <c r="AX8" s="351">
        <f t="shared" si="19"/>
        <v>2.9617007442668477</v>
      </c>
      <c r="AY8" s="351">
        <f t="shared" si="20"/>
        <v>0.79770051932233099</v>
      </c>
      <c r="AZ8" s="351">
        <f t="shared" si="21"/>
        <v>0.53339391541929915</v>
      </c>
      <c r="BA8" s="351">
        <f t="shared" si="22"/>
        <v>6.5308126442108856</v>
      </c>
      <c r="BB8" s="351">
        <f t="shared" si="23"/>
        <v>20.139435894694486</v>
      </c>
      <c r="BC8" s="351">
        <f t="shared" si="24"/>
        <v>40.426356182982424</v>
      </c>
      <c r="BD8" s="351">
        <f t="shared" si="25"/>
        <v>72.010211785196958</v>
      </c>
    </row>
    <row r="9" spans="1:56" ht="15">
      <c r="A9" s="347" t="str">
        <f>VLOOKUP(CONCATENATE($C9," - ",$B9),[2]ACHIEV!$B$12:$C$100,2,FALSE)</f>
        <v>Retro12Med</v>
      </c>
      <c r="B9" s="347" t="str">
        <f>'SC-Retro'!$C$7</f>
        <v>Retro</v>
      </c>
      <c r="C9" s="347" t="str">
        <f>'SC-Retro'!$C$8</f>
        <v>ResWx</v>
      </c>
      <c r="D9" s="347" t="s">
        <v>6436</v>
      </c>
      <c r="E9" s="347" t="str">
        <f>'SC-Retro'!$A$9</f>
        <v>HVAC</v>
      </c>
      <c r="F9" s="348">
        <f t="shared" si="1"/>
        <v>0.23016913529853145</v>
      </c>
      <c r="G9" s="349">
        <f>'SC-Retro'!A84</f>
        <v>440.16223485965639</v>
      </c>
      <c r="H9" s="349">
        <f>'SC-Retro'!B84</f>
        <v>678.94099483691605</v>
      </c>
      <c r="I9" s="342" t="str">
        <f>'SC-Retro'!C84</f>
        <v>Manufactured</v>
      </c>
      <c r="J9" s="342" t="str">
        <f>'SC-Retro'!D84</f>
        <v>CFM50 Infiltration Reduction_Electric FAF</v>
      </c>
      <c r="K9" s="350">
        <f ca="1">'SC-Retro'!E84</f>
        <v>0.16920010828266177</v>
      </c>
      <c r="L9" s="350">
        <f ca="1">'SC-Retro'!F84</f>
        <v>0.16739186901346709</v>
      </c>
      <c r="M9" s="350">
        <f ca="1">'SC-Retro'!G84</f>
        <v>0.16560295437289024</v>
      </c>
      <c r="N9" s="350">
        <f ca="1">'SC-Retro'!H84</f>
        <v>0.16383315783888655</v>
      </c>
      <c r="O9" s="350">
        <f ca="1">'SC-Retro'!I84</f>
        <v>0.16208227509650958</v>
      </c>
      <c r="P9" s="350">
        <f ca="1">'SC-Retro'!J84</f>
        <v>0.14431509361289147</v>
      </c>
      <c r="Q9" s="350">
        <f ca="1">'SC-Retro'!K84</f>
        <v>0.11421824012717044</v>
      </c>
      <c r="R9" s="350">
        <f ca="1">'SC-Retro'!L84</f>
        <v>9.039807307156543E-2</v>
      </c>
      <c r="S9" s="350">
        <f ca="1">'SC-Retro'!M84</f>
        <v>7.1545592069651914E-2</v>
      </c>
      <c r="T9" s="350">
        <f ca="1">'SC-Retro'!N84</f>
        <v>5.6624788235747667E-2</v>
      </c>
      <c r="U9" s="350">
        <f ca="1">'SC-Retro'!O84</f>
        <v>4.4815711911668429E-2</v>
      </c>
      <c r="V9" s="350">
        <f ca="1">'SC-Retro'!P84</f>
        <v>3.546941360359402E-2</v>
      </c>
      <c r="W9" s="350">
        <f ca="1">'SC-Retro'!Q84</f>
        <v>2.8072281968040347E-2</v>
      </c>
      <c r="X9" s="350">
        <f ca="1">'SC-Retro'!R84</f>
        <v>2.2217819096206081E-2</v>
      </c>
      <c r="Y9" s="350">
        <f ca="1">'SC-Retro'!S84</f>
        <v>1.7584302051173752E-2</v>
      </c>
      <c r="Z9" s="350">
        <f ca="1">'SC-Retro'!T84</f>
        <v>1.3917103082350403E-2</v>
      </c>
      <c r="AA9" s="350">
        <f ca="1">'SC-Retro'!U84</f>
        <v>9.3910848951140805E-5</v>
      </c>
      <c r="AB9" s="350">
        <f ca="1">'SC-Retro'!V84</f>
        <v>3.3181151777980591E-5</v>
      </c>
      <c r="AC9" s="350">
        <f ca="1">'SC-Retro'!W84</f>
        <v>1.1190867701527111E-5</v>
      </c>
      <c r="AD9" s="350">
        <f ca="1">'SC-Retro'!X84</f>
        <v>3.6101970814611921E-6</v>
      </c>
      <c r="AE9" s="350">
        <f ca="1">'SC-Retro'!Y84</f>
        <v>1.2613188770858468</v>
      </c>
      <c r="AF9" s="351">
        <f t="shared" si="2"/>
        <v>49.031934421570497</v>
      </c>
      <c r="AG9" s="351">
        <f t="shared" si="3"/>
        <v>35.773689846450395</v>
      </c>
      <c r="AH9" s="351">
        <f t="shared" si="4"/>
        <v>32.416473175360764</v>
      </c>
      <c r="AI9" s="351">
        <f t="shared" si="5"/>
        <v>25.98519093922561</v>
      </c>
      <c r="AJ9" s="351">
        <f t="shared" si="6"/>
        <v>10.706186722393028</v>
      </c>
      <c r="AK9" s="351">
        <f t="shared" si="7"/>
        <v>2.9905247286866223</v>
      </c>
      <c r="AL9" s="351">
        <f t="shared" si="8"/>
        <v>0.72821736553320227</v>
      </c>
      <c r="AM9" s="351">
        <f t="shared" si="9"/>
        <v>0.61217255119940583</v>
      </c>
      <c r="AN9" s="351">
        <f t="shared" si="10"/>
        <v>5.8089897171977114</v>
      </c>
      <c r="AO9" s="351">
        <f t="shared" si="11"/>
        <v>19.952325877778836</v>
      </c>
      <c r="AP9" s="351">
        <f t="shared" si="12"/>
        <v>31.560185456485716</v>
      </c>
      <c r="AQ9" s="351">
        <f t="shared" si="13"/>
        <v>57.141982146640657</v>
      </c>
      <c r="AR9" s="351"/>
      <c r="AS9" s="351">
        <f t="shared" si="14"/>
        <v>31.166840265035603</v>
      </c>
      <c r="AT9" s="351">
        <f t="shared" si="15"/>
        <v>23.349596706150486</v>
      </c>
      <c r="AU9" s="351">
        <f t="shared" si="16"/>
        <v>18.086832853448971</v>
      </c>
      <c r="AV9" s="351">
        <f t="shared" si="17"/>
        <v>15.511249325826599</v>
      </c>
      <c r="AW9" s="351">
        <f t="shared" si="18"/>
        <v>6.0937286857110928</v>
      </c>
      <c r="AX9" s="351">
        <f t="shared" si="19"/>
        <v>1.5127870153884453</v>
      </c>
      <c r="AY9" s="351">
        <f t="shared" si="20"/>
        <v>0.40745203246324813</v>
      </c>
      <c r="AZ9" s="351">
        <f t="shared" si="21"/>
        <v>0.27244865670358764</v>
      </c>
      <c r="BA9" s="351">
        <f t="shared" si="22"/>
        <v>3.3358294511090372</v>
      </c>
      <c r="BB9" s="351">
        <f t="shared" si="23"/>
        <v>10.286885728653738</v>
      </c>
      <c r="BC9" s="351">
        <f t="shared" si="24"/>
        <v>20.649104009400226</v>
      </c>
      <c r="BD9" s="351">
        <f t="shared" si="25"/>
        <v>36.781607181242912</v>
      </c>
    </row>
    <row r="10" spans="1:56" ht="15">
      <c r="A10" s="347" t="str">
        <f>VLOOKUP(CONCATENATE($C10," - ",$B10),[2]ACHIEV!$B$12:$C$100,2,FALSE)</f>
        <v>Retro12Med</v>
      </c>
      <c r="B10" s="347" t="str">
        <f>'SC-Retro'!$C$7</f>
        <v>Retro</v>
      </c>
      <c r="C10" s="347" t="str">
        <f>'SC-Retro'!$C$8</f>
        <v>ResWx</v>
      </c>
      <c r="D10" s="347" t="s">
        <v>6436</v>
      </c>
      <c r="E10" s="347" t="str">
        <f>'SC-Retro'!$A$9</f>
        <v>HVAC</v>
      </c>
      <c r="F10" s="348">
        <f t="shared" si="1"/>
        <v>0.13844834417949925</v>
      </c>
      <c r="G10" s="349">
        <f>'SC-Retro'!A85</f>
        <v>264.76066179606534</v>
      </c>
      <c r="H10" s="349">
        <f>'SC-Retro'!B85</f>
        <v>768.92167985978085</v>
      </c>
      <c r="I10" s="342" t="str">
        <f>'SC-Retro'!C85</f>
        <v>Manufactured</v>
      </c>
      <c r="J10" s="342" t="str">
        <f>'SC-Retro'!D85</f>
        <v>Attic R11 - R30_Electric FAF</v>
      </c>
      <c r="K10" s="350">
        <f ca="1">'SC-Retro'!E85</f>
        <v>1.2813097090880645E-3</v>
      </c>
      <c r="L10" s="350">
        <f ca="1">'SC-Retro'!F85</f>
        <v>1.2676163695536549E-3</v>
      </c>
      <c r="M10" s="350">
        <f ca="1">'SC-Retro'!G85</f>
        <v>1.2540693705536798E-3</v>
      </c>
      <c r="N10" s="350">
        <f ca="1">'SC-Retro'!H85</f>
        <v>1.2406671481488274E-3</v>
      </c>
      <c r="O10" s="350">
        <f ca="1">'SC-Retro'!I85</f>
        <v>1.2274081551135829E-3</v>
      </c>
      <c r="P10" s="350">
        <f ca="1">'SC-Retro'!J85</f>
        <v>1.0928617746818491E-3</v>
      </c>
      <c r="Q10" s="350">
        <f ca="1">'SC-Retro'!K85</f>
        <v>8.6494590053930913E-4</v>
      </c>
      <c r="R10" s="350">
        <f ca="1">'SC-Retro'!L85</f>
        <v>6.8456178831723721E-4</v>
      </c>
      <c r="S10" s="350">
        <f ca="1">'SC-Retro'!M85</f>
        <v>5.4179670859402654E-4</v>
      </c>
      <c r="T10" s="350">
        <f ca="1">'SC-Retro'!N85</f>
        <v>4.2880522759661764E-4</v>
      </c>
      <c r="U10" s="350">
        <f ca="1">'SC-Retro'!O85</f>
        <v>3.3937807354227697E-4</v>
      </c>
      <c r="V10" s="350">
        <f ca="1">'SC-Retro'!P85</f>
        <v>2.6860091572767844E-4</v>
      </c>
      <c r="W10" s="350">
        <f ca="1">'SC-Retro'!Q85</f>
        <v>2.1258430509877953E-4</v>
      </c>
      <c r="X10" s="350">
        <f ca="1">'SC-Retro'!R85</f>
        <v>1.6824993560390187E-4</v>
      </c>
      <c r="Y10" s="350">
        <f ca="1">'SC-Retro'!S85</f>
        <v>1.3316148065382113E-4</v>
      </c>
      <c r="Z10" s="350">
        <f ca="1">'SC-Retro'!T85</f>
        <v>1.053907085686085E-4</v>
      </c>
      <c r="AA10" s="350">
        <f ca="1">'SC-Retro'!U85</f>
        <v>7.1116315332837003E-7</v>
      </c>
      <c r="AB10" s="350">
        <f ca="1">'SC-Retro'!V85</f>
        <v>2.5127248654490288E-7</v>
      </c>
      <c r="AC10" s="350">
        <f ca="1">'SC-Retro'!W85</f>
        <v>8.4745616209254282E-8</v>
      </c>
      <c r="AD10" s="350">
        <f ca="1">'SC-Retro'!X85</f>
        <v>2.7339111181122296E-8</v>
      </c>
      <c r="AE10" s="350">
        <f ca="1">'SC-Retro'!Y85</f>
        <v>9.5516494632867776E-3</v>
      </c>
      <c r="AF10" s="351">
        <f t="shared" si="2"/>
        <v>29.493051376239588</v>
      </c>
      <c r="AG10" s="351">
        <f t="shared" si="3"/>
        <v>21.518124565260173</v>
      </c>
      <c r="AH10" s="351">
        <f t="shared" si="4"/>
        <v>19.498735264599514</v>
      </c>
      <c r="AI10" s="351">
        <f t="shared" si="5"/>
        <v>15.630274033300704</v>
      </c>
      <c r="AJ10" s="351">
        <f t="shared" si="6"/>
        <v>6.4398461690763114</v>
      </c>
      <c r="AK10" s="351">
        <f t="shared" si="7"/>
        <v>1.7988215334671365</v>
      </c>
      <c r="AL10" s="351">
        <f t="shared" si="8"/>
        <v>0.43802783692115765</v>
      </c>
      <c r="AM10" s="351">
        <f t="shared" si="9"/>
        <v>0.36822606973680638</v>
      </c>
      <c r="AN10" s="351">
        <f t="shared" si="10"/>
        <v>3.4941479302107457</v>
      </c>
      <c r="AO10" s="351">
        <f t="shared" si="11"/>
        <v>12.001463518231668</v>
      </c>
      <c r="AP10" s="351">
        <f t="shared" si="12"/>
        <v>18.983672214700455</v>
      </c>
      <c r="AQ10" s="351">
        <f t="shared" si="13"/>
        <v>34.371301786731713</v>
      </c>
      <c r="AR10" s="351"/>
      <c r="AS10" s="351">
        <f t="shared" si="14"/>
        <v>18.747072331850813</v>
      </c>
      <c r="AT10" s="351">
        <f t="shared" si="15"/>
        <v>14.04494567454827</v>
      </c>
      <c r="AU10" s="351">
        <f t="shared" si="16"/>
        <v>10.879356420936055</v>
      </c>
      <c r="AV10" s="351">
        <f t="shared" si="17"/>
        <v>9.3301249210965285</v>
      </c>
      <c r="AW10" s="351">
        <f t="shared" si="18"/>
        <v>3.6654204106105444</v>
      </c>
      <c r="AX10" s="351">
        <f t="shared" si="19"/>
        <v>0.90995196686613788</v>
      </c>
      <c r="AY10" s="351">
        <f t="shared" si="20"/>
        <v>0.24508524635130871</v>
      </c>
      <c r="AZ10" s="351">
        <f t="shared" si="21"/>
        <v>0.16387977191475858</v>
      </c>
      <c r="BA10" s="351">
        <f t="shared" si="22"/>
        <v>2.0065247383070859</v>
      </c>
      <c r="BB10" s="351">
        <f t="shared" si="23"/>
        <v>6.187633689671852</v>
      </c>
      <c r="BC10" s="351">
        <f t="shared" si="24"/>
        <v>12.420580436137914</v>
      </c>
      <c r="BD10" s="351">
        <f t="shared" si="25"/>
        <v>22.124393889298112</v>
      </c>
    </row>
    <row r="11" spans="1:56" ht="15">
      <c r="A11" s="347" t="str">
        <f>VLOOKUP(CONCATENATE($C11," - ",$B11),[2]ACHIEV!$B$12:$C$100,2,FALSE)</f>
        <v>Retro12Med</v>
      </c>
      <c r="B11" s="347" t="str">
        <f>'SC-Retro'!$C$7</f>
        <v>Retro</v>
      </c>
      <c r="C11" s="347" t="str">
        <f>'SC-Retro'!$C$8</f>
        <v>ResWx</v>
      </c>
      <c r="D11" s="347" t="s">
        <v>6436</v>
      </c>
      <c r="E11" s="347" t="str">
        <f>'SC-Retro'!$A$9</f>
        <v>HVAC</v>
      </c>
      <c r="F11" s="348">
        <f t="shared" si="1"/>
        <v>0.93643206542905433</v>
      </c>
      <c r="G11" s="349">
        <f>'SC-Retro'!A86</f>
        <v>1790.7788990860683</v>
      </c>
      <c r="H11" s="349">
        <f>'SC-Retro'!B86</f>
        <v>106.99546691295355</v>
      </c>
      <c r="I11" s="342" t="str">
        <f>'SC-Retro'!C86</f>
        <v>Manufactured</v>
      </c>
      <c r="J11" s="342" t="str">
        <f>'SC-Retro'!D86</f>
        <v>WINDOW CL30 Prime Window Replacement of Single Pane Base_Electric FAF</v>
      </c>
      <c r="K11" s="350">
        <f ca="1">'SC-Retro'!E86</f>
        <v>0.11253328373539503</v>
      </c>
      <c r="L11" s="350">
        <f ca="1">'SC-Retro'!F86</f>
        <v>0.1113306420538553</v>
      </c>
      <c r="M11" s="350">
        <f ca="1">'SC-Retro'!G86</f>
        <v>0.11014085298770339</v>
      </c>
      <c r="N11" s="350">
        <f ca="1">'SC-Retro'!H86</f>
        <v>0.1089637791812124</v>
      </c>
      <c r="O11" s="350">
        <f ca="1">'SC-Retro'!I86</f>
        <v>0.10779928474657434</v>
      </c>
      <c r="P11" s="350">
        <f ca="1">'SC-Retro'!J86</f>
        <v>9.5982511723390992E-2</v>
      </c>
      <c r="Q11" s="350">
        <f ca="1">'SC-Retro'!K86</f>
        <v>7.5965398334827558E-2</v>
      </c>
      <c r="R11" s="350">
        <f ca="1">'SC-Retro'!L86</f>
        <v>6.0122845720057203E-2</v>
      </c>
      <c r="S11" s="350">
        <f ca="1">'SC-Retro'!M86</f>
        <v>4.7584250944690418E-2</v>
      </c>
      <c r="T11" s="350">
        <f ca="1">'SC-Retro'!N86</f>
        <v>3.7660574958645117E-2</v>
      </c>
      <c r="U11" s="350">
        <f ca="1">'SC-Retro'!O86</f>
        <v>2.9806477522664198E-2</v>
      </c>
      <c r="V11" s="350">
        <f ca="1">'SC-Retro'!P86</f>
        <v>2.3590348880351997E-2</v>
      </c>
      <c r="W11" s="350">
        <f ca="1">'SC-Retro'!Q86</f>
        <v>1.8670591312696067E-2</v>
      </c>
      <c r="X11" s="350">
        <f ca="1">'SC-Retro'!R86</f>
        <v>1.4776847164649491E-2</v>
      </c>
      <c r="Y11" s="350">
        <f ca="1">'SC-Retro'!S86</f>
        <v>1.1695141759057597E-2</v>
      </c>
      <c r="Z11" s="350">
        <f ca="1">'SC-Retro'!T86</f>
        <v>9.2561247497816423E-3</v>
      </c>
      <c r="AA11" s="350">
        <f ca="1">'SC-Retro'!U86</f>
        <v>6.2459157491765553E-5</v>
      </c>
      <c r="AB11" s="350">
        <f ca="1">'SC-Retro'!V86</f>
        <v>2.206844904295682E-5</v>
      </c>
      <c r="AC11" s="350">
        <f ca="1">'SC-Retro'!W86</f>
        <v>7.4429331226986319E-6</v>
      </c>
      <c r="AD11" s="350">
        <f ca="1">'SC-Retro'!X86</f>
        <v>2.4011056294956195E-6</v>
      </c>
      <c r="AE11" s="350">
        <f ca="1">'SC-Retro'!Y86</f>
        <v>0.83889045058286371</v>
      </c>
      <c r="AF11" s="351">
        <f t="shared" si="2"/>
        <v>199.48406880366878</v>
      </c>
      <c r="AG11" s="351">
        <f t="shared" si="3"/>
        <v>145.54353791823829</v>
      </c>
      <c r="AH11" s="351">
        <f t="shared" si="4"/>
        <v>131.88486323397285</v>
      </c>
      <c r="AI11" s="351">
        <f t="shared" si="5"/>
        <v>105.71950053262697</v>
      </c>
      <c r="AJ11" s="351">
        <f t="shared" si="6"/>
        <v>43.557606159124269</v>
      </c>
      <c r="AK11" s="351">
        <f t="shared" si="7"/>
        <v>12.166806139183265</v>
      </c>
      <c r="AL11" s="351">
        <f t="shared" si="8"/>
        <v>2.9627173547969274</v>
      </c>
      <c r="AM11" s="351">
        <f t="shared" si="9"/>
        <v>2.4905946045941922</v>
      </c>
      <c r="AN11" s="351">
        <f t="shared" si="10"/>
        <v>23.633595494357742</v>
      </c>
      <c r="AO11" s="351">
        <f t="shared" si="11"/>
        <v>81.175078959256169</v>
      </c>
      <c r="AP11" s="351">
        <f t="shared" si="12"/>
        <v>128.40109780144567</v>
      </c>
      <c r="AQ11" s="351">
        <f t="shared" si="13"/>
        <v>232.47940821816286</v>
      </c>
      <c r="AR11" s="351"/>
      <c r="AS11" s="351">
        <f t="shared" si="14"/>
        <v>126.8007917935247</v>
      </c>
      <c r="AT11" s="351">
        <f t="shared" si="15"/>
        <v>94.996712057489532</v>
      </c>
      <c r="AU11" s="351">
        <f t="shared" si="16"/>
        <v>73.585410242158389</v>
      </c>
      <c r="AV11" s="351">
        <f t="shared" si="17"/>
        <v>63.106772438144112</v>
      </c>
      <c r="AW11" s="351">
        <f t="shared" si="18"/>
        <v>24.79204230368903</v>
      </c>
      <c r="AX11" s="351">
        <f t="shared" si="19"/>
        <v>6.1547012701641526</v>
      </c>
      <c r="AY11" s="351">
        <f t="shared" si="20"/>
        <v>1.6576990126323854</v>
      </c>
      <c r="AZ11" s="351">
        <f t="shared" si="21"/>
        <v>1.1084442663843979</v>
      </c>
      <c r="BA11" s="351">
        <f t="shared" si="22"/>
        <v>13.57166180760742</v>
      </c>
      <c r="BB11" s="351">
        <f t="shared" si="23"/>
        <v>41.851700216981023</v>
      </c>
      <c r="BC11" s="351">
        <f t="shared" si="24"/>
        <v>84.009887301798415</v>
      </c>
      <c r="BD11" s="351">
        <f t="shared" si="25"/>
        <v>149.64420115606697</v>
      </c>
    </row>
    <row r="12" spans="1:56" ht="15">
      <c r="A12" s="347" t="str">
        <f>VLOOKUP(CONCATENATE($C12," - ",$B12),[2]ACHIEV!$B$12:$C$100,2,FALSE)</f>
        <v>Retro12Med</v>
      </c>
      <c r="B12" s="347" t="str">
        <f>'SC-Retro'!$C$7</f>
        <v>Retro</v>
      </c>
      <c r="C12" s="347" t="str">
        <f>'SC-Retro'!$C$8</f>
        <v>ResWx</v>
      </c>
      <c r="D12" s="347" t="s">
        <v>6436</v>
      </c>
      <c r="E12" s="347" t="str">
        <f>'SC-Retro'!$A$9</f>
        <v>HVAC</v>
      </c>
      <c r="F12" s="348">
        <f t="shared" si="1"/>
        <v>0.9702972680596702</v>
      </c>
      <c r="G12" s="349">
        <f>'SC-Retro'!A87</f>
        <v>1855.5407675899996</v>
      </c>
      <c r="H12" s="349">
        <f>'SC-Retro'!B87</f>
        <v>111.18806127875146</v>
      </c>
      <c r="I12" s="342" t="str">
        <f>'SC-Retro'!C87</f>
        <v>Manufactured</v>
      </c>
      <c r="J12" s="342" t="str">
        <f>'SC-Retro'!D87</f>
        <v>WINDOW CL22 Prime Window Replacement of Single Pane Base_Electric FAF</v>
      </c>
      <c r="K12" s="350">
        <f ca="1">'SC-Retro'!E87</f>
        <v>2.9150736557757805E-2</v>
      </c>
      <c r="L12" s="350">
        <f ca="1">'SC-Retro'!F87</f>
        <v>2.8839203030358244E-2</v>
      </c>
      <c r="M12" s="350">
        <f ca="1">'SC-Retro'!G87</f>
        <v>2.8530998857553259E-2</v>
      </c>
      <c r="N12" s="350">
        <f ca="1">'SC-Retro'!H87</f>
        <v>2.8226088458575341E-2</v>
      </c>
      <c r="O12" s="350">
        <f ca="1">'SC-Retro'!I87</f>
        <v>2.7924436632908115E-2</v>
      </c>
      <c r="P12" s="350">
        <f ca="1">'SC-Retro'!J87</f>
        <v>2.4863407700600408E-2</v>
      </c>
      <c r="Q12" s="350">
        <f ca="1">'SC-Retro'!K87</f>
        <v>1.9678154238977234E-2</v>
      </c>
      <c r="R12" s="350">
        <f ca="1">'SC-Retro'!L87</f>
        <v>1.5574283256579776E-2</v>
      </c>
      <c r="S12" s="350">
        <f ca="1">'SC-Retro'!M87</f>
        <v>1.2326272881616975E-2</v>
      </c>
      <c r="T12" s="350">
        <f ca="1">'SC-Retro'!N87</f>
        <v>9.7556337360113245E-3</v>
      </c>
      <c r="U12" s="350">
        <f ca="1">'SC-Retro'!O87</f>
        <v>7.721100328156736E-3</v>
      </c>
      <c r="V12" s="350">
        <f ca="1">'SC-Retro'!P87</f>
        <v>6.1108680266871431E-3</v>
      </c>
      <c r="W12" s="350">
        <f ca="1">'SC-Retro'!Q87</f>
        <v>4.8364490101765181E-3</v>
      </c>
      <c r="X12" s="350">
        <f ca="1">'SC-Retro'!R87</f>
        <v>3.8278095560048274E-3</v>
      </c>
      <c r="Y12" s="350">
        <f ca="1">'SC-Retro'!S87</f>
        <v>3.0295214456333352E-3</v>
      </c>
      <c r="Z12" s="350">
        <f ca="1">'SC-Retro'!T87</f>
        <v>2.3977159927286414E-3</v>
      </c>
      <c r="AA12" s="350">
        <f ca="1">'SC-Retro'!U87</f>
        <v>1.6179483840026691E-5</v>
      </c>
      <c r="AB12" s="350">
        <f ca="1">'SC-Retro'!V87</f>
        <v>5.7166335410791561E-6</v>
      </c>
      <c r="AC12" s="350">
        <f ca="1">'SC-Retro'!W87</f>
        <v>1.9280249849187949E-6</v>
      </c>
      <c r="AD12" s="350">
        <f ca="1">'SC-Retro'!X87</f>
        <v>6.2198485043195137E-7</v>
      </c>
      <c r="AE12" s="350">
        <f ca="1">'SC-Retro'!Y87</f>
        <v>0.21730703765172554</v>
      </c>
      <c r="AF12" s="351">
        <f t="shared" si="2"/>
        <v>206.69822630747097</v>
      </c>
      <c r="AG12" s="351">
        <f t="shared" si="3"/>
        <v>150.80698583415258</v>
      </c>
      <c r="AH12" s="351">
        <f t="shared" si="4"/>
        <v>136.65435776776286</v>
      </c>
      <c r="AI12" s="351">
        <f t="shared" si="5"/>
        <v>109.54274883831644</v>
      </c>
      <c r="AJ12" s="351">
        <f t="shared" si="6"/>
        <v>45.132826843186869</v>
      </c>
      <c r="AK12" s="351">
        <f t="shared" si="7"/>
        <v>12.606807470280442</v>
      </c>
      <c r="AL12" s="351">
        <f t="shared" si="8"/>
        <v>3.0698612974933681</v>
      </c>
      <c r="AM12" s="351">
        <f t="shared" si="9"/>
        <v>2.5806646631377941</v>
      </c>
      <c r="AN12" s="351">
        <f t="shared" si="10"/>
        <v>24.488282694693766</v>
      </c>
      <c r="AO12" s="351">
        <f t="shared" si="11"/>
        <v>84.110700878879257</v>
      </c>
      <c r="AP12" s="351">
        <f t="shared" si="12"/>
        <v>133.04460516900593</v>
      </c>
      <c r="AQ12" s="351">
        <f t="shared" si="13"/>
        <v>240.88681176339125</v>
      </c>
      <c r="AR12" s="351"/>
      <c r="AS12" s="351">
        <f t="shared" si="14"/>
        <v>131.38642556915025</v>
      </c>
      <c r="AT12" s="351">
        <f t="shared" si="15"/>
        <v>98.43218060009562</v>
      </c>
      <c r="AU12" s="351">
        <f t="shared" si="16"/>
        <v>76.246558787264988</v>
      </c>
      <c r="AV12" s="351">
        <f t="shared" si="17"/>
        <v>65.388970704179286</v>
      </c>
      <c r="AW12" s="351">
        <f t="shared" si="18"/>
        <v>25.688623665260142</v>
      </c>
      <c r="AX12" s="351">
        <f t="shared" si="19"/>
        <v>6.3772803694280382</v>
      </c>
      <c r="AY12" s="351">
        <f t="shared" si="20"/>
        <v>1.717648169689119</v>
      </c>
      <c r="AZ12" s="351">
        <f t="shared" si="21"/>
        <v>1.14853013173615</v>
      </c>
      <c r="BA12" s="351">
        <f t="shared" si="22"/>
        <v>14.062468449238422</v>
      </c>
      <c r="BB12" s="351">
        <f t="shared" si="23"/>
        <v>43.365228384808624</v>
      </c>
      <c r="BC12" s="351">
        <f t="shared" si="24"/>
        <v>87.048027452570679</v>
      </c>
      <c r="BD12" s="351">
        <f t="shared" si="25"/>
        <v>155.0559457788068</v>
      </c>
    </row>
    <row r="13" spans="1:56" ht="15">
      <c r="A13" s="347" t="str">
        <f>VLOOKUP(CONCATENATE($C13," - ",$B13),[2]ACHIEV!$B$12:$C$100,2,FALSE)</f>
        <v>Retro12Med</v>
      </c>
      <c r="B13" s="347" t="str">
        <f>'SC-Retro'!$C$7</f>
        <v>Retro</v>
      </c>
      <c r="C13" s="347" t="str">
        <f>'SC-Retro'!$C$8</f>
        <v>ResWx</v>
      </c>
      <c r="D13" s="347" t="s">
        <v>6436</v>
      </c>
      <c r="E13" s="347" t="str">
        <f>'SC-Retro'!$A$9</f>
        <v>HVAC</v>
      </c>
      <c r="F13" s="348">
        <f t="shared" si="1"/>
        <v>0.49502789451108137</v>
      </c>
      <c r="G13" s="349">
        <f>'SC-Retro'!A88</f>
        <v>946.66291413598583</v>
      </c>
      <c r="H13" s="349">
        <f>'SC-Retro'!B88</f>
        <v>255.15259403647889</v>
      </c>
      <c r="I13" s="342" t="str">
        <f>'SC-Retro'!C88</f>
        <v>Manufactured</v>
      </c>
      <c r="J13" s="342" t="str">
        <f>'SC-Retro'!D88</f>
        <v>WINDOW CL22 Prime Window Replacement of Double Pane Base_Electric FAF</v>
      </c>
      <c r="K13" s="350">
        <f ca="1">'SC-Retro'!E88</f>
        <v>7.564511597295087E-4</v>
      </c>
      <c r="L13" s="350">
        <f ca="1">'SC-Retro'!F88</f>
        <v>7.4836697641465159E-4</v>
      </c>
      <c r="M13" s="350">
        <f ca="1">'SC-Retro'!G88</f>
        <v>7.403691886575612E-4</v>
      </c>
      <c r="N13" s="350">
        <f ca="1">'SC-Retro'!H88</f>
        <v>7.3245687315008027E-4</v>
      </c>
      <c r="O13" s="350">
        <f ca="1">'SC-Retro'!I88</f>
        <v>7.2462911645143266E-4</v>
      </c>
      <c r="P13" s="350">
        <f ca="1">'SC-Retro'!J88</f>
        <v>6.4519651339449478E-4</v>
      </c>
      <c r="Q13" s="350">
        <f ca="1">'SC-Retro'!K88</f>
        <v>5.1064104558445618E-4</v>
      </c>
      <c r="R13" s="350">
        <f ca="1">'SC-Retro'!L88</f>
        <v>4.0414706530838407E-4</v>
      </c>
      <c r="S13" s="350">
        <f ca="1">'SC-Retro'!M88</f>
        <v>3.1986236086923588E-4</v>
      </c>
      <c r="T13" s="350">
        <f ca="1">'SC-Retro'!N88</f>
        <v>2.5315519691519278E-4</v>
      </c>
      <c r="U13" s="350">
        <f ca="1">'SC-Retro'!O88</f>
        <v>2.0035978459925744E-4</v>
      </c>
      <c r="V13" s="350">
        <f ca="1">'SC-Retro'!P88</f>
        <v>1.5857483383250129E-4</v>
      </c>
      <c r="W13" s="350">
        <f ca="1">'SC-Retro'!Q88</f>
        <v>1.2550411738213949E-4</v>
      </c>
      <c r="X13" s="350">
        <f ca="1">'SC-Retro'!R88</f>
        <v>9.9330285261452954E-5</v>
      </c>
      <c r="Y13" s="350">
        <f ca="1">'SC-Retro'!S88</f>
        <v>7.8614995076852504E-5</v>
      </c>
      <c r="Z13" s="350">
        <f ca="1">'SC-Retro'!T88</f>
        <v>6.2219870150035056E-5</v>
      </c>
      <c r="AA13" s="350">
        <f ca="1">'SC-Retro'!U88</f>
        <v>4.1985180341372564E-7</v>
      </c>
      <c r="AB13" s="350">
        <f ca="1">'SC-Retro'!V88</f>
        <v>1.483445903100897E-7</v>
      </c>
      <c r="AC13" s="350">
        <f ca="1">'SC-Retro'!W88</f>
        <v>5.0031556936462929E-8</v>
      </c>
      <c r="AD13" s="350">
        <f ca="1">'SC-Retro'!X88</f>
        <v>1.6140283814482949E-8</v>
      </c>
      <c r="AE13" s="350">
        <f ca="1">'SC-Retro'!Y88</f>
        <v>5.6390396971045063E-3</v>
      </c>
      <c r="AF13" s="351">
        <f t="shared" si="2"/>
        <v>105.45364924377991</v>
      </c>
      <c r="AG13" s="351">
        <f t="shared" si="3"/>
        <v>76.938962040293049</v>
      </c>
      <c r="AH13" s="351">
        <f t="shared" si="4"/>
        <v>69.718550415808807</v>
      </c>
      <c r="AI13" s="351">
        <f t="shared" si="5"/>
        <v>55.886704107522249</v>
      </c>
      <c r="AJ13" s="351">
        <f t="shared" si="6"/>
        <v>23.025941617040651</v>
      </c>
      <c r="AK13" s="351">
        <f t="shared" si="7"/>
        <v>6.4317622691025802</v>
      </c>
      <c r="AL13" s="351">
        <f t="shared" si="8"/>
        <v>1.5661870073880737</v>
      </c>
      <c r="AM13" s="351">
        <f t="shared" si="9"/>
        <v>1.3166078445082141</v>
      </c>
      <c r="AN13" s="351">
        <f t="shared" si="10"/>
        <v>12.493473311316089</v>
      </c>
      <c r="AO13" s="351">
        <f t="shared" si="11"/>
        <v>42.911739043835382</v>
      </c>
      <c r="AP13" s="351">
        <f t="shared" si="12"/>
        <v>67.876920754991659</v>
      </c>
      <c r="AQ13" s="351">
        <f t="shared" si="13"/>
        <v>122.89603935624552</v>
      </c>
      <c r="AR13" s="351"/>
      <c r="AS13" s="351">
        <f t="shared" si="14"/>
        <v>67.030947893829989</v>
      </c>
      <c r="AT13" s="351">
        <f t="shared" si="15"/>
        <v>50.21829568997952</v>
      </c>
      <c r="AU13" s="351">
        <f t="shared" si="16"/>
        <v>38.89959778579324</v>
      </c>
      <c r="AV13" s="351">
        <f t="shared" si="17"/>
        <v>33.360255209897218</v>
      </c>
      <c r="AW13" s="351">
        <f t="shared" si="18"/>
        <v>13.105865289439562</v>
      </c>
      <c r="AX13" s="351">
        <f t="shared" si="19"/>
        <v>3.2535716402642403</v>
      </c>
      <c r="AY13" s="351">
        <f t="shared" si="20"/>
        <v>0.87631263628346867</v>
      </c>
      <c r="AZ13" s="351">
        <f t="shared" si="21"/>
        <v>0.58595903710296426</v>
      </c>
      <c r="BA13" s="351">
        <f t="shared" si="22"/>
        <v>7.1744138391482188</v>
      </c>
      <c r="BB13" s="351">
        <f t="shared" si="23"/>
        <v>22.124145258341429</v>
      </c>
      <c r="BC13" s="351">
        <f t="shared" si="24"/>
        <v>44.410309262603114</v>
      </c>
      <c r="BD13" s="351">
        <f t="shared" si="25"/>
        <v>79.106703581470668</v>
      </c>
    </row>
    <row r="14" spans="1:56" ht="15">
      <c r="A14" s="347" t="str">
        <f>VLOOKUP(CONCATENATE($C14," - ",$B14),[2]ACHIEV!$B$12:$C$100,2,FALSE)</f>
        <v>Retro12Med</v>
      </c>
      <c r="B14" s="347" t="str">
        <f>'SC-Retro'!$C$7</f>
        <v>Retro</v>
      </c>
      <c r="C14" s="347" t="str">
        <f>'SC-Retro'!$C$8</f>
        <v>ResWx</v>
      </c>
      <c r="D14" s="347" t="s">
        <v>6436</v>
      </c>
      <c r="E14" s="347" t="str">
        <f>'SC-Retro'!$A$9</f>
        <v>HVAC</v>
      </c>
      <c r="F14" s="348">
        <f t="shared" si="1"/>
        <v>0.46499546237738415</v>
      </c>
      <c r="G14" s="349">
        <f>'SC-Retro'!A89</f>
        <v>889.23061579983505</v>
      </c>
      <c r="H14" s="349">
        <f>'SC-Retro'!B89</f>
        <v>254.61277586775591</v>
      </c>
      <c r="I14" s="342" t="str">
        <f>'SC-Retro'!C89</f>
        <v>Manufactured</v>
      </c>
      <c r="J14" s="342" t="str">
        <f>'SC-Retro'!D89</f>
        <v>WINDOW CL30 Prime Window Replacement of Double Pane Base_Electric FAF</v>
      </c>
      <c r="K14" s="350">
        <f ca="1">'SC-Retro'!E89</f>
        <v>2.8422346351349493E-3</v>
      </c>
      <c r="L14" s="350">
        <f ca="1">'SC-Retro'!F89</f>
        <v>2.8118597120236105E-3</v>
      </c>
      <c r="M14" s="350">
        <f ca="1">'SC-Retro'!G89</f>
        <v>2.781809405304815E-3</v>
      </c>
      <c r="N14" s="350">
        <f ca="1">'SC-Retro'!H89</f>
        <v>2.7520802458075658E-3</v>
      </c>
      <c r="O14" s="350">
        <f ca="1">'SC-Retro'!I89</f>
        <v>2.7226688014358475E-3</v>
      </c>
      <c r="P14" s="350">
        <f ca="1">'SC-Retro'!J89</f>
        <v>2.424214509095171E-3</v>
      </c>
      <c r="Q14" s="350">
        <f ca="1">'SC-Retro'!K89</f>
        <v>1.918645569134487E-3</v>
      </c>
      <c r="R14" s="350">
        <f ca="1">'SC-Retro'!L89</f>
        <v>1.5185128239057495E-3</v>
      </c>
      <c r="S14" s="350">
        <f ca="1">'SC-Retro'!M89</f>
        <v>1.2018275983127055E-3</v>
      </c>
      <c r="T14" s="350">
        <f ca="1">'SC-Retro'!N89</f>
        <v>9.5118694641707874E-4</v>
      </c>
      <c r="U14" s="350">
        <f ca="1">'SC-Retro'!O89</f>
        <v>7.5281729950657755E-4</v>
      </c>
      <c r="V14" s="350">
        <f ca="1">'SC-Retro'!P89</f>
        <v>5.95817560965427E-4</v>
      </c>
      <c r="W14" s="350">
        <f ca="1">'SC-Retro'!Q89</f>
        <v>4.7156005339870456E-4</v>
      </c>
      <c r="X14" s="350">
        <f ca="1">'SC-Retro'!R89</f>
        <v>3.7321639798779344E-4</v>
      </c>
      <c r="Y14" s="350">
        <f ca="1">'SC-Retro'!S89</f>
        <v>2.9538227151147738E-4</v>
      </c>
      <c r="Z14" s="350">
        <f ca="1">'SC-Retro'!T89</f>
        <v>2.3378042013613197E-4</v>
      </c>
      <c r="AA14" s="350">
        <f ca="1">'SC-Retro'!U89</f>
        <v>1.5775206659912674E-6</v>
      </c>
      <c r="AB14" s="350">
        <f ca="1">'SC-Retro'!V89</f>
        <v>5.5737918713087511E-7</v>
      </c>
      <c r="AC14" s="350">
        <f ca="1">'SC-Retro'!W89</f>
        <v>1.8798493748808512E-7</v>
      </c>
      <c r="AD14" s="350">
        <f ca="1">'SC-Retro'!X89</f>
        <v>6.0644329892805284E-8</v>
      </c>
      <c r="AE14" s="350">
        <f ca="1">'SC-Retro'!Y89</f>
        <v>2.1187718109576849E-2</v>
      </c>
      <c r="AF14" s="351">
        <f t="shared" si="2"/>
        <v>99.055970245725717</v>
      </c>
      <c r="AG14" s="351">
        <f t="shared" si="3"/>
        <v>72.271216683853382</v>
      </c>
      <c r="AH14" s="351">
        <f t="shared" si="4"/>
        <v>65.488854156185909</v>
      </c>
      <c r="AI14" s="351">
        <f t="shared" si="5"/>
        <v>52.496160530290346</v>
      </c>
      <c r="AJ14" s="351">
        <f t="shared" si="6"/>
        <v>21.629000077794185</v>
      </c>
      <c r="AK14" s="351">
        <f t="shared" si="7"/>
        <v>6.041559078557782</v>
      </c>
      <c r="AL14" s="351">
        <f t="shared" si="8"/>
        <v>1.4711693214564221</v>
      </c>
      <c r="AM14" s="351">
        <f t="shared" si="9"/>
        <v>1.2367316674779494</v>
      </c>
      <c r="AN14" s="351">
        <f t="shared" si="10"/>
        <v>11.735517257734834</v>
      </c>
      <c r="AO14" s="351">
        <f t="shared" si="11"/>
        <v>40.308362739464194</v>
      </c>
      <c r="AP14" s="351">
        <f t="shared" si="12"/>
        <v>63.75895278061725</v>
      </c>
      <c r="AQ14" s="351">
        <f t="shared" si="13"/>
        <v>115.44016262204262</v>
      </c>
      <c r="AR14" s="351"/>
      <c r="AS14" s="351">
        <f t="shared" si="14"/>
        <v>62.964303537420335</v>
      </c>
      <c r="AT14" s="351">
        <f t="shared" si="15"/>
        <v>47.171644028725538</v>
      </c>
      <c r="AU14" s="351">
        <f t="shared" si="16"/>
        <v>36.539630714273386</v>
      </c>
      <c r="AV14" s="351">
        <f t="shared" si="17"/>
        <v>31.336349867060765</v>
      </c>
      <c r="AW14" s="351">
        <f t="shared" si="18"/>
        <v>12.310756540573569</v>
      </c>
      <c r="AX14" s="351">
        <f t="shared" si="19"/>
        <v>3.0561834313131784</v>
      </c>
      <c r="AY14" s="351">
        <f t="shared" si="20"/>
        <v>0.82314835994894509</v>
      </c>
      <c r="AZ14" s="351">
        <f t="shared" si="21"/>
        <v>0.5504099797467078</v>
      </c>
      <c r="BA14" s="351">
        <f t="shared" si="22"/>
        <v>6.7391553433899487</v>
      </c>
      <c r="BB14" s="351">
        <f t="shared" si="23"/>
        <v>20.781914046010577</v>
      </c>
      <c r="BC14" s="351">
        <f t="shared" si="24"/>
        <v>41.716017458536356</v>
      </c>
      <c r="BD14" s="351">
        <f t="shared" si="25"/>
        <v>74.307445331635151</v>
      </c>
    </row>
    <row r="15" spans="1:56" ht="15">
      <c r="A15" s="347" t="str">
        <f>VLOOKUP(CONCATENATE($C15," - ",$B15),[2]ACHIEV!$B$12:$C$100,2,FALSE)</f>
        <v>Retro12Med</v>
      </c>
      <c r="B15" s="347" t="str">
        <f>'SC-Retro'!$C$7</f>
        <v>Retro</v>
      </c>
      <c r="C15" s="347" t="str">
        <f>'SC-Retro'!$C$8</f>
        <v>ResWx</v>
      </c>
      <c r="D15" s="347" t="s">
        <v>6436</v>
      </c>
      <c r="E15" s="347" t="str">
        <f>'SC-Retro'!$A$9</f>
        <v>HVAC</v>
      </c>
      <c r="F15" s="348">
        <f t="shared" si="1"/>
        <v>6.1723281087232761E-2</v>
      </c>
      <c r="G15" s="349">
        <f>'SC-Retro'!A90</f>
        <v>176.68277392664916</v>
      </c>
      <c r="H15" s="349">
        <f>'SC-Retro'!B90</f>
        <v>1763.6719906342573</v>
      </c>
      <c r="I15" s="342" t="str">
        <f>'SC-Retro'!C90</f>
        <v>Manufactured</v>
      </c>
      <c r="J15" s="342" t="str">
        <f>'SC-Retro'!D90</f>
        <v>CFM50 Infiltration Reduction_Heat Pump</v>
      </c>
      <c r="K15" s="350">
        <f ca="1">'SC-Retro'!E90</f>
        <v>1.9279149805342517E-2</v>
      </c>
      <c r="L15" s="350">
        <f ca="1">'SC-Retro'!F90</f>
        <v>1.9073113792076681E-2</v>
      </c>
      <c r="M15" s="350">
        <f ca="1">'SC-Retro'!G90</f>
        <v>1.8869279682898484E-2</v>
      </c>
      <c r="N15" s="350">
        <f ca="1">'SC-Retro'!H90</f>
        <v>1.8667623946088716E-2</v>
      </c>
      <c r="O15" s="350">
        <f ca="1">'SC-Retro'!I90</f>
        <v>1.8468123301411322E-2</v>
      </c>
      <c r="P15" s="350">
        <f ca="1">'SC-Retro'!J90</f>
        <v>1.6443679245683251E-2</v>
      </c>
      <c r="Q15" s="350">
        <f ca="1">'SC-Retro'!K90</f>
        <v>1.3014356694356494E-2</v>
      </c>
      <c r="R15" s="350">
        <f ca="1">'SC-Retro'!L90</f>
        <v>1.0300217952281282E-2</v>
      </c>
      <c r="S15" s="350">
        <f ca="1">'SC-Retro'!M90</f>
        <v>8.1521117298486278E-3</v>
      </c>
      <c r="T15" s="350">
        <f ca="1">'SC-Retro'!N90</f>
        <v>6.4519921776234595E-3</v>
      </c>
      <c r="U15" s="350">
        <f ca="1">'SC-Retro'!O90</f>
        <v>5.1064318595750282E-3</v>
      </c>
      <c r="V15" s="350">
        <f ca="1">'SC-Retro'!P90</f>
        <v>4.0414875930751114E-3</v>
      </c>
      <c r="W15" s="350">
        <f ca="1">'SC-Retro'!Q90</f>
        <v>3.1986370158554093E-3</v>
      </c>
      <c r="X15" s="350">
        <f ca="1">'SC-Retro'!R90</f>
        <v>2.531562580256632E-3</v>
      </c>
      <c r="Y15" s="350">
        <f ca="1">'SC-Retro'!S90</f>
        <v>2.0036062441557523E-3</v>
      </c>
      <c r="Z15" s="350">
        <f ca="1">'SC-Retro'!T90</f>
        <v>1.5857549850547094E-3</v>
      </c>
      <c r="AA15" s="350">
        <f ca="1">'SC-Retro'!U90</f>
        <v>1.0700473797873237E-5</v>
      </c>
      <c r="AB15" s="350">
        <f ca="1">'SC-Retro'!V90</f>
        <v>3.7807564211059461E-6</v>
      </c>
      <c r="AC15" s="350">
        <f ca="1">'SC-Retro'!W90</f>
        <v>1.2751198392206855E-6</v>
      </c>
      <c r="AD15" s="350">
        <f ca="1">'SC-Retro'!X90</f>
        <v>4.113562991580714E-7</v>
      </c>
      <c r="AE15" s="350">
        <f ca="1">'SC-Retro'!Y90</f>
        <v>0.14371832163972834</v>
      </c>
      <c r="AF15" s="351">
        <f t="shared" si="2"/>
        <v>15.108792533147469</v>
      </c>
      <c r="AG15" s="351">
        <f t="shared" si="3"/>
        <v>11.032881023682151</v>
      </c>
      <c r="AH15" s="351">
        <f t="shared" si="4"/>
        <v>8.937692937742586</v>
      </c>
      <c r="AI15" s="351">
        <f t="shared" si="5"/>
        <v>7.7487875298315663</v>
      </c>
      <c r="AJ15" s="351">
        <f t="shared" si="6"/>
        <v>2.8432807096938428</v>
      </c>
      <c r="AK15" s="351">
        <f t="shared" si="7"/>
        <v>1.8382808921275557</v>
      </c>
      <c r="AL15" s="351">
        <f t="shared" si="8"/>
        <v>5.3447723312285014</v>
      </c>
      <c r="AM15" s="351">
        <f t="shared" si="9"/>
        <v>5.3307002784806228</v>
      </c>
      <c r="AN15" s="351">
        <f t="shared" si="10"/>
        <v>3.0999248687522551</v>
      </c>
      <c r="AO15" s="351">
        <f t="shared" si="11"/>
        <v>7.0418342838658141</v>
      </c>
      <c r="AP15" s="351">
        <f t="shared" si="12"/>
        <v>10.934098265280157</v>
      </c>
      <c r="AQ15" s="351">
        <f t="shared" si="13"/>
        <v>19.079848227875953</v>
      </c>
      <c r="AR15" s="351"/>
      <c r="AS15" s="351">
        <f t="shared" si="14"/>
        <v>14.335769039403971</v>
      </c>
      <c r="AT15" s="351">
        <f t="shared" si="15"/>
        <v>10.153823617449683</v>
      </c>
      <c r="AU15" s="351">
        <f t="shared" si="16"/>
        <v>7.4980663716766385</v>
      </c>
      <c r="AV15" s="351">
        <f t="shared" si="17"/>
        <v>6.9935252346492627</v>
      </c>
      <c r="AW15" s="351">
        <f t="shared" si="18"/>
        <v>2.7647293363891845</v>
      </c>
      <c r="AX15" s="351">
        <f t="shared" si="19"/>
        <v>0.85408195405629561</v>
      </c>
      <c r="AY15" s="351">
        <f t="shared" si="20"/>
        <v>2.630873998371869</v>
      </c>
      <c r="AZ15" s="351">
        <f t="shared" si="21"/>
        <v>1.8834925616692848</v>
      </c>
      <c r="BA15" s="351">
        <f t="shared" si="22"/>
        <v>1.7810835223790376</v>
      </c>
      <c r="BB15" s="351">
        <f t="shared" si="23"/>
        <v>4.3261025845664891</v>
      </c>
      <c r="BC15" s="351">
        <f t="shared" si="24"/>
        <v>8.6096836766879452</v>
      </c>
      <c r="BD15" s="351">
        <f t="shared" si="25"/>
        <v>16.510648147641042</v>
      </c>
    </row>
    <row r="16" spans="1:56" ht="15">
      <c r="A16" s="347" t="str">
        <f>VLOOKUP(CONCATENATE($C16," - ",$B16),[2]ACHIEV!$B$12:$C$100,2,FALSE)</f>
        <v>Retro12Med</v>
      </c>
      <c r="B16" s="347" t="str">
        <f>'SC-Retro'!$C$7</f>
        <v>Retro</v>
      </c>
      <c r="C16" s="347" t="str">
        <f>'SC-Retro'!$C$8</f>
        <v>ResWx</v>
      </c>
      <c r="D16" s="347" t="s">
        <v>6436</v>
      </c>
      <c r="E16" s="347" t="str">
        <f>'SC-Retro'!$A$9</f>
        <v>HVAC</v>
      </c>
      <c r="F16" s="348">
        <f t="shared" si="1"/>
        <v>0.24269741788552934</v>
      </c>
      <c r="G16" s="349">
        <f>'SC-Retro'!A91</f>
        <v>694.72089398889955</v>
      </c>
      <c r="H16" s="349">
        <f>'SC-Retro'!B91</f>
        <v>375.64820626927155</v>
      </c>
      <c r="I16" s="342" t="str">
        <f>'SC-Retro'!C91</f>
        <v>Manufactured</v>
      </c>
      <c r="J16" s="342" t="str">
        <f>'SC-Retro'!D91</f>
        <v>WINDOW CL22 Prime Window Replacement of Single Pane Base_Heat Pump</v>
      </c>
      <c r="K16" s="350">
        <f ca="1">'SC-Retro'!E91</f>
        <v>3.098098368843661E-3</v>
      </c>
      <c r="L16" s="350">
        <f ca="1">'SC-Retro'!F91</f>
        <v>3.064989033470114E-3</v>
      </c>
      <c r="M16" s="350">
        <f ca="1">'SC-Retro'!G91</f>
        <v>3.032233537115982E-3</v>
      </c>
      <c r="N16" s="350">
        <f ca="1">'SC-Retro'!H91</f>
        <v>2.9998280983084481E-3</v>
      </c>
      <c r="O16" s="350">
        <f ca="1">'SC-Retro'!I91</f>
        <v>2.9677689759872437E-3</v>
      </c>
      <c r="P16" s="350">
        <f ca="1">'SC-Retro'!J91</f>
        <v>2.6424472221654879E-3</v>
      </c>
      <c r="Q16" s="350">
        <f ca="1">'SC-Retro'!K91</f>
        <v>2.0913659395479299E-3</v>
      </c>
      <c r="R16" s="350">
        <f ca="1">'SC-Retro'!L91</f>
        <v>1.655212432026117E-3</v>
      </c>
      <c r="S16" s="350">
        <f ca="1">'SC-Retro'!M91</f>
        <v>1.3100185593182391E-3</v>
      </c>
      <c r="T16" s="350">
        <f ca="1">'SC-Retro'!N91</f>
        <v>1.0368147269517096E-3</v>
      </c>
      <c r="U16" s="350">
        <f ca="1">'SC-Retro'!O91</f>
        <v>8.2058744158815017E-4</v>
      </c>
      <c r="V16" s="350">
        <f ca="1">'SC-Retro'!P91</f>
        <v>6.494542677570863E-4</v>
      </c>
      <c r="W16" s="350">
        <f ca="1">'SC-Retro'!Q91</f>
        <v>5.1401084702389142E-4</v>
      </c>
      <c r="X16" s="350">
        <f ca="1">'SC-Retro'!R91</f>
        <v>4.0681409604200039E-4</v>
      </c>
      <c r="Y16" s="350">
        <f ca="1">'SC-Retro'!S91</f>
        <v>3.2197318343902084E-4</v>
      </c>
      <c r="Z16" s="350">
        <f ca="1">'SC-Retro'!T91</f>
        <v>2.5482580830521315E-4</v>
      </c>
      <c r="AA16" s="350">
        <f ca="1">'SC-Retro'!U91</f>
        <v>1.719532279886055E-6</v>
      </c>
      <c r="AB16" s="350">
        <f ca="1">'SC-Retro'!V91</f>
        <v>6.0755559345141136E-7</v>
      </c>
      <c r="AC16" s="350">
        <f ca="1">'SC-Retro'!W91</f>
        <v>2.0490772331024029E-7</v>
      </c>
      <c r="AD16" s="350">
        <f ca="1">'SC-Retro'!X91</f>
        <v>6.6103655622927207E-8</v>
      </c>
      <c r="AE16" s="350">
        <f ca="1">'SC-Retro'!Y91</f>
        <v>2.3095079520654233E-2</v>
      </c>
      <c r="AF16" s="351">
        <f t="shared" si="2"/>
        <v>59.408133698866742</v>
      </c>
      <c r="AG16" s="351">
        <f t="shared" si="3"/>
        <v>43.381552132681044</v>
      </c>
      <c r="AH16" s="351">
        <f t="shared" si="4"/>
        <v>35.143222454072337</v>
      </c>
      <c r="AI16" s="351">
        <f t="shared" si="5"/>
        <v>30.468417947125435</v>
      </c>
      <c r="AJ16" s="351">
        <f t="shared" si="6"/>
        <v>11.179847772369424</v>
      </c>
      <c r="AK16" s="351">
        <f t="shared" si="7"/>
        <v>7.228164446363964</v>
      </c>
      <c r="AL16" s="351">
        <f t="shared" si="8"/>
        <v>21.015772673230295</v>
      </c>
      <c r="AM16" s="351">
        <f t="shared" si="9"/>
        <v>20.960441025169779</v>
      </c>
      <c r="AN16" s="351">
        <f t="shared" si="10"/>
        <v>12.188978745670253</v>
      </c>
      <c r="AO16" s="351">
        <f t="shared" si="11"/>
        <v>27.688660871036173</v>
      </c>
      <c r="AP16" s="351">
        <f t="shared" si="12"/>
        <v>42.993135963393293</v>
      </c>
      <c r="AQ16" s="351">
        <f t="shared" si="13"/>
        <v>75.022419692965997</v>
      </c>
      <c r="AR16" s="351"/>
      <c r="AS16" s="351">
        <f t="shared" si="14"/>
        <v>56.368586827869244</v>
      </c>
      <c r="AT16" s="351">
        <f t="shared" si="15"/>
        <v>39.925077381051224</v>
      </c>
      <c r="AU16" s="351">
        <f t="shared" si="16"/>
        <v>29.482576355077324</v>
      </c>
      <c r="AV16" s="351">
        <f t="shared" si="17"/>
        <v>27.498708533784498</v>
      </c>
      <c r="AW16" s="351">
        <f t="shared" si="18"/>
        <v>10.870981893294402</v>
      </c>
      <c r="AX16" s="351">
        <f t="shared" si="19"/>
        <v>3.3582706761673773</v>
      </c>
      <c r="AY16" s="351">
        <f t="shared" si="20"/>
        <v>10.344659501892613</v>
      </c>
      <c r="AZ16" s="351">
        <f t="shared" si="21"/>
        <v>7.4059378126333915</v>
      </c>
      <c r="BA16" s="351">
        <f t="shared" si="22"/>
        <v>7.0032630201388981</v>
      </c>
      <c r="BB16" s="351">
        <f t="shared" si="23"/>
        <v>17.010338858984877</v>
      </c>
      <c r="BC16" s="351">
        <f t="shared" si="24"/>
        <v>33.853482192403582</v>
      </c>
      <c r="BD16" s="351">
        <f t="shared" si="25"/>
        <v>64.920263512657499</v>
      </c>
    </row>
    <row r="17" spans="1:56" ht="15">
      <c r="A17" s="347" t="str">
        <f>VLOOKUP(CONCATENATE($C17," - ",$B17),[2]ACHIEV!$B$12:$C$100,2,FALSE)</f>
        <v>Retro12Med</v>
      </c>
      <c r="B17" s="347" t="str">
        <f>'SC-Retro'!$C$7</f>
        <v>Retro</v>
      </c>
      <c r="C17" s="347" t="str">
        <f>'SC-Retro'!$C$8</f>
        <v>ResWx</v>
      </c>
      <c r="D17" s="347" t="s">
        <v>6436</v>
      </c>
      <c r="E17" s="347" t="str">
        <f>'SC-Retro'!$A$9</f>
        <v>HVAC</v>
      </c>
      <c r="F17" s="348">
        <f t="shared" si="1"/>
        <v>0.22231521494827203</v>
      </c>
      <c r="G17" s="349">
        <f>'SC-Retro'!A92</f>
        <v>636.37687710812145</v>
      </c>
      <c r="H17" s="349">
        <f>'SC-Retro'!B92</f>
        <v>385.3600457829516</v>
      </c>
      <c r="I17" s="342" t="str">
        <f>'SC-Retro'!C92</f>
        <v>Manufactured</v>
      </c>
      <c r="J17" s="342" t="str">
        <f>'SC-Retro'!D92</f>
        <v>WINDOW CL30 Prime Window Replacement of Single Pane Base_Heat Pump</v>
      </c>
      <c r="K17" s="350">
        <f ca="1">'SC-Retro'!E92</f>
        <v>1.135165607942689E-2</v>
      </c>
      <c r="L17" s="350">
        <f ca="1">'SC-Retro'!F92</f>
        <v>1.1230341084409743E-2</v>
      </c>
      <c r="M17" s="350">
        <f ca="1">'SC-Retro'!G92</f>
        <v>1.1110322581103853E-2</v>
      </c>
      <c r="N17" s="350">
        <f ca="1">'SC-Retro'!H92</f>
        <v>1.0991586713919838E-2</v>
      </c>
      <c r="O17" s="350">
        <f ca="1">'SC-Retro'!I92</f>
        <v>1.0874119775342797E-2</v>
      </c>
      <c r="P17" s="350">
        <f ca="1">'SC-Retro'!J92</f>
        <v>9.6821173839148848E-3</v>
      </c>
      <c r="Q17" s="350">
        <f ca="1">'SC-Retro'!K92</f>
        <v>7.6629157810881631E-3</v>
      </c>
      <c r="R17" s="350">
        <f ca="1">'SC-Retro'!L92</f>
        <v>6.064817843006459E-3</v>
      </c>
      <c r="S17" s="350">
        <f ca="1">'SC-Retro'!M92</f>
        <v>4.8000025733841937E-3</v>
      </c>
      <c r="T17" s="350">
        <f ca="1">'SC-Retro'!N92</f>
        <v>3.7989640086326876E-3</v>
      </c>
      <c r="U17" s="350">
        <f ca="1">'SC-Retro'!O92</f>
        <v>3.0066916253153825E-3</v>
      </c>
      <c r="V17" s="350">
        <f ca="1">'SC-Retro'!P92</f>
        <v>2.3796473220590946E-3</v>
      </c>
      <c r="W17" s="350">
        <f ca="1">'SC-Retro'!Q92</f>
        <v>1.8833728506457786E-3</v>
      </c>
      <c r="X17" s="350">
        <f ca="1">'SC-Retro'!R92</f>
        <v>1.4905962163671914E-3</v>
      </c>
      <c r="Y17" s="350">
        <f ca="1">'SC-Retro'!S92</f>
        <v>1.1797329878076666E-3</v>
      </c>
      <c r="Z17" s="350">
        <f ca="1">'SC-Retro'!T92</f>
        <v>9.3370015785600082E-4</v>
      </c>
      <c r="AA17" s="350">
        <f ca="1">'SC-Retro'!U92</f>
        <v>6.3004904089035817E-6</v>
      </c>
      <c r="AB17" s="350">
        <f ca="1">'SC-Retro'!V92</f>
        <v>2.2261275546801581E-6</v>
      </c>
      <c r="AC17" s="350">
        <f ca="1">'SC-Retro'!W92</f>
        <v>7.5079669077918522E-7</v>
      </c>
      <c r="AD17" s="350">
        <f ca="1">'SC-Retro'!X92</f>
        <v>2.4220856631625239E-7</v>
      </c>
      <c r="AE17" s="350">
        <f ca="1">'SC-Retro'!Y92</f>
        <v>8.4622038629242696E-2</v>
      </c>
      <c r="AF17" s="351">
        <f t="shared" si="2"/>
        <v>54.418922656888803</v>
      </c>
      <c r="AG17" s="351">
        <f t="shared" si="3"/>
        <v>39.738284697019409</v>
      </c>
      <c r="AH17" s="351">
        <f t="shared" si="4"/>
        <v>32.191826027325313</v>
      </c>
      <c r="AI17" s="351">
        <f t="shared" si="5"/>
        <v>27.909620728819672</v>
      </c>
      <c r="AJ17" s="351">
        <f t="shared" si="6"/>
        <v>10.24094233163847</v>
      </c>
      <c r="AK17" s="351">
        <f t="shared" si="7"/>
        <v>6.6211290856534255</v>
      </c>
      <c r="AL17" s="351">
        <f t="shared" si="8"/>
        <v>19.250827058064825</v>
      </c>
      <c r="AM17" s="351">
        <f t="shared" si="9"/>
        <v>19.200142269824443</v>
      </c>
      <c r="AN17" s="351">
        <f t="shared" si="10"/>
        <v>11.165324515820368</v>
      </c>
      <c r="AO17" s="351">
        <f t="shared" si="11"/>
        <v>25.363313078499957</v>
      </c>
      <c r="AP17" s="351">
        <f t="shared" si="12"/>
        <v>39.382488475877416</v>
      </c>
      <c r="AQ17" s="351">
        <f t="shared" si="13"/>
        <v>68.721890431680862</v>
      </c>
      <c r="AR17" s="351"/>
      <c r="AS17" s="351">
        <f t="shared" si="14"/>
        <v>51.634642865787455</v>
      </c>
      <c r="AT17" s="351">
        <f t="shared" si="15"/>
        <v>36.572091442609526</v>
      </c>
      <c r="AU17" s="351">
        <f t="shared" si="16"/>
        <v>27.006572038188381</v>
      </c>
      <c r="AV17" s="351">
        <f t="shared" si="17"/>
        <v>25.189313309347277</v>
      </c>
      <c r="AW17" s="351">
        <f t="shared" si="18"/>
        <v>9.9580156120425585</v>
      </c>
      <c r="AX17" s="351">
        <f t="shared" si="19"/>
        <v>3.0762365489144514</v>
      </c>
      <c r="AY17" s="351">
        <f t="shared" si="20"/>
        <v>9.4758948025341283</v>
      </c>
      <c r="AZ17" s="351">
        <f t="shared" si="21"/>
        <v>6.7839726975821959</v>
      </c>
      <c r="BA17" s="351">
        <f t="shared" si="22"/>
        <v>6.4151153202454188</v>
      </c>
      <c r="BB17" s="351">
        <f t="shared" si="23"/>
        <v>15.581777394771555</v>
      </c>
      <c r="BC17" s="351">
        <f t="shared" si="24"/>
        <v>31.010400670605744</v>
      </c>
      <c r="BD17" s="351">
        <f t="shared" si="25"/>
        <v>59.46813304837989</v>
      </c>
    </row>
    <row r="18" spans="1:56" ht="15">
      <c r="A18" s="347" t="str">
        <f>VLOOKUP(CONCATENATE($C18," - ",$B18),[2]ACHIEV!$B$12:$C$100,2,FALSE)</f>
        <v>Retro12Med</v>
      </c>
      <c r="B18" s="347" t="str">
        <f>'SC-Retro'!$C$7</f>
        <v>Retro</v>
      </c>
      <c r="C18" s="347" t="str">
        <f>'SC-Retro'!$C$8</f>
        <v>ResWx</v>
      </c>
      <c r="D18" s="347" t="s">
        <v>6436</v>
      </c>
      <c r="E18" s="347" t="str">
        <f>'SC-Retro'!$A$9</f>
        <v>HVAC</v>
      </c>
      <c r="F18" s="348">
        <f t="shared" si="1"/>
        <v>9.0291220210429929E-2</v>
      </c>
      <c r="G18" s="349">
        <f>'SC-Retro'!A93</f>
        <v>258.45844496592201</v>
      </c>
      <c r="H18" s="349">
        <f>'SC-Retro'!B93</f>
        <v>1277.4212136241763</v>
      </c>
      <c r="I18" s="342" t="str">
        <f>'SC-Retro'!C93</f>
        <v>Manufactured</v>
      </c>
      <c r="J18" s="342" t="str">
        <f>'SC-Retro'!D93</f>
        <v>Floor R0 - R22_Heat Pump</v>
      </c>
      <c r="K18" s="350">
        <f ca="1">'SC-Retro'!E93</f>
        <v>3.5950378994429504E-3</v>
      </c>
      <c r="L18" s="350">
        <f ca="1">'SC-Retro'!F93</f>
        <v>3.5566177780257933E-3</v>
      </c>
      <c r="M18" s="350">
        <f ca="1">'SC-Retro'!G93</f>
        <v>3.5186082519266847E-3</v>
      </c>
      <c r="N18" s="350">
        <f ca="1">'SC-Retro'!H93</f>
        <v>3.4810049331190098E-3</v>
      </c>
      <c r="O18" s="350">
        <f ca="1">'SC-Retro'!I93</f>
        <v>3.4438034804709374E-3</v>
      </c>
      <c r="P18" s="350">
        <f ca="1">'SC-Retro'!J93</f>
        <v>3.0662996393198308E-3</v>
      </c>
      <c r="Q18" s="350">
        <f ca="1">'SC-Retro'!K93</f>
        <v>2.4268241092309643E-3</v>
      </c>
      <c r="R18" s="350">
        <f ca="1">'SC-Retro'!L93</f>
        <v>1.9207109382340312E-3</v>
      </c>
      <c r="S18" s="350">
        <f ca="1">'SC-Retro'!M93</f>
        <v>1.5201474611280744E-3</v>
      </c>
      <c r="T18" s="350">
        <f ca="1">'SC-Retro'!N93</f>
        <v>1.2031213326138528E-3</v>
      </c>
      <c r="U18" s="350">
        <f ca="1">'SC-Retro'!O93</f>
        <v>9.5221087296121156E-4</v>
      </c>
      <c r="V18" s="350">
        <f ca="1">'SC-Retro'!P93</f>
        <v>7.5362768659057897E-4</v>
      </c>
      <c r="W18" s="350">
        <f ca="1">'SC-Retro'!Q93</f>
        <v>5.9645894215598161E-4</v>
      </c>
      <c r="X18" s="350">
        <f ca="1">'SC-Retro'!R93</f>
        <v>4.7206767480546005E-4</v>
      </c>
      <c r="Y18" s="350">
        <f ca="1">'SC-Retro'!S93</f>
        <v>3.7361815515870992E-4</v>
      </c>
      <c r="Z18" s="350">
        <f ca="1">'SC-Retro'!T93</f>
        <v>2.957002423894485E-4</v>
      </c>
      <c r="AA18" s="350">
        <f ca="1">'SC-Retro'!U93</f>
        <v>1.995347784200025E-6</v>
      </c>
      <c r="AB18" s="350">
        <f ca="1">'SC-Retro'!V93</f>
        <v>7.0500840336183544E-7</v>
      </c>
      <c r="AC18" s="350">
        <f ca="1">'SC-Retro'!W93</f>
        <v>2.3777522321340369E-7</v>
      </c>
      <c r="AD18" s="350">
        <f ca="1">'SC-Retro'!X93</f>
        <v>7.6706779115231096E-8</v>
      </c>
      <c r="AE18" s="350">
        <f ca="1">'SC-Retro'!Y93</f>
        <v>2.6799564210864636E-2</v>
      </c>
      <c r="AF18" s="351">
        <f t="shared" si="2"/>
        <v>22.101730330831288</v>
      </c>
      <c r="AG18" s="351">
        <f t="shared" si="3"/>
        <v>16.139328184074991</v>
      </c>
      <c r="AH18" s="351">
        <f t="shared" si="4"/>
        <v>13.07440542693127</v>
      </c>
      <c r="AI18" s="351">
        <f t="shared" si="5"/>
        <v>11.335228278468412</v>
      </c>
      <c r="AJ18" s="351">
        <f t="shared" si="6"/>
        <v>4.1592617916116668</v>
      </c>
      <c r="AK18" s="351">
        <f t="shared" si="7"/>
        <v>2.6891089053599777</v>
      </c>
      <c r="AL18" s="351">
        <f t="shared" si="8"/>
        <v>7.8185411895315902</v>
      </c>
      <c r="AM18" s="351">
        <f t="shared" si="9"/>
        <v>7.7979560425483028</v>
      </c>
      <c r="AN18" s="351">
        <f t="shared" si="10"/>
        <v>4.5346908659104548</v>
      </c>
      <c r="AO18" s="351">
        <f t="shared" si="11"/>
        <v>10.301069528551027</v>
      </c>
      <c r="AP18" s="351">
        <f t="shared" si="12"/>
        <v>15.99482491667314</v>
      </c>
      <c r="AQ18" s="351">
        <f t="shared" si="13"/>
        <v>27.910745306782985</v>
      </c>
      <c r="AR18" s="351"/>
      <c r="AS18" s="351">
        <f t="shared" si="14"/>
        <v>20.970921448478023</v>
      </c>
      <c r="AT18" s="351">
        <f t="shared" si="15"/>
        <v>14.853408763628586</v>
      </c>
      <c r="AU18" s="351">
        <f t="shared" si="16"/>
        <v>10.968463600641472</v>
      </c>
      <c r="AV18" s="351">
        <f t="shared" si="17"/>
        <v>10.230401169317117</v>
      </c>
      <c r="AW18" s="351">
        <f t="shared" si="18"/>
        <v>4.0443537825111973</v>
      </c>
      <c r="AX18" s="351">
        <f t="shared" si="19"/>
        <v>1.2493843560011664</v>
      </c>
      <c r="AY18" s="351">
        <f t="shared" si="20"/>
        <v>3.8485449792788797</v>
      </c>
      <c r="AZ18" s="351">
        <f t="shared" si="21"/>
        <v>2.7552462969368143</v>
      </c>
      <c r="BA18" s="351">
        <f t="shared" si="22"/>
        <v>2.6054383645777723</v>
      </c>
      <c r="BB18" s="351">
        <f t="shared" si="23"/>
        <v>6.3283913984410489</v>
      </c>
      <c r="BC18" s="351">
        <f t="shared" si="24"/>
        <v>12.59458070116712</v>
      </c>
      <c r="BD18" s="351">
        <f t="shared" si="25"/>
        <v>24.152419337667776</v>
      </c>
    </row>
    <row r="19" spans="1:56" ht="15">
      <c r="A19" s="347" t="str">
        <f>VLOOKUP(CONCATENATE($C19," - ",$B19),[2]ACHIEV!$B$12:$C$100,2,FALSE)</f>
        <v>Retro12Med</v>
      </c>
      <c r="B19" s="347" t="str">
        <f>'SC-Retro'!$C$7</f>
        <v>Retro</v>
      </c>
      <c r="C19" s="347" t="str">
        <f>'SC-Retro'!$C$8</f>
        <v>ResWx</v>
      </c>
      <c r="D19" s="347" t="s">
        <v>6436</v>
      </c>
      <c r="E19" s="347" t="str">
        <f>'SC-Retro'!$A$9</f>
        <v>HVAC</v>
      </c>
      <c r="F19" s="348">
        <f t="shared" si="1"/>
        <v>0.56724606815137368</v>
      </c>
      <c r="G19" s="349">
        <f>'SC-Retro'!A94</f>
        <v>1623.7407839406073</v>
      </c>
      <c r="H19" s="349">
        <f>'SC-Retro'!B94</f>
        <v>151.2142697308571</v>
      </c>
      <c r="I19" s="342" t="str">
        <f>'SC-Retro'!C94</f>
        <v>Manufactured</v>
      </c>
      <c r="J19" s="342" t="str">
        <f>'SC-Retro'!D94</f>
        <v>WINDOW CL22 Prime Window Replacement of Double Pane Base_Heat Pump</v>
      </c>
      <c r="K19" s="350">
        <f ca="1">'SC-Retro'!E94</f>
        <v>3.6830535953734931E-4</v>
      </c>
      <c r="L19" s="350">
        <f ca="1">'SC-Retro'!F94</f>
        <v>3.6436928514041277E-4</v>
      </c>
      <c r="M19" s="350">
        <f ca="1">'SC-Retro'!G94</f>
        <v>3.6047527551733038E-4</v>
      </c>
      <c r="N19" s="350">
        <f ca="1">'SC-Retro'!H94</f>
        <v>3.5662288112243279E-4</v>
      </c>
      <c r="O19" s="350">
        <f ca="1">'SC-Retro'!I94</f>
        <v>3.5281165721433918E-4</v>
      </c>
      <c r="P19" s="350">
        <f ca="1">'SC-Retro'!J94</f>
        <v>3.1413704742415231E-4</v>
      </c>
      <c r="Q19" s="350">
        <f ca="1">'SC-Retro'!K94</f>
        <v>2.4862389523701934E-4</v>
      </c>
      <c r="R19" s="350">
        <f ca="1">'SC-Retro'!L94</f>
        <v>1.9677348402452645E-4</v>
      </c>
      <c r="S19" s="350">
        <f ca="1">'SC-Retro'!M94</f>
        <v>1.5573645476931339E-4</v>
      </c>
      <c r="T19" s="350">
        <f ca="1">'SC-Retro'!N94</f>
        <v>1.2325768110652203E-4</v>
      </c>
      <c r="U19" s="350">
        <f ca="1">'SC-Retro'!O94</f>
        <v>9.75523423482389E-5</v>
      </c>
      <c r="V19" s="350">
        <f ca="1">'SC-Retro'!P94</f>
        <v>7.7207841427778196E-5</v>
      </c>
      <c r="W19" s="350">
        <f ca="1">'SC-Retro'!Q94</f>
        <v>6.1106177816391054E-5</v>
      </c>
      <c r="X19" s="350">
        <f ca="1">'SC-Retro'!R94</f>
        <v>4.8362509536304428E-5</v>
      </c>
      <c r="Y19" s="350">
        <f ca="1">'SC-Retro'!S94</f>
        <v>3.8276528040700701E-5</v>
      </c>
      <c r="Z19" s="350">
        <f ca="1">'SC-Retro'!T94</f>
        <v>3.0293973842501752E-5</v>
      </c>
      <c r="AA19" s="350">
        <f ca="1">'SC-Retro'!U94</f>
        <v>2.0441989865411873E-7</v>
      </c>
      <c r="AB19" s="350">
        <f ca="1">'SC-Retro'!V94</f>
        <v>7.222688070055324E-8</v>
      </c>
      <c r="AC19" s="350">
        <f ca="1">'SC-Retro'!W94</f>
        <v>2.4359656705776512E-8</v>
      </c>
      <c r="AD19" s="350">
        <f ca="1">'SC-Retro'!X94</f>
        <v>7.8584756687446309E-9</v>
      </c>
      <c r="AE19" s="350">
        <f ca="1">'SC-Retro'!Y94</f>
        <v>2.7455685887640305E-3</v>
      </c>
      <c r="AF19" s="351">
        <f t="shared" si="2"/>
        <v>138.85203456423986</v>
      </c>
      <c r="AG19" s="351">
        <f t="shared" si="3"/>
        <v>101.39380588372711</v>
      </c>
      <c r="AH19" s="351">
        <f t="shared" si="4"/>
        <v>82.138717967918708</v>
      </c>
      <c r="AI19" s="351">
        <f t="shared" si="5"/>
        <v>71.212501698107857</v>
      </c>
      <c r="AJ19" s="351">
        <f t="shared" si="6"/>
        <v>26.130169602375368</v>
      </c>
      <c r="AK19" s="351">
        <f t="shared" si="7"/>
        <v>16.894072866013701</v>
      </c>
      <c r="AL19" s="351">
        <f t="shared" si="8"/>
        <v>49.119247011007275</v>
      </c>
      <c r="AM19" s="351">
        <f t="shared" si="9"/>
        <v>48.989922768169762</v>
      </c>
      <c r="AN19" s="351">
        <f t="shared" si="10"/>
        <v>28.488767323940966</v>
      </c>
      <c r="AO19" s="351">
        <f t="shared" si="11"/>
        <v>64.715496968657845</v>
      </c>
      <c r="AP19" s="351">
        <f t="shared" si="12"/>
        <v>100.48597774631028</v>
      </c>
      <c r="AQ19" s="351">
        <f t="shared" si="13"/>
        <v>175.34662282278254</v>
      </c>
      <c r="AR19" s="351"/>
      <c r="AS19" s="351">
        <f t="shared" si="14"/>
        <v>131.74783450081617</v>
      </c>
      <c r="AT19" s="351">
        <f t="shared" si="15"/>
        <v>93.31513850601614</v>
      </c>
      <c r="AU19" s="351">
        <f t="shared" si="16"/>
        <v>68.908337229521962</v>
      </c>
      <c r="AV19" s="351">
        <f t="shared" si="17"/>
        <v>64.271529672339099</v>
      </c>
      <c r="AW19" s="351">
        <f t="shared" si="18"/>
        <v>25.408270881664375</v>
      </c>
      <c r="AX19" s="351">
        <f t="shared" si="19"/>
        <v>7.849139283972506</v>
      </c>
      <c r="AY19" s="351">
        <f t="shared" si="20"/>
        <v>24.178120558254221</v>
      </c>
      <c r="AZ19" s="351">
        <f t="shared" si="21"/>
        <v>17.30957478571657</v>
      </c>
      <c r="BA19" s="351">
        <f t="shared" si="22"/>
        <v>16.368420591427178</v>
      </c>
      <c r="BB19" s="351">
        <f t="shared" si="23"/>
        <v>39.757521607554821</v>
      </c>
      <c r="BC19" s="351">
        <f t="shared" si="24"/>
        <v>79.124264420196198</v>
      </c>
      <c r="BD19" s="351">
        <f t="shared" si="25"/>
        <v>151.73529467987703</v>
      </c>
    </row>
    <row r="20" spans="1:56" ht="15">
      <c r="A20" s="347" t="str">
        <f>VLOOKUP(CONCATENATE($C20," - ",$B20),[2]ACHIEV!$B$12:$C$100,2,FALSE)</f>
        <v>Retro12Med</v>
      </c>
      <c r="B20" s="347" t="str">
        <f>'SC-Retro'!$C$7</f>
        <v>Retro</v>
      </c>
      <c r="C20" s="347" t="str">
        <f>'SC-Retro'!$C$8</f>
        <v>ResWx</v>
      </c>
      <c r="D20" s="347" t="s">
        <v>6436</v>
      </c>
      <c r="E20" s="347" t="str">
        <f>'SC-Retro'!$A$9</f>
        <v>HVAC</v>
      </c>
      <c r="F20" s="348">
        <f t="shared" si="1"/>
        <v>9.1362465499795931E-2</v>
      </c>
      <c r="G20" s="349">
        <f>'SC-Retro'!A95</f>
        <v>261.52488255554965</v>
      </c>
      <c r="H20" s="349">
        <f>'SC-Retro'!B95</f>
        <v>976.92508358126088</v>
      </c>
      <c r="I20" s="342" t="str">
        <f>'SC-Retro'!C95</f>
        <v>Manufactured</v>
      </c>
      <c r="J20" s="342" t="str">
        <f>'SC-Retro'!D95</f>
        <v>WINDOW CL30 Prime Window Replacement of Double Pane Base_Heat Pump</v>
      </c>
      <c r="K20" s="350">
        <f ca="1">'SC-Retro'!E95</f>
        <v>2.3728175543839261E-4</v>
      </c>
      <c r="L20" s="350">
        <f ca="1">'SC-Retro'!F95</f>
        <v>2.3474592852668427E-4</v>
      </c>
      <c r="M20" s="350">
        <f ca="1">'SC-Retro'!G95</f>
        <v>2.3223720196289044E-4</v>
      </c>
      <c r="N20" s="350">
        <f ca="1">'SC-Retro'!H95</f>
        <v>2.2975528612595943E-4</v>
      </c>
      <c r="O20" s="350">
        <f ca="1">'SC-Retro'!I95</f>
        <v>2.2729989449001578E-4</v>
      </c>
      <c r="P20" s="350">
        <f ca="1">'SC-Retro'!J95</f>
        <v>2.0238366923215398E-4</v>
      </c>
      <c r="Q20" s="350">
        <f ca="1">'SC-Retro'!K95</f>
        <v>1.6017663815665566E-4</v>
      </c>
      <c r="R20" s="350">
        <f ca="1">'SC-Retro'!L95</f>
        <v>1.2677186607254161E-4</v>
      </c>
      <c r="S20" s="350">
        <f ca="1">'SC-Retro'!M95</f>
        <v>1.0033364548328579E-4</v>
      </c>
      <c r="T20" s="350">
        <f ca="1">'SC-Retro'!N95</f>
        <v>7.9409104936620589E-5</v>
      </c>
      <c r="U20" s="350">
        <f ca="1">'SC-Retro'!O95</f>
        <v>6.2848368724783188E-5</v>
      </c>
      <c r="V20" s="350">
        <f ca="1">'SC-Retro'!P95</f>
        <v>4.9741367246474886E-5</v>
      </c>
      <c r="W20" s="350">
        <f ca="1">'SC-Retro'!Q95</f>
        <v>3.9367825541874781E-5</v>
      </c>
      <c r="X20" s="350">
        <f ca="1">'SC-Retro'!R95</f>
        <v>3.1157681698130704E-5</v>
      </c>
      <c r="Y20" s="350">
        <f ca="1">'SC-Retro'!S95</f>
        <v>2.4659759980124041E-5</v>
      </c>
      <c r="Z20" s="350">
        <f ca="1">'SC-Retro'!T95</f>
        <v>1.9516977166944045E-5</v>
      </c>
      <c r="AA20" s="350">
        <f ca="1">'SC-Retro'!U95</f>
        <v>1.3169809003083152E-7</v>
      </c>
      <c r="AB20" s="350">
        <f ca="1">'SC-Retro'!V95</f>
        <v>4.6532369401289367E-8</v>
      </c>
      <c r="AC20" s="350">
        <f ca="1">'SC-Retro'!W95</f>
        <v>1.5693776795113705E-8</v>
      </c>
      <c r="AD20" s="350">
        <f ca="1">'SC-Retro'!X95</f>
        <v>5.0628448744051696E-9</v>
      </c>
      <c r="AE20" s="350">
        <f ca="1">'SC-Retro'!Y95</f>
        <v>1.768840223332059E-3</v>
      </c>
      <c r="AF20" s="351">
        <f t="shared" si="2"/>
        <v>22.363952664836315</v>
      </c>
      <c r="AG20" s="351">
        <f t="shared" si="3"/>
        <v>16.330810581260774</v>
      </c>
      <c r="AH20" s="351">
        <f t="shared" si="4"/>
        <v>13.229524553599619</v>
      </c>
      <c r="AI20" s="351">
        <f t="shared" si="5"/>
        <v>11.4697132247223</v>
      </c>
      <c r="AJ20" s="351">
        <f t="shared" si="6"/>
        <v>4.2086086671009992</v>
      </c>
      <c r="AK20" s="351">
        <f t="shared" si="7"/>
        <v>2.7210133944204355</v>
      </c>
      <c r="AL20" s="351">
        <f t="shared" si="8"/>
        <v>7.9113029818684311</v>
      </c>
      <c r="AM20" s="351">
        <f t="shared" si="9"/>
        <v>7.8904736058041163</v>
      </c>
      <c r="AN20" s="351">
        <f t="shared" si="10"/>
        <v>4.5884919577277579</v>
      </c>
      <c r="AO20" s="351">
        <f t="shared" si="11"/>
        <v>10.423284868892804</v>
      </c>
      <c r="AP20" s="351">
        <f t="shared" si="12"/>
        <v>16.184592878677499</v>
      </c>
      <c r="AQ20" s="351">
        <f t="shared" si="13"/>
        <v>28.241887740819244</v>
      </c>
      <c r="AR20" s="351"/>
      <c r="AS20" s="351">
        <f t="shared" si="14"/>
        <v>21.219727487016325</v>
      </c>
      <c r="AT20" s="351">
        <f t="shared" si="15"/>
        <v>15.02963458195269</v>
      </c>
      <c r="AU20" s="351">
        <f t="shared" si="16"/>
        <v>11.098597127870207</v>
      </c>
      <c r="AV20" s="351">
        <f t="shared" si="17"/>
        <v>10.35177807656695</v>
      </c>
      <c r="AW20" s="351">
        <f t="shared" si="18"/>
        <v>4.0923373508797223</v>
      </c>
      <c r="AX20" s="351">
        <f t="shared" si="19"/>
        <v>1.264207470616902</v>
      </c>
      <c r="AY20" s="351">
        <f t="shared" si="20"/>
        <v>3.8942054063985641</v>
      </c>
      <c r="AZ20" s="351">
        <f t="shared" si="21"/>
        <v>2.7879354621707972</v>
      </c>
      <c r="BA20" s="351">
        <f t="shared" si="22"/>
        <v>2.6363501583079119</v>
      </c>
      <c r="BB20" s="351">
        <f t="shared" si="23"/>
        <v>6.4034735543698842</v>
      </c>
      <c r="BC20" s="351">
        <f t="shared" si="24"/>
        <v>12.744007026519924</v>
      </c>
      <c r="BD20" s="351">
        <f t="shared" si="25"/>
        <v>24.438971733149529</v>
      </c>
    </row>
    <row r="21" spans="1:56" ht="15">
      <c r="A21" s="347" t="str">
        <f>VLOOKUP(CONCATENATE($C21," - ",$B21),[2]ACHIEV!$B$12:$C$100,2,FALSE)</f>
        <v>Retro12Med</v>
      </c>
      <c r="B21" s="347" t="str">
        <f>'SC-Retro'!$C$7</f>
        <v>Retro</v>
      </c>
      <c r="C21" s="347" t="str">
        <f>'SC-Retro'!$C$8</f>
        <v>ResWx</v>
      </c>
      <c r="D21" s="347" t="s">
        <v>6436</v>
      </c>
      <c r="E21" s="347" t="str">
        <f>'SC-Retro'!$A$9</f>
        <v>HVAC</v>
      </c>
      <c r="F21" s="348">
        <f t="shared" si="1"/>
        <v>4.7594268815687395E-2</v>
      </c>
      <c r="G21" s="349">
        <f>'SC-Retro'!A96</f>
        <v>136.2385033530833</v>
      </c>
      <c r="H21" s="349">
        <f>'SC-Retro'!B96</f>
        <v>2446.9851682769763</v>
      </c>
      <c r="I21" s="342" t="str">
        <f>'SC-Retro'!C96</f>
        <v>Manufactured</v>
      </c>
      <c r="J21" s="342" t="str">
        <f>'SC-Retro'!D96</f>
        <v>Floor R11 - R22_Heat Pump</v>
      </c>
      <c r="K21" s="350">
        <f ca="1">'SC-Retro'!E96</f>
        <v>2.8845145215862446E-3</v>
      </c>
      <c r="L21" s="350">
        <f ca="1">'SC-Retro'!F96</f>
        <v>2.8536877539001334E-3</v>
      </c>
      <c r="M21" s="350">
        <f ca="1">'SC-Retro'!G96</f>
        <v>2.8231904314634272E-3</v>
      </c>
      <c r="N21" s="350">
        <f ca="1">'SC-Retro'!H96</f>
        <v>2.7930190334991981E-3</v>
      </c>
      <c r="O21" s="350">
        <f ca="1">'SC-Retro'!I96</f>
        <v>2.7631700768570187E-3</v>
      </c>
      <c r="P21" s="350">
        <f ca="1">'SC-Retro'!J96</f>
        <v>2.4602761040497553E-3</v>
      </c>
      <c r="Q21" s="350">
        <f ca="1">'SC-Retro'!K96</f>
        <v>1.9471865332760471E-3</v>
      </c>
      <c r="R21" s="350">
        <f ca="1">'SC-Retro'!L96</f>
        <v>1.5411015817007306E-3</v>
      </c>
      <c r="S21" s="350">
        <f ca="1">'SC-Retro'!M96</f>
        <v>1.2197054799494131E-3</v>
      </c>
      <c r="T21" s="350">
        <f ca="1">'SC-Retro'!N96</f>
        <v>9.6533640318300772E-4</v>
      </c>
      <c r="U21" s="350">
        <f ca="1">'SC-Retro'!O96</f>
        <v>7.6401589287682472E-4</v>
      </c>
      <c r="V21" s="350">
        <f ca="1">'SC-Retro'!P96</f>
        <v>6.0468069228889366E-4</v>
      </c>
      <c r="W21" s="350">
        <f ca="1">'SC-Retro'!Q96</f>
        <v>4.7857478232579659E-4</v>
      </c>
      <c r="X21" s="350">
        <f ca="1">'SC-Retro'!R96</f>
        <v>3.7876820807891762E-4</v>
      </c>
      <c r="Y21" s="350">
        <f ca="1">'SC-Retro'!S96</f>
        <v>2.9977625388888162E-4</v>
      </c>
      <c r="Z21" s="350">
        <f ca="1">'SC-Retro'!T96</f>
        <v>2.3725803929385586E-4</v>
      </c>
      <c r="AA21" s="350">
        <f ca="1">'SC-Retro'!U96</f>
        <v>1.6009871996152636E-6</v>
      </c>
      <c r="AB21" s="350">
        <f ca="1">'SC-Retro'!V96</f>
        <v>5.6567052537962233E-7</v>
      </c>
      <c r="AC21" s="350">
        <f ca="1">'SC-Retro'!W96</f>
        <v>1.9078132231617045E-7</v>
      </c>
      <c r="AD21" s="350">
        <f ca="1">'SC-Retro'!X96</f>
        <v>6.1546449425825805E-8</v>
      </c>
      <c r="AE21" s="350">
        <f ca="1">'SC-Retro'!Y96</f>
        <v>2.1502897688616927E-2</v>
      </c>
      <c r="AF21" s="351">
        <f t="shared" si="2"/>
        <v>11.650254501000802</v>
      </c>
      <c r="AG21" s="351">
        <f t="shared" si="3"/>
        <v>8.5073556687711474</v>
      </c>
      <c r="AH21" s="351">
        <f t="shared" si="4"/>
        <v>6.8917749150406129</v>
      </c>
      <c r="AI21" s="351">
        <f t="shared" si="5"/>
        <v>5.9750206112541608</v>
      </c>
      <c r="AJ21" s="351">
        <f t="shared" si="6"/>
        <v>2.1924282706937697</v>
      </c>
      <c r="AK21" s="351">
        <f t="shared" si="7"/>
        <v>1.4174819192617072</v>
      </c>
      <c r="AL21" s="351">
        <f t="shared" si="8"/>
        <v>4.1213060389907756</v>
      </c>
      <c r="AM21" s="351">
        <f t="shared" si="9"/>
        <v>4.1104552052458141</v>
      </c>
      <c r="AN21" s="351">
        <f t="shared" si="10"/>
        <v>2.3903242814217007</v>
      </c>
      <c r="AO21" s="351">
        <f t="shared" si="11"/>
        <v>5.4298952997681429</v>
      </c>
      <c r="AP21" s="351">
        <f t="shared" si="12"/>
        <v>8.4311851691650919</v>
      </c>
      <c r="AQ21" s="351">
        <f t="shared" si="13"/>
        <v>14.71229995431789</v>
      </c>
      <c r="AR21" s="351"/>
      <c r="AS21" s="351">
        <f t="shared" si="14"/>
        <v>11.05418301364625</v>
      </c>
      <c r="AT21" s="351">
        <f t="shared" si="15"/>
        <v>7.8295223818867443</v>
      </c>
      <c r="AU21" s="351">
        <f t="shared" si="16"/>
        <v>5.781691773434579</v>
      </c>
      <c r="AV21" s="351">
        <f t="shared" si="17"/>
        <v>5.3926446249151105</v>
      </c>
      <c r="AW21" s="351">
        <f t="shared" si="18"/>
        <v>2.1318580108007548</v>
      </c>
      <c r="AX21" s="351">
        <f t="shared" si="19"/>
        <v>0.65857493956832258</v>
      </c>
      <c r="AY21" s="351">
        <f t="shared" si="20"/>
        <v>2.0286433594116442</v>
      </c>
      <c r="AZ21" s="351">
        <f t="shared" si="21"/>
        <v>1.4523442324095444</v>
      </c>
      <c r="BA21" s="351">
        <f t="shared" si="22"/>
        <v>1.3733775401131993</v>
      </c>
      <c r="BB21" s="351">
        <f t="shared" si="23"/>
        <v>3.3358189277576606</v>
      </c>
      <c r="BC21" s="351">
        <f t="shared" si="24"/>
        <v>6.6388499138144752</v>
      </c>
      <c r="BD21" s="351">
        <f t="shared" si="25"/>
        <v>12.731212800393422</v>
      </c>
    </row>
    <row r="22" spans="1:56" ht="15">
      <c r="A22" s="347" t="str">
        <f>VLOOKUP(CONCATENATE($C22," - ",$B22),[2]ACHIEV!$B$12:$C$100,2,FALSE)</f>
        <v>Retro12Med</v>
      </c>
      <c r="B22" s="347" t="str">
        <f>'SC-Retro'!$C$7</f>
        <v>Retro</v>
      </c>
      <c r="C22" s="347" t="str">
        <f>'SC-Retro'!$C$8</f>
        <v>ResWx</v>
      </c>
      <c r="D22" s="347" t="s">
        <v>6436</v>
      </c>
      <c r="E22" s="347" t="str">
        <f>'SC-Retro'!$A$9</f>
        <v>HVAC</v>
      </c>
      <c r="F22" s="348">
        <f t="shared" si="1"/>
        <v>4.3089910496450806E-2</v>
      </c>
      <c r="G22" s="349">
        <f>'SC-Retro'!A97</f>
        <v>123.3447862890545</v>
      </c>
      <c r="H22" s="349">
        <f>'SC-Retro'!B97</f>
        <v>1711.9155590488463</v>
      </c>
      <c r="I22" s="342" t="str">
        <f>'SC-Retro'!C97</f>
        <v>Manufactured</v>
      </c>
      <c r="J22" s="342" t="str">
        <f>'SC-Retro'!D97</f>
        <v>Attic R11 - R30_Heat Pump</v>
      </c>
      <c r="K22" s="350">
        <f ca="1">'SC-Retro'!E97</f>
        <v>1.6944441791042495E-4</v>
      </c>
      <c r="L22" s="350">
        <f ca="1">'SC-Retro'!F97</f>
        <v>1.6763356770754209E-4</v>
      </c>
      <c r="M22" s="350">
        <f ca="1">'SC-Retro'!G97</f>
        <v>1.6584207003629008E-4</v>
      </c>
      <c r="N22" s="350">
        <f ca="1">'SC-Retro'!H97</f>
        <v>1.6406971807642509E-4</v>
      </c>
      <c r="O22" s="350">
        <f ca="1">'SC-Retro'!I97</f>
        <v>1.623163072179884E-4</v>
      </c>
      <c r="P22" s="350">
        <f ca="1">'SC-Retro'!J97</f>
        <v>1.4452347153391665E-4</v>
      </c>
      <c r="Q22" s="350">
        <f ca="1">'SC-Retro'!K97</f>
        <v>1.1438316091837123E-4</v>
      </c>
      <c r="R22" s="350">
        <f ca="1">'SC-Retro'!L97</f>
        <v>9.0528599699513747E-5</v>
      </c>
      <c r="S22" s="350">
        <f ca="1">'SC-Retro'!M97</f>
        <v>7.1648897422964286E-5</v>
      </c>
      <c r="T22" s="350">
        <f ca="1">'SC-Retro'!N97</f>
        <v>5.6706549300066481E-5</v>
      </c>
      <c r="U22" s="350">
        <f ca="1">'SC-Retro'!O97</f>
        <v>4.4880421739612468E-5</v>
      </c>
      <c r="V22" s="350">
        <f ca="1">'SC-Retro'!P97</f>
        <v>3.552062822350429E-5</v>
      </c>
      <c r="W22" s="350">
        <f ca="1">'SC-Retro'!Q97</f>
        <v>2.8112815800008223E-5</v>
      </c>
      <c r="X22" s="350">
        <f ca="1">'SC-Retro'!R97</f>
        <v>2.2249899614169091E-5</v>
      </c>
      <c r="Y22" s="350">
        <f ca="1">'SC-Retro'!S97</f>
        <v>1.7609692190294828E-5</v>
      </c>
      <c r="Z22" s="350">
        <f ca="1">'SC-Retro'!T97</f>
        <v>1.3937198118388511E-5</v>
      </c>
      <c r="AA22" s="350">
        <f ca="1">'SC-Retro'!U97</f>
        <v>9.4046447709221098E-8</v>
      </c>
      <c r="AB22" s="350">
        <f ca="1">'SC-Retro'!V97</f>
        <v>3.3229062355118582E-8</v>
      </c>
      <c r="AC22" s="350">
        <f ca="1">'SC-Retro'!W97</f>
        <v>1.1207026300657199E-8</v>
      </c>
      <c r="AD22" s="350">
        <f ca="1">'SC-Retro'!X97</f>
        <v>3.6154098789828713E-9</v>
      </c>
      <c r="AE22" s="350">
        <f ca="1">'SC-Retro'!Y97</f>
        <v>1.2631401072758226E-3</v>
      </c>
      <c r="AF22" s="351">
        <f t="shared" si="2"/>
        <v>10.547665426966962</v>
      </c>
      <c r="AG22" s="351">
        <f t="shared" si="3"/>
        <v>7.7022129649356961</v>
      </c>
      <c r="AH22" s="351">
        <f t="shared" si="4"/>
        <v>6.2395320201432085</v>
      </c>
      <c r="AI22" s="351">
        <f t="shared" si="5"/>
        <v>5.4095400509342202</v>
      </c>
      <c r="AJ22" s="351">
        <f t="shared" si="6"/>
        <v>1.9849351677180194</v>
      </c>
      <c r="AK22" s="351">
        <f t="shared" si="7"/>
        <v>1.2833303368491327</v>
      </c>
      <c r="AL22" s="351">
        <f t="shared" si="8"/>
        <v>3.7312624559127783</v>
      </c>
      <c r="AM22" s="351">
        <f t="shared" si="9"/>
        <v>3.721438553444754</v>
      </c>
      <c r="AN22" s="351">
        <f t="shared" si="10"/>
        <v>2.1641021473157926</v>
      </c>
      <c r="AO22" s="351">
        <f t="shared" si="11"/>
        <v>4.9160058194861662</v>
      </c>
      <c r="AP22" s="351">
        <f t="shared" si="12"/>
        <v>7.6332513001771636</v>
      </c>
      <c r="AQ22" s="351">
        <f t="shared" si="13"/>
        <v>13.319916536243548</v>
      </c>
      <c r="AR22" s="351"/>
      <c r="AS22" s="351">
        <f t="shared" si="14"/>
        <v>10.008006605039055</v>
      </c>
      <c r="AT22" s="351">
        <f t="shared" si="15"/>
        <v>7.0885303432638835</v>
      </c>
      <c r="AU22" s="351">
        <f t="shared" si="16"/>
        <v>5.2345080034772193</v>
      </c>
      <c r="AV22" s="351">
        <f t="shared" si="17"/>
        <v>4.8822805772397615</v>
      </c>
      <c r="AW22" s="351">
        <f t="shared" si="18"/>
        <v>1.9300973239506511</v>
      </c>
      <c r="AX22" s="351">
        <f t="shared" si="19"/>
        <v>0.59624689920335439</v>
      </c>
      <c r="AY22" s="351">
        <f t="shared" si="20"/>
        <v>1.8366509867981153</v>
      </c>
      <c r="AZ22" s="351">
        <f t="shared" si="21"/>
        <v>1.3148932537847196</v>
      </c>
      <c r="BA22" s="351">
        <f t="shared" si="22"/>
        <v>1.2434000301693431</v>
      </c>
      <c r="BB22" s="351">
        <f t="shared" si="23"/>
        <v>3.0201144508825055</v>
      </c>
      <c r="BC22" s="351">
        <f t="shared" si="24"/>
        <v>6.0105440361623144</v>
      </c>
      <c r="BD22" s="351">
        <f t="shared" si="25"/>
        <v>11.526320998956148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CB187"/>
  <sheetViews>
    <sheetView tabSelected="1" topLeftCell="C7" zoomScaleNormal="100" workbookViewId="0">
      <selection activeCell="C13" sqref="C13"/>
    </sheetView>
  </sheetViews>
  <sheetFormatPr defaultRowHeight="12.75"/>
  <cols>
    <col min="1" max="1" width="35" style="56" customWidth="1"/>
    <col min="2" max="2" width="30.140625" style="56" customWidth="1"/>
    <col min="3" max="3" width="19.85546875" style="56" customWidth="1"/>
    <col min="4" max="4" width="50.85546875" style="56" customWidth="1"/>
    <col min="5" max="5" width="9.7109375" style="56" customWidth="1"/>
    <col min="6" max="6" width="9.85546875" style="56" customWidth="1"/>
    <col min="7" max="8" width="10.140625" style="56" customWidth="1"/>
    <col min="9" max="25" width="9.140625" style="56"/>
    <col min="26" max="26" width="9.140625" style="56" customWidth="1"/>
    <col min="27" max="27" width="9.140625" style="56"/>
    <col min="28" max="28" width="21.7109375" style="56" customWidth="1"/>
    <col min="29" max="29" width="35.85546875" style="56" customWidth="1"/>
    <col min="30" max="30" width="35.28515625" style="56" customWidth="1"/>
    <col min="31" max="31" width="15" style="56" customWidth="1"/>
    <col min="32" max="32" width="17.7109375" style="56" customWidth="1"/>
    <col min="33" max="33" width="15.140625" style="56" customWidth="1"/>
    <col min="34" max="34" width="15.7109375" style="56" customWidth="1"/>
    <col min="35" max="35" width="21.28515625" style="56" customWidth="1"/>
    <col min="36" max="36" width="17.7109375" style="56" bestFit="1" customWidth="1"/>
    <col min="37" max="37" width="15.42578125" style="56" bestFit="1" customWidth="1"/>
    <col min="38" max="38" width="14.28515625" style="56" bestFit="1" customWidth="1"/>
    <col min="39" max="39" width="14.28515625" style="56" customWidth="1"/>
    <col min="40" max="40" width="12.5703125" style="56" customWidth="1"/>
    <col min="41" max="41" width="14" style="56" bestFit="1" customWidth="1"/>
    <col min="42" max="43" width="10.85546875" style="56" bestFit="1" customWidth="1"/>
    <col min="44" max="44" width="13.42578125" style="56" customWidth="1"/>
    <col min="45" max="45" width="11.85546875" style="56" bestFit="1" customWidth="1"/>
    <col min="46" max="46" width="11" style="56" bestFit="1" customWidth="1"/>
    <col min="47" max="47" width="14.28515625" style="56" bestFit="1" customWidth="1"/>
    <col min="48" max="48" width="10.7109375" style="56" customWidth="1"/>
    <col min="49" max="49" width="13.85546875" style="56" bestFit="1" customWidth="1"/>
    <col min="50" max="50" width="11.7109375" style="56" bestFit="1" customWidth="1"/>
    <col min="51" max="51" width="15.28515625" style="56" bestFit="1" customWidth="1"/>
    <col min="52" max="54" width="12.28515625" style="56" bestFit="1" customWidth="1"/>
    <col min="55" max="55" width="12.5703125" style="56" bestFit="1" customWidth="1"/>
    <col min="56" max="58" width="14.28515625" style="56" bestFit="1" customWidth="1"/>
    <col min="59" max="59" width="13.7109375" style="56" bestFit="1" customWidth="1"/>
    <col min="60" max="60" width="14" style="56" bestFit="1" customWidth="1"/>
    <col min="61" max="61" width="12.85546875" style="56" bestFit="1" customWidth="1"/>
    <col min="62" max="62" width="15.28515625" style="56" bestFit="1" customWidth="1"/>
    <col min="63" max="63" width="12.28515625" style="56" bestFit="1" customWidth="1"/>
    <col min="64" max="64" width="10.85546875" style="56" bestFit="1" customWidth="1"/>
    <col min="65" max="65" width="12.28515625" style="56" bestFit="1" customWidth="1"/>
    <col min="66" max="66" width="12.5703125" style="56" bestFit="1" customWidth="1"/>
    <col min="67" max="16384" width="9.140625" style="56"/>
  </cols>
  <sheetData>
    <row r="1" spans="1:68">
      <c r="A1" s="55" t="s">
        <v>68</v>
      </c>
      <c r="B1" s="392" t="s">
        <v>69</v>
      </c>
      <c r="C1" s="392"/>
      <c r="D1" s="392"/>
      <c r="E1" s="392"/>
      <c r="F1" s="392"/>
      <c r="G1" s="392"/>
      <c r="H1" s="392"/>
      <c r="I1" s="392"/>
      <c r="J1" s="392"/>
      <c r="K1" s="392"/>
      <c r="L1" s="392"/>
      <c r="M1" s="392"/>
      <c r="N1" s="392"/>
      <c r="O1" s="392"/>
      <c r="P1" s="392"/>
      <c r="Q1" s="392"/>
      <c r="R1" s="392"/>
      <c r="S1" s="392"/>
    </row>
    <row r="2" spans="1:68">
      <c r="A2" s="57" t="s">
        <v>176</v>
      </c>
      <c r="B2" s="392"/>
      <c r="C2" s="392"/>
      <c r="D2" s="392"/>
      <c r="E2" s="392"/>
      <c r="F2" s="392"/>
      <c r="G2" s="392"/>
      <c r="H2" s="392"/>
      <c r="I2" s="392"/>
      <c r="J2" s="392"/>
      <c r="K2" s="392"/>
      <c r="L2" s="392"/>
      <c r="M2" s="392"/>
      <c r="N2" s="392"/>
      <c r="O2" s="392"/>
      <c r="P2" s="392"/>
      <c r="Q2" s="392"/>
      <c r="R2" s="392"/>
      <c r="S2" s="392"/>
    </row>
    <row r="3" spans="1:68">
      <c r="B3" s="392"/>
      <c r="C3" s="392"/>
      <c r="D3" s="392"/>
      <c r="E3" s="392"/>
      <c r="F3" s="392"/>
      <c r="G3" s="392"/>
      <c r="H3" s="392"/>
      <c r="I3" s="392"/>
      <c r="J3" s="392"/>
      <c r="K3" s="392"/>
      <c r="L3" s="392"/>
      <c r="M3" s="392"/>
      <c r="N3" s="392"/>
      <c r="O3" s="392"/>
      <c r="P3" s="392"/>
      <c r="Q3" s="392"/>
      <c r="R3" s="392"/>
      <c r="S3" s="392"/>
    </row>
    <row r="4" spans="1:68">
      <c r="B4" s="392"/>
      <c r="C4" s="392"/>
      <c r="D4" s="392"/>
      <c r="E4" s="392"/>
      <c r="F4" s="392"/>
      <c r="G4" s="392"/>
      <c r="H4" s="392"/>
      <c r="I4" s="392"/>
      <c r="J4" s="392"/>
      <c r="K4" s="392"/>
      <c r="L4" s="392"/>
      <c r="M4" s="392"/>
      <c r="N4" s="392"/>
      <c r="O4" s="392"/>
      <c r="P4" s="392"/>
      <c r="Q4" s="392"/>
      <c r="R4" s="392"/>
      <c r="S4" s="392"/>
    </row>
    <row r="5" spans="1:68">
      <c r="B5" s="392"/>
      <c r="C5" s="392"/>
      <c r="D5" s="392"/>
      <c r="E5" s="392"/>
      <c r="F5" s="392"/>
      <c r="G5" s="392"/>
      <c r="H5" s="392"/>
      <c r="I5" s="392"/>
      <c r="J5" s="392"/>
      <c r="K5" s="392"/>
      <c r="L5" s="392"/>
      <c r="M5" s="392"/>
      <c r="N5" s="392"/>
      <c r="O5" s="392"/>
      <c r="P5" s="392"/>
      <c r="Q5" s="392"/>
      <c r="R5" s="392"/>
      <c r="S5" s="392"/>
    </row>
    <row r="6" spans="1:68">
      <c r="B6" s="392"/>
      <c r="C6" s="392"/>
      <c r="D6" s="392"/>
      <c r="E6" s="392"/>
      <c r="F6" s="392"/>
      <c r="G6" s="392"/>
      <c r="H6" s="392"/>
      <c r="I6" s="392"/>
      <c r="J6" s="392"/>
      <c r="K6" s="392"/>
      <c r="L6" s="392"/>
      <c r="M6" s="392"/>
      <c r="N6" s="392"/>
      <c r="O6" s="392"/>
      <c r="P6" s="392"/>
      <c r="Q6" s="392"/>
      <c r="R6" s="392"/>
      <c r="S6" s="392"/>
    </row>
    <row r="7" spans="1:68">
      <c r="A7" s="352"/>
      <c r="B7" s="352" t="s">
        <v>23</v>
      </c>
      <c r="C7" s="67" t="s">
        <v>70</v>
      </c>
      <c r="D7" s="67" t="s">
        <v>5816</v>
      </c>
    </row>
    <row r="8" spans="1:68">
      <c r="A8" s="352" t="s">
        <v>6450</v>
      </c>
      <c r="B8" s="352" t="s">
        <v>71</v>
      </c>
      <c r="C8" s="67" t="str">
        <f>[2]MLIST!$B$77</f>
        <v>ResWx</v>
      </c>
      <c r="D8" s="67" t="str">
        <f>[1]!switch_ForecastState</f>
        <v>Region</v>
      </c>
    </row>
    <row r="9" spans="1:68">
      <c r="A9" s="352" t="str">
        <f>INDEX([2]ACHIEV!$A$19:$B$100,MATCH(CONCATENATE($C$8," - ",$C$7),[2]ACHIEV!$B$19:$B$100,0),1)</f>
        <v>HVAC</v>
      </c>
      <c r="B9" s="353" t="s">
        <v>72</v>
      </c>
      <c r="C9" s="67">
        <f>[2]FILES!$H$4</f>
        <v>2035</v>
      </c>
      <c r="D9" s="67" t="str">
        <f>[1]!switch_ForecastScenario</f>
        <v>Base</v>
      </c>
    </row>
    <row r="10" spans="1:68">
      <c r="A10" s="352"/>
      <c r="B10" s="352" t="s">
        <v>6504</v>
      </c>
      <c r="C10" s="391">
        <f ca="1">MIN(SUM(E99:X99),Y99)</f>
        <v>5.2512912342887139</v>
      </c>
      <c r="D10" s="6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row>
    <row r="11" spans="1:68" ht="15">
      <c r="A11" s="69" t="str">
        <f>CONCATENATE("FLOOR AREA AVAILABLE FOR MEASURE -",$C$8)</f>
        <v>FLOOR AREA AVAILABLE FOR MEASURE -ResWx</v>
      </c>
      <c r="C11" s="56" t="s">
        <v>177</v>
      </c>
      <c r="E11" s="70">
        <v>2016</v>
      </c>
      <c r="F11" s="71">
        <v>2017</v>
      </c>
      <c r="G11" s="71">
        <v>2018</v>
      </c>
      <c r="H11" s="71">
        <v>2019</v>
      </c>
      <c r="I11" s="71">
        <v>2020</v>
      </c>
      <c r="J11" s="71">
        <v>2021</v>
      </c>
      <c r="K11" s="71">
        <v>2022</v>
      </c>
      <c r="L11" s="71">
        <v>2023</v>
      </c>
      <c r="M11" s="71">
        <v>2024</v>
      </c>
      <c r="N11" s="71">
        <v>2025</v>
      </c>
      <c r="O11" s="71">
        <v>2026</v>
      </c>
      <c r="P11" s="71">
        <v>2027</v>
      </c>
      <c r="Q11" s="71">
        <v>2028</v>
      </c>
      <c r="R11" s="71">
        <v>2029</v>
      </c>
      <c r="S11" s="71">
        <v>2030</v>
      </c>
      <c r="T11" s="71">
        <v>2031</v>
      </c>
      <c r="U11" s="71">
        <v>2032</v>
      </c>
      <c r="V11" s="71">
        <v>2033</v>
      </c>
      <c r="W11" s="71">
        <v>2034</v>
      </c>
      <c r="X11" s="71">
        <v>2035</v>
      </c>
      <c r="Y11" s="72"/>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row>
    <row r="12" spans="1:68" ht="15">
      <c r="E12" s="73" t="str">
        <f>CONCATENATE("HOMES_",E11)</f>
        <v>HOMES_2016</v>
      </c>
      <c r="F12" s="74" t="str">
        <f t="shared" ref="F12:X12" si="0">CONCATENATE("HOMES_",F11)</f>
        <v>HOMES_2017</v>
      </c>
      <c r="G12" s="74" t="str">
        <f t="shared" si="0"/>
        <v>HOMES_2018</v>
      </c>
      <c r="H12" s="74" t="str">
        <f t="shared" si="0"/>
        <v>HOMES_2019</v>
      </c>
      <c r="I12" s="74" t="str">
        <f t="shared" si="0"/>
        <v>HOMES_2020</v>
      </c>
      <c r="J12" s="74" t="str">
        <f t="shared" si="0"/>
        <v>HOMES_2021</v>
      </c>
      <c r="K12" s="74" t="str">
        <f t="shared" si="0"/>
        <v>HOMES_2022</v>
      </c>
      <c r="L12" s="74" t="str">
        <f t="shared" si="0"/>
        <v>HOMES_2023</v>
      </c>
      <c r="M12" s="74" t="str">
        <f t="shared" si="0"/>
        <v>HOMES_2024</v>
      </c>
      <c r="N12" s="74" t="str">
        <f t="shared" si="0"/>
        <v>HOMES_2025</v>
      </c>
      <c r="O12" s="74" t="str">
        <f t="shared" si="0"/>
        <v>HOMES_2026</v>
      </c>
      <c r="P12" s="74" t="str">
        <f t="shared" si="0"/>
        <v>HOMES_2027</v>
      </c>
      <c r="Q12" s="74" t="str">
        <f t="shared" si="0"/>
        <v>HOMES_2028</v>
      </c>
      <c r="R12" s="74" t="str">
        <f t="shared" si="0"/>
        <v>HOMES_2029</v>
      </c>
      <c r="S12" s="74" t="str">
        <f t="shared" si="0"/>
        <v>HOMES_2030</v>
      </c>
      <c r="T12" s="74" t="str">
        <f t="shared" si="0"/>
        <v>HOMES_2031</v>
      </c>
      <c r="U12" s="74" t="str">
        <f t="shared" si="0"/>
        <v>HOMES_2032</v>
      </c>
      <c r="V12" s="74" t="str">
        <f t="shared" si="0"/>
        <v>HOMES_2033</v>
      </c>
      <c r="W12" s="74" t="str">
        <f t="shared" si="0"/>
        <v>HOMES_2034</v>
      </c>
      <c r="X12" s="74" t="str">
        <f t="shared" si="0"/>
        <v>HOMES_2035</v>
      </c>
      <c r="Y12" s="75"/>
    </row>
    <row r="13" spans="1:68">
      <c r="C13" s="56" t="s">
        <v>24</v>
      </c>
      <c r="E13" s="48">
        <f ca="1">INDEX([1]!tbl_Forecast,MATCH($D$8&amp;$C13&amp;$D$7,[1]!rng_ForecastRowLookup,0),MATCH(E$11,[1]!rng_ForecastColumnLookup,0))</f>
        <v>4203528.2719999999</v>
      </c>
      <c r="F13" s="48">
        <f ca="1">INDEX([1]!tbl_Forecast,MATCH($D$8&amp;$C13&amp;$D$7,[1]!rng_ForecastRowLookup,0),MATCH(F$11,[1]!rng_ForecastColumnLookup,0))</f>
        <v>4193982.9785983553</v>
      </c>
      <c r="G13" s="48">
        <f ca="1">INDEX([1]!tbl_Forecast,MATCH($D$8&amp;$C13&amp;$D$7,[1]!rng_ForecastRowLookup,0),MATCH(G$11,[1]!rng_ForecastColumnLookup,0))</f>
        <v>4184459.3604704877</v>
      </c>
      <c r="H13" s="48">
        <f ca="1">INDEX([1]!tbl_Forecast,MATCH($D$8&amp;$C13&amp;$D$7,[1]!rng_ForecastRowLookup,0),MATCH(H$11,[1]!rng_ForecastColumnLookup,0))</f>
        <v>4174957.36839659</v>
      </c>
      <c r="I13" s="48">
        <f ca="1">INDEX([1]!tbl_Forecast,MATCH($D$8&amp;$C13&amp;$D$7,[1]!rng_ForecastRowLookup,0),MATCH(I$11,[1]!rng_ForecastColumnLookup,0))</f>
        <v>4165476.9532686244</v>
      </c>
      <c r="J13" s="48">
        <f ca="1">INDEX([1]!tbl_Forecast,MATCH($D$8&amp;$C13&amp;$D$7,[1]!rng_ForecastRowLookup,0),MATCH(J$11,[1]!rng_ForecastColumnLookup,0))</f>
        <v>4156018.0660900641</v>
      </c>
      <c r="K13" s="48">
        <f ca="1">INDEX([1]!tbl_Forecast,MATCH($D$8&amp;$C13&amp;$D$7,[1]!rng_ForecastRowLookup,0),MATCH(K$11,[1]!rng_ForecastColumnLookup,0))</f>
        <v>4146580.6579756448</v>
      </c>
      <c r="L13" s="48">
        <f ca="1">INDEX([1]!tbl_Forecast,MATCH($D$8&amp;$C13&amp;$D$7,[1]!rng_ForecastRowLookup,0),MATCH(L$11,[1]!rng_ForecastColumnLookup,0))</f>
        <v>4137164.6801511091</v>
      </c>
      <c r="M13" s="48">
        <f ca="1">INDEX([1]!tbl_Forecast,MATCH($D$8&amp;$C13&amp;$D$7,[1]!rng_ForecastRowLookup,0),MATCH(M$11,[1]!rng_ForecastColumnLookup,0))</f>
        <v>4127770.0839529554</v>
      </c>
      <c r="N13" s="48">
        <f ca="1">INDEX([1]!tbl_Forecast,MATCH($D$8&amp;$C13&amp;$D$7,[1]!rng_ForecastRowLookup,0),MATCH(N$11,[1]!rng_ForecastColumnLookup,0))</f>
        <v>4118396.8208281873</v>
      </c>
      <c r="O13" s="48">
        <f ca="1">INDEX([1]!tbl_Forecast,MATCH($D$8&amp;$C13&amp;$D$7,[1]!rng_ForecastRowLookup,0),MATCH(O$11,[1]!rng_ForecastColumnLookup,0))</f>
        <v>4109044.8423340586</v>
      </c>
      <c r="P13" s="48">
        <f ca="1">INDEX([1]!tbl_Forecast,MATCH($D$8&amp;$C13&amp;$D$7,[1]!rng_ForecastRowLookup,0),MATCH(P$11,[1]!rng_ForecastColumnLookup,0))</f>
        <v>4099714.1001378288</v>
      </c>
      <c r="Q13" s="48">
        <f ca="1">INDEX([1]!tbl_Forecast,MATCH($D$8&amp;$C13&amp;$D$7,[1]!rng_ForecastRowLookup,0),MATCH(Q$11,[1]!rng_ForecastColumnLookup,0))</f>
        <v>4090404.5460165106</v>
      </c>
      <c r="R13" s="48">
        <f ca="1">INDEX([1]!tbl_Forecast,MATCH($D$8&amp;$C13&amp;$D$7,[1]!rng_ForecastRowLookup,0),MATCH(R$11,[1]!rng_ForecastColumnLookup,0))</f>
        <v>4081116.1318566194</v>
      </c>
      <c r="S13" s="48">
        <f ca="1">INDEX([1]!tbl_Forecast,MATCH($D$8&amp;$C13&amp;$D$7,[1]!rng_ForecastRowLookup,0),MATCH(S$11,[1]!rng_ForecastColumnLookup,0))</f>
        <v>4071848.8096539262</v>
      </c>
      <c r="T13" s="48">
        <f ca="1">INDEX([1]!tbl_Forecast,MATCH($D$8&amp;$C13&amp;$D$7,[1]!rng_ForecastRowLookup,0),MATCH(T$11,[1]!rng_ForecastColumnLookup,0))</f>
        <v>4062602.5315132081</v>
      </c>
      <c r="U13" s="48">
        <f ca="1">INDEX([1]!tbl_Forecast,MATCH($D$8&amp;$C13&amp;$D$7,[1]!rng_ForecastRowLookup,0),MATCH(U$11,[1]!rng_ForecastColumnLookup,0))</f>
        <v>4053377.2496480034</v>
      </c>
      <c r="V13" s="48">
        <f ca="1">INDEX([1]!tbl_Forecast,MATCH($D$8&amp;$C13&amp;$D$7,[1]!rng_ForecastRowLookup,0),MATCH(V$11,[1]!rng_ForecastColumnLookup,0))</f>
        <v>4044172.9163803621</v>
      </c>
      <c r="W13" s="48">
        <f ca="1">INDEX([1]!tbl_Forecast,MATCH($D$8&amp;$C13&amp;$D$7,[1]!rng_ForecastRowLookup,0),MATCH(W$11,[1]!rng_ForecastColumnLookup,0))</f>
        <v>4034989.4841406001</v>
      </c>
      <c r="X13" s="48">
        <f ca="1">INDEX([1]!tbl_Forecast,MATCH($D$8&amp;$C13&amp;$D$7,[1]!rng_ForecastRowLookup,0),MATCH(X$11,[1]!rng_ForecastColumnLookup,0))</f>
        <v>4025826.9054670548</v>
      </c>
      <c r="Y13" s="59"/>
    </row>
    <row r="14" spans="1:68">
      <c r="C14" s="56" t="s">
        <v>73</v>
      </c>
      <c r="E14" s="48">
        <f ca="1">INDEX([1]!tbl_Forecast,MATCH($D$8&amp;$C14&amp;$D$7,[1]!rng_ForecastRowLookup,0),MATCH(E$11,[1]!rng_ForecastColumnLookup,0))</f>
        <v>926243.25609262148</v>
      </c>
      <c r="F14" s="48">
        <f ca="1">INDEX([1]!tbl_Forecast,MATCH($D$8&amp;$C14&amp;$D$7,[1]!rng_ForecastRowLookup,0),MATCH(F$11,[1]!rng_ForecastColumnLookup,0))</f>
        <v>924139.92640956037</v>
      </c>
      <c r="G14" s="48">
        <f ca="1">INDEX([1]!tbl_Forecast,MATCH($D$8&amp;$C14&amp;$D$7,[1]!rng_ForecastRowLookup,0),MATCH(G$11,[1]!rng_ForecastColumnLookup,0))</f>
        <v>922041.3730050053</v>
      </c>
      <c r="H14" s="48">
        <f ca="1">INDEX([1]!tbl_Forecast,MATCH($D$8&amp;$C14&amp;$D$7,[1]!rng_ForecastRowLookup,0),MATCH(H$11,[1]!rng_ForecastColumnLookup,0))</f>
        <v>919947.58503289847</v>
      </c>
      <c r="I14" s="48">
        <f ca="1">INDEX([1]!tbl_Forecast,MATCH($D$8&amp;$C14&amp;$D$7,[1]!rng_ForecastRowLookup,0),MATCH(I$11,[1]!rng_ForecastColumnLookup,0))</f>
        <v>917858.55167181045</v>
      </c>
      <c r="J14" s="48">
        <f ca="1">INDEX([1]!tbl_Forecast,MATCH($D$8&amp;$C14&amp;$D$7,[1]!rng_ForecastRowLookup,0),MATCH(J$11,[1]!rng_ForecastColumnLookup,0))</f>
        <v>915774.26212488639</v>
      </c>
      <c r="K14" s="48">
        <f ca="1">INDEX([1]!tbl_Forecast,MATCH($D$8&amp;$C14&amp;$D$7,[1]!rng_ForecastRowLookup,0),MATCH(K$11,[1]!rng_ForecastColumnLookup,0))</f>
        <v>913694.70561978838</v>
      </c>
      <c r="L14" s="48">
        <f ca="1">INDEX([1]!tbl_Forecast,MATCH($D$8&amp;$C14&amp;$D$7,[1]!rng_ForecastRowLookup,0),MATCH(L$11,[1]!rng_ForecastColumnLookup,0))</f>
        <v>911619.87140864041</v>
      </c>
      <c r="M14" s="48">
        <f ca="1">INDEX([1]!tbl_Forecast,MATCH($D$8&amp;$C14&amp;$D$7,[1]!rng_ForecastRowLookup,0),MATCH(M$11,[1]!rng_ForecastColumnLookup,0))</f>
        <v>909549.74876797362</v>
      </c>
      <c r="N14" s="48">
        <f ca="1">INDEX([1]!tbl_Forecast,MATCH($D$8&amp;$C14&amp;$D$7,[1]!rng_ForecastRowLookup,0),MATCH(N$11,[1]!rng_ForecastColumnLookup,0))</f>
        <v>907484.32699866977</v>
      </c>
      <c r="O14" s="48">
        <f ca="1">INDEX([1]!tbl_Forecast,MATCH($D$8&amp;$C14&amp;$D$7,[1]!rng_ForecastRowLookup,0),MATCH(O$11,[1]!rng_ForecastColumnLookup,0))</f>
        <v>905423.59542590659</v>
      </c>
      <c r="P14" s="48">
        <f ca="1">INDEX([1]!tbl_Forecast,MATCH($D$8&amp;$C14&amp;$D$7,[1]!rng_ForecastRowLookup,0),MATCH(P$11,[1]!rng_ForecastColumnLookup,0))</f>
        <v>903367.54339910217</v>
      </c>
      <c r="Q14" s="48">
        <f ca="1">INDEX([1]!tbl_Forecast,MATCH($D$8&amp;$C14&amp;$D$7,[1]!rng_ForecastRowLookup,0),MATCH(Q$11,[1]!rng_ForecastColumnLookup,0))</f>
        <v>901316.16029185988</v>
      </c>
      <c r="R14" s="48">
        <f ca="1">INDEX([1]!tbl_Forecast,MATCH($D$8&amp;$C14&amp;$D$7,[1]!rng_ForecastRowLookup,0),MATCH(R$11,[1]!rng_ForecastColumnLookup,0))</f>
        <v>899269.43550191447</v>
      </c>
      <c r="S14" s="48">
        <f ca="1">INDEX([1]!tbl_Forecast,MATCH($D$8&amp;$C14&amp;$D$7,[1]!rng_ForecastRowLookup,0),MATCH(S$11,[1]!rng_ForecastColumnLookup,0))</f>
        <v>897227.35845107585</v>
      </c>
      <c r="T14" s="48">
        <f ca="1">INDEX([1]!tbl_Forecast,MATCH($D$8&amp;$C14&amp;$D$7,[1]!rng_ForecastRowLookup,0),MATCH(T$11,[1]!rng_ForecastColumnLookup,0))</f>
        <v>895189.9185851753</v>
      </c>
      <c r="U14" s="48">
        <f ca="1">INDEX([1]!tbl_Forecast,MATCH($D$8&amp;$C14&amp;$D$7,[1]!rng_ForecastRowLookup,0),MATCH(U$11,[1]!rng_ForecastColumnLookup,0))</f>
        <v>893157.10537401051</v>
      </c>
      <c r="V14" s="48">
        <f ca="1">INDEX([1]!tbl_Forecast,MATCH($D$8&amp;$C14&amp;$D$7,[1]!rng_ForecastRowLookup,0),MATCH(V$11,[1]!rng_ForecastColumnLookup,0))</f>
        <v>891128.90831129183</v>
      </c>
      <c r="W14" s="48">
        <f ca="1">INDEX([1]!tbl_Forecast,MATCH($D$8&amp;$C14&amp;$D$7,[1]!rng_ForecastRowLookup,0),MATCH(W$11,[1]!rng_ForecastColumnLookup,0))</f>
        <v>889105.31691458682</v>
      </c>
      <c r="X14" s="48">
        <f ca="1">INDEX([1]!tbl_Forecast,MATCH($D$8&amp;$C14&amp;$D$7,[1]!rng_ForecastRowLookup,0),MATCH(X$11,[1]!rng_ForecastColumnLookup,0))</f>
        <v>887086.32072526717</v>
      </c>
      <c r="Y14" s="59"/>
    </row>
    <row r="15" spans="1:68">
      <c r="C15" s="56" t="s">
        <v>74</v>
      </c>
      <c r="E15" s="48">
        <f ca="1">INDEX([1]!tbl_Forecast,MATCH($D$8&amp;$C15&amp;$D$7,[1]!rng_ForecastRowLookup,0),MATCH(E$11,[1]!rng_ForecastColumnLookup,0))</f>
        <v>211180.07985625503</v>
      </c>
      <c r="F15" s="48">
        <f ca="1">INDEX([1]!tbl_Forecast,MATCH($D$8&amp;$C15&amp;$D$7,[1]!rng_ForecastRowLookup,0),MATCH(F$11,[1]!rng_ForecastColumnLookup,0))</f>
        <v>210700.52836963299</v>
      </c>
      <c r="G15" s="48">
        <f ca="1">INDEX([1]!tbl_Forecast,MATCH($D$8&amp;$C15&amp;$D$7,[1]!rng_ForecastRowLookup,0),MATCH(G$11,[1]!rng_ForecastColumnLookup,0))</f>
        <v>210222.06585706791</v>
      </c>
      <c r="H15" s="48">
        <f ca="1">INDEX([1]!tbl_Forecast,MATCH($D$8&amp;$C15&amp;$D$7,[1]!rng_ForecastRowLookup,0),MATCH(H$11,[1]!rng_ForecastColumnLookup,0))</f>
        <v>209744.68984569819</v>
      </c>
      <c r="I15" s="48">
        <f ca="1">INDEX([1]!tbl_Forecast,MATCH($D$8&amp;$C15&amp;$D$7,[1]!rng_ForecastRowLookup,0),MATCH(I$11,[1]!rng_ForecastColumnLookup,0))</f>
        <v>209268.39786827751</v>
      </c>
      <c r="J15" s="48">
        <f ca="1">INDEX([1]!tbl_Forecast,MATCH($D$8&amp;$C15&amp;$D$7,[1]!rng_ForecastRowLookup,0),MATCH(J$11,[1]!rng_ForecastColumnLookup,0))</f>
        <v>208793.18746316229</v>
      </c>
      <c r="K15" s="48">
        <f ca="1">INDEX([1]!tbl_Forecast,MATCH($D$8&amp;$C15&amp;$D$7,[1]!rng_ForecastRowLookup,0),MATCH(K$11,[1]!rng_ForecastColumnLookup,0))</f>
        <v>208319.05617429892</v>
      </c>
      <c r="L15" s="48">
        <f ca="1">INDEX([1]!tbl_Forecast,MATCH($D$8&amp;$C15&amp;$D$7,[1]!rng_ForecastRowLookup,0),MATCH(L$11,[1]!rng_ForecastColumnLookup,0))</f>
        <v>207846.00155121088</v>
      </c>
      <c r="M15" s="48">
        <f ca="1">INDEX([1]!tbl_Forecast,MATCH($D$8&amp;$C15&amp;$D$7,[1]!rng_ForecastRowLookup,0),MATCH(M$11,[1]!rng_ForecastColumnLookup,0))</f>
        <v>207374.0211489865</v>
      </c>
      <c r="N15" s="48">
        <f ca="1">INDEX([1]!tbl_Forecast,MATCH($D$8&amp;$C15&amp;$D$7,[1]!rng_ForecastRowLookup,0),MATCH(N$11,[1]!rng_ForecastColumnLookup,0))</f>
        <v>206903.11252826577</v>
      </c>
      <c r="O15" s="48">
        <f ca="1">INDEX([1]!tbl_Forecast,MATCH($D$8&amp;$C15&amp;$D$7,[1]!rng_ForecastRowLookup,0),MATCH(O$11,[1]!rng_ForecastColumnLookup,0))</f>
        <v>206433.27325522827</v>
      </c>
      <c r="P15" s="48">
        <f ca="1">INDEX([1]!tbl_Forecast,MATCH($D$8&amp;$C15&amp;$D$7,[1]!rng_ForecastRowLookup,0),MATCH(P$11,[1]!rng_ForecastColumnLookup,0))</f>
        <v>205964.50090158021</v>
      </c>
      <c r="Q15" s="48">
        <f ca="1">INDEX([1]!tbl_Forecast,MATCH($D$8&amp;$C15&amp;$D$7,[1]!rng_ForecastRowLookup,0),MATCH(Q$11,[1]!rng_ForecastColumnLookup,0))</f>
        <v>205496.79304454199</v>
      </c>
      <c r="R15" s="48">
        <f ca="1">INDEX([1]!tbl_Forecast,MATCH($D$8&amp;$C15&amp;$D$7,[1]!rng_ForecastRowLookup,0),MATCH(R$11,[1]!rng_ForecastColumnLookup,0))</f>
        <v>205030.14726683579</v>
      </c>
      <c r="S15" s="48">
        <f ca="1">INDEX([1]!tbl_Forecast,MATCH($D$8&amp;$C15&amp;$D$7,[1]!rng_ForecastRowLookup,0),MATCH(S$11,[1]!rng_ForecastColumnLookup,0))</f>
        <v>204564.56115667295</v>
      </c>
      <c r="T15" s="48">
        <f ca="1">INDEX([1]!tbl_Forecast,MATCH($D$8&amp;$C15&amp;$D$7,[1]!rng_ForecastRowLookup,0),MATCH(T$11,[1]!rng_ForecastColumnLookup,0))</f>
        <v>204100.03230774152</v>
      </c>
      <c r="U15" s="48">
        <f ca="1">INDEX([1]!tbl_Forecast,MATCH($D$8&amp;$C15&amp;$D$7,[1]!rng_ForecastRowLookup,0),MATCH(U$11,[1]!rng_ForecastColumnLookup,0))</f>
        <v>203636.55831919383</v>
      </c>
      <c r="V15" s="48">
        <f ca="1">INDEX([1]!tbl_Forecast,MATCH($D$8&amp;$C15&amp;$D$7,[1]!rng_ForecastRowLookup,0),MATCH(V$11,[1]!rng_ForecastColumnLookup,0))</f>
        <v>203174.13679563423</v>
      </c>
      <c r="W15" s="48">
        <f ca="1">INDEX([1]!tbl_Forecast,MATCH($D$8&amp;$C15&amp;$D$7,[1]!rng_ForecastRowLookup,0),MATCH(W$11,[1]!rng_ForecastColumnLookup,0))</f>
        <v>202712.76534710638</v>
      </c>
      <c r="X15" s="48">
        <f ca="1">INDEX([1]!tbl_Forecast,MATCH($D$8&amp;$C15&amp;$D$7,[1]!rng_ForecastRowLookup,0),MATCH(X$11,[1]!rng_ForecastColumnLookup,0))</f>
        <v>202252.44158908122</v>
      </c>
      <c r="Y15" s="59"/>
    </row>
    <row r="16" spans="1:68">
      <c r="C16" s="56" t="s">
        <v>75</v>
      </c>
      <c r="E16" s="48">
        <f ca="1">INDEX([1]!tbl_Forecast,MATCH($D$8&amp;$C16&amp;$D$7,[1]!rng_ForecastRowLookup,0),MATCH(E$11,[1]!rng_ForecastColumnLookup,0))</f>
        <v>572006.3278356482</v>
      </c>
      <c r="F16" s="48">
        <f ca="1">INDEX([1]!tbl_Forecast,MATCH($D$8&amp;$C16&amp;$D$7,[1]!rng_ForecastRowLookup,0),MATCH(F$11,[1]!rng_ForecastColumnLookup,0))</f>
        <v>565893.30394507048</v>
      </c>
      <c r="G16" s="48">
        <f ca="1">INDEX([1]!tbl_Forecast,MATCH($D$8&amp;$C16&amp;$D$7,[1]!rng_ForecastRowLookup,0),MATCH(G$11,[1]!rng_ForecastColumnLookup,0))</f>
        <v>559845.60985814757</v>
      </c>
      <c r="H16" s="48">
        <f ca="1">INDEX([1]!tbl_Forecast,MATCH($D$8&amp;$C16&amp;$D$7,[1]!rng_ForecastRowLookup,0),MATCH(H$11,[1]!rng_ForecastColumnLookup,0))</f>
        <v>553862.54739615123</v>
      </c>
      <c r="I16" s="48">
        <f ca="1">INDEX([1]!tbl_Forecast,MATCH($D$8&amp;$C16&amp;$D$7,[1]!rng_ForecastRowLookup,0),MATCH(I$11,[1]!rng_ForecastColumnLookup,0))</f>
        <v>547943.42584177968</v>
      </c>
      <c r="J16" s="48">
        <f ca="1">INDEX([1]!tbl_Forecast,MATCH($D$8&amp;$C16&amp;$D$7,[1]!rng_ForecastRowLookup,0),MATCH(J$11,[1]!rng_ForecastColumnLookup,0))</f>
        <v>542087.56185941794</v>
      </c>
      <c r="K16" s="48">
        <f ca="1">INDEX([1]!tbl_Forecast,MATCH($D$8&amp;$C16&amp;$D$7,[1]!rng_ForecastRowLookup,0),MATCH(K$11,[1]!rng_ForecastColumnLookup,0))</f>
        <v>536294.27941624937</v>
      </c>
      <c r="L16" s="48">
        <f ca="1">INDEX([1]!tbl_Forecast,MATCH($D$8&amp;$C16&amp;$D$7,[1]!rng_ForecastRowLookup,0),MATCH(L$11,[1]!rng_ForecastColumnLookup,0))</f>
        <v>530562.90970421082</v>
      </c>
      <c r="M16" s="48">
        <f ca="1">INDEX([1]!tbl_Forecast,MATCH($D$8&amp;$C16&amp;$D$7,[1]!rng_ForecastRowLookup,0),MATCH(M$11,[1]!rng_ForecastColumnLookup,0))</f>
        <v>524892.79106278194</v>
      </c>
      <c r="N16" s="48">
        <f ca="1">INDEX([1]!tbl_Forecast,MATCH($D$8&amp;$C16&amp;$D$7,[1]!rng_ForecastRowLookup,0),MATCH(N$11,[1]!rng_ForecastColumnLookup,0))</f>
        <v>519283.26890259917</v>
      </c>
      <c r="O16" s="48">
        <f ca="1">INDEX([1]!tbl_Forecast,MATCH($D$8&amp;$C16&amp;$D$7,[1]!rng_ForecastRowLookup,0),MATCH(O$11,[1]!rng_ForecastColumnLookup,0))</f>
        <v>513733.69562988722</v>
      </c>
      <c r="P16" s="48">
        <f ca="1">INDEX([1]!tbl_Forecast,MATCH($D$8&amp;$C16&amp;$D$7,[1]!rng_ForecastRowLookup,0),MATCH(P$11,[1]!rng_ForecastColumnLookup,0))</f>
        <v>508243.4305716962</v>
      </c>
      <c r="Q16" s="48">
        <f ca="1">INDEX([1]!tbl_Forecast,MATCH($D$8&amp;$C16&amp;$D$7,[1]!rng_ForecastRowLookup,0),MATCH(Q$11,[1]!rng_ForecastColumnLookup,0))</f>
        <v>502811.8399019395</v>
      </c>
      <c r="R16" s="48">
        <f ca="1">INDEX([1]!tbl_Forecast,MATCH($D$8&amp;$C16&amp;$D$7,[1]!rng_ForecastRowLookup,0),MATCH(R$11,[1]!rng_ForecastColumnLookup,0))</f>
        <v>497438.2965682213</v>
      </c>
      <c r="S16" s="48">
        <f ca="1">INDEX([1]!tbl_Forecast,MATCH($D$8&amp;$C16&amp;$D$7,[1]!rng_ForecastRowLookup,0),MATCH(S$11,[1]!rng_ForecastColumnLookup,0))</f>
        <v>492122.18021944637</v>
      </c>
      <c r="T16" s="48">
        <f ca="1">INDEX([1]!tbl_Forecast,MATCH($D$8&amp;$C16&amp;$D$7,[1]!rng_ForecastRowLookup,0),MATCH(T$11,[1]!rng_ForecastColumnLookup,0))</f>
        <v>486862.87713420321</v>
      </c>
      <c r="U16" s="48">
        <f ca="1">INDEX([1]!tbl_Forecast,MATCH($D$8&amp;$C16&amp;$D$7,[1]!rng_ForecastRowLookup,0),MATCH(U$11,[1]!rng_ForecastColumnLookup,0))</f>
        <v>481659.78014991269</v>
      </c>
      <c r="V16" s="48">
        <f ca="1">INDEX([1]!tbl_Forecast,MATCH($D$8&amp;$C16&amp;$D$7,[1]!rng_ForecastRowLookup,0),MATCH(V$11,[1]!rng_ForecastColumnLookup,0))</f>
        <v>476512.28859273402</v>
      </c>
      <c r="W16" s="48">
        <f ca="1">INDEX([1]!tbl_Forecast,MATCH($D$8&amp;$C16&amp;$D$7,[1]!rng_ForecastRowLookup,0),MATCH(W$11,[1]!rng_ForecastColumnLookup,0))</f>
        <v>471419.80820821953</v>
      </c>
      <c r="X16" s="48">
        <f ca="1">INDEX([1]!tbl_Forecast,MATCH($D$8&amp;$C16&amp;$D$7,[1]!rng_ForecastRowLookup,0),MATCH(X$11,[1]!rng_ForecastColumnLookup,0))</f>
        <v>466381.75109271082</v>
      </c>
      <c r="Y16" s="59"/>
    </row>
    <row r="17" spans="1:26">
      <c r="E17" s="59"/>
      <c r="F17" s="59"/>
      <c r="G17" s="59"/>
      <c r="H17" s="59"/>
      <c r="I17" s="59"/>
      <c r="J17" s="59"/>
      <c r="K17" s="59"/>
      <c r="L17" s="59"/>
      <c r="M17" s="59"/>
      <c r="N17" s="59"/>
      <c r="O17" s="59"/>
      <c r="P17" s="59"/>
      <c r="Q17" s="59"/>
      <c r="R17" s="59"/>
      <c r="S17" s="59"/>
      <c r="T17" s="59"/>
      <c r="U17" s="59"/>
      <c r="V17" s="59"/>
      <c r="W17" s="59"/>
      <c r="X17" s="59"/>
      <c r="Y17" s="59"/>
    </row>
    <row r="18" spans="1:26">
      <c r="B18" s="56" t="s">
        <v>76</v>
      </c>
      <c r="C18" s="56" t="s">
        <v>77</v>
      </c>
      <c r="E18" s="59">
        <f t="shared" ref="E18:X18" ca="1" si="1">SUM(E13:E16)</f>
        <v>5912957.9357845243</v>
      </c>
      <c r="F18" s="59">
        <f t="shared" ca="1" si="1"/>
        <v>5894716.7373226183</v>
      </c>
      <c r="G18" s="59">
        <f t="shared" ca="1" si="1"/>
        <v>5876568.4091907088</v>
      </c>
      <c r="H18" s="59">
        <f t="shared" ca="1" si="1"/>
        <v>5858512.1906713378</v>
      </c>
      <c r="I18" s="59">
        <f t="shared" ca="1" si="1"/>
        <v>5840547.3286504922</v>
      </c>
      <c r="J18" s="59">
        <f t="shared" ca="1" si="1"/>
        <v>5822673.077537531</v>
      </c>
      <c r="K18" s="59">
        <f t="shared" ca="1" si="1"/>
        <v>5804888.6991859814</v>
      </c>
      <c r="L18" s="59">
        <f t="shared" ca="1" si="1"/>
        <v>5787193.462815172</v>
      </c>
      <c r="M18" s="59">
        <f t="shared" ca="1" si="1"/>
        <v>5769586.6449326966</v>
      </c>
      <c r="N18" s="59">
        <f t="shared" ca="1" si="1"/>
        <v>5752067.5292577213</v>
      </c>
      <c r="O18" s="59">
        <f t="shared" ca="1" si="1"/>
        <v>5734635.406645081</v>
      </c>
      <c r="P18" s="59">
        <f t="shared" ca="1" si="1"/>
        <v>5717289.5750102066</v>
      </c>
      <c r="Q18" s="59">
        <f t="shared" ca="1" si="1"/>
        <v>5700029.3392548524</v>
      </c>
      <c r="R18" s="59">
        <f t="shared" ca="1" si="1"/>
        <v>5682854.0111935912</v>
      </c>
      <c r="S18" s="59">
        <f t="shared" ca="1" si="1"/>
        <v>5665762.9094811222</v>
      </c>
      <c r="T18" s="59">
        <f t="shared" ca="1" si="1"/>
        <v>5648755.3595403275</v>
      </c>
      <c r="U18" s="59">
        <f t="shared" ca="1" si="1"/>
        <v>5631830.6934911208</v>
      </c>
      <c r="V18" s="59">
        <f t="shared" ca="1" si="1"/>
        <v>5614988.250080023</v>
      </c>
      <c r="W18" s="59">
        <f t="shared" ca="1" si="1"/>
        <v>5598227.3746105134</v>
      </c>
      <c r="X18" s="59">
        <f t="shared" ca="1" si="1"/>
        <v>5581547.4188741138</v>
      </c>
      <c r="Y18" s="59"/>
    </row>
    <row r="19" spans="1:26">
      <c r="D19" s="59"/>
      <c r="E19" s="59"/>
      <c r="F19" s="59"/>
      <c r="G19" s="59"/>
      <c r="H19" s="59"/>
      <c r="I19" s="59"/>
      <c r="J19" s="59"/>
      <c r="K19" s="59"/>
      <c r="L19" s="59"/>
      <c r="M19" s="59"/>
      <c r="N19" s="59"/>
      <c r="O19" s="59"/>
      <c r="P19" s="59"/>
      <c r="Q19" s="59"/>
      <c r="R19" s="59"/>
      <c r="S19" s="59"/>
      <c r="T19" s="59"/>
      <c r="U19" s="59"/>
      <c r="V19" s="59"/>
      <c r="W19" s="59"/>
      <c r="X19" s="59"/>
    </row>
    <row r="20" spans="1:26">
      <c r="D20" s="59"/>
      <c r="E20" s="59"/>
      <c r="F20" s="59"/>
      <c r="G20" s="59"/>
      <c r="H20" s="59"/>
      <c r="I20" s="59"/>
      <c r="J20" s="59"/>
      <c r="K20" s="59"/>
      <c r="L20" s="59"/>
      <c r="M20" s="59"/>
      <c r="N20" s="59"/>
      <c r="O20" s="59"/>
      <c r="P20" s="59"/>
      <c r="Q20" s="59"/>
      <c r="R20" s="59"/>
      <c r="S20" s="59"/>
      <c r="T20" s="59"/>
      <c r="U20" s="59"/>
      <c r="V20" s="59"/>
      <c r="W20" s="59"/>
      <c r="X20" s="59"/>
    </row>
    <row r="21" spans="1:26" ht="15">
      <c r="A21" s="69" t="str">
        <f>CONCATENATE("# HOMES APPLICABLE BY YEAR FOR MEASURE - ",C22)</f>
        <v># HOMES APPLICABLE BY YEAR FOR MEASURE - ResWx - Retro</v>
      </c>
      <c r="D21" s="59"/>
      <c r="E21" s="59"/>
      <c r="F21" s="59"/>
      <c r="G21" s="59"/>
      <c r="H21" s="59"/>
      <c r="I21" s="59"/>
      <c r="J21" s="59"/>
      <c r="K21" s="59"/>
      <c r="L21" s="59"/>
      <c r="M21" s="59"/>
      <c r="N21" s="59"/>
      <c r="O21" s="59"/>
      <c r="P21" s="59"/>
      <c r="Q21" s="59"/>
      <c r="R21" s="59"/>
      <c r="S21" s="59"/>
      <c r="T21" s="59"/>
      <c r="U21" s="59"/>
      <c r="V21" s="59"/>
      <c r="W21" s="59"/>
      <c r="X21" s="59"/>
      <c r="Z21" s="266">
        <v>0.85</v>
      </c>
    </row>
    <row r="22" spans="1:26" ht="15">
      <c r="A22" s="76" t="s">
        <v>78</v>
      </c>
      <c r="B22" s="76" t="s">
        <v>178</v>
      </c>
      <c r="C22" s="76" t="str">
        <f>CONCATENATE(C8," - ",C7)</f>
        <v>ResWx - Retro</v>
      </c>
      <c r="D22" s="56">
        <v>2</v>
      </c>
      <c r="E22" s="56">
        <v>3</v>
      </c>
      <c r="F22" s="56">
        <v>4</v>
      </c>
      <c r="G22" s="56">
        <v>5</v>
      </c>
      <c r="H22" s="56">
        <v>6</v>
      </c>
      <c r="I22" s="56">
        <v>7</v>
      </c>
      <c r="J22" s="56">
        <v>8</v>
      </c>
      <c r="K22" s="56">
        <v>9</v>
      </c>
      <c r="L22" s="56">
        <v>10</v>
      </c>
      <c r="M22" s="56">
        <v>11</v>
      </c>
      <c r="N22" s="56">
        <v>12</v>
      </c>
      <c r="O22" s="56">
        <v>13</v>
      </c>
      <c r="P22" s="56">
        <v>14</v>
      </c>
      <c r="Q22" s="56">
        <v>15</v>
      </c>
      <c r="R22" s="56">
        <v>16</v>
      </c>
      <c r="S22" s="56">
        <v>17</v>
      </c>
      <c r="T22" s="56">
        <v>18</v>
      </c>
      <c r="U22" s="56">
        <v>19</v>
      </c>
      <c r="V22" s="56">
        <v>20</v>
      </c>
      <c r="W22" s="56">
        <v>21</v>
      </c>
      <c r="X22" s="56">
        <v>22</v>
      </c>
      <c r="Z22" s="56" t="s">
        <v>5819</v>
      </c>
    </row>
    <row r="23" spans="1:26">
      <c r="A23" s="83">
        <f>INDEX([2]APPLIC!$B$8:$F$100,MATCH(CONCATENATE(LEFT(D23,FIND("_",D23)-1)," - ",$C$7),[2]APPLIC!$B$9:$B$100,0)+1,MATCH(C23,[2]APPLIC!$C$8:$F$8,0)+1)</f>
        <v>1.7654231774693385E-2</v>
      </c>
      <c r="B23" s="79">
        <f>VLOOKUP(RIGHT($D23,LEN(D23)-FIND("_",$D23)),Weighting!$D$6:$H$9,5,FALSE)</f>
        <v>0.7568396688324206</v>
      </c>
      <c r="C23" s="56" t="s">
        <v>75</v>
      </c>
      <c r="D23" s="27" t="s">
        <v>6420</v>
      </c>
      <c r="E23" s="59">
        <f ca="1">$A23*VLOOKUP($C23,$C$13:$Y$16,E$22,FALSE)*$B23</f>
        <v>7642.8184647623766</v>
      </c>
      <c r="F23" s="59">
        <f t="shared" ref="F23:U37" ca="1" si="2">$A23*VLOOKUP($C23,$C$13:$Y$16,F$22,FALSE)*$B23</f>
        <v>7561.1397671800923</v>
      </c>
      <c r="G23" s="59">
        <f t="shared" ca="1" si="2"/>
        <v>7480.3339687343641</v>
      </c>
      <c r="H23" s="59">
        <f t="shared" ca="1" si="2"/>
        <v>7400.3917407639228</v>
      </c>
      <c r="I23" s="59">
        <f t="shared" ca="1" si="2"/>
        <v>7321.3038543027751</v>
      </c>
      <c r="J23" s="59">
        <f t="shared" ca="1" si="2"/>
        <v>7243.061179014765</v>
      </c>
      <c r="K23" s="59">
        <f t="shared" ca="1" si="2"/>
        <v>7165.6546821395168</v>
      </c>
      <c r="L23" s="59">
        <f t="shared" ca="1" si="2"/>
        <v>7089.0754274496385</v>
      </c>
      <c r="M23" s="59">
        <f t="shared" ca="1" si="2"/>
        <v>7013.3145742190818</v>
      </c>
      <c r="N23" s="59">
        <f t="shared" ca="1" si="2"/>
        <v>6938.3633762025165</v>
      </c>
      <c r="O23" s="59">
        <f t="shared" ca="1" si="2"/>
        <v>6864.213180625622</v>
      </c>
      <c r="P23" s="59">
        <f t="shared" ca="1" si="2"/>
        <v>6790.8554271861558</v>
      </c>
      <c r="Q23" s="59">
        <f t="shared" ca="1" si="2"/>
        <v>6718.2816470657108</v>
      </c>
      <c r="R23" s="59">
        <f t="shared" ca="1" si="2"/>
        <v>6646.4834619520261</v>
      </c>
      <c r="S23" s="59">
        <f t="shared" ca="1" si="2"/>
        <v>6575.4525830717566</v>
      </c>
      <c r="T23" s="59">
        <f t="shared" ca="1" si="2"/>
        <v>6505.1808102335581</v>
      </c>
      <c r="U23" s="59">
        <f t="shared" ca="1" si="2"/>
        <v>6435.6600308814277</v>
      </c>
      <c r="V23" s="59">
        <f t="shared" ref="V23:X40" ca="1" si="3">$A23*VLOOKUP($C23,$C$13:$Y$16,V$22,FALSE)*$B23</f>
        <v>6366.8822191581321</v>
      </c>
      <c r="W23" s="59">
        <f t="shared" ca="1" si="3"/>
        <v>6298.8394349786713</v>
      </c>
      <c r="X23" s="59">
        <f t="shared" ca="1" si="3"/>
        <v>6231.5238231136191</v>
      </c>
      <c r="Y23" s="59"/>
      <c r="Z23" s="56">
        <f ca="1">VLOOKUP($C23,$C$13:$X$16,$X$22,FALSE)*A23*B23*$Z$21</f>
        <v>5296.7952496465759</v>
      </c>
    </row>
    <row r="24" spans="1:26">
      <c r="A24" s="83">
        <f>INDEX([2]APPLIC!$B$8:$F$100,MATCH(CONCATENATE(LEFT(D24,FIND("_",D24)-1)," - ",$C$7),[2]APPLIC!$B$9:$B$100,0)+1,MATCH(C24,[2]APPLIC!$C$8:$F$8,0)+1)</f>
        <v>5.370909487280473E-2</v>
      </c>
      <c r="B24" s="79">
        <f>VLOOKUP(RIGHT($D24,LEN(D24)-FIND("_",$D24)),Weighting!$D$6:$H$9,5,FALSE)</f>
        <v>0.7568396688324206</v>
      </c>
      <c r="C24" s="56" t="s">
        <v>75</v>
      </c>
      <c r="D24" s="27" t="s">
        <v>6387</v>
      </c>
      <c r="E24" s="59">
        <f t="shared" ref="E24:T38" ca="1" si="4">$A24*VLOOKUP($C24,$C$13:$Y$16,E$22,FALSE)*$B24</f>
        <v>23251.58450723215</v>
      </c>
      <c r="F24" s="59">
        <f t="shared" ca="1" si="2"/>
        <v>23003.095138024793</v>
      </c>
      <c r="G24" s="59">
        <f t="shared" ca="1" si="2"/>
        <v>22757.261371345943</v>
      </c>
      <c r="H24" s="59">
        <f t="shared" ca="1" si="2"/>
        <v>22514.054826807278</v>
      </c>
      <c r="I24" s="59">
        <f t="shared" ca="1" si="2"/>
        <v>22273.44742732132</v>
      </c>
      <c r="J24" s="59">
        <f t="shared" ca="1" si="2"/>
        <v>22035.411395860032</v>
      </c>
      <c r="K24" s="59">
        <f t="shared" ca="1" si="2"/>
        <v>21799.919252248117</v>
      </c>
      <c r="L24" s="59">
        <f t="shared" ca="1" si="2"/>
        <v>21566.943809990516</v>
      </c>
      <c r="M24" s="59">
        <f t="shared" ca="1" si="2"/>
        <v>21336.458173133895</v>
      </c>
      <c r="N24" s="59">
        <f t="shared" ca="1" si="2"/>
        <v>21108.435733161594</v>
      </c>
      <c r="O24" s="59">
        <f t="shared" ca="1" si="2"/>
        <v>20882.850165921831</v>
      </c>
      <c r="P24" s="59">
        <f t="shared" ca="1" si="2"/>
        <v>20659.67542858866</v>
      </c>
      <c r="Q24" s="59">
        <f t="shared" ca="1" si="2"/>
        <v>20438.885756655469</v>
      </c>
      <c r="R24" s="59">
        <f t="shared" ca="1" si="2"/>
        <v>20220.455660960582</v>
      </c>
      <c r="S24" s="59">
        <f t="shared" ca="1" si="2"/>
        <v>20004.359924744644</v>
      </c>
      <c r="T24" s="59">
        <f t="shared" ca="1" si="2"/>
        <v>19790.573600739477</v>
      </c>
      <c r="U24" s="59">
        <f t="shared" ca="1" si="2"/>
        <v>19579.072008288011</v>
      </c>
      <c r="V24" s="59">
        <f t="shared" ca="1" si="3"/>
        <v>19369.830730495025</v>
      </c>
      <c r="W24" s="59">
        <f t="shared" ca="1" si="3"/>
        <v>19162.825611408331</v>
      </c>
      <c r="X24" s="59">
        <f t="shared" ca="1" si="3"/>
        <v>18958.032753230073</v>
      </c>
      <c r="Y24" s="59"/>
      <c r="Z24" s="56">
        <f t="shared" ref="Z24:Z41" ca="1" si="5">VLOOKUP($C24,$C$13:$X$16,$X$22,FALSE)*A24*B24*$Z$21</f>
        <v>16114.327840245562</v>
      </c>
    </row>
    <row r="25" spans="1:26">
      <c r="A25" s="83">
        <f>INDEX([2]APPLIC!$B$8:$F$100,MATCH(CONCATENATE(LEFT(D25,FIND("_",D25)-1)," - ",$C$7),[2]APPLIC!$B$9:$B$100,0)+1,MATCH(C25,[2]APPLIC!$C$8:$F$8,0)+1)</f>
        <v>1.7654231774693385E-2</v>
      </c>
      <c r="B25" s="79">
        <f>VLOOKUP(RIGHT($D25,LEN(D25)-FIND("_",$D25)),Weighting!$D$6:$H$9,5,FALSE)</f>
        <v>0.21483730578327848</v>
      </c>
      <c r="C25" s="56" t="s">
        <v>75</v>
      </c>
      <c r="D25" s="27" t="s">
        <v>6421</v>
      </c>
      <c r="E25" s="59">
        <f t="shared" ca="1" si="4"/>
        <v>2169.4985017015606</v>
      </c>
      <c r="F25" s="59">
        <f t="shared" ca="1" si="2"/>
        <v>2146.313100551095</v>
      </c>
      <c r="G25" s="59">
        <f t="shared" ca="1" si="2"/>
        <v>2123.3754814691983</v>
      </c>
      <c r="H25" s="59">
        <f t="shared" ca="1" si="2"/>
        <v>2100.6829964122539</v>
      </c>
      <c r="I25" s="59">
        <f t="shared" ca="1" si="2"/>
        <v>2078.2330256362525</v>
      </c>
      <c r="J25" s="59">
        <f t="shared" ca="1" si="2"/>
        <v>2056.0229773943515</v>
      </c>
      <c r="K25" s="59">
        <f t="shared" ca="1" si="2"/>
        <v>2034.0502876376759</v>
      </c>
      <c r="L25" s="59">
        <f t="shared" ca="1" si="2"/>
        <v>2012.3124197193022</v>
      </c>
      <c r="M25" s="59">
        <f t="shared" ca="1" si="2"/>
        <v>1990.8068641014199</v>
      </c>
      <c r="N25" s="59">
        <f t="shared" ca="1" si="2"/>
        <v>1969.5311380656151</v>
      </c>
      <c r="O25" s="59">
        <f t="shared" ca="1" si="2"/>
        <v>1948.4827854262523</v>
      </c>
      <c r="P25" s="59">
        <f t="shared" ca="1" si="2"/>
        <v>1927.6593762469186</v>
      </c>
      <c r="Q25" s="59">
        <f t="shared" ca="1" si="2"/>
        <v>1907.058506559898</v>
      </c>
      <c r="R25" s="59">
        <f t="shared" ca="1" si="2"/>
        <v>1886.6777980886452</v>
      </c>
      <c r="S25" s="59">
        <f t="shared" ca="1" si="2"/>
        <v>1866.5148979732255</v>
      </c>
      <c r="T25" s="59">
        <f t="shared" ca="1" si="2"/>
        <v>1846.5674784986843</v>
      </c>
      <c r="U25" s="59">
        <f t="shared" ca="1" si="2"/>
        <v>1826.8332368263275</v>
      </c>
      <c r="V25" s="59">
        <f t="shared" ca="1" si="3"/>
        <v>1807.309894727865</v>
      </c>
      <c r="W25" s="59">
        <f t="shared" ca="1" si="3"/>
        <v>1787.9951983224032</v>
      </c>
      <c r="X25" s="59">
        <f t="shared" ca="1" si="3"/>
        <v>1768.8869178162411</v>
      </c>
      <c r="Y25" s="59"/>
      <c r="Z25" s="56">
        <f t="shared" ca="1" si="5"/>
        <v>1503.5538801438049</v>
      </c>
    </row>
    <row r="26" spans="1:26">
      <c r="A26" s="83">
        <f>INDEX([2]APPLIC!$B$8:$F$100,MATCH(CONCATENATE(LEFT(D26,FIND("_",D26)-1)," - ",$C$7),[2]APPLIC!$B$9:$B$100,0)+1,MATCH(C26,[2]APPLIC!$C$8:$F$8,0)+1)</f>
        <v>5.370909487280473E-2</v>
      </c>
      <c r="B26" s="79">
        <f>VLOOKUP(RIGHT($D26,LEN(D26)-FIND("_",$D26)),Weighting!$D$6:$H$9,5,FALSE)</f>
        <v>0.21483730578327848</v>
      </c>
      <c r="C26" s="56" t="s">
        <v>75</v>
      </c>
      <c r="D26" s="27" t="s">
        <v>6390</v>
      </c>
      <c r="E26" s="59">
        <f t="shared" ca="1" si="4"/>
        <v>6600.219275546503</v>
      </c>
      <c r="F26" s="59">
        <f t="shared" ca="1" si="2"/>
        <v>6529.6828214007364</v>
      </c>
      <c r="G26" s="59">
        <f t="shared" ca="1" si="2"/>
        <v>6459.9001893865916</v>
      </c>
      <c r="H26" s="59">
        <f t="shared" ca="1" si="2"/>
        <v>6390.8633234171411</v>
      </c>
      <c r="I26" s="59">
        <f t="shared" ca="1" si="2"/>
        <v>6322.5642535007491</v>
      </c>
      <c r="J26" s="59">
        <f t="shared" ca="1" si="2"/>
        <v>6254.9950948209744</v>
      </c>
      <c r="K26" s="59">
        <f t="shared" ca="1" si="2"/>
        <v>6188.1480468263007</v>
      </c>
      <c r="L26" s="59">
        <f t="shared" ca="1" si="2"/>
        <v>6122.015392329602</v>
      </c>
      <c r="M26" s="59">
        <f t="shared" ca="1" si="2"/>
        <v>6056.5894966172254</v>
      </c>
      <c r="N26" s="59">
        <f t="shared" ca="1" si="2"/>
        <v>5991.8628065675985</v>
      </c>
      <c r="O26" s="59">
        <f t="shared" ca="1" si="2"/>
        <v>5927.8278497792617</v>
      </c>
      <c r="P26" s="59">
        <f t="shared" ca="1" si="2"/>
        <v>5864.4772337082031</v>
      </c>
      <c r="Q26" s="59">
        <f t="shared" ca="1" si="2"/>
        <v>5801.803644814433</v>
      </c>
      <c r="R26" s="59">
        <f t="shared" ca="1" si="2"/>
        <v>5739.7998477176607</v>
      </c>
      <c r="S26" s="59">
        <f t="shared" ca="1" si="2"/>
        <v>5678.4586843620109</v>
      </c>
      <c r="T26" s="59">
        <f t="shared" ca="1" si="2"/>
        <v>5617.7730731896518</v>
      </c>
      <c r="U26" s="59">
        <f t="shared" ca="1" si="2"/>
        <v>5557.7360083232652</v>
      </c>
      <c r="V26" s="59">
        <f t="shared" ca="1" si="3"/>
        <v>5498.3405587572506</v>
      </c>
      <c r="W26" s="59">
        <f t="shared" ca="1" si="3"/>
        <v>5439.5798675575679</v>
      </c>
      <c r="X26" s="59">
        <f t="shared" ca="1" si="3"/>
        <v>5381.4471510701396</v>
      </c>
      <c r="Y26" s="59"/>
      <c r="Z26" s="56">
        <f t="shared" ca="1" si="5"/>
        <v>4574.2300784096187</v>
      </c>
    </row>
    <row r="27" spans="1:26">
      <c r="A27" s="83">
        <f>INDEX([2]APPLIC!$B$8:$F$100,MATCH(CONCATENATE(LEFT(D27,FIND("_",D27)-1)," - ",$C$7),[2]APPLIC!$B$9:$B$100,0)+1,MATCH(C27,[2]APPLIC!$C$8:$F$8,0)+1)</f>
        <v>1.6234206236719673E-2</v>
      </c>
      <c r="B27" s="79">
        <f>VLOOKUP(RIGHT($D27,LEN(D27)-FIND("_",$D27)),Weighting!$D$6:$H$9,5,FALSE)</f>
        <v>0.7568396688324206</v>
      </c>
      <c r="C27" s="56" t="s">
        <v>75</v>
      </c>
      <c r="D27" s="27" t="s">
        <v>6388</v>
      </c>
      <c r="E27" s="59">
        <f t="shared" ca="1" si="4"/>
        <v>7028.0651557219371</v>
      </c>
      <c r="F27" s="59">
        <f t="shared" ca="1" si="2"/>
        <v>6952.9563184403178</v>
      </c>
      <c r="G27" s="59">
        <f t="shared" ca="1" si="2"/>
        <v>6878.6501682870612</v>
      </c>
      <c r="H27" s="59">
        <f t="shared" ca="1" si="2"/>
        <v>6805.1381269556814</v>
      </c>
      <c r="I27" s="59">
        <f t="shared" ca="1" si="2"/>
        <v>6732.411707815937</v>
      </c>
      <c r="J27" s="59">
        <f t="shared" ca="1" si="2"/>
        <v>6660.4625149340909</v>
      </c>
      <c r="K27" s="59">
        <f t="shared" ca="1" si="2"/>
        <v>6589.2822421036353</v>
      </c>
      <c r="L27" s="59">
        <f t="shared" ca="1" si="2"/>
        <v>6518.8626718863779</v>
      </c>
      <c r="M27" s="59">
        <f t="shared" ca="1" si="2"/>
        <v>6449.1956746637779</v>
      </c>
      <c r="N27" s="59">
        <f t="shared" ca="1" si="2"/>
        <v>6380.2732076984157</v>
      </c>
      <c r="O27" s="59">
        <f t="shared" ca="1" si="2"/>
        <v>6312.0873142055043</v>
      </c>
      <c r="P27" s="59">
        <f t="shared" ca="1" si="2"/>
        <v>6244.6301224343033</v>
      </c>
      <c r="Q27" s="59">
        <f t="shared" ca="1" si="2"/>
        <v>6177.8938447593646</v>
      </c>
      <c r="R27" s="59">
        <f t="shared" ca="1" si="2"/>
        <v>6111.8707767814913</v>
      </c>
      <c r="S27" s="59">
        <f t="shared" ca="1" si="2"/>
        <v>6046.5532964382955</v>
      </c>
      <c r="T27" s="59">
        <f t="shared" ca="1" si="2"/>
        <v>5981.9338631242663</v>
      </c>
      <c r="U27" s="59">
        <f t="shared" ca="1" si="2"/>
        <v>5918.0050168202433</v>
      </c>
      <c r="V27" s="59">
        <f t="shared" ca="1" si="3"/>
        <v>5854.7593772321879</v>
      </c>
      <c r="W27" s="59">
        <f t="shared" ca="1" si="3"/>
        <v>5792.1896429391663</v>
      </c>
      <c r="X27" s="59">
        <f t="shared" ca="1" si="3"/>
        <v>5730.2885905504281</v>
      </c>
      <c r="Y27" s="59"/>
      <c r="Z27" s="56">
        <f t="shared" ca="1" si="5"/>
        <v>4870.7453019678642</v>
      </c>
    </row>
    <row r="28" spans="1:26">
      <c r="A28" s="83">
        <f>INDEX([2]APPLIC!$B$8:$F$100,MATCH(CONCATENATE(LEFT(D28,FIND("_",D28)-1)," - ",$C$7),[2]APPLIC!$B$9:$B$100,0)+1,MATCH(C28,[2]APPLIC!$C$8:$F$8,0)+1)</f>
        <v>1.0665247527328225E-2</v>
      </c>
      <c r="B28" s="79">
        <f>VLOOKUP(RIGHT($D28,LEN(D28)-FIND("_",$D28)),Weighting!$D$6:$H$9,5,FALSE)</f>
        <v>0.7568396688324206</v>
      </c>
      <c r="C28" s="56" t="s">
        <v>75</v>
      </c>
      <c r="D28" s="27" t="s">
        <v>6389</v>
      </c>
      <c r="E28" s="59">
        <f t="shared" ca="1" si="4"/>
        <v>4617.1678141198045</v>
      </c>
      <c r="F28" s="59">
        <f t="shared" ca="1" si="2"/>
        <v>4567.8242041263311</v>
      </c>
      <c r="G28" s="59">
        <f t="shared" ca="1" si="2"/>
        <v>4519.0079286256059</v>
      </c>
      <c r="H28" s="59">
        <f t="shared" ca="1" si="2"/>
        <v>4470.7133520010348</v>
      </c>
      <c r="I28" s="59">
        <f t="shared" ca="1" si="2"/>
        <v>4422.934898863783</v>
      </c>
      <c r="J28" s="59">
        <f t="shared" ca="1" si="2"/>
        <v>4375.6670534091218</v>
      </c>
      <c r="K28" s="59">
        <f t="shared" ca="1" si="2"/>
        <v>4328.9043587796505</v>
      </c>
      <c r="L28" s="59">
        <f t="shared" ca="1" si="2"/>
        <v>4282.6414164353337</v>
      </c>
      <c r="M28" s="59">
        <f t="shared" ca="1" si="2"/>
        <v>4236.8728855302543</v>
      </c>
      <c r="N28" s="59">
        <f t="shared" ca="1" si="2"/>
        <v>4191.5934822960489</v>
      </c>
      <c r="O28" s="59">
        <f t="shared" ca="1" si="2"/>
        <v>4146.7979794319144</v>
      </c>
      <c r="P28" s="59">
        <f t="shared" ca="1" si="2"/>
        <v>4102.481205501138</v>
      </c>
      <c r="Q28" s="59">
        <f t="shared" ca="1" si="2"/>
        <v>4058.6380443340818</v>
      </c>
      <c r="R28" s="59">
        <f t="shared" ca="1" si="2"/>
        <v>4015.2634344375451</v>
      </c>
      <c r="S28" s="59">
        <f t="shared" ca="1" si="2"/>
        <v>3972.3523684104357</v>
      </c>
      <c r="T28" s="59">
        <f t="shared" ca="1" si="2"/>
        <v>3929.8998923656904</v>
      </c>
      <c r="U28" s="59">
        <f t="shared" ca="1" si="2"/>
        <v>3887.9011053583677</v>
      </c>
      <c r="V28" s="59">
        <f t="shared" ca="1" si="3"/>
        <v>3846.3511588198617</v>
      </c>
      <c r="W28" s="59">
        <f t="shared" ca="1" si="3"/>
        <v>3805.2452559981489</v>
      </c>
      <c r="X28" s="59">
        <f t="shared" ca="1" si="3"/>
        <v>3764.5786514040337</v>
      </c>
      <c r="Y28" s="59"/>
      <c r="Z28" s="56">
        <f t="shared" ca="1" si="5"/>
        <v>3199.8918536934284</v>
      </c>
    </row>
    <row r="29" spans="1:26">
      <c r="A29" s="83">
        <f>INDEX([2]APPLIC!$B$8:$F$100,MATCH(CONCATENATE(LEFT(D29,FIND("_",D29)-1)," - ",$C$7),[2]APPLIC!$B$9:$B$100,0)+1,MATCH(C29,[2]APPLIC!$C$8:$F$8,0)+1)</f>
        <v>8.366655018171143E-2</v>
      </c>
      <c r="B29" s="79">
        <f>VLOOKUP(RIGHT($D29,LEN(D29)-FIND("_",$D29)),Weighting!$D$6:$H$9,5,FALSE)</f>
        <v>0.7568396688324206</v>
      </c>
      <c r="C29" s="56" t="s">
        <v>75</v>
      </c>
      <c r="D29" s="27" t="s">
        <v>5812</v>
      </c>
      <c r="E29" s="59">
        <f t="shared" ca="1" si="4"/>
        <v>36220.678575681493</v>
      </c>
      <c r="F29" s="59">
        <f t="shared" ca="1" si="2"/>
        <v>35833.588673540238</v>
      </c>
      <c r="G29" s="59">
        <f t="shared" ca="1" si="2"/>
        <v>35450.635595948719</v>
      </c>
      <c r="H29" s="59">
        <f t="shared" ca="1" si="2"/>
        <v>35071.775132718911</v>
      </c>
      <c r="I29" s="59">
        <f t="shared" ca="1" si="2"/>
        <v>34696.963546136467</v>
      </c>
      <c r="J29" s="59">
        <f t="shared" ca="1" si="2"/>
        <v>34326.157565911402</v>
      </c>
      <c r="K29" s="59">
        <f t="shared" ca="1" si="2"/>
        <v>33959.314384182755</v>
      </c>
      <c r="L29" s="59">
        <f t="shared" ca="1" si="2"/>
        <v>33596.391650576581</v>
      </c>
      <c r="M29" s="59">
        <f t="shared" ca="1" si="2"/>
        <v>33237.347467316802</v>
      </c>
      <c r="N29" s="59">
        <f t="shared" ca="1" si="2"/>
        <v>32882.140384388302</v>
      </c>
      <c r="O29" s="59">
        <f t="shared" ca="1" si="2"/>
        <v>32530.729394751754</v>
      </c>
      <c r="P29" s="59">
        <f t="shared" ca="1" si="2"/>
        <v>32183.073929609473</v>
      </c>
      <c r="Q29" s="59">
        <f t="shared" ca="1" si="2"/>
        <v>31839.133853721964</v>
      </c>
      <c r="R29" s="59">
        <f t="shared" ca="1" si="2"/>
        <v>31498.869460774502</v>
      </c>
      <c r="S29" s="59">
        <f t="shared" ca="1" si="2"/>
        <v>31162.241468793221</v>
      </c>
      <c r="T29" s="59">
        <f t="shared" ca="1" si="2"/>
        <v>30829.211015610159</v>
      </c>
      <c r="U29" s="59">
        <f t="shared" ca="1" si="2"/>
        <v>30499.739654376841</v>
      </c>
      <c r="V29" s="59">
        <f t="shared" ca="1" si="3"/>
        <v>30173.78934912572</v>
      </c>
      <c r="W29" s="59">
        <f t="shared" ca="1" si="3"/>
        <v>29851.322470379127</v>
      </c>
      <c r="X29" s="59">
        <f t="shared" ca="1" si="3"/>
        <v>29532.301790805108</v>
      </c>
      <c r="Y29" s="59"/>
      <c r="Z29" s="59">
        <f t="shared" ca="1" si="5"/>
        <v>25102.45652218434</v>
      </c>
    </row>
    <row r="30" spans="1:26">
      <c r="A30" s="83">
        <f>INDEX([2]APPLIC!$B$8:$F$100,MATCH(CONCATENATE(LEFT(D30,FIND("_",D30)-1)," - ",$C$7),[2]APPLIC!$B$9:$B$100,0)+1,MATCH(C30,[2]APPLIC!$C$8:$F$8,0)+1)</f>
        <v>1.0533305070999921E-3</v>
      </c>
      <c r="B30" s="79">
        <f>VLOOKUP(RIGHT($D30,LEN(D30)-FIND("_",$D30)),Weighting!$D$6:$H$9,5,FALSE)</f>
        <v>0.7568396688324206</v>
      </c>
      <c r="C30" s="56" t="s">
        <v>75</v>
      </c>
      <c r="D30" s="27" t="s">
        <v>6422</v>
      </c>
      <c r="E30" s="59">
        <f t="shared" ca="1" si="4"/>
        <v>456.00476712338593</v>
      </c>
      <c r="F30" s="59">
        <f t="shared" ca="1" si="2"/>
        <v>451.13145034349969</v>
      </c>
      <c r="G30" s="59">
        <f t="shared" ca="1" si="2"/>
        <v>446.31021463414027</v>
      </c>
      <c r="H30" s="59">
        <f t="shared" ca="1" si="2"/>
        <v>441.54050340561128</v>
      </c>
      <c r="I30" s="59">
        <f t="shared" ca="1" si="2"/>
        <v>436.82176601648274</v>
      </c>
      <c r="J30" s="59">
        <f t="shared" ca="1" si="2"/>
        <v>432.15345771002234</v>
      </c>
      <c r="K30" s="59">
        <f t="shared" ca="1" si="2"/>
        <v>427.53503955130543</v>
      </c>
      <c r="L30" s="59">
        <f t="shared" ca="1" si="2"/>
        <v>422.96597836499791</v>
      </c>
      <c r="M30" s="59">
        <f t="shared" ca="1" si="2"/>
        <v>418.44574667380294</v>
      </c>
      <c r="N30" s="59">
        <f t="shared" ca="1" si="2"/>
        <v>413.97382263756651</v>
      </c>
      <c r="O30" s="59">
        <f t="shared" ca="1" si="2"/>
        <v>409.54968999303344</v>
      </c>
      <c r="P30" s="59">
        <f t="shared" ca="1" si="2"/>
        <v>405.17283799424678</v>
      </c>
      <c r="Q30" s="59">
        <f t="shared" ca="1" si="2"/>
        <v>400.84276135358482</v>
      </c>
      <c r="R30" s="59">
        <f t="shared" ca="1" si="2"/>
        <v>396.5589601834277</v>
      </c>
      <c r="S30" s="59">
        <f t="shared" ca="1" si="2"/>
        <v>392.32093993844813</v>
      </c>
      <c r="T30" s="59">
        <f t="shared" ca="1" si="2"/>
        <v>388.12821135851766</v>
      </c>
      <c r="U30" s="59">
        <f t="shared" ca="1" si="2"/>
        <v>383.98029041222435</v>
      </c>
      <c r="V30" s="59">
        <f t="shared" ca="1" si="3"/>
        <v>379.87669824099356</v>
      </c>
      <c r="W30" s="59">
        <f t="shared" ca="1" si="3"/>
        <v>375.81696110380551</v>
      </c>
      <c r="X30" s="59">
        <f t="shared" ca="1" si="3"/>
        <v>371.80061032250438</v>
      </c>
      <c r="Y30" s="59"/>
      <c r="Z30" s="59">
        <f t="shared" ca="1" si="5"/>
        <v>316.03051877412872</v>
      </c>
    </row>
    <row r="31" spans="1:26">
      <c r="A31" s="83">
        <f>INDEX([2]APPLIC!$B$8:$F$100,MATCH(CONCATENATE(LEFT(D31,FIND("_",D31)-1)," - ",$C$7),[2]APPLIC!$B$9:$B$100,0)+1,MATCH(C31,[2]APPLIC!$C$8:$F$8,0)+1)</f>
        <v>1.3677383586228942E-2</v>
      </c>
      <c r="B31" s="79">
        <f>VLOOKUP(RIGHT($D31,LEN(D31)-FIND("_",$D31)),Weighting!$D$6:$H$9,5,FALSE)</f>
        <v>0.7568396688324206</v>
      </c>
      <c r="C31" s="56" t="s">
        <v>75</v>
      </c>
      <c r="D31" s="27" t="s">
        <v>167</v>
      </c>
      <c r="E31" s="59">
        <f t="shared" ca="1" si="4"/>
        <v>5921.1729604860666</v>
      </c>
      <c r="F31" s="59">
        <f t="shared" ca="1" si="2"/>
        <v>5857.8934651268919</v>
      </c>
      <c r="G31" s="59">
        <f t="shared" ca="1" si="2"/>
        <v>5795.29023687892</v>
      </c>
      <c r="H31" s="59">
        <f t="shared" ca="1" si="2"/>
        <v>5733.3560484846776</v>
      </c>
      <c r="I31" s="59">
        <f t="shared" ca="1" si="2"/>
        <v>5672.0837499242934</v>
      </c>
      <c r="J31" s="59">
        <f t="shared" ca="1" si="2"/>
        <v>5611.4662675900636</v>
      </c>
      <c r="K31" s="59">
        <f t="shared" ca="1" si="2"/>
        <v>5551.4966034698364</v>
      </c>
      <c r="L31" s="59">
        <f t="shared" ca="1" si="2"/>
        <v>5492.1678343391177</v>
      </c>
      <c r="M31" s="59">
        <f t="shared" ca="1" si="2"/>
        <v>5433.4731109618215</v>
      </c>
      <c r="N31" s="59">
        <f t="shared" ca="1" si="2"/>
        <v>5375.4056572995514</v>
      </c>
      <c r="O31" s="59">
        <f t="shared" ca="1" si="2"/>
        <v>5317.95876972935</v>
      </c>
      <c r="P31" s="59">
        <f t="shared" ca="1" si="2"/>
        <v>5261.1258162697814</v>
      </c>
      <c r="Q31" s="59">
        <f t="shared" ca="1" si="2"/>
        <v>5204.9002358153066</v>
      </c>
      <c r="R31" s="59">
        <f t="shared" ca="1" si="2"/>
        <v>5149.2755373788332</v>
      </c>
      <c r="S31" s="59">
        <f t="shared" ca="1" si="2"/>
        <v>5094.2452993423612</v>
      </c>
      <c r="T31" s="59">
        <f t="shared" ca="1" si="2"/>
        <v>5039.8031687156354</v>
      </c>
      <c r="U31" s="59">
        <f t="shared" ca="1" si="2"/>
        <v>4985.942860402718</v>
      </c>
      <c r="V31" s="59">
        <f t="shared" ca="1" si="3"/>
        <v>4932.6581564764101</v>
      </c>
      <c r="W31" s="59">
        <f t="shared" ca="1" si="3"/>
        <v>4879.942905460417</v>
      </c>
      <c r="X31" s="59">
        <f t="shared" ca="1" si="3"/>
        <v>4827.791021619184</v>
      </c>
      <c r="Y31" s="59"/>
      <c r="Z31" s="59">
        <f t="shared" ca="1" si="5"/>
        <v>4103.6223683763064</v>
      </c>
    </row>
    <row r="32" spans="1:26">
      <c r="A32" s="83">
        <f>INDEX([2]APPLIC!$B$8:$F$100,MATCH(CONCATENATE(LEFT(D32,FIND("_",D32)-1)," - ",$C$7),[2]APPLIC!$B$9:$B$100,0)+1,MATCH(C32,[2]APPLIC!$C$8:$F$8,0)+1)</f>
        <v>3.4193458965572354E-3</v>
      </c>
      <c r="B32" s="79">
        <f>VLOOKUP(RIGHT($D32,LEN(D32)-FIND("_",$D32)),Weighting!$D$6:$H$9,5,FALSE)</f>
        <v>0.7568396688324206</v>
      </c>
      <c r="C32" s="56" t="s">
        <v>75</v>
      </c>
      <c r="D32" s="27" t="s">
        <v>169</v>
      </c>
      <c r="E32" s="59">
        <f t="shared" ca="1" si="4"/>
        <v>1480.2932401215166</v>
      </c>
      <c r="F32" s="59">
        <f t="shared" ca="1" si="2"/>
        <v>1464.473366281723</v>
      </c>
      <c r="G32" s="59">
        <f t="shared" ca="1" si="2"/>
        <v>1448.82255921973</v>
      </c>
      <c r="H32" s="59">
        <f t="shared" ca="1" si="2"/>
        <v>1433.3390121211694</v>
      </c>
      <c r="I32" s="59">
        <f t="shared" ca="1" si="2"/>
        <v>1418.0209374810734</v>
      </c>
      <c r="J32" s="59">
        <f t="shared" ca="1" si="2"/>
        <v>1402.8665668975159</v>
      </c>
      <c r="K32" s="59">
        <f t="shared" ca="1" si="2"/>
        <v>1387.8741508674591</v>
      </c>
      <c r="L32" s="59">
        <f t="shared" ca="1" si="2"/>
        <v>1373.0419585847794</v>
      </c>
      <c r="M32" s="59">
        <f t="shared" ca="1" si="2"/>
        <v>1358.3682777404554</v>
      </c>
      <c r="N32" s="59">
        <f t="shared" ca="1" si="2"/>
        <v>1343.8514143248879</v>
      </c>
      <c r="O32" s="59">
        <f t="shared" ca="1" si="2"/>
        <v>1329.4896924323375</v>
      </c>
      <c r="P32" s="59">
        <f t="shared" ca="1" si="2"/>
        <v>1315.2814540674453</v>
      </c>
      <c r="Q32" s="59">
        <f t="shared" ca="1" si="2"/>
        <v>1301.2250589538266</v>
      </c>
      <c r="R32" s="59">
        <f t="shared" ca="1" si="2"/>
        <v>1287.3188843447083</v>
      </c>
      <c r="S32" s="59">
        <f t="shared" ca="1" si="2"/>
        <v>1273.5613248355903</v>
      </c>
      <c r="T32" s="59">
        <f t="shared" ca="1" si="2"/>
        <v>1259.9507921789088</v>
      </c>
      <c r="U32" s="59">
        <f t="shared" ca="1" si="2"/>
        <v>1246.4857151006795</v>
      </c>
      <c r="V32" s="59">
        <f t="shared" ca="1" si="3"/>
        <v>1233.1645391191025</v>
      </c>
      <c r="W32" s="59">
        <f t="shared" ca="1" si="3"/>
        <v>1219.9857263651043</v>
      </c>
      <c r="X32" s="59">
        <f t="shared" ca="1" si="3"/>
        <v>1206.947755404796</v>
      </c>
      <c r="Y32" s="59"/>
      <c r="Z32" s="59">
        <f t="shared" ca="1" si="5"/>
        <v>1025.9055920940766</v>
      </c>
    </row>
    <row r="33" spans="1:71">
      <c r="A33" s="83">
        <f>INDEX([2]APPLIC!$B$8:$F$100,MATCH(CONCATENATE(LEFT(D33,FIND("_",D33)-1)," - ",$C$7),[2]APPLIC!$B$9:$B$100,0)+1,MATCH(C33,[2]APPLIC!$C$8:$F$8,0)+1)</f>
        <v>1.7392000243747764E-4</v>
      </c>
      <c r="B33" s="79">
        <f>VLOOKUP(RIGHT($D33,LEN(D33)-FIND("_",$D33)),Weighting!$D$6:$H$9,5,FALSE)</f>
        <v>0.7568396688324206</v>
      </c>
      <c r="C33" s="56" t="s">
        <v>75</v>
      </c>
      <c r="D33" s="27" t="s">
        <v>170</v>
      </c>
      <c r="E33" s="59">
        <f t="shared" ca="1" si="4"/>
        <v>75.292939561724864</v>
      </c>
      <c r="F33" s="59">
        <f t="shared" ca="1" si="2"/>
        <v>74.488284934783579</v>
      </c>
      <c r="G33" s="59">
        <f t="shared" ca="1" si="2"/>
        <v>73.692229640959411</v>
      </c>
      <c r="H33" s="59">
        <f t="shared" ca="1" si="2"/>
        <v>72.904681779295629</v>
      </c>
      <c r="I33" s="59">
        <f t="shared" ca="1" si="2"/>
        <v>72.125550430979757</v>
      </c>
      <c r="J33" s="59">
        <f t="shared" ca="1" si="2"/>
        <v>71.354745648847469</v>
      </c>
      <c r="K33" s="59">
        <f t="shared" ca="1" si="2"/>
        <v>70.592178446998588</v>
      </c>
      <c r="L33" s="59">
        <f t="shared" ca="1" si="2"/>
        <v>69.837760790523973</v>
      </c>
      <c r="M33" s="59">
        <f t="shared" ca="1" si="2"/>
        <v>69.091405585342429</v>
      </c>
      <c r="N33" s="59">
        <f t="shared" ca="1" si="2"/>
        <v>68.353026668145986</v>
      </c>
      <c r="O33" s="59">
        <f t="shared" ca="1" si="2"/>
        <v>67.622538796452858</v>
      </c>
      <c r="P33" s="59">
        <f t="shared" ca="1" si="2"/>
        <v>66.899857638766434</v>
      </c>
      <c r="Q33" s="59">
        <f t="shared" ca="1" si="2"/>
        <v>66.184899764839685</v>
      </c>
      <c r="R33" s="59">
        <f t="shared" ca="1" si="2"/>
        <v>65.477582636043522</v>
      </c>
      <c r="S33" s="59">
        <f t="shared" ca="1" si="2"/>
        <v>64.777824595838027</v>
      </c>
      <c r="T33" s="59">
        <f t="shared" ca="1" si="2"/>
        <v>64.085544860345692</v>
      </c>
      <c r="U33" s="59">
        <f t="shared" ca="1" si="2"/>
        <v>63.400663509025158</v>
      </c>
      <c r="V33" s="59">
        <f t="shared" ca="1" si="3"/>
        <v>62.723101475444821</v>
      </c>
      <c r="W33" s="59">
        <f t="shared" ca="1" si="3"/>
        <v>62.052780538154963</v>
      </c>
      <c r="X33" s="59">
        <f t="shared" ca="1" si="3"/>
        <v>61.389623311657452</v>
      </c>
      <c r="Y33" s="59"/>
      <c r="Z33" s="59">
        <f t="shared" ca="1" si="5"/>
        <v>52.18117981490883</v>
      </c>
    </row>
    <row r="34" spans="1:71">
      <c r="A34" s="83">
        <f>INDEX([2]APPLIC!$B$8:$F$100,MATCH(CONCATENATE(LEFT(D34,FIND("_",D34)-1)," - ",$C$7),[2]APPLIC!$B$9:$B$100,0)+1,MATCH(C34,[2]APPLIC!$C$8:$F$8,0)+1)</f>
        <v>6.9568000974991058E-4</v>
      </c>
      <c r="B34" s="79">
        <f>VLOOKUP(RIGHT($D34,LEN(D34)-FIND("_",$D34)),Weighting!$D$6:$H$9,5,FALSE)</f>
        <v>0.7568396688324206</v>
      </c>
      <c r="C34" s="56" t="s">
        <v>75</v>
      </c>
      <c r="D34" s="27" t="s">
        <v>168</v>
      </c>
      <c r="E34" s="59">
        <f t="shared" ca="1" si="4"/>
        <v>301.17175824689946</v>
      </c>
      <c r="F34" s="59">
        <f t="shared" ca="1" si="2"/>
        <v>297.95313973913431</v>
      </c>
      <c r="G34" s="59">
        <f t="shared" ca="1" si="2"/>
        <v>294.76891856383764</v>
      </c>
      <c r="H34" s="59">
        <f t="shared" ca="1" si="2"/>
        <v>291.61872711718252</v>
      </c>
      <c r="I34" s="59">
        <f t="shared" ca="1" si="2"/>
        <v>288.50220172391903</v>
      </c>
      <c r="J34" s="59">
        <f t="shared" ca="1" si="2"/>
        <v>285.41898259538988</v>
      </c>
      <c r="K34" s="59">
        <f t="shared" ca="1" si="2"/>
        <v>282.36871378799435</v>
      </c>
      <c r="L34" s="59">
        <f t="shared" ca="1" si="2"/>
        <v>279.35104316209589</v>
      </c>
      <c r="M34" s="59">
        <f t="shared" ca="1" si="2"/>
        <v>276.36562234136971</v>
      </c>
      <c r="N34" s="59">
        <f t="shared" ca="1" si="2"/>
        <v>273.41210667258395</v>
      </c>
      <c r="O34" s="59">
        <f t="shared" ca="1" si="2"/>
        <v>270.49015518581143</v>
      </c>
      <c r="P34" s="59">
        <f t="shared" ca="1" si="2"/>
        <v>267.59943055506574</v>
      </c>
      <c r="Q34" s="59">
        <f t="shared" ca="1" si="2"/>
        <v>264.73959905935874</v>
      </c>
      <c r="R34" s="59">
        <f t="shared" ca="1" si="2"/>
        <v>261.91033054417409</v>
      </c>
      <c r="S34" s="59">
        <f t="shared" ca="1" si="2"/>
        <v>259.11129838335211</v>
      </c>
      <c r="T34" s="59">
        <f t="shared" ca="1" si="2"/>
        <v>256.34217944138277</v>
      </c>
      <c r="U34" s="59">
        <f t="shared" ca="1" si="2"/>
        <v>253.60265403610063</v>
      </c>
      <c r="V34" s="59">
        <f t="shared" ca="1" si="3"/>
        <v>250.89240590177928</v>
      </c>
      <c r="W34" s="59">
        <f t="shared" ca="1" si="3"/>
        <v>248.21112215261985</v>
      </c>
      <c r="X34" s="59">
        <f t="shared" ca="1" si="3"/>
        <v>245.55849324662981</v>
      </c>
      <c r="Y34" s="59"/>
      <c r="Z34" s="59">
        <f t="shared" ca="1" si="5"/>
        <v>208.72471925963532</v>
      </c>
    </row>
    <row r="35" spans="1:71">
      <c r="A35" s="83">
        <f>INDEX([2]APPLIC!$B$8:$F$100,MATCH(CONCATENATE(LEFT(D35,FIND("_",D35)-1)," - ",$C$7),[2]APPLIC!$B$9:$B$100,0)+1,MATCH(C35,[2]APPLIC!$C$8:$F$8,0)+1)</f>
        <v>8.366655018171143E-2</v>
      </c>
      <c r="B35" s="79">
        <f>VLOOKUP(RIGHT($D35,LEN(D35)-FIND("_",$D35)),Weighting!$D$6:$H$9,5,FALSE)</f>
        <v>0.21483730578327848</v>
      </c>
      <c r="C35" s="56" t="s">
        <v>75</v>
      </c>
      <c r="D35" s="27" t="s">
        <v>5813</v>
      </c>
      <c r="E35" s="59">
        <f t="shared" ca="1" si="4"/>
        <v>10281.639981749582</v>
      </c>
      <c r="F35" s="59">
        <f t="shared" ca="1" si="2"/>
        <v>10171.760234298932</v>
      </c>
      <c r="G35" s="59">
        <f t="shared" ca="1" si="2"/>
        <v>10063.054770223431</v>
      </c>
      <c r="H35" s="59">
        <f t="shared" ca="1" si="2"/>
        <v>9955.5110399725272</v>
      </c>
      <c r="I35" s="59">
        <f t="shared" ca="1" si="2"/>
        <v>9849.1166281125461</v>
      </c>
      <c r="J35" s="59">
        <f t="shared" ca="1" si="2"/>
        <v>9743.8592518933838</v>
      </c>
      <c r="K35" s="59">
        <f t="shared" ca="1" si="2"/>
        <v>9639.7267598305261</v>
      </c>
      <c r="L35" s="59">
        <f t="shared" ca="1" si="2"/>
        <v>9536.707130302204</v>
      </c>
      <c r="M35" s="59">
        <f t="shared" ca="1" si="2"/>
        <v>9434.7884701615621</v>
      </c>
      <c r="N35" s="59">
        <f t="shared" ca="1" si="2"/>
        <v>9333.9590133636339</v>
      </c>
      <c r="O35" s="59">
        <f t="shared" ca="1" si="2"/>
        <v>9234.2071196070337</v>
      </c>
      <c r="P35" s="59">
        <f t="shared" ca="1" si="2"/>
        <v>9135.5212729901104</v>
      </c>
      <c r="Q35" s="59">
        <f t="shared" ca="1" si="2"/>
        <v>9037.8900806814909</v>
      </c>
      <c r="R35" s="59">
        <f t="shared" ca="1" si="2"/>
        <v>8941.302271604849</v>
      </c>
      <c r="S35" s="59">
        <f t="shared" ca="1" si="2"/>
        <v>8845.7466951376937</v>
      </c>
      <c r="T35" s="59">
        <f t="shared" ca="1" si="2"/>
        <v>8751.2123198240824</v>
      </c>
      <c r="U35" s="59">
        <f t="shared" ca="1" si="2"/>
        <v>8657.6882321010999</v>
      </c>
      <c r="V35" s="59">
        <f t="shared" ca="1" si="3"/>
        <v>8565.1636350389272</v>
      </c>
      <c r="W35" s="59">
        <f t="shared" ca="1" si="3"/>
        <v>8473.6278470943871</v>
      </c>
      <c r="X35" s="59">
        <f t="shared" ca="1" si="3"/>
        <v>8383.0703008778073</v>
      </c>
      <c r="Y35" s="59"/>
      <c r="Z35" s="59">
        <f t="shared" ca="1" si="5"/>
        <v>7125.6097557461362</v>
      </c>
    </row>
    <row r="36" spans="1:71">
      <c r="A36" s="83">
        <f>INDEX([2]APPLIC!$B$8:$F$100,MATCH(CONCATENATE(LEFT(D36,FIND("_",D36)-1)," - ",$C$7),[2]APPLIC!$B$9:$B$100,0)+1,MATCH(C36,[2]APPLIC!$C$8:$F$8,0)+1)</f>
        <v>3.4193458965572354E-3</v>
      </c>
      <c r="B36" s="79">
        <f>VLOOKUP(RIGHT($D36,LEN(D36)-FIND("_",$D36)),Weighting!$D$6:$H$9,5,FALSE)</f>
        <v>0.21483730578327848</v>
      </c>
      <c r="C36" s="56" t="s">
        <v>75</v>
      </c>
      <c r="D36" s="27" t="s">
        <v>173</v>
      </c>
      <c r="E36" s="59">
        <f t="shared" ca="1" si="4"/>
        <v>420.19759874310023</v>
      </c>
      <c r="F36" s="59">
        <f t="shared" ca="1" si="2"/>
        <v>415.70695268748869</v>
      </c>
      <c r="G36" s="59">
        <f t="shared" ca="1" si="2"/>
        <v>411.26429810554851</v>
      </c>
      <c r="H36" s="59">
        <f t="shared" ca="1" si="2"/>
        <v>406.86912211304934</v>
      </c>
      <c r="I36" s="59">
        <f t="shared" ca="1" si="2"/>
        <v>402.52091730694781</v>
      </c>
      <c r="J36" s="59">
        <f t="shared" ca="1" si="2"/>
        <v>398.21918170681016</v>
      </c>
      <c r="K36" s="59">
        <f t="shared" ca="1" si="2"/>
        <v>393.96341869686069</v>
      </c>
      <c r="L36" s="59">
        <f t="shared" ca="1" si="2"/>
        <v>389.75313696864959</v>
      </c>
      <c r="M36" s="59">
        <f t="shared" ca="1" si="2"/>
        <v>385.58785046433411</v>
      </c>
      <c r="N36" s="59">
        <f t="shared" ca="1" si="2"/>
        <v>381.46707832056461</v>
      </c>
      <c r="O36" s="59">
        <f t="shared" ca="1" si="2"/>
        <v>377.39034481297227</v>
      </c>
      <c r="P36" s="59">
        <f t="shared" ca="1" si="2"/>
        <v>373.35717930124758</v>
      </c>
      <c r="Q36" s="59">
        <f t="shared" ca="1" si="2"/>
        <v>369.36711617480785</v>
      </c>
      <c r="R36" s="59">
        <f t="shared" ca="1" si="2"/>
        <v>365.41969479904446</v>
      </c>
      <c r="S36" s="59">
        <f t="shared" ca="1" si="2"/>
        <v>361.51445946214449</v>
      </c>
      <c r="T36" s="59">
        <f t="shared" ca="1" si="2"/>
        <v>357.65095932248113</v>
      </c>
      <c r="U36" s="59">
        <f t="shared" ca="1" si="2"/>
        <v>353.82874835656588</v>
      </c>
      <c r="V36" s="59">
        <f t="shared" ca="1" si="3"/>
        <v>350.04738530755719</v>
      </c>
      <c r="W36" s="59">
        <f t="shared" ca="1" si="3"/>
        <v>346.30643363431949</v>
      </c>
      <c r="X36" s="59">
        <f t="shared" ca="1" si="3"/>
        <v>342.60546146102627</v>
      </c>
      <c r="Y36" s="59"/>
      <c r="Z36" s="59">
        <f t="shared" ca="1" si="5"/>
        <v>291.2146422418723</v>
      </c>
    </row>
    <row r="37" spans="1:71">
      <c r="A37" s="83">
        <f>INDEX([2]APPLIC!$B$8:$F$100,MATCH(CONCATENATE(LEFT(D37,FIND("_",D37)-1)," - ",$C$7),[2]APPLIC!$B$9:$B$100,0)+1,MATCH(C37,[2]APPLIC!$C$8:$F$8,0)+1)</f>
        <v>1.3677383586228942E-2</v>
      </c>
      <c r="B37" s="79">
        <f>VLOOKUP(RIGHT($D37,LEN(D37)-FIND("_",$D37)),Weighting!$D$6:$H$9,5,FALSE)</f>
        <v>0.21483730578327848</v>
      </c>
      <c r="C37" s="56" t="s">
        <v>75</v>
      </c>
      <c r="D37" s="27" t="s">
        <v>171</v>
      </c>
      <c r="E37" s="59">
        <f t="shared" ca="1" si="4"/>
        <v>1680.7903949724009</v>
      </c>
      <c r="F37" s="59">
        <f t="shared" ca="1" si="2"/>
        <v>1662.8278107499548</v>
      </c>
      <c r="G37" s="59">
        <f t="shared" ca="1" si="2"/>
        <v>1645.057192422194</v>
      </c>
      <c r="H37" s="59">
        <f t="shared" ca="1" si="2"/>
        <v>1627.4764884521974</v>
      </c>
      <c r="I37" s="59">
        <f t="shared" ca="1" si="2"/>
        <v>1610.0836692277912</v>
      </c>
      <c r="J37" s="59">
        <f t="shared" ca="1" si="2"/>
        <v>1592.8767268272406</v>
      </c>
      <c r="K37" s="59">
        <f t="shared" ca="1" si="2"/>
        <v>1575.8536747874427</v>
      </c>
      <c r="L37" s="59">
        <f t="shared" ca="1" si="2"/>
        <v>1559.0125478745983</v>
      </c>
      <c r="M37" s="59">
        <f t="shared" ca="1" si="2"/>
        <v>1542.3514018573364</v>
      </c>
      <c r="N37" s="59">
        <f t="shared" ca="1" si="2"/>
        <v>1525.8683132822584</v>
      </c>
      <c r="O37" s="59">
        <f t="shared" ca="1" si="2"/>
        <v>1509.5613792518891</v>
      </c>
      <c r="P37" s="59">
        <f t="shared" ca="1" si="2"/>
        <v>1493.4287172049903</v>
      </c>
      <c r="Q37" s="59">
        <f t="shared" ca="1" si="2"/>
        <v>1477.4684646992314</v>
      </c>
      <c r="R37" s="59">
        <f t="shared" ca="1" si="2"/>
        <v>1461.6787791961779</v>
      </c>
      <c r="S37" s="59">
        <f t="shared" ca="1" si="2"/>
        <v>1446.0578378485779</v>
      </c>
      <c r="T37" s="59">
        <f t="shared" ca="1" si="2"/>
        <v>1430.6038372899245</v>
      </c>
      <c r="U37" s="59">
        <f t="shared" ref="U37:X42" ca="1" si="6">$A37*VLOOKUP($C37,$C$13:$Y$16,U$22,FALSE)*$B37</f>
        <v>1415.3149934262635</v>
      </c>
      <c r="V37" s="59">
        <f t="shared" ca="1" si="3"/>
        <v>1400.1895412302288</v>
      </c>
      <c r="W37" s="59">
        <f t="shared" ca="1" si="3"/>
        <v>1385.225734537278</v>
      </c>
      <c r="X37" s="59">
        <f t="shared" ca="1" si="3"/>
        <v>1370.4218458441051</v>
      </c>
      <c r="Y37" s="59"/>
      <c r="Z37" s="59">
        <f t="shared" ca="1" si="5"/>
        <v>1164.8585689674892</v>
      </c>
    </row>
    <row r="38" spans="1:71">
      <c r="A38" s="83">
        <f>INDEX([2]APPLIC!$B$8:$F$100,MATCH(CONCATENATE(LEFT(D38,FIND("_",D38)-1)," - ",$C$7),[2]APPLIC!$B$9:$B$100,0)+1,MATCH(C38,[2]APPLIC!$C$8:$F$8,0)+1)</f>
        <v>1.0665247527328225E-2</v>
      </c>
      <c r="B38" s="79">
        <f>VLOOKUP(RIGHT($D38,LEN(D38)-FIND("_",$D38)),Weighting!$D$6:$H$9,5,FALSE)</f>
        <v>0.21483730578327848</v>
      </c>
      <c r="C38" s="56" t="s">
        <v>75</v>
      </c>
      <c r="D38" s="27" t="s">
        <v>6392</v>
      </c>
      <c r="E38" s="59">
        <f t="shared" ca="1" si="4"/>
        <v>1310.6341202556641</v>
      </c>
      <c r="F38" s="59">
        <f t="shared" ca="1" si="4"/>
        <v>1296.6273911356477</v>
      </c>
      <c r="G38" s="59">
        <f t="shared" ca="1" si="4"/>
        <v>1282.7703517403302</v>
      </c>
      <c r="H38" s="59">
        <f t="shared" ca="1" si="4"/>
        <v>1269.0614023376475</v>
      </c>
      <c r="I38" s="59">
        <f t="shared" ca="1" si="4"/>
        <v>1255.4989602918504</v>
      </c>
      <c r="J38" s="59">
        <f t="shared" ca="1" si="4"/>
        <v>1242.0814598807979</v>
      </c>
      <c r="K38" s="59">
        <f t="shared" ca="1" si="4"/>
        <v>1228.8073521151989</v>
      </c>
      <c r="L38" s="59">
        <f t="shared" ca="1" si="4"/>
        <v>1215.6751045597912</v>
      </c>
      <c r="M38" s="59">
        <f t="shared" ca="1" si="4"/>
        <v>1202.6832011564256</v>
      </c>
      <c r="N38" s="59">
        <f t="shared" ca="1" si="4"/>
        <v>1189.8301420490479</v>
      </c>
      <c r="O38" s="59">
        <f t="shared" ca="1" si="4"/>
        <v>1177.1144434105443</v>
      </c>
      <c r="P38" s="59">
        <f t="shared" ca="1" si="4"/>
        <v>1164.5346372714414</v>
      </c>
      <c r="Q38" s="59">
        <f t="shared" ca="1" si="4"/>
        <v>1152.0892713504356</v>
      </c>
      <c r="R38" s="59">
        <f t="shared" ca="1" si="4"/>
        <v>1139.776908886734</v>
      </c>
      <c r="S38" s="59">
        <f t="shared" ca="1" si="4"/>
        <v>1127.596128474187</v>
      </c>
      <c r="T38" s="59">
        <f t="shared" ca="1" si="4"/>
        <v>1115.5455238971936</v>
      </c>
      <c r="U38" s="59">
        <f t="shared" ca="1" si="6"/>
        <v>1103.6237039683588</v>
      </c>
      <c r="V38" s="59">
        <f t="shared" ca="1" si="3"/>
        <v>1091.82929236789</v>
      </c>
      <c r="W38" s="59">
        <f t="shared" ca="1" si="3"/>
        <v>1080.1609274847044</v>
      </c>
      <c r="X38" s="59">
        <f t="shared" ca="1" si="3"/>
        <v>1068.6172622592392</v>
      </c>
      <c r="Y38" s="59"/>
      <c r="Z38" s="59">
        <f t="shared" ca="1" si="5"/>
        <v>908.32467292035324</v>
      </c>
    </row>
    <row r="39" spans="1:71">
      <c r="A39" s="83">
        <f>INDEX([2]APPLIC!$B$8:$F$100,MATCH(CONCATENATE(LEFT(D39,FIND("_",D39)-1)," - ",$C$7),[2]APPLIC!$B$9:$B$100,0)+1,MATCH(C39,[2]APPLIC!$C$8:$F$8,0)+1)</f>
        <v>1.7392000243747764E-4</v>
      </c>
      <c r="B39" s="79">
        <f>VLOOKUP(RIGHT($D39,LEN(D39)-FIND("_",$D39)),Weighting!$D$6:$H$9,5,FALSE)</f>
        <v>0.21483730578327848</v>
      </c>
      <c r="C39" s="56" t="s">
        <v>75</v>
      </c>
      <c r="D39" s="27" t="s">
        <v>174</v>
      </c>
      <c r="E39" s="59">
        <f t="shared" ref="E39:T42" ca="1" si="7">$A39*VLOOKUP($C39,$C$13:$Y$16,E$22,FALSE)*$B39</f>
        <v>21.372733150864768</v>
      </c>
      <c r="F39" s="59">
        <f t="shared" ca="1" si="7"/>
        <v>21.144323040695991</v>
      </c>
      <c r="G39" s="59">
        <f t="shared" ca="1" si="7"/>
        <v>20.918353946285894</v>
      </c>
      <c r="H39" s="59">
        <f t="shared" ca="1" si="7"/>
        <v>20.694799780532076</v>
      </c>
      <c r="I39" s="59">
        <f t="shared" ca="1" si="7"/>
        <v>20.473634735124634</v>
      </c>
      <c r="J39" s="59">
        <f t="shared" ca="1" si="7"/>
        <v>20.254833277566743</v>
      </c>
      <c r="K39" s="59">
        <f t="shared" ca="1" si="7"/>
        <v>20.038370148227013</v>
      </c>
      <c r="L39" s="59">
        <f t="shared" ca="1" si="7"/>
        <v>19.824220357423396</v>
      </c>
      <c r="M39" s="59">
        <f t="shared" ca="1" si="7"/>
        <v>19.612359182538242</v>
      </c>
      <c r="N39" s="59">
        <f t="shared" ca="1" si="7"/>
        <v>19.402762165164166</v>
      </c>
      <c r="O39" s="59">
        <f t="shared" ca="1" si="7"/>
        <v>19.195405108280482</v>
      </c>
      <c r="P39" s="59">
        <f t="shared" ca="1" si="7"/>
        <v>18.990264073459713</v>
      </c>
      <c r="Q39" s="59">
        <f t="shared" ca="1" si="7"/>
        <v>18.787315378104037</v>
      </c>
      <c r="R39" s="59">
        <f t="shared" ca="1" si="7"/>
        <v>18.586535592711233</v>
      </c>
      <c r="S39" s="59">
        <f t="shared" ca="1" si="7"/>
        <v>18.387901538169857</v>
      </c>
      <c r="T39" s="59">
        <f t="shared" ca="1" si="7"/>
        <v>18.191390283083326</v>
      </c>
      <c r="U39" s="59">
        <f t="shared" ca="1" si="6"/>
        <v>17.996979141122566</v>
      </c>
      <c r="V39" s="59">
        <f t="shared" ca="1" si="3"/>
        <v>17.804645668406998</v>
      </c>
      <c r="W39" s="59">
        <f t="shared" ca="1" si="3"/>
        <v>17.614367660913498</v>
      </c>
      <c r="X39" s="59">
        <f t="shared" ca="1" si="3"/>
        <v>17.426123151913028</v>
      </c>
      <c r="Y39" s="59"/>
      <c r="Z39" s="59">
        <f t="shared" ca="1" si="5"/>
        <v>14.812204679126074</v>
      </c>
    </row>
    <row r="40" spans="1:71">
      <c r="A40" s="83">
        <f>INDEX([2]APPLIC!$B$8:$F$100,MATCH(CONCATENATE(LEFT(D40,FIND("_",D40)-1)," - ",$C$7),[2]APPLIC!$B$9:$B$100,0)+1,MATCH(C40,[2]APPLIC!$C$8:$F$8,0)+1)</f>
        <v>6.9568000974991058E-4</v>
      </c>
      <c r="B40" s="79">
        <f>VLOOKUP(RIGHT($D40,LEN(D40)-FIND("_",$D40)),Weighting!$D$6:$H$9,5,FALSE)</f>
        <v>0.21483730578327848</v>
      </c>
      <c r="C40" s="56" t="s">
        <v>75</v>
      </c>
      <c r="D40" s="27" t="s">
        <v>172</v>
      </c>
      <c r="E40" s="59">
        <f t="shared" ca="1" si="7"/>
        <v>85.490932603459072</v>
      </c>
      <c r="F40" s="59">
        <f t="shared" ca="1" si="7"/>
        <v>84.577292162783962</v>
      </c>
      <c r="G40" s="59">
        <f t="shared" ca="1" si="7"/>
        <v>83.673415785143575</v>
      </c>
      <c r="H40" s="59">
        <f t="shared" ca="1" si="7"/>
        <v>82.779199122128304</v>
      </c>
      <c r="I40" s="59">
        <f t="shared" ca="1" si="7"/>
        <v>81.894538940498535</v>
      </c>
      <c r="J40" s="59">
        <f t="shared" ca="1" si="7"/>
        <v>81.01933311026697</v>
      </c>
      <c r="K40" s="59">
        <f t="shared" ca="1" si="7"/>
        <v>80.153480592908053</v>
      </c>
      <c r="L40" s="59">
        <f t="shared" ca="1" si="7"/>
        <v>79.296881429693585</v>
      </c>
      <c r="M40" s="59">
        <f t="shared" ca="1" si="7"/>
        <v>78.449436730152968</v>
      </c>
      <c r="N40" s="59">
        <f t="shared" ca="1" si="7"/>
        <v>77.611048660656664</v>
      </c>
      <c r="O40" s="59">
        <f t="shared" ca="1" si="7"/>
        <v>76.78162043312193</v>
      </c>
      <c r="P40" s="59">
        <f t="shared" ca="1" si="7"/>
        <v>75.961056293838851</v>
      </c>
      <c r="Q40" s="59">
        <f t="shared" ca="1" si="7"/>
        <v>75.149261512416146</v>
      </c>
      <c r="R40" s="59">
        <f t="shared" ca="1" si="7"/>
        <v>74.34614237084493</v>
      </c>
      <c r="S40" s="59">
        <f t="shared" ca="1" si="7"/>
        <v>73.551606152679426</v>
      </c>
      <c r="T40" s="59">
        <f t="shared" ca="1" si="7"/>
        <v>72.765561132333303</v>
      </c>
      <c r="U40" s="59">
        <f t="shared" ca="1" si="6"/>
        <v>71.987916564490263</v>
      </c>
      <c r="V40" s="59">
        <f t="shared" ca="1" si="3"/>
        <v>71.218582673627992</v>
      </c>
      <c r="W40" s="59">
        <f t="shared" ca="1" si="3"/>
        <v>70.457470643653991</v>
      </c>
      <c r="X40" s="59">
        <f t="shared" ca="1" si="3"/>
        <v>69.704492607652114</v>
      </c>
      <c r="Y40" s="59"/>
      <c r="Z40" s="59">
        <f t="shared" ca="1" si="5"/>
        <v>59.248818716504296</v>
      </c>
    </row>
    <row r="41" spans="1:71">
      <c r="A41" s="83">
        <f>INDEX([2]APPLIC!$B$8:$F$100,MATCH(CONCATENATE(LEFT(D41,FIND("_",D41)-1)," - ",$C$7),[2]APPLIC!$B$9:$B$100,0)+1,MATCH(C41,[2]APPLIC!$C$8:$F$8,0)+1)</f>
        <v>1.6234206236719673E-2</v>
      </c>
      <c r="B41" s="79">
        <f>VLOOKUP(RIGHT($D41,LEN(D41)-FIND("_",$D41)),Weighting!$D$6:$H$9,5,FALSE)</f>
        <v>0.21483730578327848</v>
      </c>
      <c r="C41" s="56" t="s">
        <v>75</v>
      </c>
      <c r="D41" s="27" t="s">
        <v>6391</v>
      </c>
      <c r="E41" s="59">
        <f t="shared" ca="1" si="7"/>
        <v>1994.9939797076868</v>
      </c>
      <c r="F41" s="59">
        <f t="shared" ca="1" si="7"/>
        <v>1973.6735060240185</v>
      </c>
      <c r="G41" s="59">
        <f t="shared" ca="1" si="7"/>
        <v>1952.5808839542997</v>
      </c>
      <c r="H41" s="59">
        <f t="shared" ca="1" si="7"/>
        <v>1931.7136784514132</v>
      </c>
      <c r="I41" s="59">
        <f t="shared" ca="1" si="7"/>
        <v>1911.0694804915577</v>
      </c>
      <c r="J41" s="59">
        <f t="shared" ca="1" si="7"/>
        <v>1890.6459067961364</v>
      </c>
      <c r="K41" s="59">
        <f t="shared" ca="1" si="7"/>
        <v>1870.4405995566187</v>
      </c>
      <c r="L41" s="59">
        <f t="shared" ca="1" si="7"/>
        <v>1850.4512261623418</v>
      </c>
      <c r="M41" s="59">
        <f t="shared" ca="1" si="7"/>
        <v>1830.6754789312217</v>
      </c>
      <c r="N41" s="59">
        <f t="shared" ca="1" si="7"/>
        <v>1811.1110748433409</v>
      </c>
      <c r="O41" s="59">
        <f t="shared" ca="1" si="7"/>
        <v>1791.7557552773865</v>
      </c>
      <c r="P41" s="59">
        <f t="shared" ca="1" si="7"/>
        <v>1772.6072857499</v>
      </c>
      <c r="Q41" s="59">
        <f t="shared" ca="1" si="7"/>
        <v>1753.6634556573163</v>
      </c>
      <c r="R41" s="59">
        <f t="shared" ca="1" si="7"/>
        <v>1734.9220780207627</v>
      </c>
      <c r="S41" s="59">
        <f t="shared" ca="1" si="7"/>
        <v>1716.3809892335792</v>
      </c>
      <c r="T41" s="59">
        <f t="shared" ca="1" si="7"/>
        <v>1698.0380488115409</v>
      </c>
      <c r="U41" s="59">
        <f t="shared" ca="1" si="6"/>
        <v>1679.8911391457491</v>
      </c>
      <c r="V41" s="59">
        <f t="shared" ca="1" si="6"/>
        <v>1661.9381652581628</v>
      </c>
      <c r="W41" s="59">
        <f t="shared" ca="1" si="6"/>
        <v>1644.1770545597424</v>
      </c>
      <c r="X41" s="59">
        <f t="shared" ca="1" si="6"/>
        <v>1626.6057566111797</v>
      </c>
      <c r="Y41" s="59"/>
      <c r="Z41" s="59">
        <f t="shared" ca="1" si="5"/>
        <v>1382.6148931195028</v>
      </c>
    </row>
    <row r="42" spans="1:71">
      <c r="A42" s="83">
        <f>INDEX([2]APPLIC!$B$8:$F$100,MATCH(CONCATENATE(LEFT(D42,FIND("_",D42)-1)," - ",$C$7),[2]APPLIC!$B$9:$B$100,0)+1,MATCH(C42,[2]APPLIC!$C$8:$F$8,0)+1)</f>
        <v>1.0533305070999921E-3</v>
      </c>
      <c r="B42" s="79">
        <f>VLOOKUP(RIGHT($D42,LEN(D42)-FIND("_",$D42)),Weighting!$D$6:$H$9,5,FALSE)</f>
        <v>0.21483730578327848</v>
      </c>
      <c r="C42" s="56" t="s">
        <v>75</v>
      </c>
      <c r="D42" s="27" t="s">
        <v>6423</v>
      </c>
      <c r="E42" s="59">
        <f t="shared" ca="1" si="7"/>
        <v>129.44199363156184</v>
      </c>
      <c r="F42" s="59">
        <f t="shared" ca="1" si="7"/>
        <v>128.05864879601117</v>
      </c>
      <c r="G42" s="59">
        <f t="shared" ca="1" si="7"/>
        <v>126.69008774801165</v>
      </c>
      <c r="H42" s="59">
        <f t="shared" ca="1" si="7"/>
        <v>125.33615249342563</v>
      </c>
      <c r="I42" s="59">
        <f t="shared" ca="1" si="7"/>
        <v>123.99668672659666</v>
      </c>
      <c r="J42" s="59">
        <f t="shared" ca="1" si="7"/>
        <v>122.67153581230477</v>
      </c>
      <c r="K42" s="59">
        <f t="shared" ca="1" si="7"/>
        <v>121.36054676791444</v>
      </c>
      <c r="L42" s="59">
        <f t="shared" ca="1" si="7"/>
        <v>120.0635682457136</v>
      </c>
      <c r="M42" s="59">
        <f t="shared" ca="1" si="7"/>
        <v>118.78045051544099</v>
      </c>
      <c r="N42" s="59">
        <f t="shared" ca="1" si="7"/>
        <v>117.51104544700074</v>
      </c>
      <c r="O42" s="59">
        <f t="shared" ca="1" si="7"/>
        <v>116.25520649336129</v>
      </c>
      <c r="P42" s="59">
        <f t="shared" ca="1" si="7"/>
        <v>115.01278867363719</v>
      </c>
      <c r="Q42" s="59">
        <f t="shared" ca="1" si="7"/>
        <v>113.78364855635179</v>
      </c>
      <c r="R42" s="59">
        <f t="shared" ca="1" si="7"/>
        <v>112.56764424287866</v>
      </c>
      <c r="S42" s="59">
        <f t="shared" ca="1" si="7"/>
        <v>111.3646353510601</v>
      </c>
      <c r="T42" s="59">
        <f t="shared" ca="1" si="7"/>
        <v>110.17448299900065</v>
      </c>
      <c r="U42" s="59">
        <f t="shared" ca="1" si="6"/>
        <v>108.99704978903368</v>
      </c>
      <c r="V42" s="59">
        <f t="shared" ca="1" si="6"/>
        <v>107.83219979185974</v>
      </c>
      <c r="W42" s="59">
        <f t="shared" ca="1" si="6"/>
        <v>106.67979853085379</v>
      </c>
      <c r="X42" s="59">
        <f ca="1">$A42*VLOOKUP($C42,$C$13:$Y$16,X$22,FALSE)*$B42</f>
        <v>105.53971296654078</v>
      </c>
      <c r="Y42" s="59"/>
      <c r="Z42" s="59">
        <f ca="1">VLOOKUP($C42,$C$13:$X$16,$X$22,FALSE)*A42*B42*$Z$21</f>
        <v>89.708756021559651</v>
      </c>
    </row>
    <row r="43" spans="1:71">
      <c r="E43" s="59"/>
      <c r="F43" s="59"/>
      <c r="G43" s="59"/>
      <c r="H43" s="59"/>
      <c r="I43" s="59"/>
      <c r="J43" s="59"/>
      <c r="K43" s="59"/>
      <c r="L43" s="59"/>
      <c r="M43" s="59"/>
      <c r="N43" s="59"/>
      <c r="O43" s="59"/>
      <c r="P43" s="59"/>
      <c r="Q43" s="59"/>
      <c r="R43" s="59"/>
      <c r="S43" s="59"/>
      <c r="T43" s="59"/>
      <c r="U43" s="59"/>
      <c r="V43" s="59"/>
      <c r="W43" s="59"/>
      <c r="X43" s="59"/>
      <c r="Y43" s="59"/>
    </row>
    <row r="44" spans="1:71">
      <c r="E44" s="59">
        <f t="shared" ref="E44:X44" ca="1" si="8">SUM(E23:E42)</f>
        <v>111688.52969511975</v>
      </c>
      <c r="F44" s="59">
        <f t="shared" ca="1" si="8"/>
        <v>110494.91588858515</v>
      </c>
      <c r="G44" s="59">
        <f t="shared" ca="1" si="8"/>
        <v>109314.05821666033</v>
      </c>
      <c r="H44" s="59">
        <f t="shared" ca="1" si="8"/>
        <v>108145.82035470709</v>
      </c>
      <c r="I44" s="59">
        <f t="shared" ca="1" si="8"/>
        <v>106990.06743498695</v>
      </c>
      <c r="J44" s="59">
        <f t="shared" ca="1" si="8"/>
        <v>105846.66603109108</v>
      </c>
      <c r="K44" s="59">
        <f t="shared" ca="1" si="8"/>
        <v>104715.48414253692</v>
      </c>
      <c r="L44" s="59">
        <f t="shared" ca="1" si="8"/>
        <v>103596.3911795293</v>
      </c>
      <c r="M44" s="59">
        <f t="shared" ca="1" si="8"/>
        <v>102489.25794788425</v>
      </c>
      <c r="N44" s="59">
        <f t="shared" ca="1" si="8"/>
        <v>101393.9566341145</v>
      </c>
      <c r="O44" s="59">
        <f t="shared" ca="1" si="8"/>
        <v>100310.36079067367</v>
      </c>
      <c r="P44" s="59">
        <f t="shared" ca="1" si="8"/>
        <v>99238.345321358778</v>
      </c>
      <c r="Q44" s="59">
        <f t="shared" ca="1" si="8"/>
        <v>98177.786466867983</v>
      </c>
      <c r="R44" s="59">
        <f t="shared" ca="1" si="8"/>
        <v>97128.561790513646</v>
      </c>
      <c r="S44" s="59">
        <f t="shared" ca="1" si="8"/>
        <v>96090.550164087283</v>
      </c>
      <c r="T44" s="59">
        <f t="shared" ca="1" si="8"/>
        <v>95063.631753875918</v>
      </c>
      <c r="U44" s="59">
        <f t="shared" ca="1" si="8"/>
        <v>94047.688006827928</v>
      </c>
      <c r="V44" s="59">
        <f t="shared" ca="1" si="8"/>
        <v>93042.601636866399</v>
      </c>
      <c r="W44" s="59">
        <f t="shared" ca="1" si="8"/>
        <v>92048.256611349338</v>
      </c>
      <c r="X44" s="59">
        <f t="shared" ca="1" si="8"/>
        <v>91064.538137673881</v>
      </c>
      <c r="Y44" s="59"/>
      <c r="Z44" s="59">
        <f ca="1">SUM(Z23:Z42)</f>
        <v>77404.857417022809</v>
      </c>
    </row>
    <row r="45" spans="1:71">
      <c r="D45" s="59"/>
      <c r="E45" s="59"/>
      <c r="F45" s="59"/>
      <c r="G45" s="59"/>
      <c r="H45" s="59"/>
      <c r="I45" s="59"/>
      <c r="J45" s="59"/>
      <c r="K45" s="59"/>
      <c r="L45" s="59"/>
      <c r="M45" s="59"/>
      <c r="N45" s="59"/>
      <c r="O45" s="59"/>
      <c r="P45" s="59"/>
      <c r="Q45" s="59"/>
      <c r="R45" s="59"/>
      <c r="S45" s="59"/>
      <c r="T45" s="59"/>
      <c r="U45" s="59"/>
      <c r="V45" s="59"/>
      <c r="W45" s="59"/>
      <c r="X45" s="59"/>
    </row>
    <row r="47" spans="1:71" ht="15">
      <c r="A47" s="69" t="str">
        <f>CONCATENATE("# HOMES ACHIEVABLE BY YEAR FOR MEASURE - ",C48)</f>
        <v># HOMES ACHIEVABLE BY YEAR FOR MEASURE - ResWx - Retro</v>
      </c>
      <c r="E47" s="76" t="s">
        <v>79</v>
      </c>
    </row>
    <row r="48" spans="1:71" ht="15">
      <c r="C48" s="76" t="str">
        <f>C22</f>
        <v>ResWx - Retro</v>
      </c>
      <c r="E48" s="77">
        <f>VLOOKUP($C$48,[2]ACHIEV!$B$9:$X$100,MATCH(E$11,$E$11:$Y$11,0)+2,FALSE)</f>
        <v>0.10937459468255628</v>
      </c>
      <c r="F48" s="77">
        <f>VLOOKUP($C$48,[2]ACHIEV!$B$9:$X$100,MATCH(F$11,$E$11:$Y$11,0)+2,FALSE)</f>
        <v>0.10937459468255628</v>
      </c>
      <c r="G48" s="77">
        <f>VLOOKUP($C$48,[2]ACHIEV!$B$9:$X$100,MATCH(G$11,$E$11:$Y$11,0)+2,FALSE)</f>
        <v>0.10937459468255628</v>
      </c>
      <c r="H48" s="77">
        <f>VLOOKUP($C$48,[2]ACHIEV!$B$9:$X$100,MATCH(H$11,$E$11:$Y$11,0)+2,FALSE)</f>
        <v>0.10937459468255628</v>
      </c>
      <c r="I48" s="77">
        <f>VLOOKUP($C$48,[2]ACHIEV!$B$9:$X$100,MATCH(I$11,$E$11:$Y$11,0)+2,FALSE)</f>
        <v>0.10937459468255628</v>
      </c>
      <c r="J48" s="77">
        <f>VLOOKUP($C$48,[2]ACHIEV!$B$9:$X$100,MATCH(J$11,$E$11:$Y$11,0)+2,FALSE)</f>
        <v>9.8437135214300656E-2</v>
      </c>
      <c r="K48" s="77">
        <f>VLOOKUP($C$48,[2]ACHIEV!$B$9:$X$100,MATCH(K$11,$E$11:$Y$11,0)+2,FALSE)</f>
        <v>7.874970817144053E-2</v>
      </c>
      <c r="L48" s="77">
        <f>VLOOKUP($C$48,[2]ACHIEV!$B$9:$X$100,MATCH(L$11,$E$11:$Y$11,0)+2,FALSE)</f>
        <v>6.2999766537152418E-2</v>
      </c>
      <c r="M48" s="77">
        <f>VLOOKUP($C$48,[2]ACHIEV!$B$9:$X$100,MATCH(M$11,$E$11:$Y$11,0)+2,FALSE)</f>
        <v>5.0399813229721938E-2</v>
      </c>
      <c r="N48" s="77">
        <f>VLOOKUP($C$48,[2]ACHIEV!$B$9:$X$100,MATCH(N$11,$E$11:$Y$11,0)+2,FALSE)</f>
        <v>4.0319850583777551E-2</v>
      </c>
      <c r="O48" s="77">
        <f>VLOOKUP($C$48,[2]ACHIEV!$B$9:$X$100,MATCH(O$11,$E$11:$Y$11,0)+2,FALSE)</f>
        <v>3.225588046702204E-2</v>
      </c>
      <c r="P48" s="77">
        <f>VLOOKUP($C$48,[2]ACHIEV!$B$9:$X$100,MATCH(P$11,$E$11:$Y$11,0)+2,FALSE)</f>
        <v>2.5804704373617631E-2</v>
      </c>
      <c r="Q48" s="77">
        <f>VLOOKUP($C$48,[2]ACHIEV!$B$9:$X$100,MATCH(Q$11,$E$11:$Y$11,0)+2,FALSE)</f>
        <v>2.0643763498894106E-2</v>
      </c>
      <c r="R48" s="77">
        <f>VLOOKUP($C$48,[2]ACHIEV!$B$9:$X$100,MATCH(R$11,$E$11:$Y$11,0)+2,FALSE)</f>
        <v>1.6515010799115284E-2</v>
      </c>
      <c r="S48" s="77">
        <f>VLOOKUP($C$48,[2]ACHIEV!$B$9:$X$100,MATCH(S$11,$E$11:$Y$11,0)+2,FALSE)</f>
        <v>1.3212008639292228E-2</v>
      </c>
      <c r="T48" s="77">
        <f>VLOOKUP($C$48,[2]ACHIEV!$B$9:$X$100,MATCH(T$11,$E$11:$Y$11,0)+2,FALSE)</f>
        <v>1.0569606911433781E-2</v>
      </c>
      <c r="U48" s="77">
        <f>VLOOKUP($C$48,[2]ACHIEV!$B$9:$X$100,MATCH(U$11,$E$11:$Y$11,0)+2,FALSE)</f>
        <v>7.2092823794611682E-5</v>
      </c>
      <c r="V48" s="77">
        <f>VLOOKUP($C$48,[2]ACHIEV!$B$9:$X$100,MATCH(V$11,$E$11:$Y$11,0)+2,FALSE)</f>
        <v>2.5747437069512102E-5</v>
      </c>
      <c r="W48" s="77">
        <f>VLOOKUP($C$48,[2]ACHIEV!$B$9:$X$100,MATCH(W$11,$E$11:$Y$11,0)+2,FALSE)</f>
        <v>8.7775353646568632E-6</v>
      </c>
      <c r="X48" s="77">
        <f>VLOOKUP($C$48,[2]ACHIEV!$B$9:$X$100,MATCH(X$11,$E$11:$Y$11,0)+2,FALSE)</f>
        <v>2.8622397928446119E-6</v>
      </c>
      <c r="Y48" s="77"/>
      <c r="AA48" s="266">
        <v>0.85</v>
      </c>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row>
    <row r="49" spans="3:71">
      <c r="C49" s="56" t="str">
        <f t="shared" ref="C49:C68" si="9">C23&amp;D23</f>
        <v>ManufacturedAttic R0 - R22_Electric FAF</v>
      </c>
      <c r="D49" s="27" t="s">
        <v>6420</v>
      </c>
      <c r="E49" s="59">
        <f ca="1">VLOOKUP($D49,$D$23:$X$42,E$22-1,FALSE)*E$48*$AA$48</f>
        <v>710.54064604338066</v>
      </c>
      <c r="F49" s="59">
        <f t="shared" ref="F49:U64" ca="1" si="10">VLOOKUP($D49,$D$23:$X$42,F$22-1,FALSE)*F$48*$AA$48</f>
        <v>702.94710776745842</v>
      </c>
      <c r="G49" s="59">
        <f t="shared" ca="1" si="10"/>
        <v>695.43472153240691</v>
      </c>
      <c r="H49" s="59">
        <f t="shared" ca="1" si="10"/>
        <v>688.00262006746243</v>
      </c>
      <c r="I49" s="59">
        <f t="shared" ca="1" si="10"/>
        <v>680.64994537037262</v>
      </c>
      <c r="J49" s="59">
        <f t="shared" ca="1" si="10"/>
        <v>606.03826374750906</v>
      </c>
      <c r="K49" s="59">
        <f t="shared" ca="1" si="10"/>
        <v>479.64923281443282</v>
      </c>
      <c r="L49" s="59">
        <f t="shared" ca="1" si="10"/>
        <v>379.61858235955253</v>
      </c>
      <c r="M49" s="59">
        <f t="shared" ca="1" si="10"/>
        <v>300.44928296263924</v>
      </c>
      <c r="N49" s="59">
        <f t="shared" ca="1" si="10"/>
        <v>237.79070843077383</v>
      </c>
      <c r="O49" s="59">
        <f t="shared" ca="1" si="10"/>
        <v>188.19955387625464</v>
      </c>
      <c r="P49" s="59">
        <f t="shared" ca="1" si="10"/>
        <v>148.95061423113827</v>
      </c>
      <c r="Q49" s="59">
        <f t="shared" ca="1" si="10"/>
        <v>117.88702482483748</v>
      </c>
      <c r="R49" s="59">
        <f t="shared" ca="1" si="10"/>
        <v>93.301734227737015</v>
      </c>
      <c r="S49" s="59">
        <f t="shared" ca="1" si="10"/>
        <v>73.84369588458037</v>
      </c>
      <c r="T49" s="59">
        <f t="shared" ca="1" si="10"/>
        <v>58.443623444175358</v>
      </c>
      <c r="U49" s="59">
        <f t="shared" ca="1" si="10"/>
        <v>0.39437016891710591</v>
      </c>
      <c r="V49" s="59">
        <f t="shared" ref="V49:X68" ca="1" si="11">VLOOKUP($D49,$D$23:$X$42,V$22-1,FALSE)*V$48*$AA$48</f>
        <v>0.13934126437675412</v>
      </c>
      <c r="W49" s="59">
        <f t="shared" ca="1" si="11"/>
        <v>4.6995043012297462E-2</v>
      </c>
      <c r="X49" s="59">
        <f t="shared" ca="1" si="11"/>
        <v>1.516069813808874E-2</v>
      </c>
      <c r="Y49" s="59"/>
      <c r="AA49" s="59"/>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row>
    <row r="50" spans="3:71">
      <c r="C50" s="56" t="str">
        <f t="shared" si="9"/>
        <v>ManufacturedAttic R0 - R30_Electric FAF</v>
      </c>
      <c r="D50" s="27" t="s">
        <v>6387</v>
      </c>
      <c r="E50" s="59">
        <f t="shared" ref="E50:T65" ca="1" si="12">VLOOKUP($D50,$D$23:$X$42,E$22-1,FALSE)*E$48*$AA$48</f>
        <v>2161.6627365248632</v>
      </c>
      <c r="F50" s="59">
        <f t="shared" ca="1" si="10"/>
        <v>2138.5610760908812</v>
      </c>
      <c r="G50" s="59">
        <f t="shared" ca="1" si="10"/>
        <v>2115.7063027895638</v>
      </c>
      <c r="H50" s="59">
        <f t="shared" ca="1" si="10"/>
        <v>2093.0957781414613</v>
      </c>
      <c r="I50" s="59">
        <f t="shared" ca="1" si="10"/>
        <v>2070.7268918645209</v>
      </c>
      <c r="J50" s="59">
        <f t="shared" ca="1" si="10"/>
        <v>1843.7373554154631</v>
      </c>
      <c r="K50" s="59">
        <f t="shared" ca="1" si="10"/>
        <v>1459.2266873841811</v>
      </c>
      <c r="L50" s="59">
        <f t="shared" ca="1" si="10"/>
        <v>1154.9055612068939</v>
      </c>
      <c r="M50" s="59">
        <f t="shared" ca="1" si="10"/>
        <v>914.05048087326406</v>
      </c>
      <c r="N50" s="59">
        <f t="shared" ca="1" si="10"/>
        <v>723.42562859559439</v>
      </c>
      <c r="O50" s="59">
        <f t="shared" ca="1" si="10"/>
        <v>572.55551094830003</v>
      </c>
      <c r="P50" s="59">
        <f t="shared" ca="1" si="10"/>
        <v>453.14929435617915</v>
      </c>
      <c r="Q50" s="59">
        <f t="shared" ca="1" si="10"/>
        <v>358.64519518011417</v>
      </c>
      <c r="R50" s="59">
        <f t="shared" ca="1" si="10"/>
        <v>283.84988706322645</v>
      </c>
      <c r="S50" s="59">
        <f t="shared" ca="1" si="10"/>
        <v>224.65310972685182</v>
      </c>
      <c r="T50" s="59">
        <f t="shared" ca="1" si="10"/>
        <v>177.80179598487265</v>
      </c>
      <c r="U50" s="59">
        <f t="shared" ca="1" si="10"/>
        <v>1.1997840001021931</v>
      </c>
      <c r="V50" s="59">
        <f t="shared" ca="1" si="11"/>
        <v>0.42391497311344395</v>
      </c>
      <c r="W50" s="59">
        <f t="shared" ca="1" si="11"/>
        <v>0.14297202256725555</v>
      </c>
      <c r="X50" s="59">
        <f t="shared" ca="1" si="11"/>
        <v>4.6123070379294619E-2</v>
      </c>
      <c r="Y50" s="59"/>
      <c r="AA50" s="59"/>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row>
    <row r="51" spans="3:71">
      <c r="C51" s="56" t="str">
        <f t="shared" si="9"/>
        <v>ManufacturedAttic R0 - R22_Heat Pump</v>
      </c>
      <c r="D51" s="27" t="s">
        <v>6421</v>
      </c>
      <c r="E51" s="59">
        <f t="shared" ca="1" si="12"/>
        <v>201.69481639481813</v>
      </c>
      <c r="F51" s="59">
        <f t="shared" ca="1" si="10"/>
        <v>199.53930661944116</v>
      </c>
      <c r="G51" s="59">
        <f t="shared" ca="1" si="10"/>
        <v>197.40683274788566</v>
      </c>
      <c r="H51" s="59">
        <f t="shared" ca="1" si="10"/>
        <v>195.29714859575887</v>
      </c>
      <c r="I51" s="59">
        <f t="shared" ca="1" si="10"/>
        <v>193.21001060963755</v>
      </c>
      <c r="J51" s="59">
        <f t="shared" ca="1" si="10"/>
        <v>172.03066005505528</v>
      </c>
      <c r="K51" s="59">
        <f t="shared" ca="1" si="10"/>
        <v>136.15373657387639</v>
      </c>
      <c r="L51" s="59">
        <f t="shared" ca="1" si="10"/>
        <v>107.75893074580907</v>
      </c>
      <c r="M51" s="59">
        <f t="shared" ca="1" si="10"/>
        <v>85.285850008085987</v>
      </c>
      <c r="N51" s="59">
        <f t="shared" ca="1" si="10"/>
        <v>67.499521025867509</v>
      </c>
      <c r="O51" s="59">
        <f t="shared" ca="1" si="10"/>
        <v>53.422523645945446</v>
      </c>
      <c r="P51" s="59">
        <f t="shared" ca="1" si="10"/>
        <v>42.281278286521314</v>
      </c>
      <c r="Q51" s="59">
        <f t="shared" ca="1" si="10"/>
        <v>33.463535069780214</v>
      </c>
      <c r="R51" s="59">
        <f t="shared" ca="1" si="10"/>
        <v>26.484728578402265</v>
      </c>
      <c r="S51" s="59">
        <f t="shared" ca="1" si="10"/>
        <v>20.961349313781419</v>
      </c>
      <c r="T51" s="59">
        <f t="shared" ca="1" si="10"/>
        <v>16.589868525693262</v>
      </c>
      <c r="U51" s="59">
        <f t="shared" ca="1" si="10"/>
        <v>0.11194633164796146</v>
      </c>
      <c r="V51" s="59">
        <f t="shared" ca="1" si="11"/>
        <v>3.955355811267041E-2</v>
      </c>
      <c r="W51" s="59">
        <f t="shared" ca="1" si="11"/>
        <v>1.3340062422344822E-2</v>
      </c>
      <c r="X51" s="59">
        <f t="shared" ca="1" si="11"/>
        <v>4.3035317464335168E-3</v>
      </c>
      <c r="Y51" s="59"/>
      <c r="AA51" s="59"/>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row>
    <row r="52" spans="3:71">
      <c r="C52" s="56" t="str">
        <f t="shared" si="9"/>
        <v>ManufacturedAttic R0 - R30_Heat Pump</v>
      </c>
      <c r="D52" s="27" t="s">
        <v>6390</v>
      </c>
      <c r="E52" s="59">
        <f t="shared" ca="1" si="12"/>
        <v>613.61186186705982</v>
      </c>
      <c r="F52" s="59">
        <f t="shared" ca="1" si="10"/>
        <v>607.05420019690268</v>
      </c>
      <c r="G52" s="59">
        <f t="shared" ca="1" si="10"/>
        <v>600.56662016833786</v>
      </c>
      <c r="H52" s="59">
        <f t="shared" ca="1" si="10"/>
        <v>594.14837281980977</v>
      </c>
      <c r="I52" s="59">
        <f t="shared" ca="1" si="10"/>
        <v>587.79871719390394</v>
      </c>
      <c r="J52" s="59">
        <f t="shared" ca="1" si="10"/>
        <v>523.36522822662766</v>
      </c>
      <c r="K52" s="59">
        <f t="shared" ca="1" si="10"/>
        <v>414.21762488785475</v>
      </c>
      <c r="L52" s="59">
        <f t="shared" ca="1" si="10"/>
        <v>327.8327093855757</v>
      </c>
      <c r="M52" s="59">
        <f t="shared" ca="1" si="10"/>
        <v>259.46333252281323</v>
      </c>
      <c r="N52" s="59">
        <f t="shared" ca="1" si="10"/>
        <v>205.35236111740466</v>
      </c>
      <c r="O52" s="59">
        <f t="shared" ca="1" si="10"/>
        <v>162.52621056882953</v>
      </c>
      <c r="P52" s="59">
        <f t="shared" ca="1" si="10"/>
        <v>128.63143612340343</v>
      </c>
      <c r="Q52" s="59">
        <f t="shared" ca="1" si="10"/>
        <v>101.80540296398532</v>
      </c>
      <c r="R52" s="59">
        <f t="shared" ca="1" si="10"/>
        <v>80.573927999344818</v>
      </c>
      <c r="S52" s="59">
        <f t="shared" ca="1" si="10"/>
        <v>63.770268416306628</v>
      </c>
      <c r="T52" s="59">
        <f t="shared" ca="1" si="10"/>
        <v>50.471005136064143</v>
      </c>
      <c r="U52" s="59">
        <f t="shared" ca="1" si="10"/>
        <v>0.34057195033326498</v>
      </c>
      <c r="V52" s="59">
        <f t="shared" ca="1" si="11"/>
        <v>0.12033295089484608</v>
      </c>
      <c r="W52" s="59">
        <f t="shared" ca="1" si="11"/>
        <v>4.0584188957907739E-2</v>
      </c>
      <c r="X52" s="59">
        <f t="shared" ca="1" si="11"/>
        <v>1.3092543352050739E-2</v>
      </c>
      <c r="Y52" s="59"/>
      <c r="AA52" s="59"/>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row>
    <row r="53" spans="3:71">
      <c r="C53" s="56" t="str">
        <f t="shared" si="9"/>
        <v>ManufacturedFloor R11 - R22_Electric FAF</v>
      </c>
      <c r="D53" s="27" t="s">
        <v>6388</v>
      </c>
      <c r="E53" s="59">
        <f t="shared" ca="1" si="12"/>
        <v>653.38801113823115</v>
      </c>
      <c r="F53" s="59">
        <f t="shared" ca="1" si="10"/>
        <v>646.40526229868919</v>
      </c>
      <c r="G53" s="59">
        <f t="shared" ca="1" si="10"/>
        <v>639.49713800157065</v>
      </c>
      <c r="H53" s="59">
        <f t="shared" ca="1" si="10"/>
        <v>632.66284073539964</v>
      </c>
      <c r="I53" s="59">
        <f t="shared" ca="1" si="10"/>
        <v>625.90158151169499</v>
      </c>
      <c r="J53" s="59">
        <f t="shared" ca="1" si="10"/>
        <v>557.29132179649582</v>
      </c>
      <c r="K53" s="59">
        <f t="shared" ca="1" si="10"/>
        <v>441.06844558117911</v>
      </c>
      <c r="L53" s="59">
        <f t="shared" ca="1" si="10"/>
        <v>349.0838024541095</v>
      </c>
      <c r="M53" s="59">
        <f t="shared" ca="1" si="10"/>
        <v>276.28251886223723</v>
      </c>
      <c r="N53" s="59">
        <f t="shared" ca="1" si="10"/>
        <v>218.66391305536737</v>
      </c>
      <c r="O53" s="59">
        <f t="shared" ca="1" si="10"/>
        <v>173.0616438187561</v>
      </c>
      <c r="P53" s="59">
        <f t="shared" ca="1" si="10"/>
        <v>136.96970909720412</v>
      </c>
      <c r="Q53" s="59">
        <f t="shared" ca="1" si="10"/>
        <v>108.40473253461305</v>
      </c>
      <c r="R53" s="59">
        <f t="shared" ca="1" si="10"/>
        <v>85.79697009914193</v>
      </c>
      <c r="S53" s="59">
        <f t="shared" ca="1" si="10"/>
        <v>67.904047231911107</v>
      </c>
      <c r="T53" s="59">
        <f t="shared" ca="1" si="10"/>
        <v>53.742686077905319</v>
      </c>
      <c r="U53" s="59">
        <f t="shared" ca="1" si="10"/>
        <v>0.36264883895926231</v>
      </c>
      <c r="V53" s="59">
        <f t="shared" ca="1" si="11"/>
        <v>0.12813329132905837</v>
      </c>
      <c r="W53" s="59">
        <f t="shared" ca="1" si="11"/>
        <v>4.3214977015243079E-2</v>
      </c>
      <c r="X53" s="59">
        <f t="shared" ca="1" si="11"/>
        <v>1.3941241024103365E-2</v>
      </c>
      <c r="Y53" s="59"/>
      <c r="AA53" s="59"/>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row>
    <row r="54" spans="3:71">
      <c r="C54" s="56" t="str">
        <f t="shared" si="9"/>
        <v>ManufacturedFloor R0 - R22_Electric FAF</v>
      </c>
      <c r="D54" s="27" t="s">
        <v>6389</v>
      </c>
      <c r="E54" s="59">
        <f t="shared" ca="1" si="12"/>
        <v>429.25072951309323</v>
      </c>
      <c r="F54" s="59">
        <f t="shared" ca="1" si="10"/>
        <v>424.66333277136454</v>
      </c>
      <c r="G54" s="59">
        <f t="shared" ca="1" si="10"/>
        <v>420.12496147658129</v>
      </c>
      <c r="H54" s="59">
        <f t="shared" ca="1" si="10"/>
        <v>415.6350916944549</v>
      </c>
      <c r="I54" s="59">
        <f t="shared" ca="1" si="10"/>
        <v>411.19320508997544</v>
      </c>
      <c r="J54" s="59">
        <f t="shared" ca="1" si="10"/>
        <v>366.11890998081509</v>
      </c>
      <c r="K54" s="59">
        <f t="shared" ca="1" si="10"/>
        <v>289.76496171257821</v>
      </c>
      <c r="L54" s="59">
        <f t="shared" ca="1" si="10"/>
        <v>229.33459798810088</v>
      </c>
      <c r="M54" s="59">
        <f t="shared" ca="1" si="10"/>
        <v>181.50696179247819</v>
      </c>
      <c r="N54" s="59">
        <f t="shared" ca="1" si="10"/>
        <v>143.65375947699565</v>
      </c>
      <c r="O54" s="59">
        <f t="shared" ca="1" si="10"/>
        <v>113.69482695362768</v>
      </c>
      <c r="P54" s="59">
        <f t="shared" ca="1" si="10"/>
        <v>89.983817500337452</v>
      </c>
      <c r="Q54" s="59">
        <f t="shared" ca="1" si="10"/>
        <v>71.217729327619836</v>
      </c>
      <c r="R54" s="59">
        <f t="shared" ca="1" si="10"/>
        <v>56.365301133874468</v>
      </c>
      <c r="S54" s="59">
        <f t="shared" ca="1" si="10"/>
        <v>44.610340738288876</v>
      </c>
      <c r="T54" s="59">
        <f t="shared" ca="1" si="10"/>
        <v>35.306872504052585</v>
      </c>
      <c r="U54" s="59">
        <f t="shared" ca="1" si="10"/>
        <v>0.23824630392155527</v>
      </c>
      <c r="V54" s="59">
        <f t="shared" ca="1" si="11"/>
        <v>8.4178631747615432E-2</v>
      </c>
      <c r="W54" s="59">
        <f t="shared" ca="1" si="11"/>
        <v>2.8390573584859035E-2</v>
      </c>
      <c r="X54" s="59">
        <f t="shared" ca="1" si="11"/>
        <v>9.1588577964406403E-3</v>
      </c>
      <c r="Y54" s="59"/>
      <c r="AA54" s="59"/>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row>
    <row r="55" spans="3:71">
      <c r="C55" s="56" t="str">
        <f t="shared" si="9"/>
        <v>ManufacturedCFM50 Infiltration Reduction_Electric FAF</v>
      </c>
      <c r="D55" s="27" t="s">
        <v>5812</v>
      </c>
      <c r="E55" s="59">
        <f t="shared" ca="1" si="12"/>
        <v>3367.3787325909661</v>
      </c>
      <c r="F55" s="59">
        <f t="shared" ca="1" si="10"/>
        <v>3331.3916016114176</v>
      </c>
      <c r="G55" s="59">
        <f t="shared" ca="1" si="10"/>
        <v>3295.789064614009</v>
      </c>
      <c r="H55" s="59">
        <f t="shared" ca="1" si="10"/>
        <v>3260.567011448054</v>
      </c>
      <c r="I55" s="59">
        <f t="shared" ca="1" si="10"/>
        <v>3225.7213758879907</v>
      </c>
      <c r="J55" s="59">
        <f t="shared" ca="1" si="10"/>
        <v>2872.1233216475589</v>
      </c>
      <c r="K55" s="59">
        <f t="shared" ca="1" si="10"/>
        <v>2273.1431828381055</v>
      </c>
      <c r="L55" s="59">
        <f t="shared" ca="1" si="10"/>
        <v>1799.0801059055023</v>
      </c>
      <c r="M55" s="59">
        <f t="shared" ca="1" si="10"/>
        <v>1423.8826889135175</v>
      </c>
      <c r="N55" s="59">
        <f t="shared" ca="1" si="10"/>
        <v>1126.9325390973338</v>
      </c>
      <c r="O55" s="59">
        <f t="shared" ca="1" si="10"/>
        <v>891.91122103282999</v>
      </c>
      <c r="P55" s="59">
        <f t="shared" ca="1" si="10"/>
        <v>705.9035022996751</v>
      </c>
      <c r="Q55" s="59">
        <f t="shared" ca="1" si="10"/>
        <v>558.68761689298867</v>
      </c>
      <c r="R55" s="59">
        <f t="shared" ca="1" si="10"/>
        <v>442.17354390892149</v>
      </c>
      <c r="S55" s="59">
        <f t="shared" ca="1" si="10"/>
        <v>349.95843297959556</v>
      </c>
      <c r="T55" s="59">
        <f t="shared" ca="1" si="10"/>
        <v>276.97474555094709</v>
      </c>
      <c r="U55" s="59">
        <f t="shared" ca="1" si="10"/>
        <v>1.8689905031818423</v>
      </c>
      <c r="V55" s="59">
        <f t="shared" ca="1" si="11"/>
        <v>0.66036308105302965</v>
      </c>
      <c r="W55" s="59">
        <f t="shared" ca="1" si="11"/>
        <v>0.22271788286569955</v>
      </c>
      <c r="X55" s="59">
        <f t="shared" ca="1" si="11"/>
        <v>7.1849249955947783E-2</v>
      </c>
      <c r="Y55" s="59"/>
      <c r="AA55" s="59"/>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row>
    <row r="56" spans="3:71">
      <c r="C56" s="56" t="str">
        <f t="shared" si="9"/>
        <v>ManufacturedAttic R11 - R30_Electric FAF</v>
      </c>
      <c r="D56" s="27" t="s">
        <v>6422</v>
      </c>
      <c r="E56" s="59">
        <f t="shared" ca="1" si="12"/>
        <v>42.39403609081873</v>
      </c>
      <c r="F56" s="59">
        <f t="shared" ca="1" si="10"/>
        <v>41.940971600392942</v>
      </c>
      <c r="G56" s="59">
        <f t="shared" ca="1" si="10"/>
        <v>41.49274900404972</v>
      </c>
      <c r="H56" s="59">
        <f t="shared" ca="1" si="10"/>
        <v>41.049316556532503</v>
      </c>
      <c r="I56" s="59">
        <f t="shared" ca="1" si="10"/>
        <v>40.61062306558555</v>
      </c>
      <c r="J56" s="59">
        <f t="shared" ca="1" si="10"/>
        <v>36.15895609743967</v>
      </c>
      <c r="K56" s="59">
        <f t="shared" ca="1" si="10"/>
        <v>28.618020658071</v>
      </c>
      <c r="L56" s="59">
        <f t="shared" ca="1" si="10"/>
        <v>22.64974420663016</v>
      </c>
      <c r="M56" s="59">
        <f t="shared" ca="1" si="10"/>
        <v>17.926149357261526</v>
      </c>
      <c r="N56" s="59">
        <f t="shared" ca="1" si="10"/>
        <v>14.187658273190623</v>
      </c>
      <c r="O56" s="59">
        <f t="shared" ca="1" si="10"/>
        <v>11.228827968863037</v>
      </c>
      <c r="P56" s="59">
        <f t="shared" ca="1" si="10"/>
        <v>8.8870605089620263</v>
      </c>
      <c r="Q56" s="59">
        <f t="shared" ca="1" si="10"/>
        <v>7.0336676907829965</v>
      </c>
      <c r="R56" s="59">
        <f t="shared" ca="1" si="10"/>
        <v>5.5667991834279507</v>
      </c>
      <c r="S56" s="59">
        <f t="shared" ca="1" si="10"/>
        <v>4.4058455006657207</v>
      </c>
      <c r="T56" s="59">
        <f t="shared" ca="1" si="10"/>
        <v>3.4870082315028066</v>
      </c>
      <c r="U56" s="59">
        <f t="shared" ca="1" si="10"/>
        <v>2.3529889904698464E-2</v>
      </c>
      <c r="V56" s="59">
        <f t="shared" ca="1" si="11"/>
        <v>8.3137236748139168E-3</v>
      </c>
      <c r="W56" s="59">
        <f t="shared" ca="1" si="11"/>
        <v>2.8039346667175467E-3</v>
      </c>
      <c r="X56" s="59">
        <f t="shared" ca="1" si="11"/>
        <v>9.045551265886375E-4</v>
      </c>
      <c r="Y56" s="59"/>
      <c r="AA56" s="59"/>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row>
    <row r="57" spans="3:71">
      <c r="C57" s="56" t="str">
        <f t="shared" si="9"/>
        <v>ManufacturedWINDOW CL30 Prime Window Replacement of Single Pane Base_Electric FAF</v>
      </c>
      <c r="D57" s="27" t="s">
        <v>167</v>
      </c>
      <c r="E57" s="59">
        <f t="shared" ca="1" si="12"/>
        <v>550.48200870870403</v>
      </c>
      <c r="F57" s="59">
        <f t="shared" ca="1" si="10"/>
        <v>544.59901492557162</v>
      </c>
      <c r="G57" s="59">
        <f t="shared" ca="1" si="10"/>
        <v>538.77889261744633</v>
      </c>
      <c r="H57" s="59">
        <f t="shared" ca="1" si="10"/>
        <v>533.02096987772495</v>
      </c>
      <c r="I57" s="59">
        <f t="shared" ca="1" si="10"/>
        <v>527.32458198046106</v>
      </c>
      <c r="J57" s="59">
        <f t="shared" ca="1" si="10"/>
        <v>469.52016417326257</v>
      </c>
      <c r="K57" s="59">
        <f t="shared" ca="1" si="10"/>
        <v>371.60192682229399</v>
      </c>
      <c r="L57" s="59">
        <f t="shared" ca="1" si="10"/>
        <v>294.10449764428904</v>
      </c>
      <c r="M57" s="59">
        <f t="shared" ca="1" si="10"/>
        <v>232.76912548401322</v>
      </c>
      <c r="N57" s="59">
        <f t="shared" ca="1" si="10"/>
        <v>184.2252199900839</v>
      </c>
      <c r="O57" s="59">
        <f t="shared" ca="1" si="10"/>
        <v>145.80512604420028</v>
      </c>
      <c r="P57" s="59">
        <f t="shared" ca="1" si="10"/>
        <v>115.39752690706203</v>
      </c>
      <c r="Q57" s="59">
        <f t="shared" ca="1" si="10"/>
        <v>91.331420077982955</v>
      </c>
      <c r="R57" s="59">
        <f t="shared" ca="1" si="10"/>
        <v>72.284289941316842</v>
      </c>
      <c r="S57" s="59">
        <f t="shared" ca="1" si="10"/>
        <v>57.209430969747331</v>
      </c>
      <c r="T57" s="59">
        <f t="shared" ca="1" si="10"/>
        <v>45.278427643674256</v>
      </c>
      <c r="U57" s="59">
        <f t="shared" ca="1" si="10"/>
        <v>0.30553309507226301</v>
      </c>
      <c r="V57" s="59">
        <f t="shared" ca="1" si="11"/>
        <v>0.10795280964889815</v>
      </c>
      <c r="W57" s="59">
        <f t="shared" ca="1" si="11"/>
        <v>3.6408790715657398E-2</v>
      </c>
      <c r="X57" s="59">
        <f t="shared" ca="1" si="11"/>
        <v>1.1745551237573915E-2</v>
      </c>
      <c r="Y57" s="59"/>
      <c r="AA57" s="59"/>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row>
    <row r="58" spans="3:71">
      <c r="C58" s="56" t="str">
        <f t="shared" si="9"/>
        <v>ManufacturedWINDOW CL22 Prime Window Replacement of Single Pane Base_Electric FAF</v>
      </c>
      <c r="D58" s="27" t="s">
        <v>169</v>
      </c>
      <c r="E58" s="59">
        <f t="shared" ca="1" si="12"/>
        <v>137.62050217717601</v>
      </c>
      <c r="F58" s="59">
        <f t="shared" ca="1" si="10"/>
        <v>136.14975373139291</v>
      </c>
      <c r="G58" s="59">
        <f t="shared" ca="1" si="10"/>
        <v>134.69472315436158</v>
      </c>
      <c r="H58" s="59">
        <f t="shared" ca="1" si="10"/>
        <v>133.25524246943124</v>
      </c>
      <c r="I58" s="59">
        <f t="shared" ca="1" si="10"/>
        <v>131.83114549511527</v>
      </c>
      <c r="J58" s="59">
        <f t="shared" ca="1" si="10"/>
        <v>117.38004104331564</v>
      </c>
      <c r="K58" s="59">
        <f t="shared" ca="1" si="10"/>
        <v>92.900481705573497</v>
      </c>
      <c r="L58" s="59">
        <f t="shared" ca="1" si="10"/>
        <v>73.52612441107226</v>
      </c>
      <c r="M58" s="59">
        <f t="shared" ca="1" si="10"/>
        <v>58.192281371003304</v>
      </c>
      <c r="N58" s="59">
        <f t="shared" ca="1" si="10"/>
        <v>46.056304997520975</v>
      </c>
      <c r="O58" s="59">
        <f t="shared" ca="1" si="10"/>
        <v>36.45128151105007</v>
      </c>
      <c r="P58" s="59">
        <f t="shared" ca="1" si="10"/>
        <v>28.849381726765507</v>
      </c>
      <c r="Q58" s="59">
        <f t="shared" ca="1" si="10"/>
        <v>22.832855019495739</v>
      </c>
      <c r="R58" s="59">
        <f t="shared" ca="1" si="10"/>
        <v>18.071072485329211</v>
      </c>
      <c r="S58" s="59">
        <f t="shared" ca="1" si="10"/>
        <v>14.302357742436833</v>
      </c>
      <c r="T58" s="59">
        <f t="shared" ca="1" si="10"/>
        <v>11.319606910918564</v>
      </c>
      <c r="U58" s="59">
        <f t="shared" ca="1" si="10"/>
        <v>7.6383273768065751E-2</v>
      </c>
      <c r="V58" s="59">
        <f t="shared" ca="1" si="11"/>
        <v>2.6988202412224539E-2</v>
      </c>
      <c r="W58" s="59">
        <f t="shared" ca="1" si="11"/>
        <v>9.1021976789143495E-3</v>
      </c>
      <c r="X58" s="59">
        <f t="shared" ca="1" si="11"/>
        <v>2.9363878093934788E-3</v>
      </c>
      <c r="Y58" s="59"/>
      <c r="AA58" s="59"/>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row>
    <row r="59" spans="3:71">
      <c r="C59" s="56" t="str">
        <f t="shared" si="9"/>
        <v>ManufacturedWINDOW CL22 Prime Window Replacement of Double Pane Base_Electric FAF</v>
      </c>
      <c r="D59" s="27" t="s">
        <v>170</v>
      </c>
      <c r="E59" s="59">
        <f t="shared" ca="1" si="12"/>
        <v>6.9998645349685837</v>
      </c>
      <c r="F59" s="59">
        <f t="shared" ca="1" si="10"/>
        <v>6.9250570773396092</v>
      </c>
      <c r="G59" s="59">
        <f t="shared" ca="1" si="10"/>
        <v>6.8510490859987261</v>
      </c>
      <c r="H59" s="59">
        <f t="shared" ca="1" si="10"/>
        <v>6.7778320170605246</v>
      </c>
      <c r="I59" s="59">
        <f t="shared" ca="1" si="10"/>
        <v>6.7053974179479807</v>
      </c>
      <c r="J59" s="59">
        <f t="shared" ca="1" si="10"/>
        <v>5.970363233774985</v>
      </c>
      <c r="K59" s="59">
        <f t="shared" ca="1" si="10"/>
        <v>4.7252464341042835</v>
      </c>
      <c r="L59" s="59">
        <f t="shared" ca="1" si="10"/>
        <v>3.739798231488431</v>
      </c>
      <c r="M59" s="59">
        <f t="shared" ca="1" si="10"/>
        <v>2.9598648466881916</v>
      </c>
      <c r="N59" s="59">
        <f t="shared" ca="1" si="10"/>
        <v>2.3425862488773173</v>
      </c>
      <c r="O59" s="59">
        <f t="shared" ca="1" si="10"/>
        <v>1.8540408490507021</v>
      </c>
      <c r="P59" s="59">
        <f t="shared" ca="1" si="10"/>
        <v>1.4673813916546521</v>
      </c>
      <c r="Q59" s="59">
        <f t="shared" ca="1" si="10"/>
        <v>1.161359605251858</v>
      </c>
      <c r="R59" s="59">
        <f t="shared" ca="1" si="10"/>
        <v>0.91915853668408887</v>
      </c>
      <c r="S59" s="59">
        <f t="shared" ca="1" si="10"/>
        <v>0.72746840146555325</v>
      </c>
      <c r="T59" s="59">
        <f t="shared" ca="1" si="10"/>
        <v>0.57575516519707304</v>
      </c>
      <c r="U59" s="59">
        <f t="shared" ca="1" si="10"/>
        <v>3.885122933394975E-3</v>
      </c>
      <c r="V59" s="59">
        <f t="shared" ca="1" si="11"/>
        <v>1.3727152418370916E-3</v>
      </c>
      <c r="W59" s="59">
        <f t="shared" ca="1" si="11"/>
        <v>4.6296990430160439E-4</v>
      </c>
      <c r="X59" s="59">
        <f t="shared" ca="1" si="11"/>
        <v>1.4935504930381211E-4</v>
      </c>
      <c r="Y59" s="59"/>
      <c r="AA59" s="59"/>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row>
    <row r="60" spans="3:71">
      <c r="C60" s="56" t="str">
        <f t="shared" si="9"/>
        <v>ManufacturedWINDOW CL30 Prime Window Replacement of Double Pane Base_Electric FAF</v>
      </c>
      <c r="D60" s="27" t="s">
        <v>168</v>
      </c>
      <c r="E60" s="59">
        <f t="shared" ca="1" si="12"/>
        <v>27.999458139874335</v>
      </c>
      <c r="F60" s="59">
        <f t="shared" ca="1" si="10"/>
        <v>27.700228309358437</v>
      </c>
      <c r="G60" s="59">
        <f t="shared" ca="1" si="10"/>
        <v>27.404196343994904</v>
      </c>
      <c r="H60" s="59">
        <f t="shared" ca="1" si="10"/>
        <v>27.111328068242099</v>
      </c>
      <c r="I60" s="59">
        <f t="shared" ca="1" si="10"/>
        <v>26.821589671791923</v>
      </c>
      <c r="J60" s="59">
        <f t="shared" ca="1" si="10"/>
        <v>23.88145293509994</v>
      </c>
      <c r="K60" s="59">
        <f t="shared" ca="1" si="10"/>
        <v>18.900985736417134</v>
      </c>
      <c r="L60" s="59">
        <f t="shared" ca="1" si="10"/>
        <v>14.959192925953724</v>
      </c>
      <c r="M60" s="59">
        <f t="shared" ca="1" si="10"/>
        <v>11.839459386752766</v>
      </c>
      <c r="N60" s="59">
        <f t="shared" ca="1" si="10"/>
        <v>9.370344995509269</v>
      </c>
      <c r="O60" s="59">
        <f t="shared" ca="1" si="10"/>
        <v>7.4161633962028084</v>
      </c>
      <c r="P60" s="59">
        <f t="shared" ca="1" si="10"/>
        <v>5.8695255666186084</v>
      </c>
      <c r="Q60" s="59">
        <f t="shared" ca="1" si="10"/>
        <v>4.645438421007432</v>
      </c>
      <c r="R60" s="59">
        <f t="shared" ca="1" si="10"/>
        <v>3.6766341467363555</v>
      </c>
      <c r="S60" s="59">
        <f t="shared" ca="1" si="10"/>
        <v>2.909873605862213</v>
      </c>
      <c r="T60" s="59">
        <f t="shared" ca="1" si="10"/>
        <v>2.3030206607882922</v>
      </c>
      <c r="U60" s="59">
        <f t="shared" ca="1" si="10"/>
        <v>1.55404917335799E-2</v>
      </c>
      <c r="V60" s="59">
        <f t="shared" ca="1" si="11"/>
        <v>5.4908609673483665E-3</v>
      </c>
      <c r="W60" s="59">
        <f t="shared" ca="1" si="11"/>
        <v>1.8518796172064176E-3</v>
      </c>
      <c r="X60" s="59">
        <f t="shared" ca="1" si="11"/>
        <v>5.9742019721524845E-4</v>
      </c>
      <c r="Y60" s="59"/>
      <c r="AA60" s="59"/>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row>
    <row r="61" spans="3:71">
      <c r="C61" s="56" t="str">
        <f t="shared" si="9"/>
        <v>ManufacturedCFM50 Infiltration Reduction_Heat Pump</v>
      </c>
      <c r="D61" s="27" t="s">
        <v>5813</v>
      </c>
      <c r="E61" s="59">
        <f t="shared" ca="1" si="12"/>
        <v>955.86767482445202</v>
      </c>
      <c r="F61" s="59">
        <f t="shared" ca="1" si="10"/>
        <v>945.65232990940092</v>
      </c>
      <c r="G61" s="59">
        <f t="shared" ca="1" si="10"/>
        <v>935.54615624731935</v>
      </c>
      <c r="H61" s="59">
        <f t="shared" ca="1" si="10"/>
        <v>925.54798712650313</v>
      </c>
      <c r="I61" s="59">
        <f t="shared" ca="1" si="10"/>
        <v>915.65666830387977</v>
      </c>
      <c r="J61" s="59">
        <f t="shared" ca="1" si="10"/>
        <v>815.28395208458187</v>
      </c>
      <c r="K61" s="59">
        <f t="shared" ca="1" si="10"/>
        <v>645.25681881071785</v>
      </c>
      <c r="L61" s="59">
        <f t="shared" ca="1" si="10"/>
        <v>510.68877433090034</v>
      </c>
      <c r="M61" s="59">
        <f t="shared" ca="1" si="10"/>
        <v>404.18484024436515</v>
      </c>
      <c r="N61" s="59">
        <f t="shared" ca="1" si="10"/>
        <v>319.89225785783663</v>
      </c>
      <c r="O61" s="59">
        <f t="shared" ca="1" si="10"/>
        <v>253.17885889910312</v>
      </c>
      <c r="P61" s="59">
        <f t="shared" ca="1" si="10"/>
        <v>200.37851188614408</v>
      </c>
      <c r="Q61" s="59">
        <f t="shared" ca="1" si="10"/>
        <v>158.58965555140122</v>
      </c>
      <c r="R61" s="59">
        <f t="shared" ca="1" si="10"/>
        <v>125.51584803765188</v>
      </c>
      <c r="S61" s="59">
        <f t="shared" ca="1" si="10"/>
        <v>99.339569493577386</v>
      </c>
      <c r="T61" s="59">
        <f t="shared" ca="1" si="10"/>
        <v>78.622343086181516</v>
      </c>
      <c r="U61" s="59">
        <f t="shared" ca="1" si="10"/>
        <v>0.53053361335771554</v>
      </c>
      <c r="V61" s="59">
        <f t="shared" ca="1" si="11"/>
        <v>0.18745135993075254</v>
      </c>
      <c r="W61" s="59">
        <f t="shared" ca="1" si="11"/>
        <v>6.3220932880590344E-2</v>
      </c>
      <c r="X61" s="59">
        <f t="shared" ca="1" si="11"/>
        <v>2.0395203791178367E-2</v>
      </c>
      <c r="Y61" s="59"/>
      <c r="AA61" s="59"/>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row>
    <row r="62" spans="3:71">
      <c r="C62" s="56" t="str">
        <f t="shared" si="9"/>
        <v>ManufacturedWINDOW CL22 Prime Window Replacement of Single Pane Base_Heat Pump</v>
      </c>
      <c r="D62" s="27" t="s">
        <v>173</v>
      </c>
      <c r="E62" s="59">
        <f t="shared" ca="1" si="12"/>
        <v>39.065100741743507</v>
      </c>
      <c r="F62" s="59">
        <f t="shared" ca="1" si="10"/>
        <v>38.647612538377473</v>
      </c>
      <c r="G62" s="59">
        <f t="shared" ca="1" si="10"/>
        <v>38.234586025795309</v>
      </c>
      <c r="H62" s="59">
        <f t="shared" ca="1" si="10"/>
        <v>37.825973521967931</v>
      </c>
      <c r="I62" s="59">
        <f t="shared" ca="1" si="10"/>
        <v>37.421727854443446</v>
      </c>
      <c r="J62" s="59">
        <f t="shared" ca="1" si="10"/>
        <v>33.319622119411221</v>
      </c>
      <c r="K62" s="59">
        <f t="shared" ca="1" si="10"/>
        <v>26.370828614710693</v>
      </c>
      <c r="L62" s="59">
        <f t="shared" ca="1" si="10"/>
        <v>20.871203140725555</v>
      </c>
      <c r="M62" s="59">
        <f t="shared" ca="1" si="10"/>
        <v>16.518522299994533</v>
      </c>
      <c r="N62" s="59">
        <f t="shared" ca="1" si="10"/>
        <v>13.073591260438034</v>
      </c>
      <c r="O62" s="59">
        <f t="shared" ca="1" si="10"/>
        <v>10.347099173941144</v>
      </c>
      <c r="P62" s="59">
        <f t="shared" ca="1" si="10"/>
        <v>8.1892158919909779</v>
      </c>
      <c r="Q62" s="59">
        <f t="shared" ca="1" si="10"/>
        <v>6.4813582819940851</v>
      </c>
      <c r="R62" s="59">
        <f t="shared" ca="1" si="10"/>
        <v>5.1296736749432856</v>
      </c>
      <c r="S62" s="59">
        <f t="shared" ca="1" si="10"/>
        <v>4.0598823373964752</v>
      </c>
      <c r="T62" s="59">
        <f t="shared" ca="1" si="10"/>
        <v>3.2131955438054458</v>
      </c>
      <c r="U62" s="59">
        <f t="shared" ca="1" si="10"/>
        <v>2.1682236567427213E-2</v>
      </c>
      <c r="V62" s="59">
        <f t="shared" ca="1" si="11"/>
        <v>7.6608995708705467E-3</v>
      </c>
      <c r="W62" s="59">
        <f t="shared" ca="1" si="11"/>
        <v>2.583759422998419E-3</v>
      </c>
      <c r="X62" s="59">
        <f t="shared" ca="1" si="11"/>
        <v>8.3352613728369441E-4</v>
      </c>
      <c r="Y62" s="59"/>
      <c r="AA62" s="59"/>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row>
    <row r="63" spans="3:71">
      <c r="C63" s="56" t="str">
        <f t="shared" si="9"/>
        <v>ManufacturedWINDOW CL30 Prime Window Replacement of Single Pane Base_Heat Pump</v>
      </c>
      <c r="D63" s="27" t="s">
        <v>171</v>
      </c>
      <c r="E63" s="59">
        <f t="shared" ca="1" si="12"/>
        <v>156.26040296697403</v>
      </c>
      <c r="F63" s="59">
        <f t="shared" ca="1" si="10"/>
        <v>154.59045015350989</v>
      </c>
      <c r="G63" s="59">
        <f t="shared" ca="1" si="10"/>
        <v>152.93834410318124</v>
      </c>
      <c r="H63" s="59">
        <f t="shared" ca="1" si="10"/>
        <v>151.30389408787173</v>
      </c>
      <c r="I63" s="59">
        <f t="shared" ca="1" si="10"/>
        <v>149.68691141777379</v>
      </c>
      <c r="J63" s="59">
        <f t="shared" ca="1" si="10"/>
        <v>133.27848847764488</v>
      </c>
      <c r="K63" s="59">
        <f t="shared" ca="1" si="10"/>
        <v>105.48331445884277</v>
      </c>
      <c r="L63" s="59">
        <f t="shared" ca="1" si="10"/>
        <v>83.484812562902221</v>
      </c>
      <c r="M63" s="59">
        <f t="shared" ca="1" si="10"/>
        <v>66.074089199978133</v>
      </c>
      <c r="N63" s="59">
        <f t="shared" ca="1" si="10"/>
        <v>52.294365041752137</v>
      </c>
      <c r="O63" s="59">
        <f t="shared" ca="1" si="10"/>
        <v>41.388396695764577</v>
      </c>
      <c r="P63" s="59">
        <f t="shared" ca="1" si="10"/>
        <v>32.756863567963912</v>
      </c>
      <c r="Q63" s="59">
        <f t="shared" ca="1" si="10"/>
        <v>25.925433127976341</v>
      </c>
      <c r="R63" s="59">
        <f t="shared" ca="1" si="10"/>
        <v>20.518694699773143</v>
      </c>
      <c r="S63" s="59">
        <f t="shared" ca="1" si="10"/>
        <v>16.239529349585901</v>
      </c>
      <c r="T63" s="59">
        <f t="shared" ca="1" si="10"/>
        <v>12.852782175221783</v>
      </c>
      <c r="U63" s="59">
        <f t="shared" ca="1" si="10"/>
        <v>8.6728946269708854E-2</v>
      </c>
      <c r="V63" s="59">
        <f t="shared" ca="1" si="11"/>
        <v>3.0643598283482187E-2</v>
      </c>
      <c r="W63" s="59">
        <f t="shared" ca="1" si="11"/>
        <v>1.0335037691993676E-2</v>
      </c>
      <c r="X63" s="59">
        <f t="shared" ca="1" si="11"/>
        <v>3.3341045491347776E-3</v>
      </c>
      <c r="Y63" s="59"/>
      <c r="AA63" s="59"/>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row>
    <row r="64" spans="3:71">
      <c r="C64" s="56" t="str">
        <f t="shared" si="9"/>
        <v>ManufacturedFloor R0 - R22_Heat Pump</v>
      </c>
      <c r="D64" s="27" t="s">
        <v>6392</v>
      </c>
      <c r="E64" s="59">
        <f t="shared" ca="1" si="12"/>
        <v>121.84756432807821</v>
      </c>
      <c r="F64" s="59">
        <f t="shared" ca="1" si="10"/>
        <v>120.54538105579755</v>
      </c>
      <c r="G64" s="59">
        <f t="shared" ca="1" si="10"/>
        <v>119.25711419853896</v>
      </c>
      <c r="H64" s="59">
        <f t="shared" ca="1" si="10"/>
        <v>117.98261503176316</v>
      </c>
      <c r="I64" s="59">
        <f t="shared" ca="1" si="10"/>
        <v>116.72173642034817</v>
      </c>
      <c r="J64" s="59">
        <f t="shared" ca="1" si="10"/>
        <v>103.92689952144275</v>
      </c>
      <c r="K64" s="59">
        <f t="shared" ca="1" si="10"/>
        <v>82.252987321293602</v>
      </c>
      <c r="L64" s="59">
        <f t="shared" ca="1" si="10"/>
        <v>65.099160606450923</v>
      </c>
      <c r="M64" s="59">
        <f t="shared" ca="1" si="10"/>
        <v>51.522757405886757</v>
      </c>
      <c r="N64" s="59">
        <f t="shared" ca="1" si="10"/>
        <v>40.777707515368569</v>
      </c>
      <c r="O64" s="59">
        <f t="shared" ca="1" si="10"/>
        <v>32.273533365257343</v>
      </c>
      <c r="P64" s="59">
        <f t="shared" ca="1" si="10"/>
        <v>25.542901240483449</v>
      </c>
      <c r="Q64" s="59">
        <f t="shared" ca="1" si="10"/>
        <v>20.215939680265883</v>
      </c>
      <c r="R64" s="59">
        <f t="shared" ca="1" si="10"/>
        <v>15.999913765019652</v>
      </c>
      <c r="S64" s="59">
        <f t="shared" ca="1" si="10"/>
        <v>12.663138322378414</v>
      </c>
      <c r="T64" s="59">
        <f t="shared" ca="1" si="10"/>
        <v>10.022246027492375</v>
      </c>
      <c r="U64" s="59">
        <f t="shared" ref="U64:U68" ca="1" si="13">VLOOKUP($D64,$D$23:$X$42,U$22-1,FALSE)*U$48*$AA$48</f>
        <v>6.7628846841885443E-2</v>
      </c>
      <c r="V64" s="59">
        <f t="shared" ca="1" si="11"/>
        <v>2.3895035096508352E-2</v>
      </c>
      <c r="W64" s="59">
        <f t="shared" ca="1" si="11"/>
        <v>8.0589781294399185E-3</v>
      </c>
      <c r="X64" s="59">
        <f t="shared" ca="1" si="11"/>
        <v>2.599843023655202E-3</v>
      </c>
      <c r="Y64" s="59"/>
      <c r="AA64" s="59"/>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row>
    <row r="65" spans="1:80">
      <c r="C65" s="56" t="str">
        <f t="shared" si="9"/>
        <v>ManufacturedWINDOW CL22 Prime Window Replacement of Double Pane Base_Heat Pump</v>
      </c>
      <c r="D65" s="27" t="s">
        <v>174</v>
      </c>
      <c r="E65" s="59">
        <f t="shared" ca="1" si="12"/>
        <v>1.9869889217891277</v>
      </c>
      <c r="F65" s="59">
        <f t="shared" ca="1" si="12"/>
        <v>1.965753998051186</v>
      </c>
      <c r="G65" s="59">
        <f t="shared" ca="1" si="12"/>
        <v>1.9447460116560806</v>
      </c>
      <c r="H65" s="59">
        <f t="shared" ca="1" si="12"/>
        <v>1.9239625373274978</v>
      </c>
      <c r="I65" s="59">
        <f t="shared" ca="1" si="12"/>
        <v>1.903401175708018</v>
      </c>
      <c r="J65" s="59">
        <f t="shared" ca="1" si="12"/>
        <v>1.6947535977739108</v>
      </c>
      <c r="K65" s="59">
        <f t="shared" ca="1" si="12"/>
        <v>1.3413134311935553</v>
      </c>
      <c r="L65" s="59">
        <f t="shared" ca="1" si="12"/>
        <v>1.0615830661539274</v>
      </c>
      <c r="M65" s="59">
        <f t="shared" ca="1" si="12"/>
        <v>0.84019035382502694</v>
      </c>
      <c r="N65" s="59">
        <f t="shared" ca="1" si="12"/>
        <v>0.6649690007001926</v>
      </c>
      <c r="O65" s="59">
        <f t="shared" ca="1" si="12"/>
        <v>0.52628998878544553</v>
      </c>
      <c r="P65" s="59">
        <f t="shared" ca="1" si="12"/>
        <v>0.41653242783367567</v>
      </c>
      <c r="Q65" s="59">
        <f t="shared" ca="1" si="12"/>
        <v>0.32966476112800858</v>
      </c>
      <c r="R65" s="59">
        <f t="shared" ca="1" si="12"/>
        <v>0.26091331062700163</v>
      </c>
      <c r="S65" s="59">
        <f t="shared" ca="1" si="12"/>
        <v>0.20649994688364173</v>
      </c>
      <c r="T65" s="59">
        <f t="shared" ca="1" si="12"/>
        <v>0.16343446779496681</v>
      </c>
      <c r="U65" s="59">
        <f t="shared" ca="1" si="13"/>
        <v>1.1028350891478134E-3</v>
      </c>
      <c r="V65" s="59">
        <f t="shared" ca="1" si="11"/>
        <v>3.8966039480842982E-4</v>
      </c>
      <c r="W65" s="59">
        <f t="shared" ca="1" si="11"/>
        <v>1.3141912480927595E-4</v>
      </c>
      <c r="X65" s="59">
        <f t="shared" ca="1" si="11"/>
        <v>4.2396081652353802E-5</v>
      </c>
      <c r="Y65" s="59"/>
      <c r="AA65" s="59"/>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row>
    <row r="66" spans="1:80">
      <c r="C66" s="56" t="str">
        <f t="shared" si="9"/>
        <v>ManufacturedWINDOW CL30 Prime Window Replacement of Double Pane Base_Heat Pump</v>
      </c>
      <c r="D66" s="27" t="s">
        <v>172</v>
      </c>
      <c r="E66" s="59">
        <f t="shared" ref="E66:T68" ca="1" si="14">VLOOKUP($D66,$D$23:$X$42,E$22-1,FALSE)*E$48*$AA$48</f>
        <v>7.9479556871565107</v>
      </c>
      <c r="F66" s="59">
        <f t="shared" ca="1" si="14"/>
        <v>7.863015992204744</v>
      </c>
      <c r="G66" s="59">
        <f t="shared" ca="1" si="14"/>
        <v>7.7789840466243225</v>
      </c>
      <c r="H66" s="59">
        <f t="shared" ca="1" si="14"/>
        <v>7.6958501493099911</v>
      </c>
      <c r="I66" s="59">
        <f t="shared" ca="1" si="14"/>
        <v>7.6136047028320721</v>
      </c>
      <c r="J66" s="59">
        <f t="shared" ca="1" si="14"/>
        <v>6.7790143910956431</v>
      </c>
      <c r="K66" s="59">
        <f t="shared" ca="1" si="14"/>
        <v>5.3652537247742211</v>
      </c>
      <c r="L66" s="59">
        <f t="shared" ca="1" si="14"/>
        <v>4.2463322646157096</v>
      </c>
      <c r="M66" s="59">
        <f t="shared" ca="1" si="14"/>
        <v>3.3607614153001077</v>
      </c>
      <c r="N66" s="59">
        <f t="shared" ca="1" si="14"/>
        <v>2.6598760028007704</v>
      </c>
      <c r="O66" s="59">
        <f t="shared" ca="1" si="14"/>
        <v>2.1051599551417821</v>
      </c>
      <c r="P66" s="59">
        <f t="shared" ca="1" si="14"/>
        <v>1.6661297113347027</v>
      </c>
      <c r="Q66" s="59">
        <f t="shared" ca="1" si="14"/>
        <v>1.3186590445120343</v>
      </c>
      <c r="R66" s="59">
        <f t="shared" ca="1" si="14"/>
        <v>1.0436532425080065</v>
      </c>
      <c r="S66" s="59">
        <f t="shared" ca="1" si="14"/>
        <v>0.82599978753456693</v>
      </c>
      <c r="T66" s="59">
        <f t="shared" ca="1" si="14"/>
        <v>0.65373787117986726</v>
      </c>
      <c r="U66" s="59">
        <f t="shared" ca="1" si="13"/>
        <v>4.4113403565912536E-3</v>
      </c>
      <c r="V66" s="59">
        <f t="shared" ca="1" si="11"/>
        <v>1.5586415792337193E-3</v>
      </c>
      <c r="W66" s="59">
        <f t="shared" ca="1" si="11"/>
        <v>5.2567649923710379E-4</v>
      </c>
      <c r="X66" s="59">
        <f t="shared" ca="1" si="11"/>
        <v>1.6958432660941521E-4</v>
      </c>
      <c r="Y66" s="59"/>
      <c r="AA66" s="59"/>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row>
    <row r="67" spans="1:80">
      <c r="C67" s="56" t="str">
        <f t="shared" si="9"/>
        <v>ManufacturedFloor R11 - R22_Heat Pump</v>
      </c>
      <c r="D67" s="27" t="s">
        <v>6391</v>
      </c>
      <c r="E67" s="59">
        <f t="shared" ca="1" si="14"/>
        <v>185.47140923596794</v>
      </c>
      <c r="F67" s="59">
        <f t="shared" ca="1" si="14"/>
        <v>183.4892787935153</v>
      </c>
      <c r="G67" s="59">
        <f t="shared" ca="1" si="14"/>
        <v>181.52833135229764</v>
      </c>
      <c r="H67" s="59">
        <f t="shared" ca="1" si="14"/>
        <v>179.5883405298672</v>
      </c>
      <c r="I67" s="59">
        <f t="shared" ca="1" si="14"/>
        <v>177.66908236312239</v>
      </c>
      <c r="J67" s="59">
        <f t="shared" ca="1" si="14"/>
        <v>158.19330175420706</v>
      </c>
      <c r="K67" s="59">
        <f t="shared" ca="1" si="14"/>
        <v>125.20215366203328</v>
      </c>
      <c r="L67" s="59">
        <f t="shared" ca="1" si="14"/>
        <v>99.091295951122703</v>
      </c>
      <c r="M67" s="59">
        <f t="shared" ca="1" si="14"/>
        <v>78.425846889010529</v>
      </c>
      <c r="N67" s="59">
        <f t="shared" ca="1" si="14"/>
        <v>62.070168739062019</v>
      </c>
      <c r="O67" s="59">
        <f t="shared" ca="1" si="14"/>
        <v>49.12546054807725</v>
      </c>
      <c r="P67" s="59">
        <f t="shared" ca="1" si="14"/>
        <v>38.880365932402384</v>
      </c>
      <c r="Q67" s="59">
        <f t="shared" ca="1" si="14"/>
        <v>30.771881589956553</v>
      </c>
      <c r="R67" s="59">
        <f t="shared" ca="1" si="14"/>
        <v>24.35441832601596</v>
      </c>
      <c r="S67" s="59">
        <f t="shared" ca="1" si="14"/>
        <v>19.275314389360339</v>
      </c>
      <c r="T67" s="59">
        <f t="shared" ca="1" si="14"/>
        <v>15.255455492106595</v>
      </c>
      <c r="U67" s="59">
        <f t="shared" ca="1" si="13"/>
        <v>0.10294188150527939</v>
      </c>
      <c r="V67" s="59">
        <f t="shared" ca="1" si="11"/>
        <v>3.6372051074894204E-2</v>
      </c>
      <c r="W67" s="59">
        <f t="shared" ca="1" si="11"/>
        <v>1.2267048905832171E-2</v>
      </c>
      <c r="X67" s="59">
        <f t="shared" ca="1" si="11"/>
        <v>3.9573753652662408E-3</v>
      </c>
      <c r="Y67" s="59"/>
      <c r="AA67" s="59"/>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row>
    <row r="68" spans="1:80">
      <c r="C68" s="56" t="str">
        <f t="shared" si="9"/>
        <v>ManufacturedAttic R11 - R30_Heat Pump</v>
      </c>
      <c r="D68" s="27" t="s">
        <v>6423</v>
      </c>
      <c r="E68" s="59">
        <f t="shared" ca="1" si="14"/>
        <v>12.034015750100991</v>
      </c>
      <c r="F68" s="59">
        <f t="shared" ca="1" si="14"/>
        <v>11.905408386510613</v>
      </c>
      <c r="G68" s="59">
        <f t="shared" ca="1" si="14"/>
        <v>11.778175448075825</v>
      </c>
      <c r="H68" s="59">
        <f t="shared" ca="1" si="14"/>
        <v>11.652302246333569</v>
      </c>
      <c r="I68" s="59">
        <f t="shared" ca="1" si="14"/>
        <v>11.527774249796204</v>
      </c>
      <c r="J68" s="59">
        <f t="shared" ca="1" si="14"/>
        <v>10.264119374046503</v>
      </c>
      <c r="K68" s="59">
        <f t="shared" ca="1" si="14"/>
        <v>8.1235414952747647</v>
      </c>
      <c r="L68" s="59">
        <f t="shared" ca="1" si="14"/>
        <v>6.42938025373281</v>
      </c>
      <c r="M68" s="59">
        <f t="shared" ca="1" si="14"/>
        <v>5.0885356431223867</v>
      </c>
      <c r="N68" s="59">
        <f t="shared" ca="1" si="14"/>
        <v>4.0273236252115785</v>
      </c>
      <c r="O68" s="59">
        <f t="shared" ca="1" si="14"/>
        <v>3.187426937671002</v>
      </c>
      <c r="P68" s="59">
        <f t="shared" ca="1" si="14"/>
        <v>2.5226903592722807</v>
      </c>
      <c r="Q68" s="59">
        <f t="shared" ca="1" si="14"/>
        <v>1.9965843212128185</v>
      </c>
      <c r="R68" s="59">
        <f t="shared" ca="1" si="14"/>
        <v>1.5801974812567923</v>
      </c>
      <c r="S68" s="59">
        <f t="shared" ca="1" si="14"/>
        <v>1.2506479457143593</v>
      </c>
      <c r="T68" s="59">
        <f t="shared" ca="1" si="14"/>
        <v>0.98982583042439876</v>
      </c>
      <c r="U68" s="59">
        <f t="shared" ca="1" si="13"/>
        <v>6.6792193388873237E-3</v>
      </c>
      <c r="V68" s="59">
        <f t="shared" ca="1" si="11"/>
        <v>2.3599423614767698E-3</v>
      </c>
      <c r="W68" s="59">
        <f t="shared" ca="1" si="11"/>
        <v>7.9592784865418261E-4</v>
      </c>
      <c r="X68" s="59">
        <f t="shared" ca="1" si="11"/>
        <v>2.5676797125149674E-4</v>
      </c>
      <c r="Y68" s="59"/>
      <c r="AA68" s="59"/>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row>
    <row r="69" spans="1:80">
      <c r="E69" s="59"/>
      <c r="F69" s="59"/>
      <c r="G69" s="59"/>
      <c r="H69" s="59"/>
      <c r="I69" s="59"/>
      <c r="J69" s="59"/>
      <c r="K69" s="59"/>
      <c r="L69" s="59"/>
      <c r="M69" s="59"/>
      <c r="N69" s="59"/>
      <c r="O69" s="59"/>
      <c r="P69" s="59"/>
      <c r="Q69" s="59"/>
      <c r="R69" s="59"/>
      <c r="S69" s="59"/>
      <c r="T69" s="59"/>
      <c r="U69" s="59"/>
      <c r="V69" s="59"/>
      <c r="W69" s="59"/>
      <c r="X69" s="59"/>
      <c r="Y69" s="59"/>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row>
    <row r="70" spans="1:80">
      <c r="C70" s="56" t="s">
        <v>80</v>
      </c>
      <c r="E70" s="59">
        <f t="shared" ref="E70:X70" ca="1" si="15">SUM(E49:E68)</f>
        <v>10383.504516180219</v>
      </c>
      <c r="F70" s="59">
        <f t="shared" ca="1" si="15"/>
        <v>10272.536143827578</v>
      </c>
      <c r="G70" s="59">
        <f t="shared" ca="1" si="15"/>
        <v>10162.753688969697</v>
      </c>
      <c r="H70" s="59">
        <f t="shared" ca="1" si="15"/>
        <v>10054.144477722333</v>
      </c>
      <c r="I70" s="59">
        <f t="shared" ca="1" si="15"/>
        <v>9946.6959716469009</v>
      </c>
      <c r="J70" s="59">
        <f t="shared" ca="1" si="15"/>
        <v>8856.3561896726223</v>
      </c>
      <c r="K70" s="59">
        <f t="shared" ca="1" si="15"/>
        <v>7009.366744667509</v>
      </c>
      <c r="L70" s="59">
        <f t="shared" ca="1" si="15"/>
        <v>5547.5661896415832</v>
      </c>
      <c r="M70" s="59">
        <f t="shared" ca="1" si="15"/>
        <v>4390.6235398322378</v>
      </c>
      <c r="N70" s="59">
        <f t="shared" ca="1" si="15"/>
        <v>3474.9608043476892</v>
      </c>
      <c r="O70" s="59">
        <f t="shared" ca="1" si="15"/>
        <v>2750.2591561776512</v>
      </c>
      <c r="P70" s="59">
        <f t="shared" ca="1" si="15"/>
        <v>2176.6937390129478</v>
      </c>
      <c r="Q70" s="59">
        <f t="shared" ca="1" si="15"/>
        <v>1722.7451539669064</v>
      </c>
      <c r="R70" s="59">
        <f t="shared" ca="1" si="15"/>
        <v>1363.4673598419392</v>
      </c>
      <c r="S70" s="59">
        <f t="shared" ca="1" si="15"/>
        <v>1079.1168020839243</v>
      </c>
      <c r="T70" s="59">
        <f t="shared" ca="1" si="15"/>
        <v>854.06743632999849</v>
      </c>
      <c r="U70" s="59">
        <f t="shared" ca="1" si="15"/>
        <v>5.763138889801831</v>
      </c>
      <c r="V70" s="59">
        <f t="shared" ca="1" si="15"/>
        <v>2.0362672508645665</v>
      </c>
      <c r="W70" s="59">
        <f t="shared" ca="1" si="15"/>
        <v>0.6867633035119598</v>
      </c>
      <c r="X70" s="59">
        <f t="shared" ca="1" si="15"/>
        <v>0.22155126305846604</v>
      </c>
      <c r="Y70" s="59"/>
      <c r="AA70" s="59">
        <f t="shared" ref="AA70" ca="1" si="16">SUM(E70:Y70)</f>
        <v>90053.565634628962</v>
      </c>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row>
    <row r="71" spans="1:80">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row>
    <row r="72" spans="1:80">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row>
    <row r="73" spans="1:80">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row>
    <row r="74" spans="1:80">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row>
    <row r="75" spans="1:80" ht="15">
      <c r="A75" s="69" t="s">
        <v>81</v>
      </c>
      <c r="C75" s="76" t="str">
        <f>C8</f>
        <v>ResWx</v>
      </c>
      <c r="D75" s="76"/>
      <c r="E75" s="76" t="s">
        <v>5818</v>
      </c>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row>
    <row r="76" spans="1:80" ht="15">
      <c r="A76" s="76" t="s">
        <v>82</v>
      </c>
      <c r="B76" s="76" t="s">
        <v>40</v>
      </c>
      <c r="C76" s="76">
        <v>1</v>
      </c>
      <c r="D76" s="76"/>
      <c r="E76" s="70">
        <f t="shared" ref="E76:X76" si="17">E11</f>
        <v>2016</v>
      </c>
      <c r="F76" s="71">
        <f t="shared" si="17"/>
        <v>2017</v>
      </c>
      <c r="G76" s="71">
        <f t="shared" si="17"/>
        <v>2018</v>
      </c>
      <c r="H76" s="71">
        <f t="shared" si="17"/>
        <v>2019</v>
      </c>
      <c r="I76" s="71">
        <f t="shared" si="17"/>
        <v>2020</v>
      </c>
      <c r="J76" s="71">
        <f t="shared" si="17"/>
        <v>2021</v>
      </c>
      <c r="K76" s="71">
        <f t="shared" si="17"/>
        <v>2022</v>
      </c>
      <c r="L76" s="71">
        <f t="shared" si="17"/>
        <v>2023</v>
      </c>
      <c r="M76" s="71">
        <f t="shared" si="17"/>
        <v>2024</v>
      </c>
      <c r="N76" s="71">
        <f t="shared" si="17"/>
        <v>2025</v>
      </c>
      <c r="O76" s="71">
        <f t="shared" si="17"/>
        <v>2026</v>
      </c>
      <c r="P76" s="71">
        <f t="shared" si="17"/>
        <v>2027</v>
      </c>
      <c r="Q76" s="71">
        <f t="shared" si="17"/>
        <v>2028</v>
      </c>
      <c r="R76" s="71">
        <f t="shared" si="17"/>
        <v>2029</v>
      </c>
      <c r="S76" s="71">
        <f t="shared" si="17"/>
        <v>2030</v>
      </c>
      <c r="T76" s="71">
        <f t="shared" si="17"/>
        <v>2031</v>
      </c>
      <c r="U76" s="71">
        <f t="shared" si="17"/>
        <v>2032</v>
      </c>
      <c r="V76" s="71">
        <f t="shared" si="17"/>
        <v>2033</v>
      </c>
      <c r="W76" s="71">
        <f t="shared" si="17"/>
        <v>2034</v>
      </c>
      <c r="X76" s="71">
        <f t="shared" si="17"/>
        <v>2035</v>
      </c>
      <c r="Y76" s="72" t="s">
        <v>5819</v>
      </c>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row>
    <row r="77" spans="1:80" ht="15">
      <c r="A77" s="76" t="s">
        <v>32</v>
      </c>
      <c r="B77" s="76" t="s">
        <v>83</v>
      </c>
      <c r="C77" s="76" t="s">
        <v>84</v>
      </c>
      <c r="D77" s="76" t="s">
        <v>85</v>
      </c>
      <c r="E77" s="73" t="str">
        <f t="shared" ref="E77:X77" si="18">CONCATENATE("aMW_",E76)</f>
        <v>aMW_2016</v>
      </c>
      <c r="F77" s="74" t="str">
        <f t="shared" si="18"/>
        <v>aMW_2017</v>
      </c>
      <c r="G77" s="74" t="str">
        <f t="shared" si="18"/>
        <v>aMW_2018</v>
      </c>
      <c r="H77" s="74" t="str">
        <f t="shared" si="18"/>
        <v>aMW_2019</v>
      </c>
      <c r="I77" s="74" t="str">
        <f t="shared" si="18"/>
        <v>aMW_2020</v>
      </c>
      <c r="J77" s="74" t="str">
        <f t="shared" si="18"/>
        <v>aMW_2021</v>
      </c>
      <c r="K77" s="74" t="str">
        <f t="shared" si="18"/>
        <v>aMW_2022</v>
      </c>
      <c r="L77" s="74" t="str">
        <f t="shared" si="18"/>
        <v>aMW_2023</v>
      </c>
      <c r="M77" s="74" t="str">
        <f t="shared" si="18"/>
        <v>aMW_2024</v>
      </c>
      <c r="N77" s="74" t="str">
        <f t="shared" si="18"/>
        <v>aMW_2025</v>
      </c>
      <c r="O77" s="74" t="str">
        <f t="shared" si="18"/>
        <v>aMW_2026</v>
      </c>
      <c r="P77" s="74" t="str">
        <f t="shared" si="18"/>
        <v>aMW_2027</v>
      </c>
      <c r="Q77" s="74" t="str">
        <f t="shared" si="18"/>
        <v>aMW_2028</v>
      </c>
      <c r="R77" s="74" t="str">
        <f t="shared" si="18"/>
        <v>aMW_2029</v>
      </c>
      <c r="S77" s="74" t="str">
        <f t="shared" si="18"/>
        <v>aMW_2030</v>
      </c>
      <c r="T77" s="74" t="str">
        <f t="shared" si="18"/>
        <v>aMW_2031</v>
      </c>
      <c r="U77" s="74" t="str">
        <f t="shared" si="18"/>
        <v>aMW_2032</v>
      </c>
      <c r="V77" s="74" t="str">
        <f t="shared" si="18"/>
        <v>aMW_2033</v>
      </c>
      <c r="W77" s="74" t="str">
        <f t="shared" si="18"/>
        <v>aMW_2034</v>
      </c>
      <c r="X77" s="74" t="str">
        <f t="shared" si="18"/>
        <v>aMW_2035</v>
      </c>
      <c r="Y77" s="75" t="s">
        <v>5819</v>
      </c>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row>
    <row r="78" spans="1:80">
      <c r="A78" s="78">
        <f t="shared" ref="A78:A97" si="19">VLOOKUP(CONCATENATE($D78),MeasureOutput,3,FALSE)</f>
        <v>997.78419810830133</v>
      </c>
      <c r="B78" s="78">
        <f t="shared" ref="B78:B97" si="20">VLOOKUP(CONCATENATE($D78),MeasureOutput,11,FALSE)</f>
        <v>175.14390543938447</v>
      </c>
      <c r="C78" s="56" t="s">
        <v>75</v>
      </c>
      <c r="D78" s="27" t="s">
        <v>6420</v>
      </c>
      <c r="E78" s="60">
        <f t="shared" ref="E78:N87" ca="1" si="21">VLOOKUP($C78&amp;$D78,$C$49:$Y$68,E$22,FALSE)*$C$76*$A78/8760/1000</f>
        <v>8.093221789220878E-2</v>
      </c>
      <c r="F78" s="60">
        <f t="shared" ca="1" si="21"/>
        <v>8.006729637400721E-2</v>
      </c>
      <c r="G78" s="60">
        <f t="shared" ca="1" si="21"/>
        <v>7.9211618260374705E-2</v>
      </c>
      <c r="H78" s="60">
        <f t="shared" ca="1" si="21"/>
        <v>7.8365084767171606E-2</v>
      </c>
      <c r="I78" s="60">
        <f t="shared" ca="1" si="21"/>
        <v>7.7527598165963038E-2</v>
      </c>
      <c r="J78" s="60">
        <f t="shared" ca="1" si="21"/>
        <v>6.9029155595462965E-2</v>
      </c>
      <c r="K78" s="60">
        <f t="shared" ca="1" si="21"/>
        <v>5.4633153554453286E-2</v>
      </c>
      <c r="L78" s="60">
        <f t="shared" ca="1" si="21"/>
        <v>4.3239431824958478E-2</v>
      </c>
      <c r="M78" s="60">
        <f t="shared" ca="1" si="21"/>
        <v>3.4221866081403103E-2</v>
      </c>
      <c r="N78" s="60">
        <f t="shared" ca="1" si="21"/>
        <v>2.7084909969087276E-2</v>
      </c>
      <c r="O78" s="60">
        <f t="shared" ref="O78:X87" ca="1" si="22">VLOOKUP($C78&amp;$D78,$C$49:$Y$68,O$22,FALSE)*$C$76*$A78/8760/1000</f>
        <v>2.1436363122004427E-2</v>
      </c>
      <c r="P78" s="60">
        <f t="shared" ca="1" si="22"/>
        <v>1.6965818399355622E-2</v>
      </c>
      <c r="Q78" s="60">
        <f t="shared" ca="1" si="22"/>
        <v>1.342760394203469E-2</v>
      </c>
      <c r="R78" s="60">
        <f t="shared" ca="1" si="22"/>
        <v>1.0627282656225621E-2</v>
      </c>
      <c r="S78" s="60">
        <f t="shared" ca="1" si="22"/>
        <v>8.410967224149463E-3</v>
      </c>
      <c r="T78" s="60">
        <f t="shared" ca="1" si="22"/>
        <v>6.6568634649303692E-3</v>
      </c>
      <c r="U78" s="60">
        <f t="shared" ca="1" si="22"/>
        <v>4.4919671546893826E-5</v>
      </c>
      <c r="V78" s="60">
        <f t="shared" ca="1" si="22"/>
        <v>1.587129129446991E-5</v>
      </c>
      <c r="W78" s="60">
        <f t="shared" ca="1" si="22"/>
        <v>5.3528437565171633E-6</v>
      </c>
      <c r="X78" s="60">
        <f t="shared" ca="1" si="22"/>
        <v>1.7268384742551246E-6</v>
      </c>
      <c r="Y78" s="60">
        <f ca="1">VLOOKUP($D78,$D$23:$Z$45,X$22+1,FALSE)*$C$76*$A78/8760/1000</f>
        <v>0.60331719186215405</v>
      </c>
      <c r="AA78" s="60">
        <f ca="1">SUM(E78:X78)</f>
        <v>0.70190510193886257</v>
      </c>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row>
    <row r="79" spans="1:80">
      <c r="A79" s="78">
        <f t="shared" si="19"/>
        <v>658.46797022967348</v>
      </c>
      <c r="B79" s="78">
        <f t="shared" si="20"/>
        <v>284.83502736057329</v>
      </c>
      <c r="C79" s="56" t="s">
        <v>75</v>
      </c>
      <c r="D79" s="27" t="s">
        <v>6387</v>
      </c>
      <c r="E79" s="60">
        <f t="shared" ca="1" si="21"/>
        <v>0.1624869491370603</v>
      </c>
      <c r="F79" s="60">
        <f t="shared" ca="1" si="21"/>
        <v>0.16075045330887541</v>
      </c>
      <c r="G79" s="60">
        <f t="shared" ca="1" si="21"/>
        <v>0.15903251538812455</v>
      </c>
      <c r="H79" s="60">
        <f t="shared" ca="1" si="21"/>
        <v>0.1573329370467017</v>
      </c>
      <c r="I79" s="60">
        <f t="shared" ca="1" si="21"/>
        <v>0.155651522076031</v>
      </c>
      <c r="J79" s="60">
        <f t="shared" ca="1" si="21"/>
        <v>0.13858926872797328</v>
      </c>
      <c r="K79" s="60">
        <f t="shared" ca="1" si="21"/>
        <v>0.10968653366972968</v>
      </c>
      <c r="L79" s="60">
        <f t="shared" ca="1" si="21"/>
        <v>8.6811452134117062E-2</v>
      </c>
      <c r="M79" s="60">
        <f t="shared" ca="1" si="21"/>
        <v>6.8706959455259717E-2</v>
      </c>
      <c r="N79" s="60">
        <f t="shared" ca="1" si="21"/>
        <v>5.437815128692542E-2</v>
      </c>
      <c r="O79" s="60">
        <f t="shared" ca="1" si="22"/>
        <v>4.3037610175564005E-2</v>
      </c>
      <c r="P79" s="60">
        <f t="shared" ca="1" si="22"/>
        <v>3.4062134254077871E-2</v>
      </c>
      <c r="Q79" s="60">
        <f t="shared" ca="1" si="22"/>
        <v>2.6958490148730002E-2</v>
      </c>
      <c r="R79" s="60">
        <f t="shared" ca="1" si="22"/>
        <v>2.1336308103247121E-2</v>
      </c>
      <c r="S79" s="60">
        <f t="shared" ca="1" si="22"/>
        <v>1.6886629813655737E-2</v>
      </c>
      <c r="T79" s="60">
        <f t="shared" ca="1" si="22"/>
        <v>1.3364930103350412E-2</v>
      </c>
      <c r="U79" s="60">
        <f t="shared" ca="1" si="22"/>
        <v>9.0184855623439452E-5</v>
      </c>
      <c r="V79" s="60">
        <f t="shared" ca="1" si="22"/>
        <v>3.186466117533973E-5</v>
      </c>
      <c r="W79" s="60">
        <f t="shared" ca="1" si="22"/>
        <v>1.074686044514747E-5</v>
      </c>
      <c r="X79" s="60">
        <f t="shared" ca="1" si="22"/>
        <v>3.4669594216226604E-6</v>
      </c>
      <c r="Y79" s="60">
        <f t="shared" ref="Y79:Y97" ca="1" si="23">VLOOKUP($D79,$D$23:$Z$45,X$22+1,FALSE)*$C$76*$A79/8760/1000</f>
        <v>1.2112749708426955</v>
      </c>
      <c r="AA79" s="60">
        <f t="shared" ref="AA79:AA97" ca="1" si="24">SUM(E79:X79)</f>
        <v>1.4092091081660889</v>
      </c>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row>
    <row r="80" spans="1:80">
      <c r="A80" s="78">
        <f t="shared" si="19"/>
        <v>367.54737879417922</v>
      </c>
      <c r="B80" s="78">
        <f t="shared" si="20"/>
        <v>555.44832193884758</v>
      </c>
      <c r="C80" s="56" t="s">
        <v>75</v>
      </c>
      <c r="D80" s="27" t="s">
        <v>6421</v>
      </c>
      <c r="E80" s="60">
        <f t="shared" ca="1" si="21"/>
        <v>8.4626028632749598E-3</v>
      </c>
      <c r="F80" s="60">
        <f t="shared" ca="1" si="21"/>
        <v>8.3721631409113713E-3</v>
      </c>
      <c r="G80" s="60">
        <f t="shared" ca="1" si="21"/>
        <v>8.2826899466377068E-3</v>
      </c>
      <c r="H80" s="60">
        <f t="shared" ca="1" si="21"/>
        <v>8.1941729511813347E-3</v>
      </c>
      <c r="I80" s="60">
        <f t="shared" ca="1" si="21"/>
        <v>8.1066019356584307E-3</v>
      </c>
      <c r="J80" s="60">
        <f t="shared" ca="1" si="21"/>
        <v>7.2179701113548028E-3</v>
      </c>
      <c r="K80" s="60">
        <f t="shared" ca="1" si="21"/>
        <v>5.7126654099042742E-3</v>
      </c>
      <c r="L80" s="60">
        <f t="shared" ca="1" si="21"/>
        <v>4.5212913855348872E-3</v>
      </c>
      <c r="M80" s="60">
        <f t="shared" ca="1" si="21"/>
        <v>3.5783779245097641E-3</v>
      </c>
      <c r="N80" s="60">
        <f t="shared" ca="1" si="21"/>
        <v>2.8321086784155471E-3</v>
      </c>
      <c r="O80" s="60">
        <f t="shared" ca="1" si="22"/>
        <v>2.2414735770133914E-3</v>
      </c>
      <c r="P80" s="60">
        <f t="shared" ca="1" si="22"/>
        <v>1.774015183365086E-3</v>
      </c>
      <c r="Q80" s="60">
        <f t="shared" ca="1" si="22"/>
        <v>1.4040450456717819E-3</v>
      </c>
      <c r="R80" s="60">
        <f t="shared" ca="1" si="22"/>
        <v>1.1112320282040003E-3</v>
      </c>
      <c r="S80" s="60">
        <f t="shared" ca="1" si="22"/>
        <v>8.7948504523624753E-4</v>
      </c>
      <c r="T80" s="60">
        <f t="shared" ca="1" si="22"/>
        <v>6.960688003605723E-4</v>
      </c>
      <c r="U80" s="60">
        <f t="shared" ca="1" si="22"/>
        <v>4.696984105346131E-6</v>
      </c>
      <c r="V80" s="60">
        <f t="shared" ca="1" si="22"/>
        <v>1.6595669641889559E-6</v>
      </c>
      <c r="W80" s="60">
        <f t="shared" ca="1" si="22"/>
        <v>5.5971517994104664E-7</v>
      </c>
      <c r="X80" s="60">
        <f t="shared" ca="1" si="22"/>
        <v>1.8056527545196065E-7</v>
      </c>
      <c r="Y80" s="60">
        <f t="shared" ca="1" si="23"/>
        <v>6.3085306794825685E-2</v>
      </c>
      <c r="AA80" s="60">
        <f t="shared" ca="1" si="24"/>
        <v>7.3394060858759089E-2</v>
      </c>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row>
    <row r="81" spans="1:80">
      <c r="A81" s="78">
        <f t="shared" si="19"/>
        <v>375.72434346075732</v>
      </c>
      <c r="B81" s="78">
        <f t="shared" si="20"/>
        <v>542.6546707757401</v>
      </c>
      <c r="C81" s="56" t="s">
        <v>75</v>
      </c>
      <c r="D81" s="27" t="s">
        <v>6390</v>
      </c>
      <c r="E81" s="60">
        <f t="shared" ca="1" si="21"/>
        <v>2.6318369171202505E-2</v>
      </c>
      <c r="F81" s="60">
        <f t="shared" ca="1" si="21"/>
        <v>2.6037105115762144E-2</v>
      </c>
      <c r="G81" s="60">
        <f t="shared" ca="1" si="21"/>
        <v>2.5758846925478852E-2</v>
      </c>
      <c r="H81" s="60">
        <f t="shared" ca="1" si="21"/>
        <v>2.5483562476712362E-2</v>
      </c>
      <c r="I81" s="60">
        <f t="shared" ca="1" si="21"/>
        <v>2.5211219989127273E-2</v>
      </c>
      <c r="J81" s="60">
        <f t="shared" ca="1" si="21"/>
        <v>2.2447609219821817E-2</v>
      </c>
      <c r="K81" s="60">
        <f t="shared" ca="1" si="21"/>
        <v>1.7766169538911355E-2</v>
      </c>
      <c r="L81" s="60">
        <f t="shared" ca="1" si="21"/>
        <v>1.4061042180234783E-2</v>
      </c>
      <c r="M81" s="60">
        <f t="shared" ca="1" si="21"/>
        <v>1.112861761007696E-2</v>
      </c>
      <c r="N81" s="60">
        <f t="shared" ca="1" si="21"/>
        <v>8.8077489793325584E-3</v>
      </c>
      <c r="O81" s="60">
        <f t="shared" ca="1" si="22"/>
        <v>6.9708965480751459E-3</v>
      </c>
      <c r="P81" s="60">
        <f t="shared" ca="1" si="22"/>
        <v>5.5171189367443033E-3</v>
      </c>
      <c r="Q81" s="60">
        <f t="shared" ca="1" si="22"/>
        <v>4.3665260490184038E-3</v>
      </c>
      <c r="R81" s="60">
        <f t="shared" ca="1" si="22"/>
        <v>3.455888835343398E-3</v>
      </c>
      <c r="S81" s="60">
        <f t="shared" ca="1" si="22"/>
        <v>2.7351646384740956E-3</v>
      </c>
      <c r="T81" s="60">
        <f t="shared" ca="1" si="22"/>
        <v>2.1647471767753663E-3</v>
      </c>
      <c r="U81" s="60">
        <f t="shared" ca="1" si="22"/>
        <v>1.4607439776268908E-5</v>
      </c>
      <c r="V81" s="60">
        <f t="shared" ca="1" si="22"/>
        <v>5.1611893803266657E-6</v>
      </c>
      <c r="W81" s="60">
        <f t="shared" ca="1" si="22"/>
        <v>1.7406926656503655E-6</v>
      </c>
      <c r="X81" s="60">
        <f t="shared" ca="1" si="22"/>
        <v>5.6155105652748486E-7</v>
      </c>
      <c r="Y81" s="60">
        <f t="shared" ca="1" si="23"/>
        <v>0.19619287591882448</v>
      </c>
      <c r="AA81" s="60">
        <f t="shared" ca="1" si="24"/>
        <v>0.2282527042639701</v>
      </c>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row>
    <row r="82" spans="1:80">
      <c r="A82" s="78">
        <f t="shared" si="19"/>
        <v>365.50857691222126</v>
      </c>
      <c r="B82" s="78">
        <f t="shared" si="20"/>
        <v>881.73835537497496</v>
      </c>
      <c r="C82" s="56" t="s">
        <v>75</v>
      </c>
      <c r="D82" s="27" t="s">
        <v>6388</v>
      </c>
      <c r="E82" s="60">
        <f t="shared" ca="1" si="21"/>
        <v>2.7262434032265005E-2</v>
      </c>
      <c r="F82" s="60">
        <f t="shared" ca="1" si="21"/>
        <v>2.6971080768420662E-2</v>
      </c>
      <c r="G82" s="60">
        <f t="shared" ca="1" si="21"/>
        <v>2.6682841192967179E-2</v>
      </c>
      <c r="H82" s="60">
        <f t="shared" ca="1" si="21"/>
        <v>2.6397682029958812E-2</v>
      </c>
      <c r="I82" s="60">
        <f t="shared" ca="1" si="21"/>
        <v>2.6115570359069442E-2</v>
      </c>
      <c r="J82" s="60">
        <f t="shared" ca="1" si="21"/>
        <v>2.3252826250612778E-2</v>
      </c>
      <c r="K82" s="60">
        <f t="shared" ca="1" si="21"/>
        <v>1.8403458888728571E-2</v>
      </c>
      <c r="L82" s="60">
        <f t="shared" ca="1" si="21"/>
        <v>1.4565425097957595E-2</v>
      </c>
      <c r="M82" s="60">
        <f t="shared" ca="1" si="21"/>
        <v>1.1527811677518294E-2</v>
      </c>
      <c r="N82" s="60">
        <f t="shared" ca="1" si="21"/>
        <v>9.1236912880051386E-3</v>
      </c>
      <c r="O82" s="60">
        <f t="shared" ca="1" si="22"/>
        <v>7.2209492180688641E-3</v>
      </c>
      <c r="P82" s="60">
        <f t="shared" ca="1" si="22"/>
        <v>5.7150232251369868E-3</v>
      </c>
      <c r="Q82" s="60">
        <f t="shared" ca="1" si="22"/>
        <v>4.5231574793694511E-3</v>
      </c>
      <c r="R82" s="60">
        <f t="shared" ca="1" si="22"/>
        <v>3.5798548452417541E-3</v>
      </c>
      <c r="S82" s="60">
        <f t="shared" ca="1" si="22"/>
        <v>2.8332775879356263E-3</v>
      </c>
      <c r="T82" s="60">
        <f t="shared" ca="1" si="22"/>
        <v>2.2423987109332672E-3</v>
      </c>
      <c r="U82" s="60">
        <f t="shared" ca="1" si="22"/>
        <v>1.5131422493934846E-5</v>
      </c>
      <c r="V82" s="60">
        <f t="shared" ca="1" si="22"/>
        <v>5.3463261379866649E-6</v>
      </c>
      <c r="W82" s="60">
        <f t="shared" ca="1" si="22"/>
        <v>1.8031329623442749E-6</v>
      </c>
      <c r="X82" s="60">
        <f t="shared" ca="1" si="22"/>
        <v>5.8169442546921218E-7</v>
      </c>
      <c r="Y82" s="60">
        <f t="shared" ca="1" si="23"/>
        <v>0.20323050043654811</v>
      </c>
      <c r="AA82" s="60">
        <f t="shared" ca="1" si="24"/>
        <v>0.23644034522820923</v>
      </c>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row>
    <row r="83" spans="1:80">
      <c r="A83" s="78">
        <f t="shared" si="19"/>
        <v>861.73982544876924</v>
      </c>
      <c r="B83" s="78">
        <f t="shared" si="20"/>
        <v>350.9052137073852</v>
      </c>
      <c r="C83" s="56" t="s">
        <v>75</v>
      </c>
      <c r="D83" s="27" t="s">
        <v>6389</v>
      </c>
      <c r="E83" s="60">
        <f t="shared" ca="1" si="21"/>
        <v>4.2226306932005686E-2</v>
      </c>
      <c r="F83" s="60">
        <f t="shared" ca="1" si="21"/>
        <v>4.1775034960831993E-2</v>
      </c>
      <c r="G83" s="60">
        <f t="shared" ca="1" si="21"/>
        <v>4.1328585727111879E-2</v>
      </c>
      <c r="H83" s="60">
        <f t="shared" ca="1" si="21"/>
        <v>4.0886907690315381E-2</v>
      </c>
      <c r="I83" s="60">
        <f t="shared" ca="1" si="21"/>
        <v>4.0449949860725504E-2</v>
      </c>
      <c r="J83" s="60">
        <f t="shared" ca="1" si="21"/>
        <v>3.6015895614196484E-2</v>
      </c>
      <c r="K83" s="60">
        <f t="shared" ca="1" si="21"/>
        <v>2.8504795379836353E-2</v>
      </c>
      <c r="L83" s="60">
        <f t="shared" ca="1" si="21"/>
        <v>2.2560132013656361E-2</v>
      </c>
      <c r="M83" s="60">
        <f t="shared" ca="1" si="21"/>
        <v>1.7855225750318102E-2</v>
      </c>
      <c r="N83" s="60">
        <f t="shared" ca="1" si="21"/>
        <v>1.4131525755338551E-2</v>
      </c>
      <c r="O83" s="60">
        <f t="shared" ca="1" si="22"/>
        <v>1.1184401864548761E-2</v>
      </c>
      <c r="P83" s="60">
        <f t="shared" ca="1" si="22"/>
        <v>8.8518994504514503E-3</v>
      </c>
      <c r="Q83" s="60">
        <f t="shared" ca="1" si="22"/>
        <v>7.0058394565800011E-3</v>
      </c>
      <c r="R83" s="60">
        <f t="shared" ca="1" si="22"/>
        <v>5.5447745160356506E-3</v>
      </c>
      <c r="S83" s="60">
        <f t="shared" ca="1" si="22"/>
        <v>4.3884140686099513E-3</v>
      </c>
      <c r="T83" s="60">
        <f t="shared" ca="1" si="22"/>
        <v>3.4732121174411213E-3</v>
      </c>
      <c r="U83" s="60">
        <f t="shared" ca="1" si="22"/>
        <v>2.3436795474335098E-5</v>
      </c>
      <c r="V83" s="60">
        <f t="shared" ca="1" si="22"/>
        <v>8.2808309850121401E-6</v>
      </c>
      <c r="W83" s="60">
        <f t="shared" ca="1" si="22"/>
        <v>2.7928410873752126E-6</v>
      </c>
      <c r="X83" s="60">
        <f t="shared" ca="1" si="22"/>
        <v>9.0097631493320276E-7</v>
      </c>
      <c r="Y83" s="60">
        <f t="shared" ca="1" si="23"/>
        <v>0.31478016523478464</v>
      </c>
      <c r="AA83" s="60">
        <f t="shared" ca="1" si="24"/>
        <v>0.36621831260186494</v>
      </c>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row>
    <row r="84" spans="1:80">
      <c r="A84" s="78">
        <f t="shared" si="19"/>
        <v>440.16223485965639</v>
      </c>
      <c r="B84" s="78">
        <f t="shared" si="20"/>
        <v>678.94099483691605</v>
      </c>
      <c r="C84" s="56" t="s">
        <v>75</v>
      </c>
      <c r="D84" s="27" t="s">
        <v>5812</v>
      </c>
      <c r="E84" s="60">
        <f t="shared" ca="1" si="21"/>
        <v>0.16920010828266177</v>
      </c>
      <c r="F84" s="60">
        <f t="shared" ca="1" si="21"/>
        <v>0.16739186901346709</v>
      </c>
      <c r="G84" s="60">
        <f t="shared" ca="1" si="21"/>
        <v>0.16560295437289024</v>
      </c>
      <c r="H84" s="60">
        <f t="shared" ca="1" si="21"/>
        <v>0.16383315783888655</v>
      </c>
      <c r="I84" s="60">
        <f t="shared" ca="1" si="21"/>
        <v>0.16208227509650958</v>
      </c>
      <c r="J84" s="60">
        <f t="shared" ca="1" si="21"/>
        <v>0.14431509361289147</v>
      </c>
      <c r="K84" s="60">
        <f t="shared" ca="1" si="21"/>
        <v>0.11421824012717044</v>
      </c>
      <c r="L84" s="60">
        <f t="shared" ca="1" si="21"/>
        <v>9.039807307156543E-2</v>
      </c>
      <c r="M84" s="60">
        <f t="shared" ca="1" si="21"/>
        <v>7.1545592069651914E-2</v>
      </c>
      <c r="N84" s="60">
        <f t="shared" ca="1" si="21"/>
        <v>5.6624788235747667E-2</v>
      </c>
      <c r="O84" s="60">
        <f t="shared" ca="1" si="22"/>
        <v>4.4815711911668429E-2</v>
      </c>
      <c r="P84" s="60">
        <f t="shared" ca="1" si="22"/>
        <v>3.546941360359402E-2</v>
      </c>
      <c r="Q84" s="60">
        <f t="shared" ca="1" si="22"/>
        <v>2.8072281968040347E-2</v>
      </c>
      <c r="R84" s="60">
        <f t="shared" ca="1" si="22"/>
        <v>2.2217819096206081E-2</v>
      </c>
      <c r="S84" s="60">
        <f t="shared" ca="1" si="22"/>
        <v>1.7584302051173752E-2</v>
      </c>
      <c r="T84" s="60">
        <f t="shared" ca="1" si="22"/>
        <v>1.3917103082350403E-2</v>
      </c>
      <c r="U84" s="60">
        <f t="shared" ca="1" si="22"/>
        <v>9.3910848951140805E-5</v>
      </c>
      <c r="V84" s="60">
        <f t="shared" ca="1" si="22"/>
        <v>3.3181151777980591E-5</v>
      </c>
      <c r="W84" s="60">
        <f t="shared" ca="1" si="22"/>
        <v>1.1190867701527111E-5</v>
      </c>
      <c r="X84" s="60">
        <f t="shared" ca="1" si="22"/>
        <v>3.6101970814611921E-6</v>
      </c>
      <c r="Y84" s="60">
        <f t="shared" ca="1" si="23"/>
        <v>1.2613188770858468</v>
      </c>
      <c r="AA84" s="60">
        <f t="shared" ca="1" si="24"/>
        <v>1.4674306764999872</v>
      </c>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row>
    <row r="85" spans="1:80">
      <c r="A85" s="78">
        <f t="shared" si="19"/>
        <v>264.76066179606534</v>
      </c>
      <c r="B85" s="78">
        <f t="shared" si="20"/>
        <v>768.92167985978085</v>
      </c>
      <c r="C85" s="56" t="s">
        <v>75</v>
      </c>
      <c r="D85" s="27" t="s">
        <v>6422</v>
      </c>
      <c r="E85" s="60">
        <f t="shared" ca="1" si="21"/>
        <v>1.2813097090880645E-3</v>
      </c>
      <c r="F85" s="60">
        <f t="shared" ca="1" si="21"/>
        <v>1.2676163695536549E-3</v>
      </c>
      <c r="G85" s="60">
        <f t="shared" ca="1" si="21"/>
        <v>1.2540693705536798E-3</v>
      </c>
      <c r="H85" s="60">
        <f t="shared" ca="1" si="21"/>
        <v>1.2406671481488274E-3</v>
      </c>
      <c r="I85" s="60">
        <f t="shared" ca="1" si="21"/>
        <v>1.2274081551135829E-3</v>
      </c>
      <c r="J85" s="60">
        <f t="shared" ca="1" si="21"/>
        <v>1.0928617746818491E-3</v>
      </c>
      <c r="K85" s="60">
        <f t="shared" ca="1" si="21"/>
        <v>8.6494590053930913E-4</v>
      </c>
      <c r="L85" s="60">
        <f t="shared" ca="1" si="21"/>
        <v>6.8456178831723721E-4</v>
      </c>
      <c r="M85" s="60">
        <f t="shared" ca="1" si="21"/>
        <v>5.4179670859402654E-4</v>
      </c>
      <c r="N85" s="60">
        <f t="shared" ca="1" si="21"/>
        <v>4.2880522759661764E-4</v>
      </c>
      <c r="O85" s="60">
        <f t="shared" ca="1" si="22"/>
        <v>3.3937807354227697E-4</v>
      </c>
      <c r="P85" s="60">
        <f t="shared" ca="1" si="22"/>
        <v>2.6860091572767844E-4</v>
      </c>
      <c r="Q85" s="60">
        <f t="shared" ca="1" si="22"/>
        <v>2.1258430509877953E-4</v>
      </c>
      <c r="R85" s="60">
        <f t="shared" ca="1" si="22"/>
        <v>1.6824993560390187E-4</v>
      </c>
      <c r="S85" s="60">
        <f t="shared" ca="1" si="22"/>
        <v>1.3316148065382113E-4</v>
      </c>
      <c r="T85" s="60">
        <f t="shared" ca="1" si="22"/>
        <v>1.053907085686085E-4</v>
      </c>
      <c r="U85" s="60">
        <f t="shared" ca="1" si="22"/>
        <v>7.1116315332837003E-7</v>
      </c>
      <c r="V85" s="60">
        <f t="shared" ca="1" si="22"/>
        <v>2.5127248654490288E-7</v>
      </c>
      <c r="W85" s="60">
        <f t="shared" ca="1" si="22"/>
        <v>8.4745616209254282E-8</v>
      </c>
      <c r="X85" s="60">
        <f t="shared" ca="1" si="22"/>
        <v>2.7339111181122296E-8</v>
      </c>
      <c r="Y85" s="60">
        <f t="shared" ca="1" si="23"/>
        <v>9.5516494632867776E-3</v>
      </c>
      <c r="AA85" s="60">
        <f t="shared" ca="1" si="24"/>
        <v>1.1112482091749179E-2</v>
      </c>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row>
    <row r="86" spans="1:80">
      <c r="A86" s="78">
        <f t="shared" si="19"/>
        <v>1790.7788990860683</v>
      </c>
      <c r="B86" s="78">
        <f t="shared" si="20"/>
        <v>106.99546691295355</v>
      </c>
      <c r="C86" s="56" t="s">
        <v>75</v>
      </c>
      <c r="D86" s="27" t="s">
        <v>167</v>
      </c>
      <c r="E86" s="60">
        <f t="shared" ca="1" si="21"/>
        <v>0.11253328373539503</v>
      </c>
      <c r="F86" s="60">
        <f t="shared" ca="1" si="21"/>
        <v>0.1113306420538553</v>
      </c>
      <c r="G86" s="60">
        <f t="shared" ca="1" si="21"/>
        <v>0.11014085298770339</v>
      </c>
      <c r="H86" s="60">
        <f t="shared" ca="1" si="21"/>
        <v>0.1089637791812124</v>
      </c>
      <c r="I86" s="60">
        <f t="shared" ca="1" si="21"/>
        <v>0.10779928474657434</v>
      </c>
      <c r="J86" s="60">
        <f t="shared" ca="1" si="21"/>
        <v>9.5982511723390992E-2</v>
      </c>
      <c r="K86" s="60">
        <f t="shared" ca="1" si="21"/>
        <v>7.5965398334827558E-2</v>
      </c>
      <c r="L86" s="60">
        <f t="shared" ca="1" si="21"/>
        <v>6.0122845720057203E-2</v>
      </c>
      <c r="M86" s="60">
        <f t="shared" ca="1" si="21"/>
        <v>4.7584250944690418E-2</v>
      </c>
      <c r="N86" s="60">
        <f t="shared" ca="1" si="21"/>
        <v>3.7660574958645117E-2</v>
      </c>
      <c r="O86" s="60">
        <f t="shared" ca="1" si="22"/>
        <v>2.9806477522664198E-2</v>
      </c>
      <c r="P86" s="60">
        <f t="shared" ca="1" si="22"/>
        <v>2.3590348880351997E-2</v>
      </c>
      <c r="Q86" s="60">
        <f t="shared" ca="1" si="22"/>
        <v>1.8670591312696067E-2</v>
      </c>
      <c r="R86" s="60">
        <f t="shared" ca="1" si="22"/>
        <v>1.4776847164649491E-2</v>
      </c>
      <c r="S86" s="60">
        <f t="shared" ca="1" si="22"/>
        <v>1.1695141759057597E-2</v>
      </c>
      <c r="T86" s="60">
        <f t="shared" ca="1" si="22"/>
        <v>9.2561247497816423E-3</v>
      </c>
      <c r="U86" s="60">
        <f t="shared" ca="1" si="22"/>
        <v>6.2459157491765553E-5</v>
      </c>
      <c r="V86" s="60">
        <f t="shared" ca="1" si="22"/>
        <v>2.206844904295682E-5</v>
      </c>
      <c r="W86" s="60">
        <f t="shared" ca="1" si="22"/>
        <v>7.4429331226986319E-6</v>
      </c>
      <c r="X86" s="60">
        <f t="shared" ca="1" si="22"/>
        <v>2.4011056294956195E-6</v>
      </c>
      <c r="Y86" s="60">
        <f t="shared" ca="1" si="23"/>
        <v>0.83889045058286371</v>
      </c>
      <c r="AA86" s="60">
        <f t="shared" ca="1" si="24"/>
        <v>0.97597332742083986</v>
      </c>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row>
    <row r="87" spans="1:80">
      <c r="A87" s="78">
        <f t="shared" si="19"/>
        <v>1855.5407675899996</v>
      </c>
      <c r="B87" s="78">
        <f t="shared" si="20"/>
        <v>111.18806127875146</v>
      </c>
      <c r="C87" s="56" t="s">
        <v>75</v>
      </c>
      <c r="D87" s="27" t="s">
        <v>169</v>
      </c>
      <c r="E87" s="60">
        <f t="shared" ca="1" si="21"/>
        <v>2.9150736557757805E-2</v>
      </c>
      <c r="F87" s="60">
        <f t="shared" ca="1" si="21"/>
        <v>2.8839203030358244E-2</v>
      </c>
      <c r="G87" s="60">
        <f t="shared" ca="1" si="21"/>
        <v>2.8530998857553259E-2</v>
      </c>
      <c r="H87" s="60">
        <f t="shared" ca="1" si="21"/>
        <v>2.8226088458575341E-2</v>
      </c>
      <c r="I87" s="60">
        <f t="shared" ca="1" si="21"/>
        <v>2.7924436632908115E-2</v>
      </c>
      <c r="J87" s="60">
        <f t="shared" ca="1" si="21"/>
        <v>2.4863407700600408E-2</v>
      </c>
      <c r="K87" s="60">
        <f t="shared" ca="1" si="21"/>
        <v>1.9678154238977234E-2</v>
      </c>
      <c r="L87" s="60">
        <f t="shared" ca="1" si="21"/>
        <v>1.5574283256579776E-2</v>
      </c>
      <c r="M87" s="60">
        <f t="shared" ca="1" si="21"/>
        <v>1.2326272881616975E-2</v>
      </c>
      <c r="N87" s="60">
        <f t="shared" ca="1" si="21"/>
        <v>9.7556337360113245E-3</v>
      </c>
      <c r="O87" s="60">
        <f t="shared" ca="1" si="22"/>
        <v>7.721100328156736E-3</v>
      </c>
      <c r="P87" s="60">
        <f t="shared" ca="1" si="22"/>
        <v>6.1108680266871431E-3</v>
      </c>
      <c r="Q87" s="60">
        <f t="shared" ca="1" si="22"/>
        <v>4.8364490101765181E-3</v>
      </c>
      <c r="R87" s="60">
        <f t="shared" ca="1" si="22"/>
        <v>3.8278095560048274E-3</v>
      </c>
      <c r="S87" s="60">
        <f t="shared" ca="1" si="22"/>
        <v>3.0295214456333352E-3</v>
      </c>
      <c r="T87" s="60">
        <f t="shared" ca="1" si="22"/>
        <v>2.3977159927286414E-3</v>
      </c>
      <c r="U87" s="60">
        <f t="shared" ca="1" si="22"/>
        <v>1.6179483840026691E-5</v>
      </c>
      <c r="V87" s="60">
        <f t="shared" ca="1" si="22"/>
        <v>5.7166335410791561E-6</v>
      </c>
      <c r="W87" s="60">
        <f t="shared" ca="1" si="22"/>
        <v>1.9280249849187949E-6</v>
      </c>
      <c r="X87" s="60">
        <f t="shared" ca="1" si="22"/>
        <v>6.2198485043195137E-7</v>
      </c>
      <c r="Y87" s="60">
        <f t="shared" ca="1" si="23"/>
        <v>0.21730703765172554</v>
      </c>
      <c r="AA87" s="60">
        <f t="shared" ca="1" si="24"/>
        <v>0.25281712583754223</v>
      </c>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row>
    <row r="88" spans="1:80">
      <c r="A88" s="78">
        <f t="shared" si="19"/>
        <v>946.66291413598583</v>
      </c>
      <c r="B88" s="78">
        <f t="shared" si="20"/>
        <v>255.15259403647889</v>
      </c>
      <c r="C88" s="56" t="s">
        <v>75</v>
      </c>
      <c r="D88" s="27" t="s">
        <v>170</v>
      </c>
      <c r="E88" s="60">
        <f t="shared" ref="E88:N97" ca="1" si="25">VLOOKUP($C88&amp;$D88,$C$49:$Y$68,E$22,FALSE)*$C$76*$A88/8760/1000</f>
        <v>7.564511597295087E-4</v>
      </c>
      <c r="F88" s="60">
        <f t="shared" ca="1" si="25"/>
        <v>7.4836697641465159E-4</v>
      </c>
      <c r="G88" s="60">
        <f t="shared" ca="1" si="25"/>
        <v>7.403691886575612E-4</v>
      </c>
      <c r="H88" s="60">
        <f t="shared" ca="1" si="25"/>
        <v>7.3245687315008027E-4</v>
      </c>
      <c r="I88" s="60">
        <f t="shared" ca="1" si="25"/>
        <v>7.2462911645143266E-4</v>
      </c>
      <c r="J88" s="60">
        <f t="shared" ca="1" si="25"/>
        <v>6.4519651339449478E-4</v>
      </c>
      <c r="K88" s="60">
        <f t="shared" ca="1" si="25"/>
        <v>5.1064104558445618E-4</v>
      </c>
      <c r="L88" s="60">
        <f t="shared" ca="1" si="25"/>
        <v>4.0414706530838407E-4</v>
      </c>
      <c r="M88" s="60">
        <f t="shared" ca="1" si="25"/>
        <v>3.1986236086923588E-4</v>
      </c>
      <c r="N88" s="60">
        <f t="shared" ca="1" si="25"/>
        <v>2.5315519691519278E-4</v>
      </c>
      <c r="O88" s="60">
        <f t="shared" ref="O88:X97" ca="1" si="26">VLOOKUP($C88&amp;$D88,$C$49:$Y$68,O$22,FALSE)*$C$76*$A88/8760/1000</f>
        <v>2.0035978459925744E-4</v>
      </c>
      <c r="P88" s="60">
        <f t="shared" ca="1" si="26"/>
        <v>1.5857483383250129E-4</v>
      </c>
      <c r="Q88" s="60">
        <f t="shared" ca="1" si="26"/>
        <v>1.2550411738213949E-4</v>
      </c>
      <c r="R88" s="60">
        <f t="shared" ca="1" si="26"/>
        <v>9.9330285261452954E-5</v>
      </c>
      <c r="S88" s="60">
        <f t="shared" ca="1" si="26"/>
        <v>7.8614995076852504E-5</v>
      </c>
      <c r="T88" s="60">
        <f t="shared" ca="1" si="26"/>
        <v>6.2219870150035056E-5</v>
      </c>
      <c r="U88" s="60">
        <f t="shared" ca="1" si="26"/>
        <v>4.1985180341372564E-7</v>
      </c>
      <c r="V88" s="60">
        <f t="shared" ca="1" si="26"/>
        <v>1.483445903100897E-7</v>
      </c>
      <c r="W88" s="60">
        <f t="shared" ca="1" si="26"/>
        <v>5.0031556936462929E-8</v>
      </c>
      <c r="X88" s="60">
        <f t="shared" ca="1" si="26"/>
        <v>1.6140283814482949E-8</v>
      </c>
      <c r="Y88" s="60">
        <f t="shared" ca="1" si="23"/>
        <v>5.6390396971045063E-3</v>
      </c>
      <c r="AA88" s="60">
        <f t="shared" ca="1" si="24"/>
        <v>6.5605137510117142E-3</v>
      </c>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row>
    <row r="89" spans="1:80">
      <c r="A89" s="78">
        <f t="shared" si="19"/>
        <v>889.23061579983505</v>
      </c>
      <c r="B89" s="78">
        <f t="shared" si="20"/>
        <v>254.61277586775591</v>
      </c>
      <c r="C89" s="56" t="s">
        <v>75</v>
      </c>
      <c r="D89" s="27" t="s">
        <v>168</v>
      </c>
      <c r="E89" s="60">
        <f t="shared" ca="1" si="25"/>
        <v>2.8422346351349493E-3</v>
      </c>
      <c r="F89" s="60">
        <f t="shared" ca="1" si="25"/>
        <v>2.8118597120236105E-3</v>
      </c>
      <c r="G89" s="60">
        <f t="shared" ca="1" si="25"/>
        <v>2.781809405304815E-3</v>
      </c>
      <c r="H89" s="60">
        <f t="shared" ca="1" si="25"/>
        <v>2.7520802458075658E-3</v>
      </c>
      <c r="I89" s="60">
        <f t="shared" ca="1" si="25"/>
        <v>2.7226688014358475E-3</v>
      </c>
      <c r="J89" s="60">
        <f t="shared" ca="1" si="25"/>
        <v>2.424214509095171E-3</v>
      </c>
      <c r="K89" s="60">
        <f t="shared" ca="1" si="25"/>
        <v>1.918645569134487E-3</v>
      </c>
      <c r="L89" s="60">
        <f t="shared" ca="1" si="25"/>
        <v>1.5185128239057495E-3</v>
      </c>
      <c r="M89" s="60">
        <f t="shared" ca="1" si="25"/>
        <v>1.2018275983127055E-3</v>
      </c>
      <c r="N89" s="60">
        <f t="shared" ca="1" si="25"/>
        <v>9.5118694641707874E-4</v>
      </c>
      <c r="O89" s="60">
        <f t="shared" ca="1" si="26"/>
        <v>7.5281729950657755E-4</v>
      </c>
      <c r="P89" s="60">
        <f t="shared" ca="1" si="26"/>
        <v>5.95817560965427E-4</v>
      </c>
      <c r="Q89" s="60">
        <f t="shared" ca="1" si="26"/>
        <v>4.7156005339870456E-4</v>
      </c>
      <c r="R89" s="60">
        <f t="shared" ca="1" si="26"/>
        <v>3.7321639798779344E-4</v>
      </c>
      <c r="S89" s="60">
        <f t="shared" ca="1" si="26"/>
        <v>2.9538227151147738E-4</v>
      </c>
      <c r="T89" s="60">
        <f t="shared" ca="1" si="26"/>
        <v>2.3378042013613197E-4</v>
      </c>
      <c r="U89" s="60">
        <f t="shared" ca="1" si="26"/>
        <v>1.5775206659912674E-6</v>
      </c>
      <c r="V89" s="60">
        <f t="shared" ca="1" si="26"/>
        <v>5.5737918713087511E-7</v>
      </c>
      <c r="W89" s="60">
        <f t="shared" ca="1" si="26"/>
        <v>1.8798493748808512E-7</v>
      </c>
      <c r="X89" s="60">
        <f t="shared" ca="1" si="26"/>
        <v>6.0644329892805284E-8</v>
      </c>
      <c r="Y89" s="60">
        <f t="shared" ca="1" si="23"/>
        <v>2.1187718109576849E-2</v>
      </c>
      <c r="AA89" s="60">
        <f t="shared" ca="1" si="24"/>
        <v>2.4649997779198594E-2</v>
      </c>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row>
    <row r="90" spans="1:80">
      <c r="A90" s="78">
        <f t="shared" si="19"/>
        <v>176.68277392664916</v>
      </c>
      <c r="B90" s="78">
        <f t="shared" si="20"/>
        <v>1763.6719906342573</v>
      </c>
      <c r="C90" s="56" t="s">
        <v>75</v>
      </c>
      <c r="D90" s="27" t="s">
        <v>5813</v>
      </c>
      <c r="E90" s="60">
        <f t="shared" ca="1" si="25"/>
        <v>1.9279149805342517E-2</v>
      </c>
      <c r="F90" s="60">
        <f t="shared" ca="1" si="25"/>
        <v>1.9073113792076681E-2</v>
      </c>
      <c r="G90" s="60">
        <f t="shared" ca="1" si="25"/>
        <v>1.8869279682898484E-2</v>
      </c>
      <c r="H90" s="60">
        <f t="shared" ca="1" si="25"/>
        <v>1.8667623946088716E-2</v>
      </c>
      <c r="I90" s="60">
        <f t="shared" ca="1" si="25"/>
        <v>1.8468123301411322E-2</v>
      </c>
      <c r="J90" s="60">
        <f t="shared" ca="1" si="25"/>
        <v>1.6443679245683251E-2</v>
      </c>
      <c r="K90" s="60">
        <f t="shared" ca="1" si="25"/>
        <v>1.3014356694356494E-2</v>
      </c>
      <c r="L90" s="60">
        <f t="shared" ca="1" si="25"/>
        <v>1.0300217952281282E-2</v>
      </c>
      <c r="M90" s="60">
        <f t="shared" ca="1" si="25"/>
        <v>8.1521117298486278E-3</v>
      </c>
      <c r="N90" s="60">
        <f t="shared" ca="1" si="25"/>
        <v>6.4519921776234595E-3</v>
      </c>
      <c r="O90" s="60">
        <f t="shared" ca="1" si="26"/>
        <v>5.1064318595750282E-3</v>
      </c>
      <c r="P90" s="60">
        <f t="shared" ca="1" si="26"/>
        <v>4.0414875930751114E-3</v>
      </c>
      <c r="Q90" s="60">
        <f t="shared" ca="1" si="26"/>
        <v>3.1986370158554093E-3</v>
      </c>
      <c r="R90" s="60">
        <f t="shared" ca="1" si="26"/>
        <v>2.531562580256632E-3</v>
      </c>
      <c r="S90" s="60">
        <f t="shared" ca="1" si="26"/>
        <v>2.0036062441557523E-3</v>
      </c>
      <c r="T90" s="60">
        <f t="shared" ca="1" si="26"/>
        <v>1.5857549850547094E-3</v>
      </c>
      <c r="U90" s="60">
        <f t="shared" ca="1" si="26"/>
        <v>1.0700473797873237E-5</v>
      </c>
      <c r="V90" s="60">
        <f t="shared" ca="1" si="26"/>
        <v>3.7807564211059461E-6</v>
      </c>
      <c r="W90" s="60">
        <f t="shared" ca="1" si="26"/>
        <v>1.2751198392206855E-6</v>
      </c>
      <c r="X90" s="60">
        <f t="shared" ca="1" si="26"/>
        <v>4.113562991580714E-7</v>
      </c>
      <c r="Y90" s="60">
        <f t="shared" ca="1" si="23"/>
        <v>0.14371832163972834</v>
      </c>
      <c r="AA90" s="60">
        <f t="shared" ca="1" si="24"/>
        <v>0.16720329631194075</v>
      </c>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row>
    <row r="91" spans="1:80">
      <c r="A91" s="78">
        <f t="shared" si="19"/>
        <v>694.72089398889955</v>
      </c>
      <c r="B91" s="78">
        <f t="shared" si="20"/>
        <v>375.64820626927155</v>
      </c>
      <c r="C91" s="56" t="s">
        <v>75</v>
      </c>
      <c r="D91" s="27" t="s">
        <v>173</v>
      </c>
      <c r="E91" s="60">
        <f t="shared" ca="1" si="25"/>
        <v>3.098098368843661E-3</v>
      </c>
      <c r="F91" s="60">
        <f t="shared" ca="1" si="25"/>
        <v>3.064989033470114E-3</v>
      </c>
      <c r="G91" s="60">
        <f t="shared" ca="1" si="25"/>
        <v>3.032233537115982E-3</v>
      </c>
      <c r="H91" s="60">
        <f t="shared" ca="1" si="25"/>
        <v>2.9998280983084481E-3</v>
      </c>
      <c r="I91" s="60">
        <f t="shared" ca="1" si="25"/>
        <v>2.9677689759872437E-3</v>
      </c>
      <c r="J91" s="60">
        <f t="shared" ca="1" si="25"/>
        <v>2.6424472221654879E-3</v>
      </c>
      <c r="K91" s="60">
        <f t="shared" ca="1" si="25"/>
        <v>2.0913659395479299E-3</v>
      </c>
      <c r="L91" s="60">
        <f t="shared" ca="1" si="25"/>
        <v>1.655212432026117E-3</v>
      </c>
      <c r="M91" s="60">
        <f t="shared" ca="1" si="25"/>
        <v>1.3100185593182391E-3</v>
      </c>
      <c r="N91" s="60">
        <f t="shared" ca="1" si="25"/>
        <v>1.0368147269517096E-3</v>
      </c>
      <c r="O91" s="60">
        <f t="shared" ca="1" si="26"/>
        <v>8.2058744158815017E-4</v>
      </c>
      <c r="P91" s="60">
        <f t="shared" ca="1" si="26"/>
        <v>6.494542677570863E-4</v>
      </c>
      <c r="Q91" s="60">
        <f t="shared" ca="1" si="26"/>
        <v>5.1401084702389142E-4</v>
      </c>
      <c r="R91" s="60">
        <f t="shared" ca="1" si="26"/>
        <v>4.0681409604200039E-4</v>
      </c>
      <c r="S91" s="60">
        <f t="shared" ca="1" si="26"/>
        <v>3.2197318343902084E-4</v>
      </c>
      <c r="T91" s="60">
        <f t="shared" ca="1" si="26"/>
        <v>2.5482580830521315E-4</v>
      </c>
      <c r="U91" s="60">
        <f t="shared" ca="1" si="26"/>
        <v>1.719532279886055E-6</v>
      </c>
      <c r="V91" s="60">
        <f t="shared" ca="1" si="26"/>
        <v>6.0755559345141136E-7</v>
      </c>
      <c r="W91" s="60">
        <f t="shared" ca="1" si="26"/>
        <v>2.0490772331024029E-7</v>
      </c>
      <c r="X91" s="60">
        <f t="shared" ca="1" si="26"/>
        <v>6.6103655622927207E-8</v>
      </c>
      <c r="Y91" s="60">
        <f t="shared" ca="1" si="23"/>
        <v>2.3095079520654233E-2</v>
      </c>
      <c r="AA91" s="60">
        <f t="shared" ca="1" si="24"/>
        <v>2.6869040637142568E-2</v>
      </c>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row>
    <row r="92" spans="1:80">
      <c r="A92" s="78">
        <f t="shared" si="19"/>
        <v>636.37687710812145</v>
      </c>
      <c r="B92" s="78">
        <f t="shared" si="20"/>
        <v>385.3600457829516</v>
      </c>
      <c r="C92" s="56" t="s">
        <v>75</v>
      </c>
      <c r="D92" s="27" t="s">
        <v>171</v>
      </c>
      <c r="E92" s="60">
        <f t="shared" ca="1" si="25"/>
        <v>1.135165607942689E-2</v>
      </c>
      <c r="F92" s="60">
        <f t="shared" ca="1" si="25"/>
        <v>1.1230341084409743E-2</v>
      </c>
      <c r="G92" s="60">
        <f t="shared" ca="1" si="25"/>
        <v>1.1110322581103853E-2</v>
      </c>
      <c r="H92" s="60">
        <f t="shared" ca="1" si="25"/>
        <v>1.0991586713919838E-2</v>
      </c>
      <c r="I92" s="60">
        <f t="shared" ca="1" si="25"/>
        <v>1.0874119775342797E-2</v>
      </c>
      <c r="J92" s="60">
        <f t="shared" ca="1" si="25"/>
        <v>9.6821173839148848E-3</v>
      </c>
      <c r="K92" s="60">
        <f t="shared" ca="1" si="25"/>
        <v>7.6629157810881631E-3</v>
      </c>
      <c r="L92" s="60">
        <f t="shared" ca="1" si="25"/>
        <v>6.064817843006459E-3</v>
      </c>
      <c r="M92" s="60">
        <f t="shared" ca="1" si="25"/>
        <v>4.8000025733841937E-3</v>
      </c>
      <c r="N92" s="60">
        <f t="shared" ca="1" si="25"/>
        <v>3.7989640086326876E-3</v>
      </c>
      <c r="O92" s="60">
        <f t="shared" ca="1" si="26"/>
        <v>3.0066916253153825E-3</v>
      </c>
      <c r="P92" s="60">
        <f t="shared" ca="1" si="26"/>
        <v>2.3796473220590946E-3</v>
      </c>
      <c r="Q92" s="60">
        <f t="shared" ca="1" si="26"/>
        <v>1.8833728506457786E-3</v>
      </c>
      <c r="R92" s="60">
        <f t="shared" ca="1" si="26"/>
        <v>1.4905962163671914E-3</v>
      </c>
      <c r="S92" s="60">
        <f t="shared" ca="1" si="26"/>
        <v>1.1797329878076666E-3</v>
      </c>
      <c r="T92" s="60">
        <f t="shared" ca="1" si="26"/>
        <v>9.3370015785600082E-4</v>
      </c>
      <c r="U92" s="60">
        <f t="shared" ca="1" si="26"/>
        <v>6.3004904089035817E-6</v>
      </c>
      <c r="V92" s="60">
        <f t="shared" ca="1" si="26"/>
        <v>2.2261275546801581E-6</v>
      </c>
      <c r="W92" s="60">
        <f t="shared" ca="1" si="26"/>
        <v>7.5079669077918522E-7</v>
      </c>
      <c r="X92" s="60">
        <f t="shared" ca="1" si="26"/>
        <v>2.4220856631625239E-7</v>
      </c>
      <c r="Y92" s="60">
        <f t="shared" ca="1" si="23"/>
        <v>8.4622038629242696E-2</v>
      </c>
      <c r="AA92" s="60">
        <f t="shared" ca="1" si="24"/>
        <v>9.8450104607501324E-2</v>
      </c>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row>
    <row r="93" spans="1:80">
      <c r="A93" s="78">
        <f t="shared" si="19"/>
        <v>258.45844496592201</v>
      </c>
      <c r="B93" s="78">
        <f t="shared" si="20"/>
        <v>1277.4212136241763</v>
      </c>
      <c r="C93" s="56" t="s">
        <v>75</v>
      </c>
      <c r="D93" s="27" t="s">
        <v>6392</v>
      </c>
      <c r="E93" s="60">
        <f t="shared" ca="1" si="25"/>
        <v>3.5950378994429504E-3</v>
      </c>
      <c r="F93" s="60">
        <f t="shared" ca="1" si="25"/>
        <v>3.5566177780257933E-3</v>
      </c>
      <c r="G93" s="60">
        <f t="shared" ca="1" si="25"/>
        <v>3.5186082519266847E-3</v>
      </c>
      <c r="H93" s="60">
        <f t="shared" ca="1" si="25"/>
        <v>3.4810049331190098E-3</v>
      </c>
      <c r="I93" s="60">
        <f t="shared" ca="1" si="25"/>
        <v>3.4438034804709374E-3</v>
      </c>
      <c r="J93" s="60">
        <f t="shared" ca="1" si="25"/>
        <v>3.0662996393198308E-3</v>
      </c>
      <c r="K93" s="60">
        <f t="shared" ca="1" si="25"/>
        <v>2.4268241092309643E-3</v>
      </c>
      <c r="L93" s="60">
        <f t="shared" ca="1" si="25"/>
        <v>1.9207109382340312E-3</v>
      </c>
      <c r="M93" s="60">
        <f t="shared" ca="1" si="25"/>
        <v>1.5201474611280744E-3</v>
      </c>
      <c r="N93" s="60">
        <f t="shared" ca="1" si="25"/>
        <v>1.2031213326138528E-3</v>
      </c>
      <c r="O93" s="60">
        <f t="shared" ca="1" si="26"/>
        <v>9.5221087296121156E-4</v>
      </c>
      <c r="P93" s="60">
        <f t="shared" ca="1" si="26"/>
        <v>7.5362768659057897E-4</v>
      </c>
      <c r="Q93" s="60">
        <f t="shared" ca="1" si="26"/>
        <v>5.9645894215598161E-4</v>
      </c>
      <c r="R93" s="60">
        <f t="shared" ca="1" si="26"/>
        <v>4.7206767480546005E-4</v>
      </c>
      <c r="S93" s="60">
        <f t="shared" ca="1" si="26"/>
        <v>3.7361815515870992E-4</v>
      </c>
      <c r="T93" s="60">
        <f t="shared" ca="1" si="26"/>
        <v>2.957002423894485E-4</v>
      </c>
      <c r="U93" s="60">
        <f t="shared" ca="1" si="26"/>
        <v>1.995347784200025E-6</v>
      </c>
      <c r="V93" s="60">
        <f t="shared" ca="1" si="26"/>
        <v>7.0500840336183544E-7</v>
      </c>
      <c r="W93" s="60">
        <f t="shared" ca="1" si="26"/>
        <v>2.3777522321340369E-7</v>
      </c>
      <c r="X93" s="60">
        <f t="shared" ca="1" si="26"/>
        <v>7.6706779115231096E-8</v>
      </c>
      <c r="Y93" s="60">
        <f t="shared" ca="1" si="23"/>
        <v>2.6799564210864636E-2</v>
      </c>
      <c r="AA93" s="60">
        <f t="shared" ca="1" si="24"/>
        <v>3.1178874235763415E-2</v>
      </c>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row>
    <row r="94" spans="1:80">
      <c r="A94" s="78">
        <f t="shared" si="19"/>
        <v>1623.7407839406073</v>
      </c>
      <c r="B94" s="78">
        <f t="shared" si="20"/>
        <v>151.2142697308571</v>
      </c>
      <c r="C94" s="56" t="s">
        <v>75</v>
      </c>
      <c r="D94" s="27" t="s">
        <v>174</v>
      </c>
      <c r="E94" s="60">
        <f t="shared" ca="1" si="25"/>
        <v>3.6830535953734931E-4</v>
      </c>
      <c r="F94" s="60">
        <f t="shared" ca="1" si="25"/>
        <v>3.6436928514041277E-4</v>
      </c>
      <c r="G94" s="60">
        <f t="shared" ca="1" si="25"/>
        <v>3.6047527551733038E-4</v>
      </c>
      <c r="H94" s="60">
        <f t="shared" ca="1" si="25"/>
        <v>3.5662288112243279E-4</v>
      </c>
      <c r="I94" s="60">
        <f t="shared" ca="1" si="25"/>
        <v>3.5281165721433918E-4</v>
      </c>
      <c r="J94" s="60">
        <f t="shared" ca="1" si="25"/>
        <v>3.1413704742415231E-4</v>
      </c>
      <c r="K94" s="60">
        <f t="shared" ca="1" si="25"/>
        <v>2.4862389523701934E-4</v>
      </c>
      <c r="L94" s="60">
        <f t="shared" ca="1" si="25"/>
        <v>1.9677348402452645E-4</v>
      </c>
      <c r="M94" s="60">
        <f t="shared" ca="1" si="25"/>
        <v>1.5573645476931339E-4</v>
      </c>
      <c r="N94" s="60">
        <f t="shared" ca="1" si="25"/>
        <v>1.2325768110652203E-4</v>
      </c>
      <c r="O94" s="60">
        <f t="shared" ca="1" si="26"/>
        <v>9.75523423482389E-5</v>
      </c>
      <c r="P94" s="60">
        <f t="shared" ca="1" si="26"/>
        <v>7.7207841427778196E-5</v>
      </c>
      <c r="Q94" s="60">
        <f t="shared" ca="1" si="26"/>
        <v>6.1106177816391054E-5</v>
      </c>
      <c r="R94" s="60">
        <f t="shared" ca="1" si="26"/>
        <v>4.8362509536304428E-5</v>
      </c>
      <c r="S94" s="60">
        <f t="shared" ca="1" si="26"/>
        <v>3.8276528040700701E-5</v>
      </c>
      <c r="T94" s="60">
        <f t="shared" ca="1" si="26"/>
        <v>3.0293973842501752E-5</v>
      </c>
      <c r="U94" s="60">
        <f t="shared" ca="1" si="26"/>
        <v>2.0441989865411873E-7</v>
      </c>
      <c r="V94" s="60">
        <f t="shared" ca="1" si="26"/>
        <v>7.222688070055324E-8</v>
      </c>
      <c r="W94" s="60">
        <f t="shared" ca="1" si="26"/>
        <v>2.4359656705776512E-8</v>
      </c>
      <c r="X94" s="60">
        <f t="shared" ca="1" si="26"/>
        <v>7.8584756687446309E-9</v>
      </c>
      <c r="Y94" s="60">
        <f t="shared" ca="1" si="23"/>
        <v>2.7455685887640305E-3</v>
      </c>
      <c r="AA94" s="60">
        <f t="shared" ca="1" si="24"/>
        <v>3.1942212590170432E-3</v>
      </c>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row>
    <row r="95" spans="1:80">
      <c r="A95" s="78">
        <f t="shared" si="19"/>
        <v>261.52488255554965</v>
      </c>
      <c r="B95" s="78">
        <f t="shared" si="20"/>
        <v>976.92508358126088</v>
      </c>
      <c r="C95" s="56" t="s">
        <v>75</v>
      </c>
      <c r="D95" s="27" t="s">
        <v>172</v>
      </c>
      <c r="E95" s="60">
        <f t="shared" ca="1" si="25"/>
        <v>2.3728175543839261E-4</v>
      </c>
      <c r="F95" s="60">
        <f t="shared" ca="1" si="25"/>
        <v>2.3474592852668427E-4</v>
      </c>
      <c r="G95" s="60">
        <f t="shared" ca="1" si="25"/>
        <v>2.3223720196289044E-4</v>
      </c>
      <c r="H95" s="60">
        <f t="shared" ca="1" si="25"/>
        <v>2.2975528612595943E-4</v>
      </c>
      <c r="I95" s="60">
        <f t="shared" ca="1" si="25"/>
        <v>2.2729989449001578E-4</v>
      </c>
      <c r="J95" s="60">
        <f t="shared" ca="1" si="25"/>
        <v>2.0238366923215398E-4</v>
      </c>
      <c r="K95" s="60">
        <f t="shared" ca="1" si="25"/>
        <v>1.6017663815665566E-4</v>
      </c>
      <c r="L95" s="60">
        <f t="shared" ca="1" si="25"/>
        <v>1.2677186607254161E-4</v>
      </c>
      <c r="M95" s="60">
        <f t="shared" ca="1" si="25"/>
        <v>1.0033364548328579E-4</v>
      </c>
      <c r="N95" s="60">
        <f t="shared" ca="1" si="25"/>
        <v>7.9409104936620589E-5</v>
      </c>
      <c r="O95" s="60">
        <f t="shared" ca="1" si="26"/>
        <v>6.2848368724783188E-5</v>
      </c>
      <c r="P95" s="60">
        <f t="shared" ca="1" si="26"/>
        <v>4.9741367246474886E-5</v>
      </c>
      <c r="Q95" s="60">
        <f t="shared" ca="1" si="26"/>
        <v>3.9367825541874781E-5</v>
      </c>
      <c r="R95" s="60">
        <f t="shared" ca="1" si="26"/>
        <v>3.1157681698130704E-5</v>
      </c>
      <c r="S95" s="60">
        <f t="shared" ca="1" si="26"/>
        <v>2.4659759980124041E-5</v>
      </c>
      <c r="T95" s="60">
        <f t="shared" ca="1" si="26"/>
        <v>1.9516977166944045E-5</v>
      </c>
      <c r="U95" s="60">
        <f t="shared" ca="1" si="26"/>
        <v>1.3169809003083152E-7</v>
      </c>
      <c r="V95" s="60">
        <f t="shared" ca="1" si="26"/>
        <v>4.6532369401289367E-8</v>
      </c>
      <c r="W95" s="60">
        <f t="shared" ca="1" si="26"/>
        <v>1.5693776795113705E-8</v>
      </c>
      <c r="X95" s="60">
        <f t="shared" ca="1" si="26"/>
        <v>5.0628448744051696E-9</v>
      </c>
      <c r="Y95" s="60">
        <f t="shared" ca="1" si="23"/>
        <v>1.768840223332059E-3</v>
      </c>
      <c r="AA95" s="60">
        <f t="shared" ca="1" si="24"/>
        <v>2.0578859578646328E-3</v>
      </c>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row>
    <row r="96" spans="1:80">
      <c r="A96" s="78">
        <f t="shared" si="19"/>
        <v>136.2385033530833</v>
      </c>
      <c r="B96" s="78">
        <f t="shared" si="20"/>
        <v>2446.9851682769763</v>
      </c>
      <c r="C96" s="56" t="s">
        <v>75</v>
      </c>
      <c r="D96" s="27" t="s">
        <v>6391</v>
      </c>
      <c r="E96" s="60">
        <f t="shared" ca="1" si="25"/>
        <v>2.8845145215862446E-3</v>
      </c>
      <c r="F96" s="60">
        <f t="shared" ca="1" si="25"/>
        <v>2.8536877539001334E-3</v>
      </c>
      <c r="G96" s="60">
        <f t="shared" ca="1" si="25"/>
        <v>2.8231904314634272E-3</v>
      </c>
      <c r="H96" s="60">
        <f t="shared" ca="1" si="25"/>
        <v>2.7930190334991981E-3</v>
      </c>
      <c r="I96" s="60">
        <f t="shared" ca="1" si="25"/>
        <v>2.7631700768570187E-3</v>
      </c>
      <c r="J96" s="60">
        <f t="shared" ca="1" si="25"/>
        <v>2.4602761040497553E-3</v>
      </c>
      <c r="K96" s="60">
        <f t="shared" ca="1" si="25"/>
        <v>1.9471865332760471E-3</v>
      </c>
      <c r="L96" s="60">
        <f t="shared" ca="1" si="25"/>
        <v>1.5411015817007306E-3</v>
      </c>
      <c r="M96" s="60">
        <f t="shared" ca="1" si="25"/>
        <v>1.2197054799494131E-3</v>
      </c>
      <c r="N96" s="60">
        <f t="shared" ca="1" si="25"/>
        <v>9.6533640318300772E-4</v>
      </c>
      <c r="O96" s="60">
        <f t="shared" ca="1" si="26"/>
        <v>7.6401589287682472E-4</v>
      </c>
      <c r="P96" s="60">
        <f t="shared" ca="1" si="26"/>
        <v>6.0468069228889366E-4</v>
      </c>
      <c r="Q96" s="60">
        <f t="shared" ca="1" si="26"/>
        <v>4.7857478232579659E-4</v>
      </c>
      <c r="R96" s="60">
        <f t="shared" ca="1" si="26"/>
        <v>3.7876820807891762E-4</v>
      </c>
      <c r="S96" s="60">
        <f t="shared" ca="1" si="26"/>
        <v>2.9977625388888162E-4</v>
      </c>
      <c r="T96" s="60">
        <f t="shared" ca="1" si="26"/>
        <v>2.3725803929385586E-4</v>
      </c>
      <c r="U96" s="60">
        <f t="shared" ca="1" si="26"/>
        <v>1.6009871996152636E-6</v>
      </c>
      <c r="V96" s="60">
        <f t="shared" ca="1" si="26"/>
        <v>5.6567052537962233E-7</v>
      </c>
      <c r="W96" s="60">
        <f t="shared" ca="1" si="26"/>
        <v>1.9078132231617045E-7</v>
      </c>
      <c r="X96" s="60">
        <f t="shared" ca="1" si="26"/>
        <v>6.1546449425825805E-8</v>
      </c>
      <c r="Y96" s="60">
        <f t="shared" ca="1" si="23"/>
        <v>2.1502897688616927E-2</v>
      </c>
      <c r="AA96" s="60">
        <f t="shared" ca="1" si="24"/>
        <v>2.501668077371488E-2</v>
      </c>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row>
    <row r="97" spans="1:80">
      <c r="A97" s="78">
        <f t="shared" si="19"/>
        <v>123.3447862890545</v>
      </c>
      <c r="B97" s="78">
        <f t="shared" si="20"/>
        <v>1711.9155590488463</v>
      </c>
      <c r="C97" s="56" t="s">
        <v>75</v>
      </c>
      <c r="D97" s="27" t="s">
        <v>6423</v>
      </c>
      <c r="E97" s="60">
        <f t="shared" ca="1" si="25"/>
        <v>1.6944441791042495E-4</v>
      </c>
      <c r="F97" s="60">
        <f t="shared" ca="1" si="25"/>
        <v>1.6763356770754209E-4</v>
      </c>
      <c r="G97" s="60">
        <f t="shared" ca="1" si="25"/>
        <v>1.6584207003629008E-4</v>
      </c>
      <c r="H97" s="60">
        <f t="shared" ca="1" si="25"/>
        <v>1.6406971807642509E-4</v>
      </c>
      <c r="I97" s="60">
        <f t="shared" ca="1" si="25"/>
        <v>1.623163072179884E-4</v>
      </c>
      <c r="J97" s="60">
        <f t="shared" ca="1" si="25"/>
        <v>1.4452347153391665E-4</v>
      </c>
      <c r="K97" s="60">
        <f t="shared" ca="1" si="25"/>
        <v>1.1438316091837123E-4</v>
      </c>
      <c r="L97" s="60">
        <f t="shared" ca="1" si="25"/>
        <v>9.0528599699513747E-5</v>
      </c>
      <c r="M97" s="60">
        <f t="shared" ca="1" si="25"/>
        <v>7.1648897422964286E-5</v>
      </c>
      <c r="N97" s="60">
        <f t="shared" ca="1" si="25"/>
        <v>5.6706549300066481E-5</v>
      </c>
      <c r="O97" s="60">
        <f t="shared" ca="1" si="26"/>
        <v>4.4880421739612468E-5</v>
      </c>
      <c r="P97" s="60">
        <f t="shared" ca="1" si="26"/>
        <v>3.552062822350429E-5</v>
      </c>
      <c r="Q97" s="60">
        <f t="shared" ca="1" si="26"/>
        <v>2.8112815800008223E-5</v>
      </c>
      <c r="R97" s="60">
        <f t="shared" ca="1" si="26"/>
        <v>2.2249899614169091E-5</v>
      </c>
      <c r="S97" s="60">
        <f t="shared" ca="1" si="26"/>
        <v>1.7609692190294828E-5</v>
      </c>
      <c r="T97" s="60">
        <f t="shared" ca="1" si="26"/>
        <v>1.3937198118388511E-5</v>
      </c>
      <c r="U97" s="60">
        <f t="shared" ca="1" si="26"/>
        <v>9.4046447709221098E-8</v>
      </c>
      <c r="V97" s="60">
        <f t="shared" ca="1" si="26"/>
        <v>3.3229062355118582E-8</v>
      </c>
      <c r="W97" s="60">
        <f t="shared" ca="1" si="26"/>
        <v>1.1207026300657199E-8</v>
      </c>
      <c r="X97" s="60">
        <f t="shared" ca="1" si="26"/>
        <v>3.6154098789828713E-9</v>
      </c>
      <c r="Y97" s="60">
        <f t="shared" ca="1" si="23"/>
        <v>1.2631401072758226E-3</v>
      </c>
      <c r="AA97" s="60">
        <f t="shared" ca="1" si="24"/>
        <v>1.4695495134557245E-3</v>
      </c>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row>
    <row r="98" spans="1:80">
      <c r="AA98" s="59"/>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row>
    <row r="99" spans="1:80">
      <c r="B99" s="80">
        <f ca="1">SUMPRODUCT(B78:B97,AA78:AA97)/SUM(AA78:AA97)</f>
        <v>428.88762286937794</v>
      </c>
      <c r="E99" s="60">
        <f t="shared" ref="E99:Y99" ca="1" si="27">SUM(E78:E97)</f>
        <v>0.7044364923153128</v>
      </c>
      <c r="F99" s="60">
        <f t="shared" ca="1" si="27"/>
        <v>0.69690818904773832</v>
      </c>
      <c r="G99" s="60">
        <f t="shared" ca="1" si="27"/>
        <v>0.68946034065538297</v>
      </c>
      <c r="H99" s="60">
        <f t="shared" ca="1" si="27"/>
        <v>0.68209208731808191</v>
      </c>
      <c r="I99" s="60">
        <f t="shared" ca="1" si="27"/>
        <v>0.67480257840455926</v>
      </c>
      <c r="J99" s="60">
        <f t="shared" ca="1" si="27"/>
        <v>0.60083187513679981</v>
      </c>
      <c r="K99" s="60">
        <f t="shared" ca="1" si="27"/>
        <v>0.47552863440960874</v>
      </c>
      <c r="L99" s="60">
        <f t="shared" ca="1" si="27"/>
        <v>0.37635733305923808</v>
      </c>
      <c r="M99" s="60">
        <f t="shared" ca="1" si="27"/>
        <v>0.29786816586412534</v>
      </c>
      <c r="N99" s="60">
        <f t="shared" ca="1" si="27"/>
        <v>0.23574788224278539</v>
      </c>
      <c r="O99" s="60">
        <f t="shared" ca="1" si="27"/>
        <v>0.18658275825054127</v>
      </c>
      <c r="P99" s="60">
        <f t="shared" ca="1" si="27"/>
        <v>0.14767100066895858</v>
      </c>
      <c r="Q99" s="60">
        <f t="shared" ca="1" si="27"/>
        <v>0.11687427414536201</v>
      </c>
      <c r="R99" s="60">
        <f t="shared" ca="1" si="27"/>
        <v>9.2500192286409849E-2</v>
      </c>
      <c r="S99" s="60">
        <f t="shared" ca="1" si="27"/>
        <v>7.3209315185829113E-2</v>
      </c>
      <c r="T99" s="60">
        <f t="shared" ca="1" si="27"/>
        <v>5.7941542579533635E-2</v>
      </c>
      <c r="U99" s="60">
        <f t="shared" ca="1" si="27"/>
        <v>3.9098219083275699E-4</v>
      </c>
      <c r="V99" s="60">
        <f t="shared" ca="1" si="27"/>
        <v>1.3814420337376242E-4</v>
      </c>
      <c r="W99" s="60">
        <f t="shared" ca="1" si="27"/>
        <v>4.65913152753951E-5</v>
      </c>
      <c r="X99" s="60">
        <f t="shared" ca="1" si="27"/>
        <v>1.5030454734597262E-5</v>
      </c>
      <c r="Y99" s="60">
        <f t="shared" ca="1" si="27"/>
        <v>5.2512912342887139</v>
      </c>
      <c r="AA99" s="59">
        <f ca="1">SUM(E99:X99)</f>
        <v>6.109403409734484</v>
      </c>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c r="BZ99" s="58"/>
      <c r="CA99" s="58"/>
      <c r="CB99" s="58"/>
    </row>
    <row r="100" spans="1:80">
      <c r="D100" s="60"/>
      <c r="E100" s="60">
        <f ca="1">SUM(E78:E97)</f>
        <v>0.7044364923153128</v>
      </c>
      <c r="F100" s="60">
        <f ca="1">F99+E100</f>
        <v>1.4013446813630512</v>
      </c>
      <c r="G100" s="60">
        <f t="shared" ref="G100:X100" ca="1" si="28">G99+F100</f>
        <v>2.0908050220184342</v>
      </c>
      <c r="H100" s="60">
        <f t="shared" ca="1" si="28"/>
        <v>2.7728971093365162</v>
      </c>
      <c r="I100" s="60">
        <f t="shared" ca="1" si="28"/>
        <v>3.4476996877410757</v>
      </c>
      <c r="J100" s="60">
        <f t="shared" ca="1" si="28"/>
        <v>4.0485315628778755</v>
      </c>
      <c r="K100" s="60">
        <f t="shared" ca="1" si="28"/>
        <v>4.5240601972874845</v>
      </c>
      <c r="L100" s="60">
        <f t="shared" ca="1" si="28"/>
        <v>4.900417530346723</v>
      </c>
      <c r="M100" s="60">
        <f t="shared" ca="1" si="28"/>
        <v>5.1982856962108484</v>
      </c>
      <c r="N100" s="60">
        <f t="shared" ca="1" si="28"/>
        <v>5.4340335784536338</v>
      </c>
      <c r="O100" s="60">
        <f t="shared" ca="1" si="28"/>
        <v>5.6206163367041748</v>
      </c>
      <c r="P100" s="60">
        <f t="shared" ca="1" si="28"/>
        <v>5.7682873373731338</v>
      </c>
      <c r="Q100" s="60">
        <f t="shared" ca="1" si="28"/>
        <v>5.8851616115184955</v>
      </c>
      <c r="R100" s="60">
        <f t="shared" ca="1" si="28"/>
        <v>5.9776618038049056</v>
      </c>
      <c r="S100" s="60">
        <f t="shared" ca="1" si="28"/>
        <v>6.0508711189907345</v>
      </c>
      <c r="T100" s="60">
        <f t="shared" ca="1" si="28"/>
        <v>6.1088126615702683</v>
      </c>
      <c r="U100" s="60">
        <f t="shared" ca="1" si="28"/>
        <v>6.1092036437611013</v>
      </c>
      <c r="V100" s="60">
        <f t="shared" ca="1" si="28"/>
        <v>6.1093417879644747</v>
      </c>
      <c r="W100" s="60">
        <f t="shared" ca="1" si="28"/>
        <v>6.1093883792797499</v>
      </c>
      <c r="X100" s="60">
        <f t="shared" ca="1" si="28"/>
        <v>6.109403409734484</v>
      </c>
      <c r="Y100" s="60"/>
      <c r="Z100" s="60"/>
      <c r="AA100" s="60">
        <f ca="1">SUM(AA85:AA97)</f>
        <v>1.6265531001767419</v>
      </c>
      <c r="AB100" s="61"/>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c r="BZ100" s="58"/>
      <c r="CA100" s="58"/>
    </row>
    <row r="101" spans="1:80">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c r="BZ101" s="58"/>
      <c r="CA101" s="58"/>
    </row>
    <row r="102" spans="1:80">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c r="BZ102" s="58"/>
      <c r="CA102" s="58"/>
    </row>
    <row r="103" spans="1:80" ht="15">
      <c r="A103" s="69" t="s">
        <v>86</v>
      </c>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8"/>
    </row>
    <row r="104" spans="1:80" ht="15">
      <c r="E104" s="70">
        <f t="shared" ref="E104:X104" si="29">E11</f>
        <v>2016</v>
      </c>
      <c r="F104" s="71">
        <f t="shared" si="29"/>
        <v>2017</v>
      </c>
      <c r="G104" s="71">
        <f t="shared" si="29"/>
        <v>2018</v>
      </c>
      <c r="H104" s="71">
        <f t="shared" si="29"/>
        <v>2019</v>
      </c>
      <c r="I104" s="71">
        <f t="shared" si="29"/>
        <v>2020</v>
      </c>
      <c r="J104" s="71">
        <f t="shared" si="29"/>
        <v>2021</v>
      </c>
      <c r="K104" s="71">
        <f t="shared" si="29"/>
        <v>2022</v>
      </c>
      <c r="L104" s="71">
        <f t="shared" si="29"/>
        <v>2023</v>
      </c>
      <c r="M104" s="71">
        <f t="shared" si="29"/>
        <v>2024</v>
      </c>
      <c r="N104" s="71">
        <f t="shared" si="29"/>
        <v>2025</v>
      </c>
      <c r="O104" s="71">
        <f t="shared" si="29"/>
        <v>2026</v>
      </c>
      <c r="P104" s="71">
        <f t="shared" si="29"/>
        <v>2027</v>
      </c>
      <c r="Q104" s="71">
        <f t="shared" si="29"/>
        <v>2028</v>
      </c>
      <c r="R104" s="71">
        <f t="shared" si="29"/>
        <v>2029</v>
      </c>
      <c r="S104" s="71">
        <f t="shared" si="29"/>
        <v>2030</v>
      </c>
      <c r="T104" s="71">
        <f t="shared" si="29"/>
        <v>2031</v>
      </c>
      <c r="U104" s="71">
        <f t="shared" si="29"/>
        <v>2032</v>
      </c>
      <c r="V104" s="71">
        <f t="shared" si="29"/>
        <v>2033</v>
      </c>
      <c r="W104" s="71">
        <f t="shared" si="29"/>
        <v>2034</v>
      </c>
      <c r="X104" s="71">
        <f t="shared" si="29"/>
        <v>2035</v>
      </c>
      <c r="Y104" s="72" t="s">
        <v>5819</v>
      </c>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8"/>
    </row>
    <row r="105" spans="1:80" ht="15">
      <c r="C105" s="62" t="s">
        <v>83</v>
      </c>
      <c r="D105" s="62" t="s">
        <v>83</v>
      </c>
      <c r="E105" s="73" t="str">
        <f t="shared" ref="E105:X105" si="30">CONCATENATE("aMW_",E104)</f>
        <v>aMW_2016</v>
      </c>
      <c r="F105" s="74" t="str">
        <f t="shared" si="30"/>
        <v>aMW_2017</v>
      </c>
      <c r="G105" s="74" t="str">
        <f t="shared" si="30"/>
        <v>aMW_2018</v>
      </c>
      <c r="H105" s="74" t="str">
        <f t="shared" si="30"/>
        <v>aMW_2019</v>
      </c>
      <c r="I105" s="74" t="str">
        <f t="shared" si="30"/>
        <v>aMW_2020</v>
      </c>
      <c r="J105" s="74" t="str">
        <f t="shared" si="30"/>
        <v>aMW_2021</v>
      </c>
      <c r="K105" s="74" t="str">
        <f t="shared" si="30"/>
        <v>aMW_2022</v>
      </c>
      <c r="L105" s="74" t="str">
        <f t="shared" si="30"/>
        <v>aMW_2023</v>
      </c>
      <c r="M105" s="74" t="str">
        <f t="shared" si="30"/>
        <v>aMW_2024</v>
      </c>
      <c r="N105" s="74" t="str">
        <f t="shared" si="30"/>
        <v>aMW_2025</v>
      </c>
      <c r="O105" s="74" t="str">
        <f t="shared" si="30"/>
        <v>aMW_2026</v>
      </c>
      <c r="P105" s="74" t="str">
        <f t="shared" si="30"/>
        <v>aMW_2027</v>
      </c>
      <c r="Q105" s="74" t="str">
        <f t="shared" si="30"/>
        <v>aMW_2028</v>
      </c>
      <c r="R105" s="74" t="str">
        <f t="shared" si="30"/>
        <v>aMW_2029</v>
      </c>
      <c r="S105" s="74" t="str">
        <f t="shared" si="30"/>
        <v>aMW_2030</v>
      </c>
      <c r="T105" s="74" t="str">
        <f t="shared" si="30"/>
        <v>aMW_2031</v>
      </c>
      <c r="U105" s="74" t="str">
        <f t="shared" si="30"/>
        <v>aMW_2032</v>
      </c>
      <c r="V105" s="74" t="str">
        <f t="shared" si="30"/>
        <v>aMW_2033</v>
      </c>
      <c r="W105" s="74" t="str">
        <f t="shared" si="30"/>
        <v>aMW_2034</v>
      </c>
      <c r="X105" s="74" t="str">
        <f t="shared" si="30"/>
        <v>aMW_2035</v>
      </c>
      <c r="Y105" s="75" t="s">
        <v>5819</v>
      </c>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c r="BZ105" s="58"/>
      <c r="CA105" s="58"/>
    </row>
    <row r="106" spans="1:80">
      <c r="B106" s="56" t="s">
        <v>87</v>
      </c>
      <c r="C106" s="63" t="s">
        <v>88</v>
      </c>
      <c r="D106" s="63" t="s">
        <v>89</v>
      </c>
      <c r="E106" s="59">
        <f>DSUM($B$77:$Y$97,E$77,$C$105:$D106)</f>
        <v>0</v>
      </c>
      <c r="F106" s="59">
        <f>DSUM($B$77:$Y$97,F$77,$C$105:$D106)</f>
        <v>0</v>
      </c>
      <c r="G106" s="59">
        <f>DSUM($B$77:$Y$97,G$77,$C$105:$D106)</f>
        <v>0</v>
      </c>
      <c r="H106" s="59">
        <f>DSUM($B$77:$Y$97,H$77,$C$105:$D106)</f>
        <v>0</v>
      </c>
      <c r="I106" s="59">
        <f>DSUM($B$77:$Y$97,I$77,$C$105:$D106)</f>
        <v>0</v>
      </c>
      <c r="J106" s="59">
        <f>DSUM($B$77:$Y$97,J$77,$C$105:$D106)</f>
        <v>0</v>
      </c>
      <c r="K106" s="59">
        <f>DSUM($B$77:$Y$97,K$77,$C$105:$D106)</f>
        <v>0</v>
      </c>
      <c r="L106" s="59">
        <f>DSUM($B$77:$Y$97,L$77,$C$105:$D106)</f>
        <v>0</v>
      </c>
      <c r="M106" s="59">
        <f>DSUM($B$77:$Y$97,M$77,$C$105:$D106)</f>
        <v>0</v>
      </c>
      <c r="N106" s="59">
        <f>DSUM($B$77:$Y$97,N$77,$C$105:$D106)</f>
        <v>0</v>
      </c>
      <c r="O106" s="59">
        <f>DSUM($B$77:$Y$97,O$77,$C$105:$D106)</f>
        <v>0</v>
      </c>
      <c r="P106" s="59">
        <f>DSUM($B$77:$Y$97,P$77,$C$105:$D106)</f>
        <v>0</v>
      </c>
      <c r="Q106" s="59">
        <f>DSUM($B$77:$Y$97,Q$77,$C$105:$D106)</f>
        <v>0</v>
      </c>
      <c r="R106" s="59">
        <f>DSUM($B$77:$Y$97,R$77,$C$105:$D106)</f>
        <v>0</v>
      </c>
      <c r="S106" s="59">
        <f>DSUM($B$77:$Y$97,S$77,$C$105:$D106)</f>
        <v>0</v>
      </c>
      <c r="T106" s="59">
        <f>DSUM($B$77:$Y$97,T$77,$C$105:$D106)</f>
        <v>0</v>
      </c>
      <c r="U106" s="59">
        <f>DSUM($B$77:$Y$97,U$77,$C$105:$D106)</f>
        <v>0</v>
      </c>
      <c r="V106" s="59">
        <f>DSUM($B$77:$Y$97,V$77,$C$105:$D106)</f>
        <v>0</v>
      </c>
      <c r="W106" s="59">
        <f>DSUM($B$77:$Y$97,W$77,$C$105:$D106)</f>
        <v>0</v>
      </c>
      <c r="X106" s="59">
        <f>DSUM($B$77:$Y$97,X$77,$C$105:$D106)</f>
        <v>0</v>
      </c>
      <c r="Y106" s="59">
        <f>DSUM($B$77:$Y$97,Y$77,$C$105:$D106)</f>
        <v>0</v>
      </c>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c r="BZ106" s="58"/>
      <c r="CA106" s="58"/>
    </row>
    <row r="107" spans="1:80">
      <c r="B107" s="56" t="s">
        <v>5817</v>
      </c>
      <c r="C107" s="63" t="s">
        <v>90</v>
      </c>
      <c r="D107" s="63" t="s">
        <v>91</v>
      </c>
      <c r="E107" s="59">
        <f>DSUM($B$77:$Y$97,E$77,$C$105:$D107)</f>
        <v>0</v>
      </c>
      <c r="F107" s="59">
        <f>DSUM($B$77:$Y$97,F$77,$C$105:$D107)</f>
        <v>0</v>
      </c>
      <c r="G107" s="59">
        <f>DSUM($B$77:$Y$97,G$77,$C$105:$D107)</f>
        <v>0</v>
      </c>
      <c r="H107" s="59">
        <f>DSUM($B$77:$Y$97,H$77,$C$105:$D107)</f>
        <v>0</v>
      </c>
      <c r="I107" s="59">
        <f>DSUM($B$77:$Y$97,I$77,$C$105:$D107)</f>
        <v>0</v>
      </c>
      <c r="J107" s="59">
        <f>DSUM($B$77:$Y$97,J$77,$C$105:$D107)</f>
        <v>0</v>
      </c>
      <c r="K107" s="59">
        <f>DSUM($B$77:$Y$97,K$77,$C$105:$D107)</f>
        <v>0</v>
      </c>
      <c r="L107" s="59">
        <f>DSUM($B$77:$Y$97,L$77,$C$105:$D107)</f>
        <v>0</v>
      </c>
      <c r="M107" s="59">
        <f>DSUM($B$77:$Y$97,M$77,$C$105:$D107)</f>
        <v>0</v>
      </c>
      <c r="N107" s="59">
        <f>DSUM($B$77:$Y$97,N$77,$C$105:$D107)</f>
        <v>0</v>
      </c>
      <c r="O107" s="59">
        <f>DSUM($B$77:$Y$97,O$77,$C$105:$D107)</f>
        <v>0</v>
      </c>
      <c r="P107" s="59">
        <f>DSUM($B$77:$Y$97,P$77,$C$105:$D107)</f>
        <v>0</v>
      </c>
      <c r="Q107" s="59">
        <f>DSUM($B$77:$Y$97,Q$77,$C$105:$D107)</f>
        <v>0</v>
      </c>
      <c r="R107" s="59">
        <f>DSUM($B$77:$Y$97,R$77,$C$105:$D107)</f>
        <v>0</v>
      </c>
      <c r="S107" s="59">
        <f>DSUM($B$77:$Y$97,S$77,$C$105:$D107)</f>
        <v>0</v>
      </c>
      <c r="T107" s="59">
        <f>DSUM($B$77:$Y$97,T$77,$C$105:$D107)</f>
        <v>0</v>
      </c>
      <c r="U107" s="59">
        <f>DSUM($B$77:$Y$97,U$77,$C$105:$D107)</f>
        <v>0</v>
      </c>
      <c r="V107" s="59">
        <f>DSUM($B$77:$Y$97,V$77,$C$105:$D107)</f>
        <v>0</v>
      </c>
      <c r="W107" s="59">
        <f>DSUM($B$77:$Y$97,W$77,$C$105:$D107)</f>
        <v>0</v>
      </c>
      <c r="X107" s="59">
        <f>DSUM($B$77:$Y$97,X$77,$C$105:$D107)</f>
        <v>0</v>
      </c>
      <c r="Y107" s="59">
        <f>DSUM($B$77:$Y$97,Y$77,$C$105:$D107)</f>
        <v>0</v>
      </c>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row>
    <row r="108" spans="1:80">
      <c r="B108" s="56" t="s">
        <v>92</v>
      </c>
      <c r="C108" s="63" t="s">
        <v>93</v>
      </c>
      <c r="D108" s="63" t="s">
        <v>94</v>
      </c>
      <c r="E108" s="59">
        <f>DSUM($B$77:$Y$97,E$77,$C$105:$D108)</f>
        <v>0</v>
      </c>
      <c r="F108" s="59">
        <f>DSUM($B$77:$Y$97,F$77,$C$105:$D108)</f>
        <v>0</v>
      </c>
      <c r="G108" s="59">
        <f>DSUM($B$77:$Y$97,G$77,$C$105:$D108)</f>
        <v>0</v>
      </c>
      <c r="H108" s="59">
        <f>DSUM($B$77:$Y$97,H$77,$C$105:$D108)</f>
        <v>0</v>
      </c>
      <c r="I108" s="59">
        <f>DSUM($B$77:$Y$97,I$77,$C$105:$D108)</f>
        <v>0</v>
      </c>
      <c r="J108" s="59">
        <f>DSUM($B$77:$Y$97,J$77,$C$105:$D108)</f>
        <v>0</v>
      </c>
      <c r="K108" s="59">
        <f>DSUM($B$77:$Y$97,K$77,$C$105:$D108)</f>
        <v>0</v>
      </c>
      <c r="L108" s="59">
        <f>DSUM($B$77:$Y$97,L$77,$C$105:$D108)</f>
        <v>0</v>
      </c>
      <c r="M108" s="59">
        <f>DSUM($B$77:$Y$97,M$77,$C$105:$D108)</f>
        <v>0</v>
      </c>
      <c r="N108" s="59">
        <f>DSUM($B$77:$Y$97,N$77,$C$105:$D108)</f>
        <v>0</v>
      </c>
      <c r="O108" s="59">
        <f>DSUM($B$77:$Y$97,O$77,$C$105:$D108)</f>
        <v>0</v>
      </c>
      <c r="P108" s="59">
        <f>DSUM($B$77:$Y$97,P$77,$C$105:$D108)</f>
        <v>0</v>
      </c>
      <c r="Q108" s="59">
        <f>DSUM($B$77:$Y$97,Q$77,$C$105:$D108)</f>
        <v>0</v>
      </c>
      <c r="R108" s="59">
        <f>DSUM($B$77:$Y$97,R$77,$C$105:$D108)</f>
        <v>0</v>
      </c>
      <c r="S108" s="59">
        <f>DSUM($B$77:$Y$97,S$77,$C$105:$D108)</f>
        <v>0</v>
      </c>
      <c r="T108" s="59">
        <f>DSUM($B$77:$Y$97,T$77,$C$105:$D108)</f>
        <v>0</v>
      </c>
      <c r="U108" s="59">
        <f>DSUM($B$77:$Y$97,U$77,$C$105:$D108)</f>
        <v>0</v>
      </c>
      <c r="V108" s="59">
        <f>DSUM($B$77:$Y$97,V$77,$C$105:$D108)</f>
        <v>0</v>
      </c>
      <c r="W108" s="59">
        <f>DSUM($B$77:$Y$97,W$77,$C$105:$D108)</f>
        <v>0</v>
      </c>
      <c r="X108" s="59">
        <f>DSUM($B$77:$Y$97,X$77,$C$105:$D108)</f>
        <v>0</v>
      </c>
      <c r="Y108" s="59">
        <f>DSUM($B$77:$Y$97,Y$77,$C$105:$D108)</f>
        <v>0</v>
      </c>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row>
    <row r="109" spans="1:80">
      <c r="B109" s="56" t="s">
        <v>95</v>
      </c>
      <c r="C109" s="63" t="s">
        <v>96</v>
      </c>
      <c r="D109" s="63" t="s">
        <v>97</v>
      </c>
      <c r="E109" s="59">
        <f>DSUM($B$77:$Y$97,E$77,$C$105:$D109)</f>
        <v>0</v>
      </c>
      <c r="F109" s="59">
        <f>DSUM($B$77:$Y$97,F$77,$C$105:$D109)</f>
        <v>0</v>
      </c>
      <c r="G109" s="59">
        <f>DSUM($B$77:$Y$97,G$77,$C$105:$D109)</f>
        <v>0</v>
      </c>
      <c r="H109" s="59">
        <f>DSUM($B$77:$Y$97,H$77,$C$105:$D109)</f>
        <v>0</v>
      </c>
      <c r="I109" s="59">
        <f>DSUM($B$77:$Y$97,I$77,$C$105:$D109)</f>
        <v>0</v>
      </c>
      <c r="J109" s="59">
        <f>DSUM($B$77:$Y$97,J$77,$C$105:$D109)</f>
        <v>0</v>
      </c>
      <c r="K109" s="59">
        <f>DSUM($B$77:$Y$97,K$77,$C$105:$D109)</f>
        <v>0</v>
      </c>
      <c r="L109" s="59">
        <f>DSUM($B$77:$Y$97,L$77,$C$105:$D109)</f>
        <v>0</v>
      </c>
      <c r="M109" s="59">
        <f>DSUM($B$77:$Y$97,M$77,$C$105:$D109)</f>
        <v>0</v>
      </c>
      <c r="N109" s="59">
        <f>DSUM($B$77:$Y$97,N$77,$C$105:$D109)</f>
        <v>0</v>
      </c>
      <c r="O109" s="59">
        <f>DSUM($B$77:$Y$97,O$77,$C$105:$D109)</f>
        <v>0</v>
      </c>
      <c r="P109" s="59">
        <f>DSUM($B$77:$Y$97,P$77,$C$105:$D109)</f>
        <v>0</v>
      </c>
      <c r="Q109" s="59">
        <f>DSUM($B$77:$Y$97,Q$77,$C$105:$D109)</f>
        <v>0</v>
      </c>
      <c r="R109" s="59">
        <f>DSUM($B$77:$Y$97,R$77,$C$105:$D109)</f>
        <v>0</v>
      </c>
      <c r="S109" s="59">
        <f>DSUM($B$77:$Y$97,S$77,$C$105:$D109)</f>
        <v>0</v>
      </c>
      <c r="T109" s="59">
        <f>DSUM($B$77:$Y$97,T$77,$C$105:$D109)</f>
        <v>0</v>
      </c>
      <c r="U109" s="59">
        <f>DSUM($B$77:$Y$97,U$77,$C$105:$D109)</f>
        <v>0</v>
      </c>
      <c r="V109" s="59">
        <f>DSUM($B$77:$Y$97,V$77,$C$105:$D109)</f>
        <v>0</v>
      </c>
      <c r="W109" s="59">
        <f>DSUM($B$77:$Y$97,W$77,$C$105:$D109)</f>
        <v>0</v>
      </c>
      <c r="X109" s="59">
        <f>DSUM($B$77:$Y$97,X$77,$C$105:$D109)</f>
        <v>0</v>
      </c>
      <c r="Y109" s="59">
        <f>DSUM($B$77:$Y$97,Y$77,$C$105:$D109)</f>
        <v>0</v>
      </c>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row>
    <row r="110" spans="1:80">
      <c r="B110" s="56" t="s">
        <v>98</v>
      </c>
      <c r="C110" s="63" t="s">
        <v>99</v>
      </c>
      <c r="D110" s="63" t="s">
        <v>100</v>
      </c>
      <c r="E110" s="59">
        <f>DSUM($B$77:$Y$97,E$77,$C$105:$D110)</f>
        <v>0</v>
      </c>
      <c r="F110" s="59">
        <f>DSUM($B$77:$Y$97,F$77,$C$105:$D110)</f>
        <v>0</v>
      </c>
      <c r="G110" s="59">
        <f>DSUM($B$77:$Y$97,G$77,$C$105:$D110)</f>
        <v>0</v>
      </c>
      <c r="H110" s="59">
        <f>DSUM($B$77:$Y$97,H$77,$C$105:$D110)</f>
        <v>0</v>
      </c>
      <c r="I110" s="59">
        <f>DSUM($B$77:$Y$97,I$77,$C$105:$D110)</f>
        <v>0</v>
      </c>
      <c r="J110" s="59">
        <f>DSUM($B$77:$Y$97,J$77,$C$105:$D110)</f>
        <v>0</v>
      </c>
      <c r="K110" s="59">
        <f>DSUM($B$77:$Y$97,K$77,$C$105:$D110)</f>
        <v>0</v>
      </c>
      <c r="L110" s="59">
        <f>DSUM($B$77:$Y$97,L$77,$C$105:$D110)</f>
        <v>0</v>
      </c>
      <c r="M110" s="59">
        <f>DSUM($B$77:$Y$97,M$77,$C$105:$D110)</f>
        <v>0</v>
      </c>
      <c r="N110" s="59">
        <f>DSUM($B$77:$Y$97,N$77,$C$105:$D110)</f>
        <v>0</v>
      </c>
      <c r="O110" s="59">
        <f>DSUM($B$77:$Y$97,O$77,$C$105:$D110)</f>
        <v>0</v>
      </c>
      <c r="P110" s="59">
        <f>DSUM($B$77:$Y$97,P$77,$C$105:$D110)</f>
        <v>0</v>
      </c>
      <c r="Q110" s="59">
        <f>DSUM($B$77:$Y$97,Q$77,$C$105:$D110)</f>
        <v>0</v>
      </c>
      <c r="R110" s="59">
        <f>DSUM($B$77:$Y$97,R$77,$C$105:$D110)</f>
        <v>0</v>
      </c>
      <c r="S110" s="59">
        <f>DSUM($B$77:$Y$97,S$77,$C$105:$D110)</f>
        <v>0</v>
      </c>
      <c r="T110" s="59">
        <f>DSUM($B$77:$Y$97,T$77,$C$105:$D110)</f>
        <v>0</v>
      </c>
      <c r="U110" s="59">
        <f>DSUM($B$77:$Y$97,U$77,$C$105:$D110)</f>
        <v>0</v>
      </c>
      <c r="V110" s="59">
        <f>DSUM($B$77:$Y$97,V$77,$C$105:$D110)</f>
        <v>0</v>
      </c>
      <c r="W110" s="59">
        <f>DSUM($B$77:$Y$97,W$77,$C$105:$D110)</f>
        <v>0</v>
      </c>
      <c r="X110" s="59">
        <f>DSUM($B$77:$Y$97,X$77,$C$105:$D110)</f>
        <v>0</v>
      </c>
      <c r="Y110" s="59">
        <f>DSUM($B$77:$Y$97,Y$77,$C$105:$D110)</f>
        <v>0</v>
      </c>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c r="BZ110" s="58"/>
      <c r="CA110" s="58"/>
    </row>
    <row r="111" spans="1:80">
      <c r="B111" s="56" t="s">
        <v>101</v>
      </c>
      <c r="C111" s="63" t="s">
        <v>102</v>
      </c>
      <c r="D111" s="63" t="s">
        <v>103</v>
      </c>
      <c r="E111" s="59">
        <f>DSUM($B$77:$Y$97,E$77,$C$105:$D111)</f>
        <v>0</v>
      </c>
      <c r="F111" s="59">
        <f>DSUM($B$77:$Y$97,F$77,$C$105:$D111)</f>
        <v>0</v>
      </c>
      <c r="G111" s="59">
        <f>DSUM($B$77:$Y$97,G$77,$C$105:$D111)</f>
        <v>0</v>
      </c>
      <c r="H111" s="59">
        <f>DSUM($B$77:$Y$97,H$77,$C$105:$D111)</f>
        <v>0</v>
      </c>
      <c r="I111" s="59">
        <f>DSUM($B$77:$Y$97,I$77,$C$105:$D111)</f>
        <v>0</v>
      </c>
      <c r="J111" s="59">
        <f>DSUM($B$77:$Y$97,J$77,$C$105:$D111)</f>
        <v>0</v>
      </c>
      <c r="K111" s="59">
        <f>DSUM($B$77:$Y$97,K$77,$C$105:$D111)</f>
        <v>0</v>
      </c>
      <c r="L111" s="59">
        <f>DSUM($B$77:$Y$97,L$77,$C$105:$D111)</f>
        <v>0</v>
      </c>
      <c r="M111" s="59">
        <f>DSUM($B$77:$Y$97,M$77,$C$105:$D111)</f>
        <v>0</v>
      </c>
      <c r="N111" s="59">
        <f>DSUM($B$77:$Y$97,N$77,$C$105:$D111)</f>
        <v>0</v>
      </c>
      <c r="O111" s="59">
        <f>DSUM($B$77:$Y$97,O$77,$C$105:$D111)</f>
        <v>0</v>
      </c>
      <c r="P111" s="59">
        <f>DSUM($B$77:$Y$97,P$77,$C$105:$D111)</f>
        <v>0</v>
      </c>
      <c r="Q111" s="59">
        <f>DSUM($B$77:$Y$97,Q$77,$C$105:$D111)</f>
        <v>0</v>
      </c>
      <c r="R111" s="59">
        <f>DSUM($B$77:$Y$97,R$77,$C$105:$D111)</f>
        <v>0</v>
      </c>
      <c r="S111" s="59">
        <f>DSUM($B$77:$Y$97,S$77,$C$105:$D111)</f>
        <v>0</v>
      </c>
      <c r="T111" s="59">
        <f>DSUM($B$77:$Y$97,T$77,$C$105:$D111)</f>
        <v>0</v>
      </c>
      <c r="U111" s="59">
        <f>DSUM($B$77:$Y$97,U$77,$C$105:$D111)</f>
        <v>0</v>
      </c>
      <c r="V111" s="59">
        <f>DSUM($B$77:$Y$97,V$77,$C$105:$D111)</f>
        <v>0</v>
      </c>
      <c r="W111" s="59">
        <f>DSUM($B$77:$Y$97,W$77,$C$105:$D111)</f>
        <v>0</v>
      </c>
      <c r="X111" s="59">
        <f>DSUM($B$77:$Y$97,X$77,$C$105:$D111)</f>
        <v>0</v>
      </c>
      <c r="Y111" s="59">
        <f>DSUM($B$77:$Y$97,Y$77,$C$105:$D111)</f>
        <v>0</v>
      </c>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c r="BZ111" s="58"/>
      <c r="CA111" s="58"/>
    </row>
    <row r="112" spans="1:80">
      <c r="B112" s="56" t="s">
        <v>104</v>
      </c>
      <c r="C112" s="63" t="s">
        <v>105</v>
      </c>
      <c r="D112" s="63" t="s">
        <v>106</v>
      </c>
      <c r="E112" s="59">
        <f>DSUM($B$77:$Y$97,E$77,$C$105:$D112)</f>
        <v>0</v>
      </c>
      <c r="F112" s="59">
        <f>DSUM($B$77:$Y$97,F$77,$C$105:$D112)</f>
        <v>0</v>
      </c>
      <c r="G112" s="59">
        <f>DSUM($B$77:$Y$97,G$77,$C$105:$D112)</f>
        <v>0</v>
      </c>
      <c r="H112" s="59">
        <f>DSUM($B$77:$Y$97,H$77,$C$105:$D112)</f>
        <v>0</v>
      </c>
      <c r="I112" s="59">
        <f>DSUM($B$77:$Y$97,I$77,$C$105:$D112)</f>
        <v>0</v>
      </c>
      <c r="J112" s="59">
        <f>DSUM($B$77:$Y$97,J$77,$C$105:$D112)</f>
        <v>0</v>
      </c>
      <c r="K112" s="59">
        <f>DSUM($B$77:$Y$97,K$77,$C$105:$D112)</f>
        <v>0</v>
      </c>
      <c r="L112" s="59">
        <f>DSUM($B$77:$Y$97,L$77,$C$105:$D112)</f>
        <v>0</v>
      </c>
      <c r="M112" s="59">
        <f>DSUM($B$77:$Y$97,M$77,$C$105:$D112)</f>
        <v>0</v>
      </c>
      <c r="N112" s="59">
        <f>DSUM($B$77:$Y$97,N$77,$C$105:$D112)</f>
        <v>0</v>
      </c>
      <c r="O112" s="59">
        <f>DSUM($B$77:$Y$97,O$77,$C$105:$D112)</f>
        <v>0</v>
      </c>
      <c r="P112" s="59">
        <f>DSUM($B$77:$Y$97,P$77,$C$105:$D112)</f>
        <v>0</v>
      </c>
      <c r="Q112" s="59">
        <f>DSUM($B$77:$Y$97,Q$77,$C$105:$D112)</f>
        <v>0</v>
      </c>
      <c r="R112" s="59">
        <f>DSUM($B$77:$Y$97,R$77,$C$105:$D112)</f>
        <v>0</v>
      </c>
      <c r="S112" s="59">
        <f>DSUM($B$77:$Y$97,S$77,$C$105:$D112)</f>
        <v>0</v>
      </c>
      <c r="T112" s="59">
        <f>DSUM($B$77:$Y$97,T$77,$C$105:$D112)</f>
        <v>0</v>
      </c>
      <c r="U112" s="59">
        <f>DSUM($B$77:$Y$97,U$77,$C$105:$D112)</f>
        <v>0</v>
      </c>
      <c r="V112" s="59">
        <f>DSUM($B$77:$Y$97,V$77,$C$105:$D112)</f>
        <v>0</v>
      </c>
      <c r="W112" s="59">
        <f>DSUM($B$77:$Y$97,W$77,$C$105:$D112)</f>
        <v>0</v>
      </c>
      <c r="X112" s="59">
        <f>DSUM($B$77:$Y$97,X$77,$C$105:$D112)</f>
        <v>0</v>
      </c>
      <c r="Y112" s="59">
        <f>DSUM($B$77:$Y$97,Y$77,$C$105:$D112)</f>
        <v>0</v>
      </c>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row>
    <row r="113" spans="2:79">
      <c r="B113" s="56" t="s">
        <v>107</v>
      </c>
      <c r="C113" s="63" t="s">
        <v>108</v>
      </c>
      <c r="D113" s="63" t="s">
        <v>109</v>
      </c>
      <c r="E113" s="59">
        <f>DSUM($B$77:$Y$97,E$77,$C$105:$D113)</f>
        <v>0</v>
      </c>
      <c r="F113" s="59">
        <f>DSUM($B$77:$Y$97,F$77,$C$105:$D113)</f>
        <v>0</v>
      </c>
      <c r="G113" s="59">
        <f>DSUM($B$77:$Y$97,G$77,$C$105:$D113)</f>
        <v>0</v>
      </c>
      <c r="H113" s="59">
        <f>DSUM($B$77:$Y$97,H$77,$C$105:$D113)</f>
        <v>0</v>
      </c>
      <c r="I113" s="59">
        <f>DSUM($B$77:$Y$97,I$77,$C$105:$D113)</f>
        <v>0</v>
      </c>
      <c r="J113" s="59">
        <f>DSUM($B$77:$Y$97,J$77,$C$105:$D113)</f>
        <v>0</v>
      </c>
      <c r="K113" s="59">
        <f>DSUM($B$77:$Y$97,K$77,$C$105:$D113)</f>
        <v>0</v>
      </c>
      <c r="L113" s="59">
        <f>DSUM($B$77:$Y$97,L$77,$C$105:$D113)</f>
        <v>0</v>
      </c>
      <c r="M113" s="59">
        <f>DSUM($B$77:$Y$97,M$77,$C$105:$D113)</f>
        <v>0</v>
      </c>
      <c r="N113" s="59">
        <f>DSUM($B$77:$Y$97,N$77,$C$105:$D113)</f>
        <v>0</v>
      </c>
      <c r="O113" s="59">
        <f>DSUM($B$77:$Y$97,O$77,$C$105:$D113)</f>
        <v>0</v>
      </c>
      <c r="P113" s="59">
        <f>DSUM($B$77:$Y$97,P$77,$C$105:$D113)</f>
        <v>0</v>
      </c>
      <c r="Q113" s="59">
        <f>DSUM($B$77:$Y$97,Q$77,$C$105:$D113)</f>
        <v>0</v>
      </c>
      <c r="R113" s="59">
        <f>DSUM($B$77:$Y$97,R$77,$C$105:$D113)</f>
        <v>0</v>
      </c>
      <c r="S113" s="59">
        <f>DSUM($B$77:$Y$97,S$77,$C$105:$D113)</f>
        <v>0</v>
      </c>
      <c r="T113" s="59">
        <f>DSUM($B$77:$Y$97,T$77,$C$105:$D113)</f>
        <v>0</v>
      </c>
      <c r="U113" s="59">
        <f>DSUM($B$77:$Y$97,U$77,$C$105:$D113)</f>
        <v>0</v>
      </c>
      <c r="V113" s="59">
        <f>DSUM($B$77:$Y$97,V$77,$C$105:$D113)</f>
        <v>0</v>
      </c>
      <c r="W113" s="59">
        <f>DSUM($B$77:$Y$97,W$77,$C$105:$D113)</f>
        <v>0</v>
      </c>
      <c r="X113" s="59">
        <f>DSUM($B$77:$Y$97,X$77,$C$105:$D113)</f>
        <v>0</v>
      </c>
      <c r="Y113" s="59">
        <f>DSUM($B$77:$Y$97,Y$77,$C$105:$D113)</f>
        <v>0</v>
      </c>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row>
    <row r="114" spans="2:79">
      <c r="B114" s="56" t="s">
        <v>110</v>
      </c>
      <c r="C114" s="63" t="s">
        <v>111</v>
      </c>
      <c r="D114" s="63" t="s">
        <v>112</v>
      </c>
      <c r="E114" s="59">
        <f>DSUM($B$77:$Y$97,E$77,$C$105:$D114)</f>
        <v>0</v>
      </c>
      <c r="F114" s="59">
        <f>DSUM($B$77:$Y$97,F$77,$C$105:$D114)</f>
        <v>0</v>
      </c>
      <c r="G114" s="59">
        <f>DSUM($B$77:$Y$97,G$77,$C$105:$D114)</f>
        <v>0</v>
      </c>
      <c r="H114" s="59">
        <f>DSUM($B$77:$Y$97,H$77,$C$105:$D114)</f>
        <v>0</v>
      </c>
      <c r="I114" s="59">
        <f>DSUM($B$77:$Y$97,I$77,$C$105:$D114)</f>
        <v>0</v>
      </c>
      <c r="J114" s="59">
        <f>DSUM($B$77:$Y$97,J$77,$C$105:$D114)</f>
        <v>0</v>
      </c>
      <c r="K114" s="59">
        <f>DSUM($B$77:$Y$97,K$77,$C$105:$D114)</f>
        <v>0</v>
      </c>
      <c r="L114" s="59">
        <f>DSUM($B$77:$Y$97,L$77,$C$105:$D114)</f>
        <v>0</v>
      </c>
      <c r="M114" s="59">
        <f>DSUM($B$77:$Y$97,M$77,$C$105:$D114)</f>
        <v>0</v>
      </c>
      <c r="N114" s="59">
        <f>DSUM($B$77:$Y$97,N$77,$C$105:$D114)</f>
        <v>0</v>
      </c>
      <c r="O114" s="59">
        <f>DSUM($B$77:$Y$97,O$77,$C$105:$D114)</f>
        <v>0</v>
      </c>
      <c r="P114" s="59">
        <f>DSUM($B$77:$Y$97,P$77,$C$105:$D114)</f>
        <v>0</v>
      </c>
      <c r="Q114" s="59">
        <f>DSUM($B$77:$Y$97,Q$77,$C$105:$D114)</f>
        <v>0</v>
      </c>
      <c r="R114" s="59">
        <f>DSUM($B$77:$Y$97,R$77,$C$105:$D114)</f>
        <v>0</v>
      </c>
      <c r="S114" s="59">
        <f>DSUM($B$77:$Y$97,S$77,$C$105:$D114)</f>
        <v>0</v>
      </c>
      <c r="T114" s="59">
        <f>DSUM($B$77:$Y$97,T$77,$C$105:$D114)</f>
        <v>0</v>
      </c>
      <c r="U114" s="59">
        <f>DSUM($B$77:$Y$97,U$77,$C$105:$D114)</f>
        <v>0</v>
      </c>
      <c r="V114" s="59">
        <f>DSUM($B$77:$Y$97,V$77,$C$105:$D114)</f>
        <v>0</v>
      </c>
      <c r="W114" s="59">
        <f>DSUM($B$77:$Y$97,W$77,$C$105:$D114)</f>
        <v>0</v>
      </c>
      <c r="X114" s="59">
        <f>DSUM($B$77:$Y$97,X$77,$C$105:$D114)</f>
        <v>0</v>
      </c>
      <c r="Y114" s="59">
        <f>DSUM($B$77:$Y$97,Y$77,$C$105:$D114)</f>
        <v>0</v>
      </c>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row>
    <row r="115" spans="2:79">
      <c r="B115" s="56" t="s">
        <v>113</v>
      </c>
      <c r="C115" s="63" t="s">
        <v>114</v>
      </c>
      <c r="D115" s="63" t="s">
        <v>115</v>
      </c>
      <c r="E115" s="59">
        <f>DSUM($B$77:$Y$97,E$77,$C$105:$D115)</f>
        <v>0</v>
      </c>
      <c r="F115" s="59">
        <f>DSUM($B$77:$Y$97,F$77,$C$105:$D115)</f>
        <v>0</v>
      </c>
      <c r="G115" s="59">
        <f>DSUM($B$77:$Y$97,G$77,$C$105:$D115)</f>
        <v>0</v>
      </c>
      <c r="H115" s="59">
        <f>DSUM($B$77:$Y$97,H$77,$C$105:$D115)</f>
        <v>0</v>
      </c>
      <c r="I115" s="59">
        <f>DSUM($B$77:$Y$97,I$77,$C$105:$D115)</f>
        <v>0</v>
      </c>
      <c r="J115" s="59">
        <f>DSUM($B$77:$Y$97,J$77,$C$105:$D115)</f>
        <v>0</v>
      </c>
      <c r="K115" s="59">
        <f>DSUM($B$77:$Y$97,K$77,$C$105:$D115)</f>
        <v>0</v>
      </c>
      <c r="L115" s="59">
        <f>DSUM($B$77:$Y$97,L$77,$C$105:$D115)</f>
        <v>0</v>
      </c>
      <c r="M115" s="59">
        <f>DSUM($B$77:$Y$97,M$77,$C$105:$D115)</f>
        <v>0</v>
      </c>
      <c r="N115" s="59">
        <f>DSUM($B$77:$Y$97,N$77,$C$105:$D115)</f>
        <v>0</v>
      </c>
      <c r="O115" s="59">
        <f>DSUM($B$77:$Y$97,O$77,$C$105:$D115)</f>
        <v>0</v>
      </c>
      <c r="P115" s="59">
        <f>DSUM($B$77:$Y$97,P$77,$C$105:$D115)</f>
        <v>0</v>
      </c>
      <c r="Q115" s="59">
        <f>DSUM($B$77:$Y$97,Q$77,$C$105:$D115)</f>
        <v>0</v>
      </c>
      <c r="R115" s="59">
        <f>DSUM($B$77:$Y$97,R$77,$C$105:$D115)</f>
        <v>0</v>
      </c>
      <c r="S115" s="59">
        <f>DSUM($B$77:$Y$97,S$77,$C$105:$D115)</f>
        <v>0</v>
      </c>
      <c r="T115" s="59">
        <f>DSUM($B$77:$Y$97,T$77,$C$105:$D115)</f>
        <v>0</v>
      </c>
      <c r="U115" s="59">
        <f>DSUM($B$77:$Y$97,U$77,$C$105:$D115)</f>
        <v>0</v>
      </c>
      <c r="V115" s="59">
        <f>DSUM($B$77:$Y$97,V$77,$C$105:$D115)</f>
        <v>0</v>
      </c>
      <c r="W115" s="59">
        <f>DSUM($B$77:$Y$97,W$77,$C$105:$D115)</f>
        <v>0</v>
      </c>
      <c r="X115" s="59">
        <f>DSUM($B$77:$Y$97,X$77,$C$105:$D115)</f>
        <v>0</v>
      </c>
      <c r="Y115" s="59">
        <f>DSUM($B$77:$Y$97,Y$77,$C$105:$D115)</f>
        <v>0</v>
      </c>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row>
    <row r="116" spans="2:79">
      <c r="B116" s="56" t="s">
        <v>116</v>
      </c>
      <c r="C116" s="63" t="s">
        <v>117</v>
      </c>
      <c r="D116" s="63" t="s">
        <v>118</v>
      </c>
      <c r="E116" s="59">
        <f>DSUM($B$77:$Y$97,E$77,$C$105:$D116)</f>
        <v>0</v>
      </c>
      <c r="F116" s="59">
        <f>DSUM($B$77:$Y$97,F$77,$C$105:$D116)</f>
        <v>0</v>
      </c>
      <c r="G116" s="59">
        <f>DSUM($B$77:$Y$97,G$77,$C$105:$D116)</f>
        <v>0</v>
      </c>
      <c r="H116" s="59">
        <f>DSUM($B$77:$Y$97,H$77,$C$105:$D116)</f>
        <v>0</v>
      </c>
      <c r="I116" s="59">
        <f>DSUM($B$77:$Y$97,I$77,$C$105:$D116)</f>
        <v>0</v>
      </c>
      <c r="J116" s="59">
        <f>DSUM($B$77:$Y$97,J$77,$C$105:$D116)</f>
        <v>0</v>
      </c>
      <c r="K116" s="59">
        <f>DSUM($B$77:$Y$97,K$77,$C$105:$D116)</f>
        <v>0</v>
      </c>
      <c r="L116" s="59">
        <f>DSUM($B$77:$Y$97,L$77,$C$105:$D116)</f>
        <v>0</v>
      </c>
      <c r="M116" s="59">
        <f>DSUM($B$77:$Y$97,M$77,$C$105:$D116)</f>
        <v>0</v>
      </c>
      <c r="N116" s="59">
        <f>DSUM($B$77:$Y$97,N$77,$C$105:$D116)</f>
        <v>0</v>
      </c>
      <c r="O116" s="59">
        <f>DSUM($B$77:$Y$97,O$77,$C$105:$D116)</f>
        <v>0</v>
      </c>
      <c r="P116" s="59">
        <f>DSUM($B$77:$Y$97,P$77,$C$105:$D116)</f>
        <v>0</v>
      </c>
      <c r="Q116" s="59">
        <f>DSUM($B$77:$Y$97,Q$77,$C$105:$D116)</f>
        <v>0</v>
      </c>
      <c r="R116" s="59">
        <f>DSUM($B$77:$Y$97,R$77,$C$105:$D116)</f>
        <v>0</v>
      </c>
      <c r="S116" s="59">
        <f>DSUM($B$77:$Y$97,S$77,$C$105:$D116)</f>
        <v>0</v>
      </c>
      <c r="T116" s="59">
        <f>DSUM($B$77:$Y$97,T$77,$C$105:$D116)</f>
        <v>0</v>
      </c>
      <c r="U116" s="59">
        <f>DSUM($B$77:$Y$97,U$77,$C$105:$D116)</f>
        <v>0</v>
      </c>
      <c r="V116" s="59">
        <f>DSUM($B$77:$Y$97,V$77,$C$105:$D116)</f>
        <v>0</v>
      </c>
      <c r="W116" s="59">
        <f>DSUM($B$77:$Y$97,W$77,$C$105:$D116)</f>
        <v>0</v>
      </c>
      <c r="X116" s="59">
        <f>DSUM($B$77:$Y$97,X$77,$C$105:$D116)</f>
        <v>0</v>
      </c>
      <c r="Y116" s="59">
        <f>DSUM($B$77:$Y$97,Y$77,$C$105:$D116)</f>
        <v>0</v>
      </c>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row>
    <row r="117" spans="2:79">
      <c r="B117" s="56" t="s">
        <v>119</v>
      </c>
      <c r="C117" s="63" t="s">
        <v>120</v>
      </c>
      <c r="D117" s="63" t="s">
        <v>121</v>
      </c>
      <c r="E117" s="59">
        <f ca="1">DSUM($B$77:$Y$97,E$77,$C$105:$D117)</f>
        <v>0.11253328373539503</v>
      </c>
      <c r="F117" s="59">
        <f ca="1">DSUM($B$77:$Y$97,F$77,$C$105:$D117)</f>
        <v>0.1113306420538553</v>
      </c>
      <c r="G117" s="59">
        <f ca="1">DSUM($B$77:$Y$97,G$77,$C$105:$D117)</f>
        <v>0.11014085298770339</v>
      </c>
      <c r="H117" s="59">
        <f ca="1">DSUM($B$77:$Y$97,H$77,$C$105:$D117)</f>
        <v>0.1089637791812124</v>
      </c>
      <c r="I117" s="59">
        <f ca="1">DSUM($B$77:$Y$97,I$77,$C$105:$D117)</f>
        <v>0.10779928474657434</v>
      </c>
      <c r="J117" s="59">
        <f ca="1">DSUM($B$77:$Y$97,J$77,$C$105:$D117)</f>
        <v>9.5982511723390992E-2</v>
      </c>
      <c r="K117" s="59">
        <f ca="1">DSUM($B$77:$Y$97,K$77,$C$105:$D117)</f>
        <v>7.5965398334827558E-2</v>
      </c>
      <c r="L117" s="59">
        <f ca="1">DSUM($B$77:$Y$97,L$77,$C$105:$D117)</f>
        <v>6.0122845720057203E-2</v>
      </c>
      <c r="M117" s="59">
        <f ca="1">DSUM($B$77:$Y$97,M$77,$C$105:$D117)</f>
        <v>4.7584250944690418E-2</v>
      </c>
      <c r="N117" s="59">
        <f ca="1">DSUM($B$77:$Y$97,N$77,$C$105:$D117)</f>
        <v>3.7660574958645117E-2</v>
      </c>
      <c r="O117" s="59">
        <f ca="1">DSUM($B$77:$Y$97,O$77,$C$105:$D117)</f>
        <v>2.9806477522664198E-2</v>
      </c>
      <c r="P117" s="59">
        <f ca="1">DSUM($B$77:$Y$97,P$77,$C$105:$D117)</f>
        <v>2.3590348880351997E-2</v>
      </c>
      <c r="Q117" s="59">
        <f ca="1">DSUM($B$77:$Y$97,Q$77,$C$105:$D117)</f>
        <v>1.8670591312696067E-2</v>
      </c>
      <c r="R117" s="59">
        <f ca="1">DSUM($B$77:$Y$97,R$77,$C$105:$D117)</f>
        <v>1.4776847164649491E-2</v>
      </c>
      <c r="S117" s="59">
        <f ca="1">DSUM($B$77:$Y$97,S$77,$C$105:$D117)</f>
        <v>1.1695141759057597E-2</v>
      </c>
      <c r="T117" s="59">
        <f ca="1">DSUM($B$77:$Y$97,T$77,$C$105:$D117)</f>
        <v>9.2561247497816423E-3</v>
      </c>
      <c r="U117" s="59">
        <f ca="1">DSUM($B$77:$Y$97,U$77,$C$105:$D117)</f>
        <v>6.2459157491765553E-5</v>
      </c>
      <c r="V117" s="59">
        <f ca="1">DSUM($B$77:$Y$97,V$77,$C$105:$D117)</f>
        <v>2.206844904295682E-5</v>
      </c>
      <c r="W117" s="59">
        <f ca="1">DSUM($B$77:$Y$97,W$77,$C$105:$D117)</f>
        <v>7.4429331226986319E-6</v>
      </c>
      <c r="X117" s="59">
        <f ca="1">DSUM($B$77:$Y$97,X$77,$C$105:$D117)</f>
        <v>2.4011056294956195E-6</v>
      </c>
      <c r="Y117" s="59">
        <f ca="1">DSUM($B$77:$Y$97,Y$77,$C$105:$D117)</f>
        <v>0.83889045058286371</v>
      </c>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row>
    <row r="118" spans="2:79">
      <c r="B118" s="56" t="s">
        <v>122</v>
      </c>
      <c r="C118" s="63" t="s">
        <v>123</v>
      </c>
      <c r="D118" s="63" t="s">
        <v>124</v>
      </c>
      <c r="E118" s="59">
        <f ca="1">DSUM($B$77:$Y$97,E$77,$C$105:$D118)</f>
        <v>0.14168402029315283</v>
      </c>
      <c r="F118" s="59">
        <f ca="1">DSUM($B$77:$Y$97,F$77,$C$105:$D118)</f>
        <v>0.14016984508421354</v>
      </c>
      <c r="G118" s="59">
        <f ca="1">DSUM($B$77:$Y$97,G$77,$C$105:$D118)</f>
        <v>0.13867185184525666</v>
      </c>
      <c r="H118" s="59">
        <f ca="1">DSUM($B$77:$Y$97,H$77,$C$105:$D118)</f>
        <v>0.13718986763978774</v>
      </c>
      <c r="I118" s="59">
        <f ca="1">DSUM($B$77:$Y$97,I$77,$C$105:$D118)</f>
        <v>0.13572372137948246</v>
      </c>
      <c r="J118" s="59">
        <f ca="1">DSUM($B$77:$Y$97,J$77,$C$105:$D118)</f>
        <v>0.12084591942399139</v>
      </c>
      <c r="K118" s="59">
        <f ca="1">DSUM($B$77:$Y$97,K$77,$C$105:$D118)</f>
        <v>9.5643552573804788E-2</v>
      </c>
      <c r="L118" s="59">
        <f ca="1">DSUM($B$77:$Y$97,L$77,$C$105:$D118)</f>
        <v>7.5697128976636982E-2</v>
      </c>
      <c r="M118" s="59">
        <f ca="1">DSUM($B$77:$Y$97,M$77,$C$105:$D118)</f>
        <v>5.9910523826307391E-2</v>
      </c>
      <c r="N118" s="59">
        <f ca="1">DSUM($B$77:$Y$97,N$77,$C$105:$D118)</f>
        <v>4.7416208694656445E-2</v>
      </c>
      <c r="O118" s="59">
        <f ca="1">DSUM($B$77:$Y$97,O$77,$C$105:$D118)</f>
        <v>3.7527577850820934E-2</v>
      </c>
      <c r="P118" s="59">
        <f ca="1">DSUM($B$77:$Y$97,P$77,$C$105:$D118)</f>
        <v>2.9701216907039141E-2</v>
      </c>
      <c r="Q118" s="59">
        <f ca="1">DSUM($B$77:$Y$97,Q$77,$C$105:$D118)</f>
        <v>2.3507040322872586E-2</v>
      </c>
      <c r="R118" s="59">
        <f ca="1">DSUM($B$77:$Y$97,R$77,$C$105:$D118)</f>
        <v>1.8604656720654318E-2</v>
      </c>
      <c r="S118" s="59">
        <f ca="1">DSUM($B$77:$Y$97,S$77,$C$105:$D118)</f>
        <v>1.4724663204690933E-2</v>
      </c>
      <c r="T118" s="59">
        <f ca="1">DSUM($B$77:$Y$97,T$77,$C$105:$D118)</f>
        <v>1.1653840742510285E-2</v>
      </c>
      <c r="U118" s="59">
        <f ca="1">DSUM($B$77:$Y$97,U$77,$C$105:$D118)</f>
        <v>7.863864133179224E-5</v>
      </c>
      <c r="V118" s="59">
        <f ca="1">DSUM($B$77:$Y$97,V$77,$C$105:$D118)</f>
        <v>2.7785082584035977E-5</v>
      </c>
      <c r="W118" s="59">
        <f ca="1">DSUM($B$77:$Y$97,W$77,$C$105:$D118)</f>
        <v>9.3709581076174272E-6</v>
      </c>
      <c r="X118" s="59">
        <f ca="1">DSUM($B$77:$Y$97,X$77,$C$105:$D118)</f>
        <v>3.0230904799275707E-6</v>
      </c>
      <c r="Y118" s="59">
        <f ca="1">DSUM($B$77:$Y$97,Y$77,$C$105:$D118)</f>
        <v>1.0561974882345893</v>
      </c>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row>
    <row r="119" spans="2:79">
      <c r="B119" s="56" t="s">
        <v>125</v>
      </c>
      <c r="C119" s="63" t="s">
        <v>126</v>
      </c>
      <c r="D119" s="63" t="s">
        <v>127</v>
      </c>
      <c r="E119" s="59">
        <f ca="1">DSUM($B$77:$Y$97,E$77,$C$105:$D119)</f>
        <v>0.14168402029315283</v>
      </c>
      <c r="F119" s="59">
        <f ca="1">DSUM($B$77:$Y$97,F$77,$C$105:$D119)</f>
        <v>0.14016984508421354</v>
      </c>
      <c r="G119" s="59">
        <f ca="1">DSUM($B$77:$Y$97,G$77,$C$105:$D119)</f>
        <v>0.13867185184525666</v>
      </c>
      <c r="H119" s="59">
        <f ca="1">DSUM($B$77:$Y$97,H$77,$C$105:$D119)</f>
        <v>0.13718986763978774</v>
      </c>
      <c r="I119" s="59">
        <f ca="1">DSUM($B$77:$Y$97,I$77,$C$105:$D119)</f>
        <v>0.13572372137948246</v>
      </c>
      <c r="J119" s="59">
        <f ca="1">DSUM($B$77:$Y$97,J$77,$C$105:$D119)</f>
        <v>0.12084591942399139</v>
      </c>
      <c r="K119" s="59">
        <f ca="1">DSUM($B$77:$Y$97,K$77,$C$105:$D119)</f>
        <v>9.5643552573804788E-2</v>
      </c>
      <c r="L119" s="59">
        <f ca="1">DSUM($B$77:$Y$97,L$77,$C$105:$D119)</f>
        <v>7.5697128976636982E-2</v>
      </c>
      <c r="M119" s="59">
        <f ca="1">DSUM($B$77:$Y$97,M$77,$C$105:$D119)</f>
        <v>5.9910523826307391E-2</v>
      </c>
      <c r="N119" s="59">
        <f ca="1">DSUM($B$77:$Y$97,N$77,$C$105:$D119)</f>
        <v>4.7416208694656445E-2</v>
      </c>
      <c r="O119" s="59">
        <f ca="1">DSUM($B$77:$Y$97,O$77,$C$105:$D119)</f>
        <v>3.7527577850820934E-2</v>
      </c>
      <c r="P119" s="59">
        <f ca="1">DSUM($B$77:$Y$97,P$77,$C$105:$D119)</f>
        <v>2.9701216907039141E-2</v>
      </c>
      <c r="Q119" s="59">
        <f ca="1">DSUM($B$77:$Y$97,Q$77,$C$105:$D119)</f>
        <v>2.3507040322872586E-2</v>
      </c>
      <c r="R119" s="59">
        <f ca="1">DSUM($B$77:$Y$97,R$77,$C$105:$D119)</f>
        <v>1.8604656720654318E-2</v>
      </c>
      <c r="S119" s="59">
        <f ca="1">DSUM($B$77:$Y$97,S$77,$C$105:$D119)</f>
        <v>1.4724663204690933E-2</v>
      </c>
      <c r="T119" s="59">
        <f ca="1">DSUM($B$77:$Y$97,T$77,$C$105:$D119)</f>
        <v>1.1653840742510285E-2</v>
      </c>
      <c r="U119" s="59">
        <f ca="1">DSUM($B$77:$Y$97,U$77,$C$105:$D119)</f>
        <v>7.863864133179224E-5</v>
      </c>
      <c r="V119" s="59">
        <f ca="1">DSUM($B$77:$Y$97,V$77,$C$105:$D119)</f>
        <v>2.7785082584035977E-5</v>
      </c>
      <c r="W119" s="59">
        <f ca="1">DSUM($B$77:$Y$97,W$77,$C$105:$D119)</f>
        <v>9.3709581076174272E-6</v>
      </c>
      <c r="X119" s="59">
        <f ca="1">DSUM($B$77:$Y$97,X$77,$C$105:$D119)</f>
        <v>3.0230904799275707E-6</v>
      </c>
      <c r="Y119" s="59">
        <f ca="1">DSUM($B$77:$Y$97,Y$77,$C$105:$D119)</f>
        <v>1.0561974882345893</v>
      </c>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row>
    <row r="120" spans="2:79">
      <c r="B120" s="56" t="s">
        <v>128</v>
      </c>
      <c r="C120" s="63" t="s">
        <v>129</v>
      </c>
      <c r="D120" s="63" t="s">
        <v>130</v>
      </c>
      <c r="E120" s="59">
        <f ca="1">DSUM($B$77:$Y$97,E$77,$C$105:$D120)</f>
        <v>0.14168402029315283</v>
      </c>
      <c r="F120" s="59">
        <f ca="1">DSUM($B$77:$Y$97,F$77,$C$105:$D120)</f>
        <v>0.14016984508421354</v>
      </c>
      <c r="G120" s="59">
        <f ca="1">DSUM($B$77:$Y$97,G$77,$C$105:$D120)</f>
        <v>0.13867185184525666</v>
      </c>
      <c r="H120" s="59">
        <f ca="1">DSUM($B$77:$Y$97,H$77,$C$105:$D120)</f>
        <v>0.13718986763978774</v>
      </c>
      <c r="I120" s="59">
        <f ca="1">DSUM($B$77:$Y$97,I$77,$C$105:$D120)</f>
        <v>0.13572372137948246</v>
      </c>
      <c r="J120" s="59">
        <f ca="1">DSUM($B$77:$Y$97,J$77,$C$105:$D120)</f>
        <v>0.12084591942399139</v>
      </c>
      <c r="K120" s="59">
        <f ca="1">DSUM($B$77:$Y$97,K$77,$C$105:$D120)</f>
        <v>9.5643552573804788E-2</v>
      </c>
      <c r="L120" s="59">
        <f ca="1">DSUM($B$77:$Y$97,L$77,$C$105:$D120)</f>
        <v>7.5697128976636982E-2</v>
      </c>
      <c r="M120" s="59">
        <f ca="1">DSUM($B$77:$Y$97,M$77,$C$105:$D120)</f>
        <v>5.9910523826307391E-2</v>
      </c>
      <c r="N120" s="59">
        <f ca="1">DSUM($B$77:$Y$97,N$77,$C$105:$D120)</f>
        <v>4.7416208694656445E-2</v>
      </c>
      <c r="O120" s="59">
        <f ca="1">DSUM($B$77:$Y$97,O$77,$C$105:$D120)</f>
        <v>3.7527577850820934E-2</v>
      </c>
      <c r="P120" s="59">
        <f ca="1">DSUM($B$77:$Y$97,P$77,$C$105:$D120)</f>
        <v>2.9701216907039141E-2</v>
      </c>
      <c r="Q120" s="59">
        <f ca="1">DSUM($B$77:$Y$97,Q$77,$C$105:$D120)</f>
        <v>2.3507040322872586E-2</v>
      </c>
      <c r="R120" s="59">
        <f ca="1">DSUM($B$77:$Y$97,R$77,$C$105:$D120)</f>
        <v>1.8604656720654318E-2</v>
      </c>
      <c r="S120" s="59">
        <f ca="1">DSUM($B$77:$Y$97,S$77,$C$105:$D120)</f>
        <v>1.4724663204690933E-2</v>
      </c>
      <c r="T120" s="59">
        <f ca="1">DSUM($B$77:$Y$97,T$77,$C$105:$D120)</f>
        <v>1.1653840742510285E-2</v>
      </c>
      <c r="U120" s="59">
        <f ca="1">DSUM($B$77:$Y$97,U$77,$C$105:$D120)</f>
        <v>7.863864133179224E-5</v>
      </c>
      <c r="V120" s="59">
        <f ca="1">DSUM($B$77:$Y$97,V$77,$C$105:$D120)</f>
        <v>2.7785082584035977E-5</v>
      </c>
      <c r="W120" s="59">
        <f ca="1">DSUM($B$77:$Y$97,W$77,$C$105:$D120)</f>
        <v>9.3709581076174272E-6</v>
      </c>
      <c r="X120" s="59">
        <f ca="1">DSUM($B$77:$Y$97,X$77,$C$105:$D120)</f>
        <v>3.0230904799275707E-6</v>
      </c>
      <c r="Y120" s="59">
        <f ca="1">DSUM($B$77:$Y$97,Y$77,$C$105:$D120)</f>
        <v>1.0561974882345893</v>
      </c>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row>
    <row r="121" spans="2:79">
      <c r="B121" s="56" t="s">
        <v>131</v>
      </c>
      <c r="C121" s="63" t="s">
        <v>132</v>
      </c>
      <c r="D121" s="63" t="s">
        <v>133</v>
      </c>
      <c r="E121" s="59">
        <f ca="1">DSUM($B$77:$Y$97,E$77,$C$105:$D121)</f>
        <v>0.14168402029315283</v>
      </c>
      <c r="F121" s="59">
        <f ca="1">DSUM($B$77:$Y$97,F$77,$C$105:$D121)</f>
        <v>0.14016984508421354</v>
      </c>
      <c r="G121" s="59">
        <f ca="1">DSUM($B$77:$Y$97,G$77,$C$105:$D121)</f>
        <v>0.13867185184525666</v>
      </c>
      <c r="H121" s="59">
        <f ca="1">DSUM($B$77:$Y$97,H$77,$C$105:$D121)</f>
        <v>0.13718986763978774</v>
      </c>
      <c r="I121" s="59">
        <f ca="1">DSUM($B$77:$Y$97,I$77,$C$105:$D121)</f>
        <v>0.13572372137948246</v>
      </c>
      <c r="J121" s="59">
        <f ca="1">DSUM($B$77:$Y$97,J$77,$C$105:$D121)</f>
        <v>0.12084591942399139</v>
      </c>
      <c r="K121" s="59">
        <f ca="1">DSUM($B$77:$Y$97,K$77,$C$105:$D121)</f>
        <v>9.5643552573804788E-2</v>
      </c>
      <c r="L121" s="59">
        <f ca="1">DSUM($B$77:$Y$97,L$77,$C$105:$D121)</f>
        <v>7.5697128976636982E-2</v>
      </c>
      <c r="M121" s="59">
        <f ca="1">DSUM($B$77:$Y$97,M$77,$C$105:$D121)</f>
        <v>5.9910523826307391E-2</v>
      </c>
      <c r="N121" s="59">
        <f ca="1">DSUM($B$77:$Y$97,N$77,$C$105:$D121)</f>
        <v>4.7416208694656445E-2</v>
      </c>
      <c r="O121" s="59">
        <f ca="1">DSUM($B$77:$Y$97,O$77,$C$105:$D121)</f>
        <v>3.7527577850820934E-2</v>
      </c>
      <c r="P121" s="59">
        <f ca="1">DSUM($B$77:$Y$97,P$77,$C$105:$D121)</f>
        <v>2.9701216907039141E-2</v>
      </c>
      <c r="Q121" s="59">
        <f ca="1">DSUM($B$77:$Y$97,Q$77,$C$105:$D121)</f>
        <v>2.3507040322872586E-2</v>
      </c>
      <c r="R121" s="59">
        <f ca="1">DSUM($B$77:$Y$97,R$77,$C$105:$D121)</f>
        <v>1.8604656720654318E-2</v>
      </c>
      <c r="S121" s="59">
        <f ca="1">DSUM($B$77:$Y$97,S$77,$C$105:$D121)</f>
        <v>1.4724663204690933E-2</v>
      </c>
      <c r="T121" s="59">
        <f ca="1">DSUM($B$77:$Y$97,T$77,$C$105:$D121)</f>
        <v>1.1653840742510285E-2</v>
      </c>
      <c r="U121" s="59">
        <f ca="1">DSUM($B$77:$Y$97,U$77,$C$105:$D121)</f>
        <v>7.863864133179224E-5</v>
      </c>
      <c r="V121" s="59">
        <f ca="1">DSUM($B$77:$Y$97,V$77,$C$105:$D121)</f>
        <v>2.7785082584035977E-5</v>
      </c>
      <c r="W121" s="59">
        <f ca="1">DSUM($B$77:$Y$97,W$77,$C$105:$D121)</f>
        <v>9.3709581076174272E-6</v>
      </c>
      <c r="X121" s="59">
        <f ca="1">DSUM($B$77:$Y$97,X$77,$C$105:$D121)</f>
        <v>3.0230904799275707E-6</v>
      </c>
      <c r="Y121" s="59">
        <f ca="1">DSUM($B$77:$Y$97,Y$77,$C$105:$D121)</f>
        <v>1.0561974882345893</v>
      </c>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row>
    <row r="122" spans="2:79">
      <c r="B122" s="56" t="s">
        <v>134</v>
      </c>
      <c r="C122" s="63" t="s">
        <v>135</v>
      </c>
      <c r="D122" s="63" t="s">
        <v>136</v>
      </c>
      <c r="E122" s="59">
        <f ca="1">DSUM($B$77:$Y$97,E$77,$C$105:$D122)</f>
        <v>0.14205232565269019</v>
      </c>
      <c r="F122" s="59">
        <f ca="1">DSUM($B$77:$Y$97,F$77,$C$105:$D122)</f>
        <v>0.14053421436935395</v>
      </c>
      <c r="G122" s="59">
        <f ca="1">DSUM($B$77:$Y$97,G$77,$C$105:$D122)</f>
        <v>0.13903232712077399</v>
      </c>
      <c r="H122" s="59">
        <f ca="1">DSUM($B$77:$Y$97,H$77,$C$105:$D122)</f>
        <v>0.13754649052091017</v>
      </c>
      <c r="I122" s="59">
        <f ca="1">DSUM($B$77:$Y$97,I$77,$C$105:$D122)</f>
        <v>0.13607653303669681</v>
      </c>
      <c r="J122" s="59">
        <f ca="1">DSUM($B$77:$Y$97,J$77,$C$105:$D122)</f>
        <v>0.12116005647141555</v>
      </c>
      <c r="K122" s="59">
        <f ca="1">DSUM($B$77:$Y$97,K$77,$C$105:$D122)</f>
        <v>9.5892176469041801E-2</v>
      </c>
      <c r="L122" s="59">
        <f ca="1">DSUM($B$77:$Y$97,L$77,$C$105:$D122)</f>
        <v>7.5893902460661508E-2</v>
      </c>
      <c r="M122" s="59">
        <f ca="1">DSUM($B$77:$Y$97,M$77,$C$105:$D122)</f>
        <v>6.0066260281076707E-2</v>
      </c>
      <c r="N122" s="59">
        <f ca="1">DSUM($B$77:$Y$97,N$77,$C$105:$D122)</f>
        <v>4.7539466375762965E-2</v>
      </c>
      <c r="O122" s="59">
        <f ca="1">DSUM($B$77:$Y$97,O$77,$C$105:$D122)</f>
        <v>3.7625130193169175E-2</v>
      </c>
      <c r="P122" s="59">
        <f ca="1">DSUM($B$77:$Y$97,P$77,$C$105:$D122)</f>
        <v>2.9778424748466918E-2</v>
      </c>
      <c r="Q122" s="59">
        <f ca="1">DSUM($B$77:$Y$97,Q$77,$C$105:$D122)</f>
        <v>2.3568146500688978E-2</v>
      </c>
      <c r="R122" s="59">
        <f ca="1">DSUM($B$77:$Y$97,R$77,$C$105:$D122)</f>
        <v>1.8653019230190623E-2</v>
      </c>
      <c r="S122" s="59">
        <f ca="1">DSUM($B$77:$Y$97,S$77,$C$105:$D122)</f>
        <v>1.4762939732731633E-2</v>
      </c>
      <c r="T122" s="59">
        <f ca="1">DSUM($B$77:$Y$97,T$77,$C$105:$D122)</f>
        <v>1.1684134716352787E-2</v>
      </c>
      <c r="U122" s="59">
        <f ca="1">DSUM($B$77:$Y$97,U$77,$C$105:$D122)</f>
        <v>7.8843061230446363E-5</v>
      </c>
      <c r="V122" s="59">
        <f ca="1">DSUM($B$77:$Y$97,V$77,$C$105:$D122)</f>
        <v>2.7857309464736529E-5</v>
      </c>
      <c r="W122" s="59">
        <f ca="1">DSUM($B$77:$Y$97,W$77,$C$105:$D122)</f>
        <v>9.3953177643232033E-6</v>
      </c>
      <c r="X122" s="59">
        <f ca="1">DSUM($B$77:$Y$97,X$77,$C$105:$D122)</f>
        <v>3.0309489555963153E-6</v>
      </c>
      <c r="Y122" s="59">
        <f ca="1">DSUM($B$77:$Y$97,Y$77,$C$105:$D122)</f>
        <v>1.0589430568233533</v>
      </c>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row>
    <row r="123" spans="2:79">
      <c r="B123" s="56" t="s">
        <v>137</v>
      </c>
      <c r="C123" s="63" t="s">
        <v>138</v>
      </c>
      <c r="D123" s="63" t="s">
        <v>139</v>
      </c>
      <c r="E123" s="59">
        <f ca="1">DSUM($B$77:$Y$97,E$77,$C$105:$D123)</f>
        <v>0.14205232565269019</v>
      </c>
      <c r="F123" s="59">
        <f ca="1">DSUM($B$77:$Y$97,F$77,$C$105:$D123)</f>
        <v>0.14053421436935395</v>
      </c>
      <c r="G123" s="59">
        <f ca="1">DSUM($B$77:$Y$97,G$77,$C$105:$D123)</f>
        <v>0.13903232712077399</v>
      </c>
      <c r="H123" s="59">
        <f ca="1">DSUM($B$77:$Y$97,H$77,$C$105:$D123)</f>
        <v>0.13754649052091017</v>
      </c>
      <c r="I123" s="59">
        <f ca="1">DSUM($B$77:$Y$97,I$77,$C$105:$D123)</f>
        <v>0.13607653303669681</v>
      </c>
      <c r="J123" s="59">
        <f ca="1">DSUM($B$77:$Y$97,J$77,$C$105:$D123)</f>
        <v>0.12116005647141555</v>
      </c>
      <c r="K123" s="59">
        <f ca="1">DSUM($B$77:$Y$97,K$77,$C$105:$D123)</f>
        <v>9.5892176469041801E-2</v>
      </c>
      <c r="L123" s="59">
        <f ca="1">DSUM($B$77:$Y$97,L$77,$C$105:$D123)</f>
        <v>7.5893902460661508E-2</v>
      </c>
      <c r="M123" s="59">
        <f ca="1">DSUM($B$77:$Y$97,M$77,$C$105:$D123)</f>
        <v>6.0066260281076707E-2</v>
      </c>
      <c r="N123" s="59">
        <f ca="1">DSUM($B$77:$Y$97,N$77,$C$105:$D123)</f>
        <v>4.7539466375762965E-2</v>
      </c>
      <c r="O123" s="59">
        <f ca="1">DSUM($B$77:$Y$97,O$77,$C$105:$D123)</f>
        <v>3.7625130193169175E-2</v>
      </c>
      <c r="P123" s="59">
        <f ca="1">DSUM($B$77:$Y$97,P$77,$C$105:$D123)</f>
        <v>2.9778424748466918E-2</v>
      </c>
      <c r="Q123" s="59">
        <f ca="1">DSUM($B$77:$Y$97,Q$77,$C$105:$D123)</f>
        <v>2.3568146500688978E-2</v>
      </c>
      <c r="R123" s="59">
        <f ca="1">DSUM($B$77:$Y$97,R$77,$C$105:$D123)</f>
        <v>1.8653019230190623E-2</v>
      </c>
      <c r="S123" s="59">
        <f ca="1">DSUM($B$77:$Y$97,S$77,$C$105:$D123)</f>
        <v>1.4762939732731633E-2</v>
      </c>
      <c r="T123" s="59">
        <f ca="1">DSUM($B$77:$Y$97,T$77,$C$105:$D123)</f>
        <v>1.1684134716352787E-2</v>
      </c>
      <c r="U123" s="59">
        <f ca="1">DSUM($B$77:$Y$97,U$77,$C$105:$D123)</f>
        <v>7.8843061230446363E-5</v>
      </c>
      <c r="V123" s="59">
        <f ca="1">DSUM($B$77:$Y$97,V$77,$C$105:$D123)</f>
        <v>2.7857309464736529E-5</v>
      </c>
      <c r="W123" s="59">
        <f ca="1">DSUM($B$77:$Y$97,W$77,$C$105:$D123)</f>
        <v>9.3953177643232033E-6</v>
      </c>
      <c r="X123" s="59">
        <f ca="1">DSUM($B$77:$Y$97,X$77,$C$105:$D123)</f>
        <v>3.0309489555963153E-6</v>
      </c>
      <c r="Y123" s="59">
        <f ca="1">DSUM($B$77:$Y$97,Y$77,$C$105:$D123)</f>
        <v>1.0589430568233533</v>
      </c>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row>
    <row r="124" spans="2:79">
      <c r="B124" s="56" t="s">
        <v>140</v>
      </c>
      <c r="C124" s="63" t="s">
        <v>141</v>
      </c>
      <c r="D124" s="63" t="s">
        <v>142</v>
      </c>
      <c r="E124" s="59">
        <f ca="1">DSUM($B$77:$Y$97,E$77,$C$105:$D124)</f>
        <v>0.22298454354489897</v>
      </c>
      <c r="F124" s="59">
        <f ca="1">DSUM($B$77:$Y$97,F$77,$C$105:$D124)</f>
        <v>0.22060151074336118</v>
      </c>
      <c r="G124" s="59">
        <f ca="1">DSUM($B$77:$Y$97,G$77,$C$105:$D124)</f>
        <v>0.21824394538114866</v>
      </c>
      <c r="H124" s="59">
        <f ca="1">DSUM($B$77:$Y$97,H$77,$C$105:$D124)</f>
        <v>0.21591157528808175</v>
      </c>
      <c r="I124" s="59">
        <f ca="1">DSUM($B$77:$Y$97,I$77,$C$105:$D124)</f>
        <v>0.21360413120265984</v>
      </c>
      <c r="J124" s="59">
        <f ca="1">DSUM($B$77:$Y$97,J$77,$C$105:$D124)</f>
        <v>0.19018921206687853</v>
      </c>
      <c r="K124" s="59">
        <f ca="1">DSUM($B$77:$Y$97,K$77,$C$105:$D124)</f>
        <v>0.15052533002349511</v>
      </c>
      <c r="L124" s="59">
        <f ca="1">DSUM($B$77:$Y$97,L$77,$C$105:$D124)</f>
        <v>0.11913333428561998</v>
      </c>
      <c r="M124" s="59">
        <f ca="1">DSUM($B$77:$Y$97,M$77,$C$105:$D124)</f>
        <v>9.428812636247981E-2</v>
      </c>
      <c r="N124" s="59">
        <f ca="1">DSUM($B$77:$Y$97,N$77,$C$105:$D124)</f>
        <v>7.4624376344850238E-2</v>
      </c>
      <c r="O124" s="59">
        <f ca="1">DSUM($B$77:$Y$97,O$77,$C$105:$D124)</f>
        <v>5.9061493315173595E-2</v>
      </c>
      <c r="P124" s="59">
        <f ca="1">DSUM($B$77:$Y$97,P$77,$C$105:$D124)</f>
        <v>4.6744243147822544E-2</v>
      </c>
      <c r="Q124" s="59">
        <f ca="1">DSUM($B$77:$Y$97,Q$77,$C$105:$D124)</f>
        <v>3.6995750442723671E-2</v>
      </c>
      <c r="R124" s="59">
        <f ca="1">DSUM($B$77:$Y$97,R$77,$C$105:$D124)</f>
        <v>2.9280301886416244E-2</v>
      </c>
      <c r="S124" s="59">
        <f ca="1">DSUM($B$77:$Y$97,S$77,$C$105:$D124)</f>
        <v>2.31739069568811E-2</v>
      </c>
      <c r="T124" s="59">
        <f ca="1">DSUM($B$77:$Y$97,T$77,$C$105:$D124)</f>
        <v>1.8340998181283152E-2</v>
      </c>
      <c r="U124" s="59">
        <f ca="1">DSUM($B$77:$Y$97,U$77,$C$105:$D124)</f>
        <v>1.2376273277734019E-4</v>
      </c>
      <c r="V124" s="59">
        <f ca="1">DSUM($B$77:$Y$97,V$77,$C$105:$D124)</f>
        <v>4.3728600759206439E-5</v>
      </c>
      <c r="W124" s="59">
        <f ca="1">DSUM($B$77:$Y$97,W$77,$C$105:$D124)</f>
        <v>1.4748161520840367E-5</v>
      </c>
      <c r="X124" s="59">
        <f ca="1">DSUM($B$77:$Y$97,X$77,$C$105:$D124)</f>
        <v>4.7577874298514405E-6</v>
      </c>
      <c r="Y124" s="59">
        <f ca="1">DSUM($B$77:$Y$97,Y$77,$C$105:$D124)</f>
        <v>1.6622602486855076</v>
      </c>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row>
    <row r="125" spans="2:79">
      <c r="B125" s="56" t="s">
        <v>143</v>
      </c>
      <c r="C125" s="63" t="s">
        <v>144</v>
      </c>
      <c r="D125" s="63" t="s">
        <v>145</v>
      </c>
      <c r="E125" s="59">
        <f ca="1">DSUM($B$77:$Y$97,E$77,$C$105:$D125)</f>
        <v>0.22298454354489897</v>
      </c>
      <c r="F125" s="59">
        <f ca="1">DSUM($B$77:$Y$97,F$77,$C$105:$D125)</f>
        <v>0.22060151074336118</v>
      </c>
      <c r="G125" s="59">
        <f ca="1">DSUM($B$77:$Y$97,G$77,$C$105:$D125)</f>
        <v>0.21824394538114866</v>
      </c>
      <c r="H125" s="59">
        <f ca="1">DSUM($B$77:$Y$97,H$77,$C$105:$D125)</f>
        <v>0.21591157528808175</v>
      </c>
      <c r="I125" s="59">
        <f ca="1">DSUM($B$77:$Y$97,I$77,$C$105:$D125)</f>
        <v>0.21360413120265984</v>
      </c>
      <c r="J125" s="59">
        <f ca="1">DSUM($B$77:$Y$97,J$77,$C$105:$D125)</f>
        <v>0.19018921206687853</v>
      </c>
      <c r="K125" s="59">
        <f ca="1">DSUM($B$77:$Y$97,K$77,$C$105:$D125)</f>
        <v>0.15052533002349511</v>
      </c>
      <c r="L125" s="59">
        <f ca="1">DSUM($B$77:$Y$97,L$77,$C$105:$D125)</f>
        <v>0.11913333428561998</v>
      </c>
      <c r="M125" s="59">
        <f ca="1">DSUM($B$77:$Y$97,M$77,$C$105:$D125)</f>
        <v>9.428812636247981E-2</v>
      </c>
      <c r="N125" s="59">
        <f ca="1">DSUM($B$77:$Y$97,N$77,$C$105:$D125)</f>
        <v>7.4624376344850238E-2</v>
      </c>
      <c r="O125" s="59">
        <f ca="1">DSUM($B$77:$Y$97,O$77,$C$105:$D125)</f>
        <v>5.9061493315173595E-2</v>
      </c>
      <c r="P125" s="59">
        <f ca="1">DSUM($B$77:$Y$97,P$77,$C$105:$D125)</f>
        <v>4.6744243147822544E-2</v>
      </c>
      <c r="Q125" s="59">
        <f ca="1">DSUM($B$77:$Y$97,Q$77,$C$105:$D125)</f>
        <v>3.6995750442723671E-2</v>
      </c>
      <c r="R125" s="59">
        <f ca="1">DSUM($B$77:$Y$97,R$77,$C$105:$D125)</f>
        <v>2.9280301886416244E-2</v>
      </c>
      <c r="S125" s="59">
        <f ca="1">DSUM($B$77:$Y$97,S$77,$C$105:$D125)</f>
        <v>2.31739069568811E-2</v>
      </c>
      <c r="T125" s="59">
        <f ca="1">DSUM($B$77:$Y$97,T$77,$C$105:$D125)</f>
        <v>1.8340998181283152E-2</v>
      </c>
      <c r="U125" s="59">
        <f ca="1">DSUM($B$77:$Y$97,U$77,$C$105:$D125)</f>
        <v>1.2376273277734019E-4</v>
      </c>
      <c r="V125" s="59">
        <f ca="1">DSUM($B$77:$Y$97,V$77,$C$105:$D125)</f>
        <v>4.3728600759206439E-5</v>
      </c>
      <c r="W125" s="59">
        <f ca="1">DSUM($B$77:$Y$97,W$77,$C$105:$D125)</f>
        <v>1.4748161520840367E-5</v>
      </c>
      <c r="X125" s="59">
        <f ca="1">DSUM($B$77:$Y$97,X$77,$C$105:$D125)</f>
        <v>4.7577874298514405E-6</v>
      </c>
      <c r="Y125" s="59">
        <f ca="1">DSUM($B$77:$Y$97,Y$77,$C$105:$D125)</f>
        <v>1.6622602486855076</v>
      </c>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c r="BZ125" s="58"/>
      <c r="CA125" s="58"/>
    </row>
    <row r="126" spans="2:79">
      <c r="B126" s="56" t="s">
        <v>146</v>
      </c>
      <c r="C126" s="63" t="s">
        <v>147</v>
      </c>
      <c r="D126" s="63" t="s">
        <v>148</v>
      </c>
      <c r="E126" s="59">
        <f ca="1">DSUM($B$77:$Y$97,E$77,$C$105:$D126)</f>
        <v>0.22298454354489897</v>
      </c>
      <c r="F126" s="59">
        <f ca="1">DSUM($B$77:$Y$97,F$77,$C$105:$D126)</f>
        <v>0.22060151074336118</v>
      </c>
      <c r="G126" s="59">
        <f ca="1">DSUM($B$77:$Y$97,G$77,$C$105:$D126)</f>
        <v>0.21824394538114866</v>
      </c>
      <c r="H126" s="59">
        <f ca="1">DSUM($B$77:$Y$97,H$77,$C$105:$D126)</f>
        <v>0.21591157528808175</v>
      </c>
      <c r="I126" s="59">
        <f ca="1">DSUM($B$77:$Y$97,I$77,$C$105:$D126)</f>
        <v>0.21360413120265984</v>
      </c>
      <c r="J126" s="59">
        <f ca="1">DSUM($B$77:$Y$97,J$77,$C$105:$D126)</f>
        <v>0.19018921206687853</v>
      </c>
      <c r="K126" s="59">
        <f ca="1">DSUM($B$77:$Y$97,K$77,$C$105:$D126)</f>
        <v>0.15052533002349511</v>
      </c>
      <c r="L126" s="59">
        <f ca="1">DSUM($B$77:$Y$97,L$77,$C$105:$D126)</f>
        <v>0.11913333428561998</v>
      </c>
      <c r="M126" s="59">
        <f ca="1">DSUM($B$77:$Y$97,M$77,$C$105:$D126)</f>
        <v>9.428812636247981E-2</v>
      </c>
      <c r="N126" s="59">
        <f ca="1">DSUM($B$77:$Y$97,N$77,$C$105:$D126)</f>
        <v>7.4624376344850238E-2</v>
      </c>
      <c r="O126" s="59">
        <f ca="1">DSUM($B$77:$Y$97,O$77,$C$105:$D126)</f>
        <v>5.9061493315173595E-2</v>
      </c>
      <c r="P126" s="59">
        <f ca="1">DSUM($B$77:$Y$97,P$77,$C$105:$D126)</f>
        <v>4.6744243147822544E-2</v>
      </c>
      <c r="Q126" s="59">
        <f ca="1">DSUM($B$77:$Y$97,Q$77,$C$105:$D126)</f>
        <v>3.6995750442723671E-2</v>
      </c>
      <c r="R126" s="59">
        <f ca="1">DSUM($B$77:$Y$97,R$77,$C$105:$D126)</f>
        <v>2.9280301886416244E-2</v>
      </c>
      <c r="S126" s="59">
        <f ca="1">DSUM($B$77:$Y$97,S$77,$C$105:$D126)</f>
        <v>2.31739069568811E-2</v>
      </c>
      <c r="T126" s="59">
        <f ca="1">DSUM($B$77:$Y$97,T$77,$C$105:$D126)</f>
        <v>1.8340998181283152E-2</v>
      </c>
      <c r="U126" s="59">
        <f ca="1">DSUM($B$77:$Y$97,U$77,$C$105:$D126)</f>
        <v>1.2376273277734019E-4</v>
      </c>
      <c r="V126" s="59">
        <f ca="1">DSUM($B$77:$Y$97,V$77,$C$105:$D126)</f>
        <v>4.3728600759206439E-5</v>
      </c>
      <c r="W126" s="59">
        <f ca="1">DSUM($B$77:$Y$97,W$77,$C$105:$D126)</f>
        <v>1.4748161520840367E-5</v>
      </c>
      <c r="X126" s="59">
        <f ca="1">DSUM($B$77:$Y$97,X$77,$C$105:$D126)</f>
        <v>4.7577874298514405E-6</v>
      </c>
      <c r="Y126" s="59">
        <f ca="1">DSUM($B$77:$Y$97,Y$77,$C$105:$D126)</f>
        <v>1.6622602486855076</v>
      </c>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row>
    <row r="127" spans="2:79">
      <c r="B127" s="27" t="s">
        <v>5820</v>
      </c>
      <c r="C127" s="267" t="s">
        <v>149</v>
      </c>
      <c r="D127" s="267" t="s">
        <v>5821</v>
      </c>
      <c r="E127" s="59">
        <f ca="1">DSUM($B$77:$Y$97,E$77,$C$105:$D127)</f>
        <v>0.22298454354489897</v>
      </c>
      <c r="F127" s="59">
        <f ca="1">DSUM($B$77:$Y$97,F$77,$C$105:$D127)</f>
        <v>0.22060151074336118</v>
      </c>
      <c r="G127" s="59">
        <f ca="1">DSUM($B$77:$Y$97,G$77,$C$105:$D127)</f>
        <v>0.21824394538114866</v>
      </c>
      <c r="H127" s="59">
        <f ca="1">DSUM($B$77:$Y$97,H$77,$C$105:$D127)</f>
        <v>0.21591157528808175</v>
      </c>
      <c r="I127" s="59">
        <f ca="1">DSUM($B$77:$Y$97,I$77,$C$105:$D127)</f>
        <v>0.21360413120265984</v>
      </c>
      <c r="J127" s="59">
        <f ca="1">DSUM($B$77:$Y$97,J$77,$C$105:$D127)</f>
        <v>0.19018921206687853</v>
      </c>
      <c r="K127" s="59">
        <f ca="1">DSUM($B$77:$Y$97,K$77,$C$105:$D127)</f>
        <v>0.15052533002349511</v>
      </c>
      <c r="L127" s="59">
        <f ca="1">DSUM($B$77:$Y$97,L$77,$C$105:$D127)</f>
        <v>0.11913333428561998</v>
      </c>
      <c r="M127" s="59">
        <f ca="1">DSUM($B$77:$Y$97,M$77,$C$105:$D127)</f>
        <v>9.428812636247981E-2</v>
      </c>
      <c r="N127" s="59">
        <f ca="1">DSUM($B$77:$Y$97,N$77,$C$105:$D127)</f>
        <v>7.4624376344850238E-2</v>
      </c>
      <c r="O127" s="59">
        <f ca="1">DSUM($B$77:$Y$97,O$77,$C$105:$D127)</f>
        <v>5.9061493315173595E-2</v>
      </c>
      <c r="P127" s="59">
        <f ca="1">DSUM($B$77:$Y$97,P$77,$C$105:$D127)</f>
        <v>4.6744243147822544E-2</v>
      </c>
      <c r="Q127" s="59">
        <f ca="1">DSUM($B$77:$Y$97,Q$77,$C$105:$D127)</f>
        <v>3.6995750442723671E-2</v>
      </c>
      <c r="R127" s="59">
        <f ca="1">DSUM($B$77:$Y$97,R$77,$C$105:$D127)</f>
        <v>2.9280301886416244E-2</v>
      </c>
      <c r="S127" s="59">
        <f ca="1">DSUM($B$77:$Y$97,S$77,$C$105:$D127)</f>
        <v>2.31739069568811E-2</v>
      </c>
      <c r="T127" s="59">
        <f ca="1">DSUM($B$77:$Y$97,T$77,$C$105:$D127)</f>
        <v>1.8340998181283152E-2</v>
      </c>
      <c r="U127" s="59">
        <f ca="1">DSUM($B$77:$Y$97,U$77,$C$105:$D127)</f>
        <v>1.2376273277734019E-4</v>
      </c>
      <c r="V127" s="59">
        <f ca="1">DSUM($B$77:$Y$97,V$77,$C$105:$D127)</f>
        <v>4.3728600759206439E-5</v>
      </c>
      <c r="W127" s="59">
        <f ca="1">DSUM($B$77:$Y$97,W$77,$C$105:$D127)</f>
        <v>1.4748161520840367E-5</v>
      </c>
      <c r="X127" s="59">
        <f ca="1">DSUM($B$77:$Y$97,X$77,$C$105:$D127)</f>
        <v>4.7577874298514405E-6</v>
      </c>
      <c r="Y127" s="59">
        <f ca="1">DSUM($B$77:$Y$97,Y$77,$C$105:$D127)</f>
        <v>1.6622602486855076</v>
      </c>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row>
    <row r="128" spans="2:79">
      <c r="B128" s="27" t="s">
        <v>5822</v>
      </c>
      <c r="C128" s="267" t="s">
        <v>5823</v>
      </c>
      <c r="D128" s="267" t="s">
        <v>5824</v>
      </c>
      <c r="E128" s="59">
        <f ca="1">DSUM($B$77:$Y$97,E$77,$C$105:$D128)</f>
        <v>0.22298454354489897</v>
      </c>
      <c r="F128" s="59">
        <f ca="1">DSUM($B$77:$Y$97,F$77,$C$105:$D128)</f>
        <v>0.22060151074336118</v>
      </c>
      <c r="G128" s="59">
        <f ca="1">DSUM($B$77:$Y$97,G$77,$C$105:$D128)</f>
        <v>0.21824394538114866</v>
      </c>
      <c r="H128" s="59">
        <f ca="1">DSUM($B$77:$Y$97,H$77,$C$105:$D128)</f>
        <v>0.21591157528808175</v>
      </c>
      <c r="I128" s="59">
        <f ca="1">DSUM($B$77:$Y$97,I$77,$C$105:$D128)</f>
        <v>0.21360413120265984</v>
      </c>
      <c r="J128" s="59">
        <f ca="1">DSUM($B$77:$Y$97,J$77,$C$105:$D128)</f>
        <v>0.19018921206687853</v>
      </c>
      <c r="K128" s="59">
        <f ca="1">DSUM($B$77:$Y$97,K$77,$C$105:$D128)</f>
        <v>0.15052533002349511</v>
      </c>
      <c r="L128" s="59">
        <f ca="1">DSUM($B$77:$Y$97,L$77,$C$105:$D128)</f>
        <v>0.11913333428561998</v>
      </c>
      <c r="M128" s="59">
        <f ca="1">DSUM($B$77:$Y$97,M$77,$C$105:$D128)</f>
        <v>9.428812636247981E-2</v>
      </c>
      <c r="N128" s="59">
        <f ca="1">DSUM($B$77:$Y$97,N$77,$C$105:$D128)</f>
        <v>7.4624376344850238E-2</v>
      </c>
      <c r="O128" s="59">
        <f ca="1">DSUM($B$77:$Y$97,O$77,$C$105:$D128)</f>
        <v>5.9061493315173595E-2</v>
      </c>
      <c r="P128" s="59">
        <f ca="1">DSUM($B$77:$Y$97,P$77,$C$105:$D128)</f>
        <v>4.6744243147822544E-2</v>
      </c>
      <c r="Q128" s="59">
        <f ca="1">DSUM($B$77:$Y$97,Q$77,$C$105:$D128)</f>
        <v>3.6995750442723671E-2</v>
      </c>
      <c r="R128" s="59">
        <f ca="1">DSUM($B$77:$Y$97,R$77,$C$105:$D128)</f>
        <v>2.9280301886416244E-2</v>
      </c>
      <c r="S128" s="59">
        <f ca="1">DSUM($B$77:$Y$97,S$77,$C$105:$D128)</f>
        <v>2.31739069568811E-2</v>
      </c>
      <c r="T128" s="59">
        <f ca="1">DSUM($B$77:$Y$97,T$77,$C$105:$D128)</f>
        <v>1.8340998181283152E-2</v>
      </c>
      <c r="U128" s="59">
        <f ca="1">DSUM($B$77:$Y$97,U$77,$C$105:$D128)</f>
        <v>1.2376273277734019E-4</v>
      </c>
      <c r="V128" s="59">
        <f ca="1">DSUM($B$77:$Y$97,V$77,$C$105:$D128)</f>
        <v>4.3728600759206439E-5</v>
      </c>
      <c r="W128" s="59">
        <f ca="1">DSUM($B$77:$Y$97,W$77,$C$105:$D128)</f>
        <v>1.4748161520840367E-5</v>
      </c>
      <c r="X128" s="59">
        <f ca="1">DSUM($B$77:$Y$97,X$77,$C$105:$D128)</f>
        <v>4.7577874298514405E-6</v>
      </c>
      <c r="Y128" s="59">
        <f ca="1">DSUM($B$77:$Y$97,Y$77,$C$105:$D128)</f>
        <v>1.6622602486855076</v>
      </c>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row>
    <row r="129" spans="1:79">
      <c r="B129" s="27" t="s">
        <v>5825</v>
      </c>
      <c r="C129" s="267" t="s">
        <v>5826</v>
      </c>
      <c r="D129" s="267" t="s">
        <v>5827</v>
      </c>
      <c r="E129" s="59">
        <f ca="1">DSUM($B$77:$Y$97,E$77,$C$105:$D129)</f>
        <v>0.22298454354489897</v>
      </c>
      <c r="F129" s="59">
        <f ca="1">DSUM($B$77:$Y$97,F$77,$C$105:$D129)</f>
        <v>0.22060151074336118</v>
      </c>
      <c r="G129" s="59">
        <f ca="1">DSUM($B$77:$Y$97,G$77,$C$105:$D129)</f>
        <v>0.21824394538114866</v>
      </c>
      <c r="H129" s="59">
        <f ca="1">DSUM($B$77:$Y$97,H$77,$C$105:$D129)</f>
        <v>0.21591157528808175</v>
      </c>
      <c r="I129" s="59">
        <f ca="1">DSUM($B$77:$Y$97,I$77,$C$105:$D129)</f>
        <v>0.21360413120265984</v>
      </c>
      <c r="J129" s="59">
        <f ca="1">DSUM($B$77:$Y$97,J$77,$C$105:$D129)</f>
        <v>0.19018921206687853</v>
      </c>
      <c r="K129" s="59">
        <f ca="1">DSUM($B$77:$Y$97,K$77,$C$105:$D129)</f>
        <v>0.15052533002349511</v>
      </c>
      <c r="L129" s="59">
        <f ca="1">DSUM($B$77:$Y$97,L$77,$C$105:$D129)</f>
        <v>0.11913333428561998</v>
      </c>
      <c r="M129" s="59">
        <f ca="1">DSUM($B$77:$Y$97,M$77,$C$105:$D129)</f>
        <v>9.428812636247981E-2</v>
      </c>
      <c r="N129" s="59">
        <f ca="1">DSUM($B$77:$Y$97,N$77,$C$105:$D129)</f>
        <v>7.4624376344850238E-2</v>
      </c>
      <c r="O129" s="59">
        <f ca="1">DSUM($B$77:$Y$97,O$77,$C$105:$D129)</f>
        <v>5.9061493315173595E-2</v>
      </c>
      <c r="P129" s="59">
        <f ca="1">DSUM($B$77:$Y$97,P$77,$C$105:$D129)</f>
        <v>4.6744243147822544E-2</v>
      </c>
      <c r="Q129" s="59">
        <f ca="1">DSUM($B$77:$Y$97,Q$77,$C$105:$D129)</f>
        <v>3.6995750442723671E-2</v>
      </c>
      <c r="R129" s="59">
        <f ca="1">DSUM($B$77:$Y$97,R$77,$C$105:$D129)</f>
        <v>2.9280301886416244E-2</v>
      </c>
      <c r="S129" s="59">
        <f ca="1">DSUM($B$77:$Y$97,S$77,$C$105:$D129)</f>
        <v>2.31739069568811E-2</v>
      </c>
      <c r="T129" s="59">
        <f ca="1">DSUM($B$77:$Y$97,T$77,$C$105:$D129)</f>
        <v>1.8340998181283152E-2</v>
      </c>
      <c r="U129" s="59">
        <f ca="1">DSUM($B$77:$Y$97,U$77,$C$105:$D129)</f>
        <v>1.2376273277734019E-4</v>
      </c>
      <c r="V129" s="59">
        <f ca="1">DSUM($B$77:$Y$97,V$77,$C$105:$D129)</f>
        <v>4.3728600759206439E-5</v>
      </c>
      <c r="W129" s="59">
        <f ca="1">DSUM($B$77:$Y$97,W$77,$C$105:$D129)</f>
        <v>1.4748161520840367E-5</v>
      </c>
      <c r="X129" s="59">
        <f ca="1">DSUM($B$77:$Y$97,X$77,$C$105:$D129)</f>
        <v>4.7577874298514405E-6</v>
      </c>
      <c r="Y129" s="59">
        <f ca="1">DSUM($B$77:$Y$97,Y$77,$C$105:$D129)</f>
        <v>1.6622602486855076</v>
      </c>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row>
    <row r="130" spans="1:79">
      <c r="B130" s="27" t="s">
        <v>5828</v>
      </c>
      <c r="C130" s="267" t="s">
        <v>5829</v>
      </c>
      <c r="D130" s="267" t="s">
        <v>5830</v>
      </c>
      <c r="E130" s="59">
        <f ca="1">DSUM($B$77:$Y$97,E$77,$C$105:$D130)</f>
        <v>0.22298454354489897</v>
      </c>
      <c r="F130" s="59">
        <f ca="1">DSUM($B$77:$Y$97,F$77,$C$105:$D130)</f>
        <v>0.22060151074336118</v>
      </c>
      <c r="G130" s="59">
        <f ca="1">DSUM($B$77:$Y$97,G$77,$C$105:$D130)</f>
        <v>0.21824394538114866</v>
      </c>
      <c r="H130" s="59">
        <f ca="1">DSUM($B$77:$Y$97,H$77,$C$105:$D130)</f>
        <v>0.21591157528808175</v>
      </c>
      <c r="I130" s="59">
        <f ca="1">DSUM($B$77:$Y$97,I$77,$C$105:$D130)</f>
        <v>0.21360413120265984</v>
      </c>
      <c r="J130" s="59">
        <f ca="1">DSUM($B$77:$Y$97,J$77,$C$105:$D130)</f>
        <v>0.19018921206687853</v>
      </c>
      <c r="K130" s="59">
        <f ca="1">DSUM($B$77:$Y$97,K$77,$C$105:$D130)</f>
        <v>0.15052533002349511</v>
      </c>
      <c r="L130" s="59">
        <f ca="1">DSUM($B$77:$Y$97,L$77,$C$105:$D130)</f>
        <v>0.11913333428561998</v>
      </c>
      <c r="M130" s="59">
        <f ca="1">DSUM($B$77:$Y$97,M$77,$C$105:$D130)</f>
        <v>9.428812636247981E-2</v>
      </c>
      <c r="N130" s="59">
        <f ca="1">DSUM($B$77:$Y$97,N$77,$C$105:$D130)</f>
        <v>7.4624376344850238E-2</v>
      </c>
      <c r="O130" s="59">
        <f ca="1">DSUM($B$77:$Y$97,O$77,$C$105:$D130)</f>
        <v>5.9061493315173595E-2</v>
      </c>
      <c r="P130" s="59">
        <f ca="1">DSUM($B$77:$Y$97,P$77,$C$105:$D130)</f>
        <v>4.6744243147822544E-2</v>
      </c>
      <c r="Q130" s="59">
        <f ca="1">DSUM($B$77:$Y$97,Q$77,$C$105:$D130)</f>
        <v>3.6995750442723671E-2</v>
      </c>
      <c r="R130" s="59">
        <f ca="1">DSUM($B$77:$Y$97,R$77,$C$105:$D130)</f>
        <v>2.9280301886416244E-2</v>
      </c>
      <c r="S130" s="59">
        <f ca="1">DSUM($B$77:$Y$97,S$77,$C$105:$D130)</f>
        <v>2.31739069568811E-2</v>
      </c>
      <c r="T130" s="59">
        <f ca="1">DSUM($B$77:$Y$97,T$77,$C$105:$D130)</f>
        <v>1.8340998181283152E-2</v>
      </c>
      <c r="U130" s="59">
        <f ca="1">DSUM($B$77:$Y$97,U$77,$C$105:$D130)</f>
        <v>1.2376273277734019E-4</v>
      </c>
      <c r="V130" s="59">
        <f ca="1">DSUM($B$77:$Y$97,V$77,$C$105:$D130)</f>
        <v>4.3728600759206439E-5</v>
      </c>
      <c r="W130" s="59">
        <f ca="1">DSUM($B$77:$Y$97,W$77,$C$105:$D130)</f>
        <v>1.4748161520840367E-5</v>
      </c>
      <c r="X130" s="59">
        <f ca="1">DSUM($B$77:$Y$97,X$77,$C$105:$D130)</f>
        <v>4.7577874298514405E-6</v>
      </c>
      <c r="Y130" s="59">
        <f ca="1">DSUM($B$77:$Y$97,Y$77,$C$105:$D130)</f>
        <v>1.6622602486855076</v>
      </c>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row>
    <row r="131" spans="1:79">
      <c r="B131" s="27" t="s">
        <v>5831</v>
      </c>
      <c r="C131" s="267" t="s">
        <v>5832</v>
      </c>
      <c r="D131" s="267" t="s">
        <v>5833</v>
      </c>
      <c r="E131" s="59">
        <f ca="1">DSUM($B$77:$Y$97,E$77,$C$105:$D131)</f>
        <v>0.22298454354489897</v>
      </c>
      <c r="F131" s="59">
        <f ca="1">DSUM($B$77:$Y$97,F$77,$C$105:$D131)</f>
        <v>0.22060151074336118</v>
      </c>
      <c r="G131" s="59">
        <f ca="1">DSUM($B$77:$Y$97,G$77,$C$105:$D131)</f>
        <v>0.21824394538114866</v>
      </c>
      <c r="H131" s="59">
        <f ca="1">DSUM($B$77:$Y$97,H$77,$C$105:$D131)</f>
        <v>0.21591157528808175</v>
      </c>
      <c r="I131" s="59">
        <f ca="1">DSUM($B$77:$Y$97,I$77,$C$105:$D131)</f>
        <v>0.21360413120265984</v>
      </c>
      <c r="J131" s="59">
        <f ca="1">DSUM($B$77:$Y$97,J$77,$C$105:$D131)</f>
        <v>0.19018921206687853</v>
      </c>
      <c r="K131" s="59">
        <f ca="1">DSUM($B$77:$Y$97,K$77,$C$105:$D131)</f>
        <v>0.15052533002349511</v>
      </c>
      <c r="L131" s="59">
        <f ca="1">DSUM($B$77:$Y$97,L$77,$C$105:$D131)</f>
        <v>0.11913333428561998</v>
      </c>
      <c r="M131" s="59">
        <f ca="1">DSUM($B$77:$Y$97,M$77,$C$105:$D131)</f>
        <v>9.428812636247981E-2</v>
      </c>
      <c r="N131" s="59">
        <f ca="1">DSUM($B$77:$Y$97,N$77,$C$105:$D131)</f>
        <v>7.4624376344850238E-2</v>
      </c>
      <c r="O131" s="59">
        <f ca="1">DSUM($B$77:$Y$97,O$77,$C$105:$D131)</f>
        <v>5.9061493315173595E-2</v>
      </c>
      <c r="P131" s="59">
        <f ca="1">DSUM($B$77:$Y$97,P$77,$C$105:$D131)</f>
        <v>4.6744243147822544E-2</v>
      </c>
      <c r="Q131" s="59">
        <f ca="1">DSUM($B$77:$Y$97,Q$77,$C$105:$D131)</f>
        <v>3.6995750442723671E-2</v>
      </c>
      <c r="R131" s="59">
        <f ca="1">DSUM($B$77:$Y$97,R$77,$C$105:$D131)</f>
        <v>2.9280301886416244E-2</v>
      </c>
      <c r="S131" s="59">
        <f ca="1">DSUM($B$77:$Y$97,S$77,$C$105:$D131)</f>
        <v>2.31739069568811E-2</v>
      </c>
      <c r="T131" s="59">
        <f ca="1">DSUM($B$77:$Y$97,T$77,$C$105:$D131)</f>
        <v>1.8340998181283152E-2</v>
      </c>
      <c r="U131" s="59">
        <f ca="1">DSUM($B$77:$Y$97,U$77,$C$105:$D131)</f>
        <v>1.2376273277734019E-4</v>
      </c>
      <c r="V131" s="59">
        <f ca="1">DSUM($B$77:$Y$97,V$77,$C$105:$D131)</f>
        <v>4.3728600759206439E-5</v>
      </c>
      <c r="W131" s="59">
        <f ca="1">DSUM($B$77:$Y$97,W$77,$C$105:$D131)</f>
        <v>1.4748161520840367E-5</v>
      </c>
      <c r="X131" s="59">
        <f ca="1">DSUM($B$77:$Y$97,X$77,$C$105:$D131)</f>
        <v>4.7577874298514405E-6</v>
      </c>
      <c r="Y131" s="59">
        <f ca="1">DSUM($B$77:$Y$97,Y$77,$C$105:$D131)</f>
        <v>1.6622602486855076</v>
      </c>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c r="BZ131" s="58"/>
      <c r="CA131" s="58"/>
    </row>
    <row r="132" spans="1:79">
      <c r="B132" s="27" t="s">
        <v>5834</v>
      </c>
      <c r="C132" s="267" t="s">
        <v>5835</v>
      </c>
      <c r="D132" s="267" t="s">
        <v>5836</v>
      </c>
      <c r="E132" s="59">
        <f ca="1">DSUM($B$77:$Y$97,E$77,$C$105:$D132)</f>
        <v>0.22658322933976341</v>
      </c>
      <c r="F132" s="59">
        <f ca="1">DSUM($B$77:$Y$97,F$77,$C$105:$D132)</f>
        <v>0.22416173743179943</v>
      </c>
      <c r="G132" s="59">
        <f ca="1">DSUM($B$77:$Y$97,G$77,$C$105:$D132)</f>
        <v>0.22176612397511103</v>
      </c>
      <c r="H132" s="59">
        <f ca="1">DSUM($B$77:$Y$97,H$77,$C$105:$D132)</f>
        <v>0.21939611240703938</v>
      </c>
      <c r="I132" s="59">
        <f ca="1">DSUM($B$77:$Y$97,I$77,$C$105:$D132)</f>
        <v>0.21705142912054712</v>
      </c>
      <c r="J132" s="59">
        <f ca="1">DSUM($B$77:$Y$97,J$77,$C$105:$D132)</f>
        <v>0.1932586230893682</v>
      </c>
      <c r="K132" s="59">
        <f ca="1">DSUM($B$77:$Y$97,K$77,$C$105:$D132)</f>
        <v>0.15295461663821405</v>
      </c>
      <c r="L132" s="59">
        <f ca="1">DSUM($B$77:$Y$97,L$77,$C$105:$D132)</f>
        <v>0.12105599417483411</v>
      </c>
      <c r="M132" s="59">
        <f ca="1">DSUM($B$77:$Y$97,M$77,$C$105:$D132)</f>
        <v>9.5809816321661759E-2</v>
      </c>
      <c r="N132" s="59">
        <f ca="1">DSUM($B$77:$Y$97,N$77,$C$105:$D132)</f>
        <v>7.5828718488182512E-2</v>
      </c>
      <c r="O132" s="59">
        <f ca="1">DSUM($B$77:$Y$97,O$77,$C$105:$D132)</f>
        <v>6.0014670399279428E-2</v>
      </c>
      <c r="P132" s="59">
        <f ca="1">DSUM($B$77:$Y$97,P$77,$C$105:$D132)</f>
        <v>4.7498635542620474E-2</v>
      </c>
      <c r="Q132" s="59">
        <f ca="1">DSUM($B$77:$Y$97,Q$77,$C$105:$D132)</f>
        <v>3.7592814613504513E-2</v>
      </c>
      <c r="R132" s="59">
        <f ca="1">DSUM($B$77:$Y$97,R$77,$C$105:$D132)</f>
        <v>2.975284856966549E-2</v>
      </c>
      <c r="S132" s="59">
        <f ca="1">DSUM($B$77:$Y$97,S$77,$C$105:$D132)</f>
        <v>2.3547904223469428E-2</v>
      </c>
      <c r="T132" s="59">
        <f ca="1">DSUM($B$77:$Y$97,T$77,$C$105:$D132)</f>
        <v>1.863699847156932E-2</v>
      </c>
      <c r="U132" s="59">
        <f ca="1">DSUM($B$77:$Y$97,U$77,$C$105:$D132)</f>
        <v>1.257601052467452E-4</v>
      </c>
      <c r="V132" s="59">
        <f ca="1">DSUM($B$77:$Y$97,V$77,$C$105:$D132)</f>
        <v>4.4434324536647402E-5</v>
      </c>
      <c r="W132" s="59">
        <f ca="1">DSUM($B$77:$Y$97,W$77,$C$105:$D132)</f>
        <v>1.4986178015264915E-5</v>
      </c>
      <c r="X132" s="59">
        <f ca="1">DSUM($B$77:$Y$97,X$77,$C$105:$D132)</f>
        <v>4.8345720435587281E-6</v>
      </c>
      <c r="Y132" s="59">
        <f ca="1">DSUM($B$77:$Y$97,Y$77,$C$105:$D132)</f>
        <v>1.6890870064921888</v>
      </c>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c r="BZ132" s="58"/>
      <c r="CA132" s="58"/>
    </row>
    <row r="133" spans="1:79">
      <c r="B133" s="27" t="s">
        <v>5837</v>
      </c>
      <c r="C133" s="267" t="s">
        <v>5838</v>
      </c>
      <c r="D133" s="267" t="s">
        <v>5839</v>
      </c>
      <c r="E133" s="59">
        <f ca="1">DSUM($B$77:$Y$97,E$77,$C$105:$D133)</f>
        <v>0.22658322933976341</v>
      </c>
      <c r="F133" s="59">
        <f ca="1">DSUM($B$77:$Y$97,F$77,$C$105:$D133)</f>
        <v>0.22416173743179943</v>
      </c>
      <c r="G133" s="59">
        <f ca="1">DSUM($B$77:$Y$97,G$77,$C$105:$D133)</f>
        <v>0.22176612397511103</v>
      </c>
      <c r="H133" s="59">
        <f ca="1">DSUM($B$77:$Y$97,H$77,$C$105:$D133)</f>
        <v>0.21939611240703938</v>
      </c>
      <c r="I133" s="59">
        <f ca="1">DSUM($B$77:$Y$97,I$77,$C$105:$D133)</f>
        <v>0.21705142912054712</v>
      </c>
      <c r="J133" s="59">
        <f ca="1">DSUM($B$77:$Y$97,J$77,$C$105:$D133)</f>
        <v>0.1932586230893682</v>
      </c>
      <c r="K133" s="59">
        <f ca="1">DSUM($B$77:$Y$97,K$77,$C$105:$D133)</f>
        <v>0.15295461663821405</v>
      </c>
      <c r="L133" s="59">
        <f ca="1">DSUM($B$77:$Y$97,L$77,$C$105:$D133)</f>
        <v>0.12105599417483411</v>
      </c>
      <c r="M133" s="59">
        <f ca="1">DSUM($B$77:$Y$97,M$77,$C$105:$D133)</f>
        <v>9.5809816321661759E-2</v>
      </c>
      <c r="N133" s="59">
        <f ca="1">DSUM($B$77:$Y$97,N$77,$C$105:$D133)</f>
        <v>7.5828718488182512E-2</v>
      </c>
      <c r="O133" s="59">
        <f ca="1">DSUM($B$77:$Y$97,O$77,$C$105:$D133)</f>
        <v>6.0014670399279428E-2</v>
      </c>
      <c r="P133" s="59">
        <f ca="1">DSUM($B$77:$Y$97,P$77,$C$105:$D133)</f>
        <v>4.7498635542620474E-2</v>
      </c>
      <c r="Q133" s="59">
        <f ca="1">DSUM($B$77:$Y$97,Q$77,$C$105:$D133)</f>
        <v>3.7592814613504513E-2</v>
      </c>
      <c r="R133" s="59">
        <f ca="1">DSUM($B$77:$Y$97,R$77,$C$105:$D133)</f>
        <v>2.975284856966549E-2</v>
      </c>
      <c r="S133" s="59">
        <f ca="1">DSUM($B$77:$Y$97,S$77,$C$105:$D133)</f>
        <v>2.3547904223469428E-2</v>
      </c>
      <c r="T133" s="59">
        <f ca="1">DSUM($B$77:$Y$97,T$77,$C$105:$D133)</f>
        <v>1.863699847156932E-2</v>
      </c>
      <c r="U133" s="59">
        <f ca="1">DSUM($B$77:$Y$97,U$77,$C$105:$D133)</f>
        <v>1.257601052467452E-4</v>
      </c>
      <c r="V133" s="59">
        <f ca="1">DSUM($B$77:$Y$97,V$77,$C$105:$D133)</f>
        <v>4.4434324536647402E-5</v>
      </c>
      <c r="W133" s="59">
        <f ca="1">DSUM($B$77:$Y$97,W$77,$C$105:$D133)</f>
        <v>1.4986178015264915E-5</v>
      </c>
      <c r="X133" s="59">
        <f ca="1">DSUM($B$77:$Y$97,X$77,$C$105:$D133)</f>
        <v>4.8345720435587281E-6</v>
      </c>
      <c r="Y133" s="59">
        <f ca="1">DSUM($B$77:$Y$97,Y$77,$C$105:$D133)</f>
        <v>1.6890870064921888</v>
      </c>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c r="BZ133" s="58"/>
      <c r="CA133" s="58"/>
    </row>
    <row r="134" spans="1:79">
      <c r="B134" s="27" t="s">
        <v>5840</v>
      </c>
      <c r="C134" s="267" t="s">
        <v>5841</v>
      </c>
      <c r="D134" s="267" t="s">
        <v>5842</v>
      </c>
      <c r="E134" s="59">
        <f ca="1">DSUM($B$77:$Y$97,E$77,$C$105:$D134)</f>
        <v>0.22658322933976341</v>
      </c>
      <c r="F134" s="59">
        <f ca="1">DSUM($B$77:$Y$97,F$77,$C$105:$D134)</f>
        <v>0.22416173743179943</v>
      </c>
      <c r="G134" s="59">
        <f ca="1">DSUM($B$77:$Y$97,G$77,$C$105:$D134)</f>
        <v>0.22176612397511103</v>
      </c>
      <c r="H134" s="59">
        <f ca="1">DSUM($B$77:$Y$97,H$77,$C$105:$D134)</f>
        <v>0.21939611240703938</v>
      </c>
      <c r="I134" s="59">
        <f ca="1">DSUM($B$77:$Y$97,I$77,$C$105:$D134)</f>
        <v>0.21705142912054712</v>
      </c>
      <c r="J134" s="59">
        <f ca="1">DSUM($B$77:$Y$97,J$77,$C$105:$D134)</f>
        <v>0.1932586230893682</v>
      </c>
      <c r="K134" s="59">
        <f ca="1">DSUM($B$77:$Y$97,K$77,$C$105:$D134)</f>
        <v>0.15295461663821405</v>
      </c>
      <c r="L134" s="59">
        <f ca="1">DSUM($B$77:$Y$97,L$77,$C$105:$D134)</f>
        <v>0.12105599417483411</v>
      </c>
      <c r="M134" s="59">
        <f ca="1">DSUM($B$77:$Y$97,M$77,$C$105:$D134)</f>
        <v>9.5809816321661759E-2</v>
      </c>
      <c r="N134" s="59">
        <f ca="1">DSUM($B$77:$Y$97,N$77,$C$105:$D134)</f>
        <v>7.5828718488182512E-2</v>
      </c>
      <c r="O134" s="59">
        <f ca="1">DSUM($B$77:$Y$97,O$77,$C$105:$D134)</f>
        <v>6.0014670399279428E-2</v>
      </c>
      <c r="P134" s="59">
        <f ca="1">DSUM($B$77:$Y$97,P$77,$C$105:$D134)</f>
        <v>4.7498635542620474E-2</v>
      </c>
      <c r="Q134" s="59">
        <f ca="1">DSUM($B$77:$Y$97,Q$77,$C$105:$D134)</f>
        <v>3.7592814613504513E-2</v>
      </c>
      <c r="R134" s="59">
        <f ca="1">DSUM($B$77:$Y$97,R$77,$C$105:$D134)</f>
        <v>2.975284856966549E-2</v>
      </c>
      <c r="S134" s="59">
        <f ca="1">DSUM($B$77:$Y$97,S$77,$C$105:$D134)</f>
        <v>2.3547904223469428E-2</v>
      </c>
      <c r="T134" s="59">
        <f ca="1">DSUM($B$77:$Y$97,T$77,$C$105:$D134)</f>
        <v>1.863699847156932E-2</v>
      </c>
      <c r="U134" s="59">
        <f ca="1">DSUM($B$77:$Y$97,U$77,$C$105:$D134)</f>
        <v>1.257601052467452E-4</v>
      </c>
      <c r="V134" s="59">
        <f ca="1">DSUM($B$77:$Y$97,V$77,$C$105:$D134)</f>
        <v>4.4434324536647402E-5</v>
      </c>
      <c r="W134" s="59">
        <f ca="1">DSUM($B$77:$Y$97,W$77,$C$105:$D134)</f>
        <v>1.4986178015264915E-5</v>
      </c>
      <c r="X134" s="59">
        <f ca="1">DSUM($B$77:$Y$97,X$77,$C$105:$D134)</f>
        <v>4.8345720435587281E-6</v>
      </c>
      <c r="Y134" s="59">
        <f ca="1">DSUM($B$77:$Y$97,Y$77,$C$105:$D134)</f>
        <v>1.6890870064921888</v>
      </c>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c r="BZ134" s="58"/>
      <c r="CA134" s="58"/>
    </row>
    <row r="135" spans="1:79">
      <c r="B135" s="27" t="s">
        <v>5843</v>
      </c>
      <c r="C135" s="267" t="s">
        <v>5844</v>
      </c>
      <c r="D135" s="267" t="s">
        <v>5845</v>
      </c>
      <c r="E135" s="59">
        <f ca="1">DSUM($B$77:$Y$97,E$77,$C$105:$D135)</f>
        <v>0.38907017847682368</v>
      </c>
      <c r="F135" s="59">
        <f ca="1">DSUM($B$77:$Y$97,F$77,$C$105:$D135)</f>
        <v>0.38491219074067484</v>
      </c>
      <c r="G135" s="59">
        <f ca="1">DSUM($B$77:$Y$97,G$77,$C$105:$D135)</f>
        <v>0.38079863936323566</v>
      </c>
      <c r="H135" s="59">
        <f ca="1">DSUM($B$77:$Y$97,H$77,$C$105:$D135)</f>
        <v>0.37672904945374114</v>
      </c>
      <c r="I135" s="59">
        <f ca="1">DSUM($B$77:$Y$97,I$77,$C$105:$D135)</f>
        <v>0.37270295119657815</v>
      </c>
      <c r="J135" s="59">
        <f ca="1">DSUM($B$77:$Y$97,J$77,$C$105:$D135)</f>
        <v>0.33184789181734153</v>
      </c>
      <c r="K135" s="59">
        <f ca="1">DSUM($B$77:$Y$97,K$77,$C$105:$D135)</f>
        <v>0.26264115030794372</v>
      </c>
      <c r="L135" s="59">
        <f ca="1">DSUM($B$77:$Y$97,L$77,$C$105:$D135)</f>
        <v>0.20786744630895121</v>
      </c>
      <c r="M135" s="59">
        <f ca="1">DSUM($B$77:$Y$97,M$77,$C$105:$D135)</f>
        <v>0.16451677577692148</v>
      </c>
      <c r="N135" s="59">
        <f ca="1">DSUM($B$77:$Y$97,N$77,$C$105:$D135)</f>
        <v>0.13020686977510793</v>
      </c>
      <c r="O135" s="59">
        <f ca="1">DSUM($B$77:$Y$97,O$77,$C$105:$D135)</f>
        <v>0.10305228057484343</v>
      </c>
      <c r="P135" s="59">
        <f ca="1">DSUM($B$77:$Y$97,P$77,$C$105:$D135)</f>
        <v>8.1560769796698337E-2</v>
      </c>
      <c r="Q135" s="59">
        <f ca="1">DSUM($B$77:$Y$97,Q$77,$C$105:$D135)</f>
        <v>6.4551304762234515E-2</v>
      </c>
      <c r="R135" s="59">
        <f ca="1">DSUM($B$77:$Y$97,R$77,$C$105:$D135)</f>
        <v>5.1089156672912611E-2</v>
      </c>
      <c r="S135" s="59">
        <f ca="1">DSUM($B$77:$Y$97,S$77,$C$105:$D135)</f>
        <v>4.0434534037125158E-2</v>
      </c>
      <c r="T135" s="59">
        <f ca="1">DSUM($B$77:$Y$97,T$77,$C$105:$D135)</f>
        <v>3.2001928574919736E-2</v>
      </c>
      <c r="U135" s="59">
        <f ca="1">DSUM($B$77:$Y$97,U$77,$C$105:$D135)</f>
        <v>2.1594496087018464E-4</v>
      </c>
      <c r="V135" s="59">
        <f ca="1">DSUM($B$77:$Y$97,V$77,$C$105:$D135)</f>
        <v>7.6298985711987138E-5</v>
      </c>
      <c r="W135" s="59">
        <f ca="1">DSUM($B$77:$Y$97,W$77,$C$105:$D135)</f>
        <v>2.5733038460412388E-5</v>
      </c>
      <c r="X135" s="59">
        <f ca="1">DSUM($B$77:$Y$97,X$77,$C$105:$D135)</f>
        <v>8.3015314651813889E-6</v>
      </c>
      <c r="Y135" s="59">
        <f ca="1">DSUM($B$77:$Y$97,Y$77,$C$105:$D135)</f>
        <v>2.9003619773348848</v>
      </c>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c r="BZ135" s="58"/>
      <c r="CA135" s="58"/>
    </row>
    <row r="136" spans="1:79">
      <c r="B136" s="27" t="s">
        <v>5846</v>
      </c>
      <c r="C136" s="267" t="s">
        <v>5847</v>
      </c>
      <c r="D136" s="267" t="s">
        <v>5848</v>
      </c>
      <c r="E136" s="59">
        <f ca="1">DSUM($B$77:$Y$97,E$77,$C$105:$D136)</f>
        <v>0.38907017847682368</v>
      </c>
      <c r="F136" s="59">
        <f ca="1">DSUM($B$77:$Y$97,F$77,$C$105:$D136)</f>
        <v>0.38491219074067484</v>
      </c>
      <c r="G136" s="59">
        <f ca="1">DSUM($B$77:$Y$97,G$77,$C$105:$D136)</f>
        <v>0.38079863936323566</v>
      </c>
      <c r="H136" s="59">
        <f ca="1">DSUM($B$77:$Y$97,H$77,$C$105:$D136)</f>
        <v>0.37672904945374114</v>
      </c>
      <c r="I136" s="59">
        <f ca="1">DSUM($B$77:$Y$97,I$77,$C$105:$D136)</f>
        <v>0.37270295119657815</v>
      </c>
      <c r="J136" s="59">
        <f ca="1">DSUM($B$77:$Y$97,J$77,$C$105:$D136)</f>
        <v>0.33184789181734153</v>
      </c>
      <c r="K136" s="59">
        <f ca="1">DSUM($B$77:$Y$97,K$77,$C$105:$D136)</f>
        <v>0.26264115030794372</v>
      </c>
      <c r="L136" s="59">
        <f ca="1">DSUM($B$77:$Y$97,L$77,$C$105:$D136)</f>
        <v>0.20786744630895121</v>
      </c>
      <c r="M136" s="59">
        <f ca="1">DSUM($B$77:$Y$97,M$77,$C$105:$D136)</f>
        <v>0.16451677577692148</v>
      </c>
      <c r="N136" s="59">
        <f ca="1">DSUM($B$77:$Y$97,N$77,$C$105:$D136)</f>
        <v>0.13020686977510793</v>
      </c>
      <c r="O136" s="59">
        <f ca="1">DSUM($B$77:$Y$97,O$77,$C$105:$D136)</f>
        <v>0.10305228057484343</v>
      </c>
      <c r="P136" s="59">
        <f ca="1">DSUM($B$77:$Y$97,P$77,$C$105:$D136)</f>
        <v>8.1560769796698337E-2</v>
      </c>
      <c r="Q136" s="59">
        <f ca="1">DSUM($B$77:$Y$97,Q$77,$C$105:$D136)</f>
        <v>6.4551304762234515E-2</v>
      </c>
      <c r="R136" s="59">
        <f ca="1">DSUM($B$77:$Y$97,R$77,$C$105:$D136)</f>
        <v>5.1089156672912611E-2</v>
      </c>
      <c r="S136" s="59">
        <f ca="1">DSUM($B$77:$Y$97,S$77,$C$105:$D136)</f>
        <v>4.0434534037125158E-2</v>
      </c>
      <c r="T136" s="59">
        <f ca="1">DSUM($B$77:$Y$97,T$77,$C$105:$D136)</f>
        <v>3.2001928574919736E-2</v>
      </c>
      <c r="U136" s="59">
        <f ca="1">DSUM($B$77:$Y$97,U$77,$C$105:$D136)</f>
        <v>2.1594496087018464E-4</v>
      </c>
      <c r="V136" s="59">
        <f ca="1">DSUM($B$77:$Y$97,V$77,$C$105:$D136)</f>
        <v>7.6298985711987138E-5</v>
      </c>
      <c r="W136" s="59">
        <f ca="1">DSUM($B$77:$Y$97,W$77,$C$105:$D136)</f>
        <v>2.5733038460412388E-5</v>
      </c>
      <c r="X136" s="59">
        <f ca="1">DSUM($B$77:$Y$97,X$77,$C$105:$D136)</f>
        <v>8.3015314651813889E-6</v>
      </c>
      <c r="Y136" s="59">
        <f ca="1">DSUM($B$77:$Y$97,Y$77,$C$105:$D136)</f>
        <v>2.9003619773348848</v>
      </c>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row>
    <row r="137" spans="1:79">
      <c r="B137" s="27" t="s">
        <v>5849</v>
      </c>
      <c r="C137" s="267" t="s">
        <v>5850</v>
      </c>
      <c r="D137" s="267" t="s">
        <v>150</v>
      </c>
      <c r="E137" s="59">
        <f ca="1">DSUM($B$77:$Y$97,E$77,$C$105:$D137)</f>
        <v>0.7044364923153128</v>
      </c>
      <c r="F137" s="59">
        <f ca="1">DSUM($B$77:$Y$97,F$77,$C$105:$D137)</f>
        <v>0.69690818904773832</v>
      </c>
      <c r="G137" s="59">
        <f ca="1">DSUM($B$77:$Y$97,G$77,$C$105:$D137)</f>
        <v>0.68946034065538297</v>
      </c>
      <c r="H137" s="59">
        <f ca="1">DSUM($B$77:$Y$97,H$77,$C$105:$D137)</f>
        <v>0.68209208731808191</v>
      </c>
      <c r="I137" s="59">
        <f ca="1">DSUM($B$77:$Y$97,I$77,$C$105:$D137)</f>
        <v>0.67480257840455926</v>
      </c>
      <c r="J137" s="59">
        <f ca="1">DSUM($B$77:$Y$97,J$77,$C$105:$D137)</f>
        <v>0.60083187513679981</v>
      </c>
      <c r="K137" s="59">
        <f ca="1">DSUM($B$77:$Y$97,K$77,$C$105:$D137)</f>
        <v>0.47552863440960874</v>
      </c>
      <c r="L137" s="59">
        <f ca="1">DSUM($B$77:$Y$97,L$77,$C$105:$D137)</f>
        <v>0.37635733305923808</v>
      </c>
      <c r="M137" s="59">
        <f ca="1">DSUM($B$77:$Y$97,M$77,$C$105:$D137)</f>
        <v>0.29786816586412534</v>
      </c>
      <c r="N137" s="59">
        <f ca="1">DSUM($B$77:$Y$97,N$77,$C$105:$D137)</f>
        <v>0.23574788224278539</v>
      </c>
      <c r="O137" s="59">
        <f ca="1">DSUM($B$77:$Y$97,O$77,$C$105:$D137)</f>
        <v>0.18658275825054127</v>
      </c>
      <c r="P137" s="59">
        <f ca="1">DSUM($B$77:$Y$97,P$77,$C$105:$D137)</f>
        <v>0.14767100066895858</v>
      </c>
      <c r="Q137" s="59">
        <f ca="1">DSUM($B$77:$Y$97,Q$77,$C$105:$D137)</f>
        <v>0.11687427414536201</v>
      </c>
      <c r="R137" s="59">
        <f ca="1">DSUM($B$77:$Y$97,R$77,$C$105:$D137)</f>
        <v>9.2500192286409849E-2</v>
      </c>
      <c r="S137" s="59">
        <f ca="1">DSUM($B$77:$Y$97,S$77,$C$105:$D137)</f>
        <v>7.3209315185829113E-2</v>
      </c>
      <c r="T137" s="59">
        <f ca="1">DSUM($B$77:$Y$97,T$77,$C$105:$D137)</f>
        <v>5.7941542579533635E-2</v>
      </c>
      <c r="U137" s="59">
        <f ca="1">DSUM($B$77:$Y$97,U$77,$C$105:$D137)</f>
        <v>3.9098219083275699E-4</v>
      </c>
      <c r="V137" s="59">
        <f ca="1">DSUM($B$77:$Y$97,V$77,$C$105:$D137)</f>
        <v>1.3814420337376242E-4</v>
      </c>
      <c r="W137" s="59">
        <f ca="1">DSUM($B$77:$Y$97,W$77,$C$105:$D137)</f>
        <v>4.65913152753951E-5</v>
      </c>
      <c r="X137" s="59">
        <f ca="1">DSUM($B$77:$Y$97,X$77,$C$105:$D137)</f>
        <v>1.5030454734597262E-5</v>
      </c>
      <c r="Y137" s="59">
        <f ca="1">DSUM($B$77:$Y$97,Y$77,$C$105:$D137)</f>
        <v>5.2512912342887139</v>
      </c>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c r="BZ137" s="58"/>
      <c r="CA137" s="58"/>
    </row>
    <row r="138" spans="1:79">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c r="BZ138" s="58"/>
      <c r="CA138" s="58"/>
    </row>
    <row r="139" spans="1:79">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c r="BZ139" s="58"/>
      <c r="CA139" s="58"/>
    </row>
    <row r="140" spans="1:79" ht="15">
      <c r="A140" s="69" t="s">
        <v>151</v>
      </c>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c r="BZ140" s="58"/>
      <c r="CA140" s="58"/>
    </row>
    <row r="141" spans="1:79" ht="15">
      <c r="D141" s="76" t="str">
        <f>C22</f>
        <v>ResWx - Retro</v>
      </c>
      <c r="E141" s="70">
        <f t="shared" ref="E141:X141" si="31">E11</f>
        <v>2016</v>
      </c>
      <c r="F141" s="71">
        <f t="shared" si="31"/>
        <v>2017</v>
      </c>
      <c r="G141" s="71">
        <f t="shared" si="31"/>
        <v>2018</v>
      </c>
      <c r="H141" s="71">
        <f t="shared" si="31"/>
        <v>2019</v>
      </c>
      <c r="I141" s="71">
        <f t="shared" si="31"/>
        <v>2020</v>
      </c>
      <c r="J141" s="71">
        <f t="shared" si="31"/>
        <v>2021</v>
      </c>
      <c r="K141" s="71">
        <f t="shared" si="31"/>
        <v>2022</v>
      </c>
      <c r="L141" s="71">
        <f t="shared" si="31"/>
        <v>2023</v>
      </c>
      <c r="M141" s="71">
        <f t="shared" si="31"/>
        <v>2024</v>
      </c>
      <c r="N141" s="71">
        <f t="shared" si="31"/>
        <v>2025</v>
      </c>
      <c r="O141" s="71">
        <f t="shared" si="31"/>
        <v>2026</v>
      </c>
      <c r="P141" s="71">
        <f t="shared" si="31"/>
        <v>2027</v>
      </c>
      <c r="Q141" s="71">
        <f t="shared" si="31"/>
        <v>2028</v>
      </c>
      <c r="R141" s="71">
        <f t="shared" si="31"/>
        <v>2029</v>
      </c>
      <c r="S141" s="71">
        <f t="shared" si="31"/>
        <v>2030</v>
      </c>
      <c r="T141" s="71">
        <f t="shared" si="31"/>
        <v>2031</v>
      </c>
      <c r="U141" s="71">
        <f t="shared" si="31"/>
        <v>2032</v>
      </c>
      <c r="V141" s="71">
        <f t="shared" si="31"/>
        <v>2033</v>
      </c>
      <c r="W141" s="71">
        <f t="shared" si="31"/>
        <v>2034</v>
      </c>
      <c r="X141" s="71">
        <f t="shared" si="31"/>
        <v>2035</v>
      </c>
      <c r="Y141" s="72" t="s">
        <v>5819</v>
      </c>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c r="BZ141" s="58"/>
      <c r="CA141" s="58"/>
    </row>
    <row r="142" spans="1:79" ht="15">
      <c r="E142" s="73" t="str">
        <f>CONCATENATE("aMW_",E141)</f>
        <v>aMW_2016</v>
      </c>
      <c r="F142" s="74" t="str">
        <f t="shared" ref="F142:X142" si="32">CONCATENATE("aMW_",F141)</f>
        <v>aMW_2017</v>
      </c>
      <c r="G142" s="74" t="str">
        <f t="shared" si="32"/>
        <v>aMW_2018</v>
      </c>
      <c r="H142" s="74" t="str">
        <f t="shared" si="32"/>
        <v>aMW_2019</v>
      </c>
      <c r="I142" s="74" t="str">
        <f t="shared" si="32"/>
        <v>aMW_2020</v>
      </c>
      <c r="J142" s="74" t="str">
        <f t="shared" si="32"/>
        <v>aMW_2021</v>
      </c>
      <c r="K142" s="74" t="str">
        <f t="shared" si="32"/>
        <v>aMW_2022</v>
      </c>
      <c r="L142" s="74" t="str">
        <f t="shared" si="32"/>
        <v>aMW_2023</v>
      </c>
      <c r="M142" s="74" t="str">
        <f t="shared" si="32"/>
        <v>aMW_2024</v>
      </c>
      <c r="N142" s="74" t="str">
        <f t="shared" si="32"/>
        <v>aMW_2025</v>
      </c>
      <c r="O142" s="74" t="str">
        <f t="shared" si="32"/>
        <v>aMW_2026</v>
      </c>
      <c r="P142" s="74" t="str">
        <f t="shared" si="32"/>
        <v>aMW_2027</v>
      </c>
      <c r="Q142" s="74" t="str">
        <f t="shared" si="32"/>
        <v>aMW_2028</v>
      </c>
      <c r="R142" s="74" t="str">
        <f t="shared" si="32"/>
        <v>aMW_2029</v>
      </c>
      <c r="S142" s="74" t="str">
        <f t="shared" si="32"/>
        <v>aMW_2030</v>
      </c>
      <c r="T142" s="74" t="str">
        <f t="shared" si="32"/>
        <v>aMW_2031</v>
      </c>
      <c r="U142" s="74" t="str">
        <f t="shared" si="32"/>
        <v>aMW_2032</v>
      </c>
      <c r="V142" s="74" t="str">
        <f t="shared" si="32"/>
        <v>aMW_2033</v>
      </c>
      <c r="W142" s="74" t="str">
        <f t="shared" si="32"/>
        <v>aMW_2034</v>
      </c>
      <c r="X142" s="74" t="str">
        <f t="shared" si="32"/>
        <v>aMW_2035</v>
      </c>
      <c r="Y142" s="75" t="s">
        <v>5819</v>
      </c>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c r="BZ142" s="58"/>
      <c r="CA142" s="58"/>
    </row>
    <row r="143" spans="1:79">
      <c r="D143" s="56" t="s">
        <v>87</v>
      </c>
      <c r="E143" s="64">
        <f t="shared" ref="E143:X143" si="33">E106</f>
        <v>0</v>
      </c>
      <c r="F143" s="64">
        <f t="shared" si="33"/>
        <v>0</v>
      </c>
      <c r="G143" s="64">
        <f t="shared" si="33"/>
        <v>0</v>
      </c>
      <c r="H143" s="64">
        <f t="shared" si="33"/>
        <v>0</v>
      </c>
      <c r="I143" s="64">
        <f t="shared" si="33"/>
        <v>0</v>
      </c>
      <c r="J143" s="64">
        <f t="shared" si="33"/>
        <v>0</v>
      </c>
      <c r="K143" s="64">
        <f t="shared" si="33"/>
        <v>0</v>
      </c>
      <c r="L143" s="64">
        <f t="shared" si="33"/>
        <v>0</v>
      </c>
      <c r="M143" s="64">
        <f t="shared" si="33"/>
        <v>0</v>
      </c>
      <c r="N143" s="64">
        <f t="shared" si="33"/>
        <v>0</v>
      </c>
      <c r="O143" s="64">
        <f t="shared" si="33"/>
        <v>0</v>
      </c>
      <c r="P143" s="64">
        <f t="shared" si="33"/>
        <v>0</v>
      </c>
      <c r="Q143" s="64">
        <f t="shared" si="33"/>
        <v>0</v>
      </c>
      <c r="R143" s="64">
        <f t="shared" si="33"/>
        <v>0</v>
      </c>
      <c r="S143" s="64">
        <f t="shared" si="33"/>
        <v>0</v>
      </c>
      <c r="T143" s="64">
        <f t="shared" si="33"/>
        <v>0</v>
      </c>
      <c r="U143" s="64">
        <f t="shared" si="33"/>
        <v>0</v>
      </c>
      <c r="V143" s="64">
        <f t="shared" si="33"/>
        <v>0</v>
      </c>
      <c r="W143" s="64">
        <f t="shared" si="33"/>
        <v>0</v>
      </c>
      <c r="X143" s="64">
        <f t="shared" si="33"/>
        <v>0</v>
      </c>
      <c r="Y143" s="64">
        <f t="shared" ref="Y143" si="34">Y106</f>
        <v>0</v>
      </c>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c r="BZ143" s="58"/>
      <c r="CA143" s="58"/>
    </row>
    <row r="144" spans="1:79">
      <c r="D144" s="56" t="s">
        <v>5817</v>
      </c>
      <c r="E144" s="64">
        <f>E107-E106</f>
        <v>0</v>
      </c>
      <c r="F144" s="64">
        <f t="shared" ref="E144:X156" si="35">F107-F106</f>
        <v>0</v>
      </c>
      <c r="G144" s="64">
        <f t="shared" si="35"/>
        <v>0</v>
      </c>
      <c r="H144" s="64">
        <f t="shared" si="35"/>
        <v>0</v>
      </c>
      <c r="I144" s="64">
        <f t="shared" si="35"/>
        <v>0</v>
      </c>
      <c r="J144" s="64">
        <f t="shared" si="35"/>
        <v>0</v>
      </c>
      <c r="K144" s="64">
        <f t="shared" si="35"/>
        <v>0</v>
      </c>
      <c r="L144" s="64">
        <f t="shared" si="35"/>
        <v>0</v>
      </c>
      <c r="M144" s="64">
        <f t="shared" si="35"/>
        <v>0</v>
      </c>
      <c r="N144" s="64">
        <f t="shared" si="35"/>
        <v>0</v>
      </c>
      <c r="O144" s="64">
        <f t="shared" si="35"/>
        <v>0</v>
      </c>
      <c r="P144" s="64">
        <f t="shared" si="35"/>
        <v>0</v>
      </c>
      <c r="Q144" s="64">
        <f t="shared" si="35"/>
        <v>0</v>
      </c>
      <c r="R144" s="64">
        <f t="shared" si="35"/>
        <v>0</v>
      </c>
      <c r="S144" s="64">
        <f t="shared" si="35"/>
        <v>0</v>
      </c>
      <c r="T144" s="64">
        <f t="shared" si="35"/>
        <v>0</v>
      </c>
      <c r="U144" s="64">
        <f t="shared" si="35"/>
        <v>0</v>
      </c>
      <c r="V144" s="64">
        <f t="shared" si="35"/>
        <v>0</v>
      </c>
      <c r="W144" s="64">
        <f t="shared" si="35"/>
        <v>0</v>
      </c>
      <c r="X144" s="64">
        <f t="shared" si="35"/>
        <v>0</v>
      </c>
      <c r="Y144" s="64">
        <f t="shared" ref="Y144" si="36">Y107-Y106</f>
        <v>0</v>
      </c>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c r="BZ144" s="58"/>
      <c r="CA144" s="58"/>
    </row>
    <row r="145" spans="4:79">
      <c r="D145" s="56" t="s">
        <v>92</v>
      </c>
      <c r="E145" s="64">
        <f t="shared" si="35"/>
        <v>0</v>
      </c>
      <c r="F145" s="64">
        <f t="shared" si="35"/>
        <v>0</v>
      </c>
      <c r="G145" s="64">
        <f t="shared" si="35"/>
        <v>0</v>
      </c>
      <c r="H145" s="64">
        <f t="shared" si="35"/>
        <v>0</v>
      </c>
      <c r="I145" s="64">
        <f t="shared" si="35"/>
        <v>0</v>
      </c>
      <c r="J145" s="64">
        <f t="shared" si="35"/>
        <v>0</v>
      </c>
      <c r="K145" s="64">
        <f t="shared" si="35"/>
        <v>0</v>
      </c>
      <c r="L145" s="64">
        <f t="shared" si="35"/>
        <v>0</v>
      </c>
      <c r="M145" s="64">
        <f t="shared" si="35"/>
        <v>0</v>
      </c>
      <c r="N145" s="64">
        <f t="shared" si="35"/>
        <v>0</v>
      </c>
      <c r="O145" s="64">
        <f t="shared" si="35"/>
        <v>0</v>
      </c>
      <c r="P145" s="64">
        <f t="shared" si="35"/>
        <v>0</v>
      </c>
      <c r="Q145" s="64">
        <f t="shared" si="35"/>
        <v>0</v>
      </c>
      <c r="R145" s="64">
        <f t="shared" si="35"/>
        <v>0</v>
      </c>
      <c r="S145" s="64">
        <f t="shared" si="35"/>
        <v>0</v>
      </c>
      <c r="T145" s="64">
        <f t="shared" si="35"/>
        <v>0</v>
      </c>
      <c r="U145" s="64">
        <f t="shared" si="35"/>
        <v>0</v>
      </c>
      <c r="V145" s="64">
        <f t="shared" si="35"/>
        <v>0</v>
      </c>
      <c r="W145" s="64">
        <f t="shared" si="35"/>
        <v>0</v>
      </c>
      <c r="X145" s="64">
        <f t="shared" si="35"/>
        <v>0</v>
      </c>
      <c r="Y145" s="64">
        <f t="shared" ref="Y145" si="37">Y108-Y107</f>
        <v>0</v>
      </c>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c r="BZ145" s="58"/>
      <c r="CA145" s="58"/>
    </row>
    <row r="146" spans="4:79">
      <c r="D146" s="56" t="s">
        <v>95</v>
      </c>
      <c r="E146" s="64">
        <f t="shared" si="35"/>
        <v>0</v>
      </c>
      <c r="F146" s="64">
        <f t="shared" si="35"/>
        <v>0</v>
      </c>
      <c r="G146" s="64">
        <f t="shared" si="35"/>
        <v>0</v>
      </c>
      <c r="H146" s="64">
        <f t="shared" si="35"/>
        <v>0</v>
      </c>
      <c r="I146" s="64">
        <f t="shared" si="35"/>
        <v>0</v>
      </c>
      <c r="J146" s="64">
        <f t="shared" si="35"/>
        <v>0</v>
      </c>
      <c r="K146" s="64">
        <f t="shared" si="35"/>
        <v>0</v>
      </c>
      <c r="L146" s="64">
        <f t="shared" si="35"/>
        <v>0</v>
      </c>
      <c r="M146" s="64">
        <f t="shared" si="35"/>
        <v>0</v>
      </c>
      <c r="N146" s="64">
        <f t="shared" si="35"/>
        <v>0</v>
      </c>
      <c r="O146" s="64">
        <f t="shared" si="35"/>
        <v>0</v>
      </c>
      <c r="P146" s="64">
        <f t="shared" si="35"/>
        <v>0</v>
      </c>
      <c r="Q146" s="64">
        <f t="shared" si="35"/>
        <v>0</v>
      </c>
      <c r="R146" s="64">
        <f t="shared" si="35"/>
        <v>0</v>
      </c>
      <c r="S146" s="64">
        <f t="shared" si="35"/>
        <v>0</v>
      </c>
      <c r="T146" s="64">
        <f t="shared" si="35"/>
        <v>0</v>
      </c>
      <c r="U146" s="64">
        <f t="shared" si="35"/>
        <v>0</v>
      </c>
      <c r="V146" s="64">
        <f t="shared" si="35"/>
        <v>0</v>
      </c>
      <c r="W146" s="64">
        <f t="shared" si="35"/>
        <v>0</v>
      </c>
      <c r="X146" s="64">
        <f t="shared" si="35"/>
        <v>0</v>
      </c>
      <c r="Y146" s="64">
        <f t="shared" ref="Y146" si="38">Y109-Y108</f>
        <v>0</v>
      </c>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c r="BZ146" s="58"/>
      <c r="CA146" s="58"/>
    </row>
    <row r="147" spans="4:79">
      <c r="D147" s="56" t="s">
        <v>98</v>
      </c>
      <c r="E147" s="64">
        <f t="shared" si="35"/>
        <v>0</v>
      </c>
      <c r="F147" s="64">
        <f t="shared" si="35"/>
        <v>0</v>
      </c>
      <c r="G147" s="64">
        <f t="shared" si="35"/>
        <v>0</v>
      </c>
      <c r="H147" s="64">
        <f t="shared" si="35"/>
        <v>0</v>
      </c>
      <c r="I147" s="64">
        <f t="shared" si="35"/>
        <v>0</v>
      </c>
      <c r="J147" s="64">
        <f t="shared" si="35"/>
        <v>0</v>
      </c>
      <c r="K147" s="64">
        <f t="shared" si="35"/>
        <v>0</v>
      </c>
      <c r="L147" s="64">
        <f t="shared" si="35"/>
        <v>0</v>
      </c>
      <c r="M147" s="64">
        <f t="shared" si="35"/>
        <v>0</v>
      </c>
      <c r="N147" s="64">
        <f t="shared" si="35"/>
        <v>0</v>
      </c>
      <c r="O147" s="64">
        <f t="shared" si="35"/>
        <v>0</v>
      </c>
      <c r="P147" s="64">
        <f t="shared" si="35"/>
        <v>0</v>
      </c>
      <c r="Q147" s="64">
        <f t="shared" si="35"/>
        <v>0</v>
      </c>
      <c r="R147" s="64">
        <f t="shared" si="35"/>
        <v>0</v>
      </c>
      <c r="S147" s="64">
        <f t="shared" si="35"/>
        <v>0</v>
      </c>
      <c r="T147" s="64">
        <f t="shared" si="35"/>
        <v>0</v>
      </c>
      <c r="U147" s="64">
        <f t="shared" si="35"/>
        <v>0</v>
      </c>
      <c r="V147" s="64">
        <f t="shared" si="35"/>
        <v>0</v>
      </c>
      <c r="W147" s="64">
        <f t="shared" si="35"/>
        <v>0</v>
      </c>
      <c r="X147" s="64">
        <f t="shared" si="35"/>
        <v>0</v>
      </c>
      <c r="Y147" s="64">
        <f t="shared" ref="Y147" si="39">Y110-Y109</f>
        <v>0</v>
      </c>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c r="BZ147" s="58"/>
      <c r="CA147" s="58"/>
    </row>
    <row r="148" spans="4:79">
      <c r="D148" s="56" t="s">
        <v>101</v>
      </c>
      <c r="E148" s="64">
        <f t="shared" si="35"/>
        <v>0</v>
      </c>
      <c r="F148" s="64">
        <f t="shared" si="35"/>
        <v>0</v>
      </c>
      <c r="G148" s="64">
        <f t="shared" si="35"/>
        <v>0</v>
      </c>
      <c r="H148" s="64">
        <f t="shared" si="35"/>
        <v>0</v>
      </c>
      <c r="I148" s="64">
        <f t="shared" si="35"/>
        <v>0</v>
      </c>
      <c r="J148" s="64">
        <f t="shared" si="35"/>
        <v>0</v>
      </c>
      <c r="K148" s="64">
        <f t="shared" si="35"/>
        <v>0</v>
      </c>
      <c r="L148" s="64">
        <f t="shared" si="35"/>
        <v>0</v>
      </c>
      <c r="M148" s="64">
        <f t="shared" si="35"/>
        <v>0</v>
      </c>
      <c r="N148" s="64">
        <f t="shared" si="35"/>
        <v>0</v>
      </c>
      <c r="O148" s="64">
        <f t="shared" si="35"/>
        <v>0</v>
      </c>
      <c r="P148" s="64">
        <f t="shared" si="35"/>
        <v>0</v>
      </c>
      <c r="Q148" s="64">
        <f t="shared" si="35"/>
        <v>0</v>
      </c>
      <c r="R148" s="64">
        <f t="shared" si="35"/>
        <v>0</v>
      </c>
      <c r="S148" s="64">
        <f t="shared" si="35"/>
        <v>0</v>
      </c>
      <c r="T148" s="64">
        <f t="shared" si="35"/>
        <v>0</v>
      </c>
      <c r="U148" s="64">
        <f t="shared" si="35"/>
        <v>0</v>
      </c>
      <c r="V148" s="64">
        <f t="shared" si="35"/>
        <v>0</v>
      </c>
      <c r="W148" s="64">
        <f t="shared" si="35"/>
        <v>0</v>
      </c>
      <c r="X148" s="64">
        <f t="shared" si="35"/>
        <v>0</v>
      </c>
      <c r="Y148" s="64">
        <f t="shared" ref="Y148" si="40">Y111-Y110</f>
        <v>0</v>
      </c>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row>
    <row r="149" spans="4:79">
      <c r="D149" s="56" t="s">
        <v>104</v>
      </c>
      <c r="E149" s="64">
        <f t="shared" si="35"/>
        <v>0</v>
      </c>
      <c r="F149" s="64">
        <f t="shared" si="35"/>
        <v>0</v>
      </c>
      <c r="G149" s="64">
        <f t="shared" si="35"/>
        <v>0</v>
      </c>
      <c r="H149" s="64">
        <f t="shared" si="35"/>
        <v>0</v>
      </c>
      <c r="I149" s="64">
        <f t="shared" si="35"/>
        <v>0</v>
      </c>
      <c r="J149" s="64">
        <f t="shared" si="35"/>
        <v>0</v>
      </c>
      <c r="K149" s="64">
        <f t="shared" si="35"/>
        <v>0</v>
      </c>
      <c r="L149" s="64">
        <f t="shared" si="35"/>
        <v>0</v>
      </c>
      <c r="M149" s="64">
        <f t="shared" si="35"/>
        <v>0</v>
      </c>
      <c r="N149" s="64">
        <f t="shared" si="35"/>
        <v>0</v>
      </c>
      <c r="O149" s="64">
        <f t="shared" si="35"/>
        <v>0</v>
      </c>
      <c r="P149" s="64">
        <f t="shared" si="35"/>
        <v>0</v>
      </c>
      <c r="Q149" s="64">
        <f t="shared" si="35"/>
        <v>0</v>
      </c>
      <c r="R149" s="64">
        <f t="shared" si="35"/>
        <v>0</v>
      </c>
      <c r="S149" s="64">
        <f t="shared" si="35"/>
        <v>0</v>
      </c>
      <c r="T149" s="64">
        <f t="shared" si="35"/>
        <v>0</v>
      </c>
      <c r="U149" s="64">
        <f t="shared" si="35"/>
        <v>0</v>
      </c>
      <c r="V149" s="64">
        <f t="shared" si="35"/>
        <v>0</v>
      </c>
      <c r="W149" s="64">
        <f t="shared" si="35"/>
        <v>0</v>
      </c>
      <c r="X149" s="64">
        <f t="shared" si="35"/>
        <v>0</v>
      </c>
      <c r="Y149" s="64">
        <f t="shared" ref="Y149" si="41">Y112-Y111</f>
        <v>0</v>
      </c>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c r="BZ149" s="58"/>
      <c r="CA149" s="58"/>
    </row>
    <row r="150" spans="4:79">
      <c r="D150" s="56" t="s">
        <v>107</v>
      </c>
      <c r="E150" s="64">
        <f t="shared" si="35"/>
        <v>0</v>
      </c>
      <c r="F150" s="64">
        <f t="shared" si="35"/>
        <v>0</v>
      </c>
      <c r="G150" s="64">
        <f t="shared" si="35"/>
        <v>0</v>
      </c>
      <c r="H150" s="64">
        <f t="shared" si="35"/>
        <v>0</v>
      </c>
      <c r="I150" s="64">
        <f t="shared" si="35"/>
        <v>0</v>
      </c>
      <c r="J150" s="64">
        <f t="shared" si="35"/>
        <v>0</v>
      </c>
      <c r="K150" s="64">
        <f t="shared" si="35"/>
        <v>0</v>
      </c>
      <c r="L150" s="64">
        <f t="shared" si="35"/>
        <v>0</v>
      </c>
      <c r="M150" s="64">
        <f t="shared" si="35"/>
        <v>0</v>
      </c>
      <c r="N150" s="64">
        <f t="shared" si="35"/>
        <v>0</v>
      </c>
      <c r="O150" s="64">
        <f t="shared" si="35"/>
        <v>0</v>
      </c>
      <c r="P150" s="64">
        <f t="shared" si="35"/>
        <v>0</v>
      </c>
      <c r="Q150" s="64">
        <f t="shared" si="35"/>
        <v>0</v>
      </c>
      <c r="R150" s="64">
        <f t="shared" si="35"/>
        <v>0</v>
      </c>
      <c r="S150" s="64">
        <f t="shared" si="35"/>
        <v>0</v>
      </c>
      <c r="T150" s="64">
        <f t="shared" si="35"/>
        <v>0</v>
      </c>
      <c r="U150" s="64">
        <f t="shared" si="35"/>
        <v>0</v>
      </c>
      <c r="V150" s="64">
        <f t="shared" si="35"/>
        <v>0</v>
      </c>
      <c r="W150" s="64">
        <f t="shared" si="35"/>
        <v>0</v>
      </c>
      <c r="X150" s="64">
        <f t="shared" si="35"/>
        <v>0</v>
      </c>
      <c r="Y150" s="64">
        <f t="shared" ref="Y150" si="42">Y113-Y112</f>
        <v>0</v>
      </c>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row>
    <row r="151" spans="4:79">
      <c r="D151" s="56" t="s">
        <v>110</v>
      </c>
      <c r="E151" s="64">
        <f t="shared" si="35"/>
        <v>0</v>
      </c>
      <c r="F151" s="64">
        <f t="shared" si="35"/>
        <v>0</v>
      </c>
      <c r="G151" s="64">
        <f t="shared" si="35"/>
        <v>0</v>
      </c>
      <c r="H151" s="64">
        <f t="shared" si="35"/>
        <v>0</v>
      </c>
      <c r="I151" s="64">
        <f t="shared" si="35"/>
        <v>0</v>
      </c>
      <c r="J151" s="64">
        <f t="shared" si="35"/>
        <v>0</v>
      </c>
      <c r="K151" s="64">
        <f t="shared" si="35"/>
        <v>0</v>
      </c>
      <c r="L151" s="64">
        <f t="shared" si="35"/>
        <v>0</v>
      </c>
      <c r="M151" s="64">
        <f t="shared" si="35"/>
        <v>0</v>
      </c>
      <c r="N151" s="64">
        <f t="shared" si="35"/>
        <v>0</v>
      </c>
      <c r="O151" s="64">
        <f t="shared" si="35"/>
        <v>0</v>
      </c>
      <c r="P151" s="64">
        <f t="shared" si="35"/>
        <v>0</v>
      </c>
      <c r="Q151" s="64">
        <f t="shared" si="35"/>
        <v>0</v>
      </c>
      <c r="R151" s="64">
        <f t="shared" si="35"/>
        <v>0</v>
      </c>
      <c r="S151" s="64">
        <f t="shared" si="35"/>
        <v>0</v>
      </c>
      <c r="T151" s="64">
        <f t="shared" si="35"/>
        <v>0</v>
      </c>
      <c r="U151" s="64">
        <f t="shared" si="35"/>
        <v>0</v>
      </c>
      <c r="V151" s="64">
        <f t="shared" si="35"/>
        <v>0</v>
      </c>
      <c r="W151" s="64">
        <f t="shared" si="35"/>
        <v>0</v>
      </c>
      <c r="X151" s="64">
        <f t="shared" si="35"/>
        <v>0</v>
      </c>
      <c r="Y151" s="64">
        <f t="shared" ref="Y151" si="43">Y114-Y113</f>
        <v>0</v>
      </c>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c r="BZ151" s="58"/>
      <c r="CA151" s="58"/>
    </row>
    <row r="152" spans="4:79">
      <c r="D152" s="56" t="s">
        <v>113</v>
      </c>
      <c r="E152" s="64">
        <f t="shared" si="35"/>
        <v>0</v>
      </c>
      <c r="F152" s="64">
        <f t="shared" si="35"/>
        <v>0</v>
      </c>
      <c r="G152" s="64">
        <f t="shared" si="35"/>
        <v>0</v>
      </c>
      <c r="H152" s="64">
        <f t="shared" si="35"/>
        <v>0</v>
      </c>
      <c r="I152" s="64">
        <f t="shared" si="35"/>
        <v>0</v>
      </c>
      <c r="J152" s="64">
        <f t="shared" si="35"/>
        <v>0</v>
      </c>
      <c r="K152" s="64">
        <f t="shared" si="35"/>
        <v>0</v>
      </c>
      <c r="L152" s="64">
        <f t="shared" si="35"/>
        <v>0</v>
      </c>
      <c r="M152" s="64">
        <f t="shared" si="35"/>
        <v>0</v>
      </c>
      <c r="N152" s="64">
        <f t="shared" si="35"/>
        <v>0</v>
      </c>
      <c r="O152" s="64">
        <f t="shared" si="35"/>
        <v>0</v>
      </c>
      <c r="P152" s="64">
        <f t="shared" si="35"/>
        <v>0</v>
      </c>
      <c r="Q152" s="64">
        <f t="shared" si="35"/>
        <v>0</v>
      </c>
      <c r="R152" s="64">
        <f t="shared" si="35"/>
        <v>0</v>
      </c>
      <c r="S152" s="64">
        <f t="shared" si="35"/>
        <v>0</v>
      </c>
      <c r="T152" s="64">
        <f t="shared" si="35"/>
        <v>0</v>
      </c>
      <c r="U152" s="64">
        <f t="shared" si="35"/>
        <v>0</v>
      </c>
      <c r="V152" s="64">
        <f t="shared" si="35"/>
        <v>0</v>
      </c>
      <c r="W152" s="64">
        <f t="shared" si="35"/>
        <v>0</v>
      </c>
      <c r="X152" s="64">
        <f t="shared" si="35"/>
        <v>0</v>
      </c>
      <c r="Y152" s="64">
        <f t="shared" ref="Y152" si="44">Y115-Y114</f>
        <v>0</v>
      </c>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c r="BZ152" s="58"/>
      <c r="CA152" s="58"/>
    </row>
    <row r="153" spans="4:79">
      <c r="D153" s="56" t="s">
        <v>116</v>
      </c>
      <c r="E153" s="64">
        <f t="shared" si="35"/>
        <v>0</v>
      </c>
      <c r="F153" s="64">
        <f t="shared" si="35"/>
        <v>0</v>
      </c>
      <c r="G153" s="64">
        <f t="shared" si="35"/>
        <v>0</v>
      </c>
      <c r="H153" s="64">
        <f t="shared" si="35"/>
        <v>0</v>
      </c>
      <c r="I153" s="64">
        <f t="shared" si="35"/>
        <v>0</v>
      </c>
      <c r="J153" s="64">
        <f t="shared" si="35"/>
        <v>0</v>
      </c>
      <c r="K153" s="64">
        <f t="shared" si="35"/>
        <v>0</v>
      </c>
      <c r="L153" s="64">
        <f t="shared" si="35"/>
        <v>0</v>
      </c>
      <c r="M153" s="64">
        <f t="shared" si="35"/>
        <v>0</v>
      </c>
      <c r="N153" s="64">
        <f t="shared" si="35"/>
        <v>0</v>
      </c>
      <c r="O153" s="64">
        <f t="shared" si="35"/>
        <v>0</v>
      </c>
      <c r="P153" s="64">
        <f t="shared" si="35"/>
        <v>0</v>
      </c>
      <c r="Q153" s="64">
        <f t="shared" si="35"/>
        <v>0</v>
      </c>
      <c r="R153" s="64">
        <f t="shared" si="35"/>
        <v>0</v>
      </c>
      <c r="S153" s="64">
        <f t="shared" si="35"/>
        <v>0</v>
      </c>
      <c r="T153" s="64">
        <f t="shared" si="35"/>
        <v>0</v>
      </c>
      <c r="U153" s="64">
        <f t="shared" si="35"/>
        <v>0</v>
      </c>
      <c r="V153" s="64">
        <f t="shared" si="35"/>
        <v>0</v>
      </c>
      <c r="W153" s="64">
        <f t="shared" si="35"/>
        <v>0</v>
      </c>
      <c r="X153" s="64">
        <f t="shared" si="35"/>
        <v>0</v>
      </c>
      <c r="Y153" s="64">
        <f t="shared" ref="Y153" si="45">Y116-Y115</f>
        <v>0</v>
      </c>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c r="BZ153" s="58"/>
      <c r="CA153" s="58"/>
    </row>
    <row r="154" spans="4:79">
      <c r="D154" s="56" t="s">
        <v>119</v>
      </c>
      <c r="E154" s="64">
        <f t="shared" ca="1" si="35"/>
        <v>0.11253328373539503</v>
      </c>
      <c r="F154" s="64">
        <f t="shared" ca="1" si="35"/>
        <v>0.1113306420538553</v>
      </c>
      <c r="G154" s="64">
        <f t="shared" ca="1" si="35"/>
        <v>0.11014085298770339</v>
      </c>
      <c r="H154" s="64">
        <f t="shared" ca="1" si="35"/>
        <v>0.1089637791812124</v>
      </c>
      <c r="I154" s="64">
        <f t="shared" ca="1" si="35"/>
        <v>0.10779928474657434</v>
      </c>
      <c r="J154" s="64">
        <f t="shared" ca="1" si="35"/>
        <v>9.5982511723390992E-2</v>
      </c>
      <c r="K154" s="64">
        <f t="shared" ca="1" si="35"/>
        <v>7.5965398334827558E-2</v>
      </c>
      <c r="L154" s="64">
        <f t="shared" ca="1" si="35"/>
        <v>6.0122845720057203E-2</v>
      </c>
      <c r="M154" s="64">
        <f t="shared" ca="1" si="35"/>
        <v>4.7584250944690418E-2</v>
      </c>
      <c r="N154" s="64">
        <f t="shared" ca="1" si="35"/>
        <v>3.7660574958645117E-2</v>
      </c>
      <c r="O154" s="64">
        <f t="shared" ca="1" si="35"/>
        <v>2.9806477522664198E-2</v>
      </c>
      <c r="P154" s="64">
        <f t="shared" ca="1" si="35"/>
        <v>2.3590348880351997E-2</v>
      </c>
      <c r="Q154" s="64">
        <f t="shared" ca="1" si="35"/>
        <v>1.8670591312696067E-2</v>
      </c>
      <c r="R154" s="64">
        <f t="shared" ca="1" si="35"/>
        <v>1.4776847164649491E-2</v>
      </c>
      <c r="S154" s="64">
        <f t="shared" ca="1" si="35"/>
        <v>1.1695141759057597E-2</v>
      </c>
      <c r="T154" s="64">
        <f t="shared" ca="1" si="35"/>
        <v>9.2561247497816423E-3</v>
      </c>
      <c r="U154" s="64">
        <f t="shared" ca="1" si="35"/>
        <v>6.2459157491765553E-5</v>
      </c>
      <c r="V154" s="64">
        <f t="shared" ca="1" si="35"/>
        <v>2.206844904295682E-5</v>
      </c>
      <c r="W154" s="64">
        <f t="shared" ca="1" si="35"/>
        <v>7.4429331226986319E-6</v>
      </c>
      <c r="X154" s="64">
        <f t="shared" ca="1" si="35"/>
        <v>2.4011056294956195E-6</v>
      </c>
      <c r="Y154" s="64">
        <f t="shared" ref="Y154" ca="1" si="46">Y117-Y116</f>
        <v>0.83889045058286371</v>
      </c>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row>
    <row r="155" spans="4:79">
      <c r="D155" s="56" t="s">
        <v>122</v>
      </c>
      <c r="E155" s="64">
        <f t="shared" ca="1" si="35"/>
        <v>2.9150736557757795E-2</v>
      </c>
      <c r="F155" s="64">
        <f t="shared" ca="1" si="35"/>
        <v>2.8839203030358238E-2</v>
      </c>
      <c r="G155" s="64">
        <f t="shared" ca="1" si="35"/>
        <v>2.8530998857553266E-2</v>
      </c>
      <c r="H155" s="64">
        <f t="shared" ca="1" si="35"/>
        <v>2.8226088458575341E-2</v>
      </c>
      <c r="I155" s="64">
        <f t="shared" ca="1" si="35"/>
        <v>2.7924436632908126E-2</v>
      </c>
      <c r="J155" s="64">
        <f t="shared" ca="1" si="35"/>
        <v>2.4863407700600401E-2</v>
      </c>
      <c r="K155" s="64">
        <f t="shared" ca="1" si="35"/>
        <v>1.967815423897723E-2</v>
      </c>
      <c r="L155" s="64">
        <f t="shared" ca="1" si="35"/>
        <v>1.557428325657978E-2</v>
      </c>
      <c r="M155" s="64">
        <f t="shared" ca="1" si="35"/>
        <v>1.2326272881616973E-2</v>
      </c>
      <c r="N155" s="64">
        <f t="shared" ca="1" si="35"/>
        <v>9.7556337360113279E-3</v>
      </c>
      <c r="O155" s="64">
        <f t="shared" ca="1" si="35"/>
        <v>7.721100328156736E-3</v>
      </c>
      <c r="P155" s="64">
        <f t="shared" ca="1" si="35"/>
        <v>6.110868026687144E-3</v>
      </c>
      <c r="Q155" s="64">
        <f t="shared" ca="1" si="35"/>
        <v>4.836449010176519E-3</v>
      </c>
      <c r="R155" s="64">
        <f t="shared" ca="1" si="35"/>
        <v>3.827809556004827E-3</v>
      </c>
      <c r="S155" s="64">
        <f t="shared" ca="1" si="35"/>
        <v>3.0295214456333361E-3</v>
      </c>
      <c r="T155" s="64">
        <f t="shared" ca="1" si="35"/>
        <v>2.3977159927286423E-3</v>
      </c>
      <c r="U155" s="64">
        <f t="shared" ca="1" si="35"/>
        <v>1.6179483840026687E-5</v>
      </c>
      <c r="V155" s="64">
        <f t="shared" ca="1" si="35"/>
        <v>5.716633541079157E-6</v>
      </c>
      <c r="W155" s="64">
        <f t="shared" ca="1" si="35"/>
        <v>1.9280249849187953E-6</v>
      </c>
      <c r="X155" s="64">
        <f t="shared" ca="1" si="35"/>
        <v>6.2198485043195126E-7</v>
      </c>
      <c r="Y155" s="64">
        <f t="shared" ref="Y155" ca="1" si="47">Y118-Y117</f>
        <v>0.21730703765172554</v>
      </c>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c r="BZ155" s="58"/>
      <c r="CA155" s="58"/>
    </row>
    <row r="156" spans="4:79">
      <c r="D156" s="56" t="s">
        <v>125</v>
      </c>
      <c r="E156" s="64">
        <f t="shared" ca="1" si="35"/>
        <v>0</v>
      </c>
      <c r="F156" s="64">
        <f t="shared" ca="1" si="35"/>
        <v>0</v>
      </c>
      <c r="G156" s="64">
        <f t="shared" ca="1" si="35"/>
        <v>0</v>
      </c>
      <c r="H156" s="64">
        <f t="shared" ref="H156:X156" ca="1" si="48">H119-H118</f>
        <v>0</v>
      </c>
      <c r="I156" s="64">
        <f t="shared" ca="1" si="48"/>
        <v>0</v>
      </c>
      <c r="J156" s="64">
        <f t="shared" ca="1" si="48"/>
        <v>0</v>
      </c>
      <c r="K156" s="64">
        <f t="shared" ca="1" si="48"/>
        <v>0</v>
      </c>
      <c r="L156" s="64">
        <f t="shared" ca="1" si="48"/>
        <v>0</v>
      </c>
      <c r="M156" s="64">
        <f t="shared" ca="1" si="48"/>
        <v>0</v>
      </c>
      <c r="N156" s="64">
        <f t="shared" ca="1" si="48"/>
        <v>0</v>
      </c>
      <c r="O156" s="64">
        <f t="shared" ca="1" si="48"/>
        <v>0</v>
      </c>
      <c r="P156" s="64">
        <f t="shared" ca="1" si="48"/>
        <v>0</v>
      </c>
      <c r="Q156" s="64">
        <f t="shared" ca="1" si="48"/>
        <v>0</v>
      </c>
      <c r="R156" s="64">
        <f t="shared" ca="1" si="48"/>
        <v>0</v>
      </c>
      <c r="S156" s="64">
        <f t="shared" ca="1" si="48"/>
        <v>0</v>
      </c>
      <c r="T156" s="64">
        <f t="shared" ca="1" si="48"/>
        <v>0</v>
      </c>
      <c r="U156" s="64">
        <f t="shared" ca="1" si="48"/>
        <v>0</v>
      </c>
      <c r="V156" s="64">
        <f t="shared" ca="1" si="48"/>
        <v>0</v>
      </c>
      <c r="W156" s="64">
        <f t="shared" ca="1" si="48"/>
        <v>0</v>
      </c>
      <c r="X156" s="64">
        <f t="shared" ca="1" si="48"/>
        <v>0</v>
      </c>
      <c r="Y156" s="64">
        <f t="shared" ref="Y156" ca="1" si="49">Y119-Y118</f>
        <v>0</v>
      </c>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row>
    <row r="157" spans="4:79">
      <c r="D157" s="56" t="s">
        <v>128</v>
      </c>
      <c r="E157" s="64">
        <f t="shared" ref="E157:X157" ca="1" si="50">E120-E119</f>
        <v>0</v>
      </c>
      <c r="F157" s="64">
        <f t="shared" ca="1" si="50"/>
        <v>0</v>
      </c>
      <c r="G157" s="64">
        <f t="shared" ca="1" si="50"/>
        <v>0</v>
      </c>
      <c r="H157" s="64">
        <f t="shared" ca="1" si="50"/>
        <v>0</v>
      </c>
      <c r="I157" s="64">
        <f t="shared" ca="1" si="50"/>
        <v>0</v>
      </c>
      <c r="J157" s="64">
        <f t="shared" ca="1" si="50"/>
        <v>0</v>
      </c>
      <c r="K157" s="64">
        <f t="shared" ca="1" si="50"/>
        <v>0</v>
      </c>
      <c r="L157" s="64">
        <f t="shared" ca="1" si="50"/>
        <v>0</v>
      </c>
      <c r="M157" s="64">
        <f t="shared" ca="1" si="50"/>
        <v>0</v>
      </c>
      <c r="N157" s="64">
        <f t="shared" ca="1" si="50"/>
        <v>0</v>
      </c>
      <c r="O157" s="64">
        <f t="shared" ca="1" si="50"/>
        <v>0</v>
      </c>
      <c r="P157" s="64">
        <f t="shared" ca="1" si="50"/>
        <v>0</v>
      </c>
      <c r="Q157" s="64">
        <f t="shared" ca="1" si="50"/>
        <v>0</v>
      </c>
      <c r="R157" s="64">
        <f t="shared" ca="1" si="50"/>
        <v>0</v>
      </c>
      <c r="S157" s="64">
        <f t="shared" ca="1" si="50"/>
        <v>0</v>
      </c>
      <c r="T157" s="64">
        <f t="shared" ca="1" si="50"/>
        <v>0</v>
      </c>
      <c r="U157" s="64">
        <f t="shared" ca="1" si="50"/>
        <v>0</v>
      </c>
      <c r="V157" s="64">
        <f t="shared" ca="1" si="50"/>
        <v>0</v>
      </c>
      <c r="W157" s="64">
        <f t="shared" ca="1" si="50"/>
        <v>0</v>
      </c>
      <c r="X157" s="64">
        <f t="shared" ca="1" si="50"/>
        <v>0</v>
      </c>
      <c r="Y157" s="64">
        <f t="shared" ref="Y157" ca="1" si="51">Y120-Y119</f>
        <v>0</v>
      </c>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c r="BZ157" s="58"/>
      <c r="CA157" s="58"/>
    </row>
    <row r="158" spans="4:79">
      <c r="D158" s="56" t="s">
        <v>131</v>
      </c>
      <c r="E158" s="64">
        <f t="shared" ref="E158:X158" ca="1" si="52">E121-E120</f>
        <v>0</v>
      </c>
      <c r="F158" s="64">
        <f t="shared" ca="1" si="52"/>
        <v>0</v>
      </c>
      <c r="G158" s="64">
        <f t="shared" ca="1" si="52"/>
        <v>0</v>
      </c>
      <c r="H158" s="64">
        <f t="shared" ca="1" si="52"/>
        <v>0</v>
      </c>
      <c r="I158" s="64">
        <f t="shared" ca="1" si="52"/>
        <v>0</v>
      </c>
      <c r="J158" s="64">
        <f t="shared" ca="1" si="52"/>
        <v>0</v>
      </c>
      <c r="K158" s="64">
        <f t="shared" ca="1" si="52"/>
        <v>0</v>
      </c>
      <c r="L158" s="64">
        <f t="shared" ca="1" si="52"/>
        <v>0</v>
      </c>
      <c r="M158" s="64">
        <f t="shared" ca="1" si="52"/>
        <v>0</v>
      </c>
      <c r="N158" s="64">
        <f t="shared" ca="1" si="52"/>
        <v>0</v>
      </c>
      <c r="O158" s="64">
        <f t="shared" ca="1" si="52"/>
        <v>0</v>
      </c>
      <c r="P158" s="64">
        <f t="shared" ca="1" si="52"/>
        <v>0</v>
      </c>
      <c r="Q158" s="64">
        <f t="shared" ca="1" si="52"/>
        <v>0</v>
      </c>
      <c r="R158" s="64">
        <f t="shared" ca="1" si="52"/>
        <v>0</v>
      </c>
      <c r="S158" s="64">
        <f t="shared" ca="1" si="52"/>
        <v>0</v>
      </c>
      <c r="T158" s="64">
        <f t="shared" ca="1" si="52"/>
        <v>0</v>
      </c>
      <c r="U158" s="64">
        <f t="shared" ca="1" si="52"/>
        <v>0</v>
      </c>
      <c r="V158" s="64">
        <f t="shared" ca="1" si="52"/>
        <v>0</v>
      </c>
      <c r="W158" s="64">
        <f t="shared" ca="1" si="52"/>
        <v>0</v>
      </c>
      <c r="X158" s="64">
        <f t="shared" ca="1" si="52"/>
        <v>0</v>
      </c>
      <c r="Y158" s="64">
        <f t="shared" ref="Y158" ca="1" si="53">Y121-Y120</f>
        <v>0</v>
      </c>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c r="BZ158" s="58"/>
      <c r="CA158" s="58"/>
    </row>
    <row r="159" spans="4:79">
      <c r="D159" s="56" t="s">
        <v>134</v>
      </c>
      <c r="E159" s="64">
        <f t="shared" ref="E159:X159" ca="1" si="54">E122-E121</f>
        <v>3.6830535953735755E-4</v>
      </c>
      <c r="F159" s="64">
        <f t="shared" ca="1" si="54"/>
        <v>3.6436928514041456E-4</v>
      </c>
      <c r="G159" s="64">
        <f t="shared" ca="1" si="54"/>
        <v>3.6047527551733016E-4</v>
      </c>
      <c r="H159" s="64">
        <f t="shared" ca="1" si="54"/>
        <v>3.5662288112242591E-4</v>
      </c>
      <c r="I159" s="64">
        <f t="shared" ca="1" si="54"/>
        <v>3.5281165721434693E-4</v>
      </c>
      <c r="J159" s="64">
        <f t="shared" ca="1" si="54"/>
        <v>3.1413704742415394E-4</v>
      </c>
      <c r="K159" s="64">
        <f t="shared" ca="1" si="54"/>
        <v>2.4862389523701289E-4</v>
      </c>
      <c r="L159" s="64">
        <f t="shared" ca="1" si="54"/>
        <v>1.967734840245261E-4</v>
      </c>
      <c r="M159" s="64">
        <f t="shared" ca="1" si="54"/>
        <v>1.5573645476931602E-4</v>
      </c>
      <c r="N159" s="64">
        <f t="shared" ca="1" si="54"/>
        <v>1.2325768110652002E-4</v>
      </c>
      <c r="O159" s="64">
        <f t="shared" ca="1" si="54"/>
        <v>9.7552342348240784E-5</v>
      </c>
      <c r="P159" s="64">
        <f t="shared" ca="1" si="54"/>
        <v>7.7207841427777424E-5</v>
      </c>
      <c r="Q159" s="64">
        <f t="shared" ca="1" si="54"/>
        <v>6.1106177816391827E-5</v>
      </c>
      <c r="R159" s="64">
        <f t="shared" ca="1" si="54"/>
        <v>4.836250953630522E-5</v>
      </c>
      <c r="S159" s="64">
        <f t="shared" ca="1" si="54"/>
        <v>3.8276528040699989E-5</v>
      </c>
      <c r="T159" s="64">
        <f t="shared" ca="1" si="54"/>
        <v>3.0293973842502112E-5</v>
      </c>
      <c r="U159" s="64">
        <f t="shared" ca="1" si="54"/>
        <v>2.0441989865412297E-7</v>
      </c>
      <c r="V159" s="64">
        <f t="shared" ca="1" si="54"/>
        <v>7.2226880700552168E-8</v>
      </c>
      <c r="W159" s="64">
        <f t="shared" ca="1" si="54"/>
        <v>2.4359656705776132E-8</v>
      </c>
      <c r="X159" s="64">
        <f t="shared" ca="1" si="54"/>
        <v>7.8584756687445746E-9</v>
      </c>
      <c r="Y159" s="64">
        <f t="shared" ref="Y159" ca="1" si="55">Y122-Y121</f>
        <v>2.7455685887640691E-3</v>
      </c>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c r="BZ159" s="58"/>
      <c r="CA159" s="58"/>
    </row>
    <row r="160" spans="4:79">
      <c r="D160" s="56" t="s">
        <v>137</v>
      </c>
      <c r="E160" s="64">
        <f t="shared" ref="E160:X160" ca="1" si="56">E123-E122</f>
        <v>0</v>
      </c>
      <c r="F160" s="64">
        <f t="shared" ca="1" si="56"/>
        <v>0</v>
      </c>
      <c r="G160" s="64">
        <f t="shared" ca="1" si="56"/>
        <v>0</v>
      </c>
      <c r="H160" s="64">
        <f t="shared" ca="1" si="56"/>
        <v>0</v>
      </c>
      <c r="I160" s="64">
        <f t="shared" ca="1" si="56"/>
        <v>0</v>
      </c>
      <c r="J160" s="64">
        <f t="shared" ca="1" si="56"/>
        <v>0</v>
      </c>
      <c r="K160" s="64">
        <f t="shared" ca="1" si="56"/>
        <v>0</v>
      </c>
      <c r="L160" s="64">
        <f t="shared" ca="1" si="56"/>
        <v>0</v>
      </c>
      <c r="M160" s="64">
        <f t="shared" ca="1" si="56"/>
        <v>0</v>
      </c>
      <c r="N160" s="64">
        <f t="shared" ca="1" si="56"/>
        <v>0</v>
      </c>
      <c r="O160" s="64">
        <f t="shared" ca="1" si="56"/>
        <v>0</v>
      </c>
      <c r="P160" s="64">
        <f t="shared" ca="1" si="56"/>
        <v>0</v>
      </c>
      <c r="Q160" s="64">
        <f t="shared" ca="1" si="56"/>
        <v>0</v>
      </c>
      <c r="R160" s="64">
        <f t="shared" ca="1" si="56"/>
        <v>0</v>
      </c>
      <c r="S160" s="64">
        <f t="shared" ca="1" si="56"/>
        <v>0</v>
      </c>
      <c r="T160" s="64">
        <f t="shared" ca="1" si="56"/>
        <v>0</v>
      </c>
      <c r="U160" s="64">
        <f t="shared" ca="1" si="56"/>
        <v>0</v>
      </c>
      <c r="V160" s="64">
        <f t="shared" ca="1" si="56"/>
        <v>0</v>
      </c>
      <c r="W160" s="64">
        <f t="shared" ca="1" si="56"/>
        <v>0</v>
      </c>
      <c r="X160" s="64">
        <f t="shared" ca="1" si="56"/>
        <v>0</v>
      </c>
      <c r="Y160" s="64">
        <f t="shared" ref="Y160" ca="1" si="57">Y123-Y122</f>
        <v>0</v>
      </c>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c r="BZ160" s="58"/>
      <c r="CA160" s="58"/>
    </row>
    <row r="161" spans="4:79">
      <c r="D161" s="56" t="s">
        <v>140</v>
      </c>
      <c r="E161" s="64">
        <f t="shared" ref="E161:X161" ca="1" si="58">E124-E123</f>
        <v>8.093221789220878E-2</v>
      </c>
      <c r="F161" s="64">
        <f t="shared" ca="1" si="58"/>
        <v>8.0067296374007224E-2</v>
      </c>
      <c r="G161" s="64">
        <f t="shared" ca="1" si="58"/>
        <v>7.9211618260374678E-2</v>
      </c>
      <c r="H161" s="64">
        <f t="shared" ca="1" si="58"/>
        <v>7.8365084767171578E-2</v>
      </c>
      <c r="I161" s="64">
        <f t="shared" ca="1" si="58"/>
        <v>7.7527598165963024E-2</v>
      </c>
      <c r="J161" s="64">
        <f t="shared" ca="1" si="58"/>
        <v>6.9029155595462979E-2</v>
      </c>
      <c r="K161" s="64">
        <f t="shared" ca="1" si="58"/>
        <v>5.4633153554453306E-2</v>
      </c>
      <c r="L161" s="64">
        <f t="shared" ca="1" si="58"/>
        <v>4.3239431824958471E-2</v>
      </c>
      <c r="M161" s="64">
        <f t="shared" ca="1" si="58"/>
        <v>3.4221866081403103E-2</v>
      </c>
      <c r="N161" s="64">
        <f t="shared" ca="1" si="58"/>
        <v>2.7084909969087273E-2</v>
      </c>
      <c r="O161" s="64">
        <f t="shared" ca="1" si="58"/>
        <v>2.143636312200442E-2</v>
      </c>
      <c r="P161" s="64">
        <f t="shared" ca="1" si="58"/>
        <v>1.6965818399355626E-2</v>
      </c>
      <c r="Q161" s="64">
        <f t="shared" ca="1" si="58"/>
        <v>1.3427603942034693E-2</v>
      </c>
      <c r="R161" s="64">
        <f t="shared" ca="1" si="58"/>
        <v>1.0627282656225621E-2</v>
      </c>
      <c r="S161" s="64">
        <f t="shared" ca="1" si="58"/>
        <v>8.4109672241494664E-3</v>
      </c>
      <c r="T161" s="64">
        <f t="shared" ca="1" si="58"/>
        <v>6.6568634649303658E-3</v>
      </c>
      <c r="U161" s="64">
        <f t="shared" ca="1" si="58"/>
        <v>4.4919671546893826E-5</v>
      </c>
      <c r="V161" s="64">
        <f t="shared" ca="1" si="58"/>
        <v>1.587129129446991E-5</v>
      </c>
      <c r="W161" s="64">
        <f t="shared" ca="1" si="58"/>
        <v>5.3528437565171633E-6</v>
      </c>
      <c r="X161" s="64">
        <f t="shared" ca="1" si="58"/>
        <v>1.7268384742551252E-6</v>
      </c>
      <c r="Y161" s="64">
        <f t="shared" ref="Y161" ca="1" si="59">Y124-Y123</f>
        <v>0.60331719186215427</v>
      </c>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row>
    <row r="162" spans="4:79">
      <c r="D162" s="56" t="s">
        <v>143</v>
      </c>
      <c r="E162" s="64">
        <f t="shared" ref="E162:X162" ca="1" si="60">E125-E124</f>
        <v>0</v>
      </c>
      <c r="F162" s="64">
        <f t="shared" ca="1" si="60"/>
        <v>0</v>
      </c>
      <c r="G162" s="64">
        <f t="shared" ca="1" si="60"/>
        <v>0</v>
      </c>
      <c r="H162" s="64">
        <f t="shared" ca="1" si="60"/>
        <v>0</v>
      </c>
      <c r="I162" s="64">
        <f t="shared" ca="1" si="60"/>
        <v>0</v>
      </c>
      <c r="J162" s="64">
        <f t="shared" ca="1" si="60"/>
        <v>0</v>
      </c>
      <c r="K162" s="64">
        <f t="shared" ca="1" si="60"/>
        <v>0</v>
      </c>
      <c r="L162" s="64">
        <f t="shared" ca="1" si="60"/>
        <v>0</v>
      </c>
      <c r="M162" s="64">
        <f t="shared" ca="1" si="60"/>
        <v>0</v>
      </c>
      <c r="N162" s="64">
        <f t="shared" ca="1" si="60"/>
        <v>0</v>
      </c>
      <c r="O162" s="64">
        <f t="shared" ca="1" si="60"/>
        <v>0</v>
      </c>
      <c r="P162" s="64">
        <f t="shared" ca="1" si="60"/>
        <v>0</v>
      </c>
      <c r="Q162" s="64">
        <f t="shared" ca="1" si="60"/>
        <v>0</v>
      </c>
      <c r="R162" s="64">
        <f t="shared" ca="1" si="60"/>
        <v>0</v>
      </c>
      <c r="S162" s="64">
        <f t="shared" ca="1" si="60"/>
        <v>0</v>
      </c>
      <c r="T162" s="64">
        <f t="shared" ca="1" si="60"/>
        <v>0</v>
      </c>
      <c r="U162" s="64">
        <f t="shared" ca="1" si="60"/>
        <v>0</v>
      </c>
      <c r="V162" s="64">
        <f t="shared" ca="1" si="60"/>
        <v>0</v>
      </c>
      <c r="W162" s="64">
        <f t="shared" ca="1" si="60"/>
        <v>0</v>
      </c>
      <c r="X162" s="64">
        <f t="shared" ca="1" si="60"/>
        <v>0</v>
      </c>
      <c r="Y162" s="64">
        <f t="shared" ref="Y162" ca="1" si="61">Y125-Y124</f>
        <v>0</v>
      </c>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row>
    <row r="163" spans="4:79">
      <c r="D163" s="56" t="s">
        <v>146</v>
      </c>
      <c r="E163" s="64">
        <f t="shared" ref="E163:X163" ca="1" si="62">E126-E125</f>
        <v>0</v>
      </c>
      <c r="F163" s="64">
        <f t="shared" ca="1" si="62"/>
        <v>0</v>
      </c>
      <c r="G163" s="64">
        <f t="shared" ca="1" si="62"/>
        <v>0</v>
      </c>
      <c r="H163" s="64">
        <f t="shared" ca="1" si="62"/>
        <v>0</v>
      </c>
      <c r="I163" s="64">
        <f t="shared" ca="1" si="62"/>
        <v>0</v>
      </c>
      <c r="J163" s="64">
        <f t="shared" ca="1" si="62"/>
        <v>0</v>
      </c>
      <c r="K163" s="64">
        <f t="shared" ca="1" si="62"/>
        <v>0</v>
      </c>
      <c r="L163" s="64">
        <f t="shared" ca="1" si="62"/>
        <v>0</v>
      </c>
      <c r="M163" s="64">
        <f t="shared" ca="1" si="62"/>
        <v>0</v>
      </c>
      <c r="N163" s="64">
        <f t="shared" ca="1" si="62"/>
        <v>0</v>
      </c>
      <c r="O163" s="64">
        <f t="shared" ca="1" si="62"/>
        <v>0</v>
      </c>
      <c r="P163" s="64">
        <f t="shared" ca="1" si="62"/>
        <v>0</v>
      </c>
      <c r="Q163" s="64">
        <f t="shared" ca="1" si="62"/>
        <v>0</v>
      </c>
      <c r="R163" s="64">
        <f t="shared" ca="1" si="62"/>
        <v>0</v>
      </c>
      <c r="S163" s="64">
        <f t="shared" ca="1" si="62"/>
        <v>0</v>
      </c>
      <c r="T163" s="64">
        <f t="shared" ca="1" si="62"/>
        <v>0</v>
      </c>
      <c r="U163" s="64">
        <f t="shared" ca="1" si="62"/>
        <v>0</v>
      </c>
      <c r="V163" s="64">
        <f t="shared" ca="1" si="62"/>
        <v>0</v>
      </c>
      <c r="W163" s="64">
        <f t="shared" ca="1" si="62"/>
        <v>0</v>
      </c>
      <c r="X163" s="64">
        <f t="shared" ca="1" si="62"/>
        <v>0</v>
      </c>
      <c r="Y163" s="64">
        <f t="shared" ref="Y163:Y173" ca="1" si="63">Y126-Y125</f>
        <v>0</v>
      </c>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row>
    <row r="164" spans="4:79">
      <c r="D164" s="27" t="s">
        <v>5820</v>
      </c>
      <c r="E164" s="64">
        <f t="shared" ref="E164:X164" ca="1" si="64">E127-E126</f>
        <v>0</v>
      </c>
      <c r="F164" s="64">
        <f t="shared" ca="1" si="64"/>
        <v>0</v>
      </c>
      <c r="G164" s="64">
        <f t="shared" ca="1" si="64"/>
        <v>0</v>
      </c>
      <c r="H164" s="64">
        <f t="shared" ca="1" si="64"/>
        <v>0</v>
      </c>
      <c r="I164" s="64">
        <f t="shared" ca="1" si="64"/>
        <v>0</v>
      </c>
      <c r="J164" s="64">
        <f t="shared" ca="1" si="64"/>
        <v>0</v>
      </c>
      <c r="K164" s="64">
        <f t="shared" ca="1" si="64"/>
        <v>0</v>
      </c>
      <c r="L164" s="64">
        <f t="shared" ca="1" si="64"/>
        <v>0</v>
      </c>
      <c r="M164" s="64">
        <f t="shared" ca="1" si="64"/>
        <v>0</v>
      </c>
      <c r="N164" s="64">
        <f t="shared" ca="1" si="64"/>
        <v>0</v>
      </c>
      <c r="O164" s="64">
        <f t="shared" ca="1" si="64"/>
        <v>0</v>
      </c>
      <c r="P164" s="64">
        <f t="shared" ca="1" si="64"/>
        <v>0</v>
      </c>
      <c r="Q164" s="64">
        <f t="shared" ca="1" si="64"/>
        <v>0</v>
      </c>
      <c r="R164" s="64">
        <f t="shared" ca="1" si="64"/>
        <v>0</v>
      </c>
      <c r="S164" s="64">
        <f t="shared" ca="1" si="64"/>
        <v>0</v>
      </c>
      <c r="T164" s="64">
        <f t="shared" ca="1" si="64"/>
        <v>0</v>
      </c>
      <c r="U164" s="64">
        <f t="shared" ca="1" si="64"/>
        <v>0</v>
      </c>
      <c r="V164" s="64">
        <f t="shared" ca="1" si="64"/>
        <v>0</v>
      </c>
      <c r="W164" s="64">
        <f t="shared" ca="1" si="64"/>
        <v>0</v>
      </c>
      <c r="X164" s="64">
        <f t="shared" ca="1" si="64"/>
        <v>0</v>
      </c>
      <c r="Y164" s="64">
        <f t="shared" ca="1" si="63"/>
        <v>0</v>
      </c>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row>
    <row r="165" spans="4:79">
      <c r="D165" s="27" t="s">
        <v>5822</v>
      </c>
      <c r="E165" s="64">
        <f t="shared" ref="E165:X165" ca="1" si="65">E128-E127</f>
        <v>0</v>
      </c>
      <c r="F165" s="64">
        <f t="shared" ca="1" si="65"/>
        <v>0</v>
      </c>
      <c r="G165" s="64">
        <f t="shared" ca="1" si="65"/>
        <v>0</v>
      </c>
      <c r="H165" s="64">
        <f t="shared" ca="1" si="65"/>
        <v>0</v>
      </c>
      <c r="I165" s="64">
        <f t="shared" ca="1" si="65"/>
        <v>0</v>
      </c>
      <c r="J165" s="64">
        <f t="shared" ca="1" si="65"/>
        <v>0</v>
      </c>
      <c r="K165" s="64">
        <f t="shared" ca="1" si="65"/>
        <v>0</v>
      </c>
      <c r="L165" s="64">
        <f t="shared" ca="1" si="65"/>
        <v>0</v>
      </c>
      <c r="M165" s="64">
        <f t="shared" ca="1" si="65"/>
        <v>0</v>
      </c>
      <c r="N165" s="64">
        <f t="shared" ca="1" si="65"/>
        <v>0</v>
      </c>
      <c r="O165" s="64">
        <f t="shared" ca="1" si="65"/>
        <v>0</v>
      </c>
      <c r="P165" s="64">
        <f t="shared" ca="1" si="65"/>
        <v>0</v>
      </c>
      <c r="Q165" s="64">
        <f t="shared" ca="1" si="65"/>
        <v>0</v>
      </c>
      <c r="R165" s="64">
        <f t="shared" ca="1" si="65"/>
        <v>0</v>
      </c>
      <c r="S165" s="64">
        <f t="shared" ca="1" si="65"/>
        <v>0</v>
      </c>
      <c r="T165" s="64">
        <f t="shared" ca="1" si="65"/>
        <v>0</v>
      </c>
      <c r="U165" s="64">
        <f t="shared" ca="1" si="65"/>
        <v>0</v>
      </c>
      <c r="V165" s="64">
        <f t="shared" ca="1" si="65"/>
        <v>0</v>
      </c>
      <c r="W165" s="64">
        <f t="shared" ca="1" si="65"/>
        <v>0</v>
      </c>
      <c r="X165" s="64">
        <f t="shared" ca="1" si="65"/>
        <v>0</v>
      </c>
      <c r="Y165" s="64">
        <f t="shared" ca="1" si="63"/>
        <v>0</v>
      </c>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row>
    <row r="166" spans="4:79">
      <c r="D166" s="27" t="s">
        <v>5825</v>
      </c>
      <c r="E166" s="64">
        <f t="shared" ref="E166:X166" ca="1" si="66">E129-E128</f>
        <v>0</v>
      </c>
      <c r="F166" s="64">
        <f t="shared" ca="1" si="66"/>
        <v>0</v>
      </c>
      <c r="G166" s="64">
        <f t="shared" ca="1" si="66"/>
        <v>0</v>
      </c>
      <c r="H166" s="64">
        <f t="shared" ca="1" si="66"/>
        <v>0</v>
      </c>
      <c r="I166" s="64">
        <f t="shared" ca="1" si="66"/>
        <v>0</v>
      </c>
      <c r="J166" s="64">
        <f t="shared" ca="1" si="66"/>
        <v>0</v>
      </c>
      <c r="K166" s="64">
        <f t="shared" ca="1" si="66"/>
        <v>0</v>
      </c>
      <c r="L166" s="64">
        <f t="shared" ca="1" si="66"/>
        <v>0</v>
      </c>
      <c r="M166" s="64">
        <f t="shared" ca="1" si="66"/>
        <v>0</v>
      </c>
      <c r="N166" s="64">
        <f t="shared" ca="1" si="66"/>
        <v>0</v>
      </c>
      <c r="O166" s="64">
        <f t="shared" ca="1" si="66"/>
        <v>0</v>
      </c>
      <c r="P166" s="64">
        <f t="shared" ca="1" si="66"/>
        <v>0</v>
      </c>
      <c r="Q166" s="64">
        <f t="shared" ca="1" si="66"/>
        <v>0</v>
      </c>
      <c r="R166" s="64">
        <f t="shared" ca="1" si="66"/>
        <v>0</v>
      </c>
      <c r="S166" s="64">
        <f t="shared" ca="1" si="66"/>
        <v>0</v>
      </c>
      <c r="T166" s="64">
        <f t="shared" ca="1" si="66"/>
        <v>0</v>
      </c>
      <c r="U166" s="64">
        <f t="shared" ca="1" si="66"/>
        <v>0</v>
      </c>
      <c r="V166" s="64">
        <f t="shared" ca="1" si="66"/>
        <v>0</v>
      </c>
      <c r="W166" s="64">
        <f t="shared" ca="1" si="66"/>
        <v>0</v>
      </c>
      <c r="X166" s="64">
        <f t="shared" ca="1" si="66"/>
        <v>0</v>
      </c>
      <c r="Y166" s="64">
        <f t="shared" ca="1" si="63"/>
        <v>0</v>
      </c>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row>
    <row r="167" spans="4:79">
      <c r="D167" s="27" t="s">
        <v>5828</v>
      </c>
      <c r="E167" s="64">
        <f t="shared" ref="E167:X167" ca="1" si="67">E130-E129</f>
        <v>0</v>
      </c>
      <c r="F167" s="64">
        <f t="shared" ca="1" si="67"/>
        <v>0</v>
      </c>
      <c r="G167" s="64">
        <f t="shared" ca="1" si="67"/>
        <v>0</v>
      </c>
      <c r="H167" s="64">
        <f t="shared" ca="1" si="67"/>
        <v>0</v>
      </c>
      <c r="I167" s="64">
        <f t="shared" ca="1" si="67"/>
        <v>0</v>
      </c>
      <c r="J167" s="64">
        <f t="shared" ca="1" si="67"/>
        <v>0</v>
      </c>
      <c r="K167" s="64">
        <f t="shared" ca="1" si="67"/>
        <v>0</v>
      </c>
      <c r="L167" s="64">
        <f t="shared" ca="1" si="67"/>
        <v>0</v>
      </c>
      <c r="M167" s="64">
        <f t="shared" ca="1" si="67"/>
        <v>0</v>
      </c>
      <c r="N167" s="64">
        <f t="shared" ca="1" si="67"/>
        <v>0</v>
      </c>
      <c r="O167" s="64">
        <f t="shared" ca="1" si="67"/>
        <v>0</v>
      </c>
      <c r="P167" s="64">
        <f t="shared" ca="1" si="67"/>
        <v>0</v>
      </c>
      <c r="Q167" s="64">
        <f t="shared" ca="1" si="67"/>
        <v>0</v>
      </c>
      <c r="R167" s="64">
        <f t="shared" ca="1" si="67"/>
        <v>0</v>
      </c>
      <c r="S167" s="64">
        <f t="shared" ca="1" si="67"/>
        <v>0</v>
      </c>
      <c r="T167" s="64">
        <f t="shared" ca="1" si="67"/>
        <v>0</v>
      </c>
      <c r="U167" s="64">
        <f t="shared" ca="1" si="67"/>
        <v>0</v>
      </c>
      <c r="V167" s="64">
        <f t="shared" ca="1" si="67"/>
        <v>0</v>
      </c>
      <c r="W167" s="64">
        <f t="shared" ca="1" si="67"/>
        <v>0</v>
      </c>
      <c r="X167" s="64">
        <f t="shared" ca="1" si="67"/>
        <v>0</v>
      </c>
      <c r="Y167" s="64">
        <f t="shared" ca="1" si="63"/>
        <v>0</v>
      </c>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row>
    <row r="168" spans="4:79">
      <c r="D168" s="27" t="s">
        <v>5831</v>
      </c>
      <c r="E168" s="64">
        <f t="shared" ref="E168:X168" ca="1" si="68">E131-E130</f>
        <v>0</v>
      </c>
      <c r="F168" s="64">
        <f t="shared" ca="1" si="68"/>
        <v>0</v>
      </c>
      <c r="G168" s="64">
        <f t="shared" ca="1" si="68"/>
        <v>0</v>
      </c>
      <c r="H168" s="64">
        <f t="shared" ca="1" si="68"/>
        <v>0</v>
      </c>
      <c r="I168" s="64">
        <f t="shared" ca="1" si="68"/>
        <v>0</v>
      </c>
      <c r="J168" s="64">
        <f t="shared" ca="1" si="68"/>
        <v>0</v>
      </c>
      <c r="K168" s="64">
        <f t="shared" ca="1" si="68"/>
        <v>0</v>
      </c>
      <c r="L168" s="64">
        <f t="shared" ca="1" si="68"/>
        <v>0</v>
      </c>
      <c r="M168" s="64">
        <f t="shared" ca="1" si="68"/>
        <v>0</v>
      </c>
      <c r="N168" s="64">
        <f t="shared" ca="1" si="68"/>
        <v>0</v>
      </c>
      <c r="O168" s="64">
        <f t="shared" ca="1" si="68"/>
        <v>0</v>
      </c>
      <c r="P168" s="64">
        <f t="shared" ca="1" si="68"/>
        <v>0</v>
      </c>
      <c r="Q168" s="64">
        <f t="shared" ca="1" si="68"/>
        <v>0</v>
      </c>
      <c r="R168" s="64">
        <f t="shared" ca="1" si="68"/>
        <v>0</v>
      </c>
      <c r="S168" s="64">
        <f t="shared" ca="1" si="68"/>
        <v>0</v>
      </c>
      <c r="T168" s="64">
        <f t="shared" ca="1" si="68"/>
        <v>0</v>
      </c>
      <c r="U168" s="64">
        <f t="shared" ca="1" si="68"/>
        <v>0</v>
      </c>
      <c r="V168" s="64">
        <f t="shared" ca="1" si="68"/>
        <v>0</v>
      </c>
      <c r="W168" s="64">
        <f t="shared" ca="1" si="68"/>
        <v>0</v>
      </c>
      <c r="X168" s="64">
        <f t="shared" ca="1" si="68"/>
        <v>0</v>
      </c>
      <c r="Y168" s="64">
        <f t="shared" ca="1" si="63"/>
        <v>0</v>
      </c>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row>
    <row r="169" spans="4:79">
      <c r="D169" s="27" t="s">
        <v>5834</v>
      </c>
      <c r="E169" s="64">
        <f t="shared" ref="E169:X169" ca="1" si="69">E132-E131</f>
        <v>3.5986857948644424E-3</v>
      </c>
      <c r="F169" s="64">
        <f t="shared" ca="1" si="69"/>
        <v>3.5602266884382505E-3</v>
      </c>
      <c r="G169" s="64">
        <f t="shared" ca="1" si="69"/>
        <v>3.5221785939623662E-3</v>
      </c>
      <c r="H169" s="64">
        <f t="shared" ca="1" si="69"/>
        <v>3.4845371189576313E-3</v>
      </c>
      <c r="I169" s="64">
        <f t="shared" ca="1" si="69"/>
        <v>3.447297917887282E-3</v>
      </c>
      <c r="J169" s="64">
        <f t="shared" ca="1" si="69"/>
        <v>3.0694110224896709E-3</v>
      </c>
      <c r="K169" s="64">
        <f t="shared" ca="1" si="69"/>
        <v>2.4292866147189451E-3</v>
      </c>
      <c r="L169" s="64">
        <f t="shared" ca="1" si="69"/>
        <v>1.9226598892141261E-3</v>
      </c>
      <c r="M169" s="64">
        <f t="shared" ca="1" si="69"/>
        <v>1.5216899591819488E-3</v>
      </c>
      <c r="N169" s="64">
        <f t="shared" ca="1" si="69"/>
        <v>1.2043421433322737E-3</v>
      </c>
      <c r="O169" s="64">
        <f t="shared" ca="1" si="69"/>
        <v>9.5317708410583291E-4</v>
      </c>
      <c r="P169" s="64">
        <f t="shared" ca="1" si="69"/>
        <v>7.5439239479793002E-4</v>
      </c>
      <c r="Q169" s="64">
        <f t="shared" ca="1" si="69"/>
        <v>5.9706417078084217E-4</v>
      </c>
      <c r="R169" s="64">
        <f t="shared" ca="1" si="69"/>
        <v>4.7254668324924615E-4</v>
      </c>
      <c r="S169" s="64">
        <f t="shared" ca="1" si="69"/>
        <v>3.7399726658832871E-4</v>
      </c>
      <c r="T169" s="64">
        <f t="shared" ca="1" si="69"/>
        <v>2.9600029028616776E-4</v>
      </c>
      <c r="U169" s="64">
        <f t="shared" ca="1" si="69"/>
        <v>1.997372469405011E-6</v>
      </c>
      <c r="V169" s="64">
        <f t="shared" ca="1" si="69"/>
        <v>7.0572377744096285E-7</v>
      </c>
      <c r="W169" s="64">
        <f t="shared" ca="1" si="69"/>
        <v>2.3801649442454816E-7</v>
      </c>
      <c r="X169" s="64">
        <f t="shared" ca="1" si="69"/>
        <v>7.678461370728758E-8</v>
      </c>
      <c r="Y169" s="64">
        <f t="shared" ca="1" si="63"/>
        <v>2.6826757806681201E-2</v>
      </c>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row>
    <row r="170" spans="4:79">
      <c r="D170" s="27" t="s">
        <v>5837</v>
      </c>
      <c r="E170" s="64">
        <f t="shared" ref="E170:X170" ca="1" si="70">E133-E132</f>
        <v>0</v>
      </c>
      <c r="F170" s="64">
        <f t="shared" ca="1" si="70"/>
        <v>0</v>
      </c>
      <c r="G170" s="64">
        <f t="shared" ca="1" si="70"/>
        <v>0</v>
      </c>
      <c r="H170" s="64">
        <f t="shared" ca="1" si="70"/>
        <v>0</v>
      </c>
      <c r="I170" s="64">
        <f t="shared" ca="1" si="70"/>
        <v>0</v>
      </c>
      <c r="J170" s="64">
        <f t="shared" ca="1" si="70"/>
        <v>0</v>
      </c>
      <c r="K170" s="64">
        <f t="shared" ca="1" si="70"/>
        <v>0</v>
      </c>
      <c r="L170" s="64">
        <f t="shared" ca="1" si="70"/>
        <v>0</v>
      </c>
      <c r="M170" s="64">
        <f t="shared" ca="1" si="70"/>
        <v>0</v>
      </c>
      <c r="N170" s="64">
        <f t="shared" ca="1" si="70"/>
        <v>0</v>
      </c>
      <c r="O170" s="64">
        <f t="shared" ca="1" si="70"/>
        <v>0</v>
      </c>
      <c r="P170" s="64">
        <f t="shared" ca="1" si="70"/>
        <v>0</v>
      </c>
      <c r="Q170" s="64">
        <f t="shared" ca="1" si="70"/>
        <v>0</v>
      </c>
      <c r="R170" s="64">
        <f t="shared" ca="1" si="70"/>
        <v>0</v>
      </c>
      <c r="S170" s="64">
        <f t="shared" ca="1" si="70"/>
        <v>0</v>
      </c>
      <c r="T170" s="64">
        <f t="shared" ca="1" si="70"/>
        <v>0</v>
      </c>
      <c r="U170" s="64">
        <f t="shared" ca="1" si="70"/>
        <v>0</v>
      </c>
      <c r="V170" s="64">
        <f t="shared" ca="1" si="70"/>
        <v>0</v>
      </c>
      <c r="W170" s="64">
        <f t="shared" ca="1" si="70"/>
        <v>0</v>
      </c>
      <c r="X170" s="64">
        <f t="shared" ca="1" si="70"/>
        <v>0</v>
      </c>
      <c r="Y170" s="64">
        <f t="shared" ca="1" si="63"/>
        <v>0</v>
      </c>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row>
    <row r="171" spans="4:79">
      <c r="D171" s="27" t="s">
        <v>5840</v>
      </c>
      <c r="E171" s="64">
        <f t="shared" ref="E171:X171" ca="1" si="71">E134-E133</f>
        <v>0</v>
      </c>
      <c r="F171" s="64">
        <f t="shared" ca="1" si="71"/>
        <v>0</v>
      </c>
      <c r="G171" s="64">
        <f t="shared" ca="1" si="71"/>
        <v>0</v>
      </c>
      <c r="H171" s="64">
        <f t="shared" ca="1" si="71"/>
        <v>0</v>
      </c>
      <c r="I171" s="64">
        <f t="shared" ca="1" si="71"/>
        <v>0</v>
      </c>
      <c r="J171" s="64">
        <f t="shared" ca="1" si="71"/>
        <v>0</v>
      </c>
      <c r="K171" s="64">
        <f t="shared" ca="1" si="71"/>
        <v>0</v>
      </c>
      <c r="L171" s="64">
        <f t="shared" ca="1" si="71"/>
        <v>0</v>
      </c>
      <c r="M171" s="64">
        <f t="shared" ca="1" si="71"/>
        <v>0</v>
      </c>
      <c r="N171" s="64">
        <f t="shared" ca="1" si="71"/>
        <v>0</v>
      </c>
      <c r="O171" s="64">
        <f t="shared" ca="1" si="71"/>
        <v>0</v>
      </c>
      <c r="P171" s="64">
        <f t="shared" ca="1" si="71"/>
        <v>0</v>
      </c>
      <c r="Q171" s="64">
        <f t="shared" ca="1" si="71"/>
        <v>0</v>
      </c>
      <c r="R171" s="64">
        <f t="shared" ca="1" si="71"/>
        <v>0</v>
      </c>
      <c r="S171" s="64">
        <f t="shared" ca="1" si="71"/>
        <v>0</v>
      </c>
      <c r="T171" s="64">
        <f t="shared" ca="1" si="71"/>
        <v>0</v>
      </c>
      <c r="U171" s="64">
        <f t="shared" ca="1" si="71"/>
        <v>0</v>
      </c>
      <c r="V171" s="64">
        <f t="shared" ca="1" si="71"/>
        <v>0</v>
      </c>
      <c r="W171" s="64">
        <f t="shared" ca="1" si="71"/>
        <v>0</v>
      </c>
      <c r="X171" s="64">
        <f t="shared" ca="1" si="71"/>
        <v>0</v>
      </c>
      <c r="Y171" s="64">
        <f t="shared" ca="1" si="63"/>
        <v>0</v>
      </c>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row>
    <row r="172" spans="4:79">
      <c r="D172" s="27" t="s">
        <v>5843</v>
      </c>
      <c r="E172" s="64">
        <f t="shared" ref="E172:X172" ca="1" si="72">E135-E134</f>
        <v>0.16248694913706027</v>
      </c>
      <c r="F172" s="64">
        <f t="shared" ca="1" si="72"/>
        <v>0.16075045330887541</v>
      </c>
      <c r="G172" s="64">
        <f t="shared" ca="1" si="72"/>
        <v>0.15903251538812463</v>
      </c>
      <c r="H172" s="64">
        <f t="shared" ca="1" si="72"/>
        <v>0.15733293704670176</v>
      </c>
      <c r="I172" s="64">
        <f t="shared" ca="1" si="72"/>
        <v>0.15565152207603103</v>
      </c>
      <c r="J172" s="64">
        <f t="shared" ca="1" si="72"/>
        <v>0.13858926872797334</v>
      </c>
      <c r="K172" s="64">
        <f t="shared" ca="1" si="72"/>
        <v>0.10968653366972966</v>
      </c>
      <c r="L172" s="64">
        <f t="shared" ca="1" si="72"/>
        <v>8.6811452134117104E-2</v>
      </c>
      <c r="M172" s="64">
        <f t="shared" ca="1" si="72"/>
        <v>6.8706959455259717E-2</v>
      </c>
      <c r="N172" s="64">
        <f t="shared" ca="1" si="72"/>
        <v>5.4378151286925414E-2</v>
      </c>
      <c r="O172" s="64">
        <f t="shared" ca="1" si="72"/>
        <v>4.3037610175564005E-2</v>
      </c>
      <c r="P172" s="64">
        <f t="shared" ca="1" si="72"/>
        <v>3.4062134254077864E-2</v>
      </c>
      <c r="Q172" s="64">
        <f t="shared" ca="1" si="72"/>
        <v>2.6958490148730002E-2</v>
      </c>
      <c r="R172" s="64">
        <f t="shared" ca="1" si="72"/>
        <v>2.1336308103247121E-2</v>
      </c>
      <c r="S172" s="64">
        <f t="shared" ca="1" si="72"/>
        <v>1.688662981365573E-2</v>
      </c>
      <c r="T172" s="64">
        <f t="shared" ca="1" si="72"/>
        <v>1.3364930103350416E-2</v>
      </c>
      <c r="U172" s="64">
        <f t="shared" ca="1" si="72"/>
        <v>9.0184855623439439E-5</v>
      </c>
      <c r="V172" s="64">
        <f t="shared" ca="1" si="72"/>
        <v>3.1864661175339737E-5</v>
      </c>
      <c r="W172" s="64">
        <f t="shared" ca="1" si="72"/>
        <v>1.0746860445147473E-5</v>
      </c>
      <c r="X172" s="64">
        <f t="shared" ca="1" si="72"/>
        <v>3.4669594216226608E-6</v>
      </c>
      <c r="Y172" s="64">
        <f t="shared" ca="1" si="63"/>
        <v>1.211274970842696</v>
      </c>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row>
    <row r="173" spans="4:79">
      <c r="D173" s="27" t="s">
        <v>5846</v>
      </c>
      <c r="E173" s="64">
        <f t="shared" ref="E173:X173" ca="1" si="73">E136-E135</f>
        <v>0</v>
      </c>
      <c r="F173" s="64">
        <f t="shared" ca="1" si="73"/>
        <v>0</v>
      </c>
      <c r="G173" s="64">
        <f t="shared" ca="1" si="73"/>
        <v>0</v>
      </c>
      <c r="H173" s="64">
        <f t="shared" ca="1" si="73"/>
        <v>0</v>
      </c>
      <c r="I173" s="64">
        <f t="shared" ca="1" si="73"/>
        <v>0</v>
      </c>
      <c r="J173" s="64">
        <f t="shared" ca="1" si="73"/>
        <v>0</v>
      </c>
      <c r="K173" s="64">
        <f t="shared" ca="1" si="73"/>
        <v>0</v>
      </c>
      <c r="L173" s="64">
        <f t="shared" ca="1" si="73"/>
        <v>0</v>
      </c>
      <c r="M173" s="64">
        <f t="shared" ca="1" si="73"/>
        <v>0</v>
      </c>
      <c r="N173" s="64">
        <f t="shared" ca="1" si="73"/>
        <v>0</v>
      </c>
      <c r="O173" s="64">
        <f t="shared" ca="1" si="73"/>
        <v>0</v>
      </c>
      <c r="P173" s="64">
        <f t="shared" ca="1" si="73"/>
        <v>0</v>
      </c>
      <c r="Q173" s="64">
        <f t="shared" ca="1" si="73"/>
        <v>0</v>
      </c>
      <c r="R173" s="64">
        <f t="shared" ca="1" si="73"/>
        <v>0</v>
      </c>
      <c r="S173" s="64">
        <f t="shared" ca="1" si="73"/>
        <v>0</v>
      </c>
      <c r="T173" s="64">
        <f t="shared" ca="1" si="73"/>
        <v>0</v>
      </c>
      <c r="U173" s="64">
        <f t="shared" ca="1" si="73"/>
        <v>0</v>
      </c>
      <c r="V173" s="64">
        <f t="shared" ca="1" si="73"/>
        <v>0</v>
      </c>
      <c r="W173" s="64">
        <f t="shared" ca="1" si="73"/>
        <v>0</v>
      </c>
      <c r="X173" s="64">
        <f t="shared" ca="1" si="73"/>
        <v>0</v>
      </c>
      <c r="Y173" s="64">
        <f t="shared" ca="1" si="63"/>
        <v>0</v>
      </c>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row>
    <row r="174" spans="4:79">
      <c r="D174" s="27" t="s">
        <v>5849</v>
      </c>
      <c r="E174" s="64">
        <f t="shared" ref="E174:Y174" ca="1" si="74">E137-E136</f>
        <v>0.31536631383848912</v>
      </c>
      <c r="F174" s="64">
        <f t="shared" ca="1" si="74"/>
        <v>0.31199599830706348</v>
      </c>
      <c r="G174" s="64">
        <f t="shared" ca="1" si="74"/>
        <v>0.30866170129214732</v>
      </c>
      <c r="H174" s="64">
        <f t="shared" ca="1" si="74"/>
        <v>0.30536303786434077</v>
      </c>
      <c r="I174" s="64">
        <f t="shared" ca="1" si="74"/>
        <v>0.30209962720798111</v>
      </c>
      <c r="J174" s="64">
        <f t="shared" ca="1" si="74"/>
        <v>0.26898398331945828</v>
      </c>
      <c r="K174" s="64">
        <f t="shared" ca="1" si="74"/>
        <v>0.21288748410166503</v>
      </c>
      <c r="L174" s="64">
        <f t="shared" ca="1" si="74"/>
        <v>0.16848988675028687</v>
      </c>
      <c r="M174" s="64">
        <f t="shared" ca="1" si="74"/>
        <v>0.13335139008720387</v>
      </c>
      <c r="N174" s="64">
        <f t="shared" ca="1" si="74"/>
        <v>0.10554101246767747</v>
      </c>
      <c r="O174" s="64">
        <f t="shared" ca="1" si="74"/>
        <v>8.3530477675697837E-2</v>
      </c>
      <c r="P174" s="64">
        <f t="shared" ca="1" si="74"/>
        <v>6.6110230872260242E-2</v>
      </c>
      <c r="Q174" s="64">
        <f t="shared" ca="1" si="74"/>
        <v>5.2322969383127499E-2</v>
      </c>
      <c r="R174" s="64">
        <f t="shared" ca="1" si="74"/>
        <v>4.1411035613497238E-2</v>
      </c>
      <c r="S174" s="64">
        <f t="shared" ca="1" si="74"/>
        <v>3.2774781148703955E-2</v>
      </c>
      <c r="T174" s="64">
        <f t="shared" ca="1" si="74"/>
        <v>2.5939614004613899E-2</v>
      </c>
      <c r="U174" s="64">
        <f t="shared" ca="1" si="74"/>
        <v>1.7503722996257235E-4</v>
      </c>
      <c r="V174" s="64">
        <f t="shared" ca="1" si="74"/>
        <v>6.1845217661775283E-5</v>
      </c>
      <c r="W174" s="64">
        <f t="shared" ca="1" si="74"/>
        <v>2.0858276814982712E-5</v>
      </c>
      <c r="X174" s="64">
        <f t="shared" ca="1" si="74"/>
        <v>6.7289232694158734E-6</v>
      </c>
      <c r="Y174" s="64">
        <f t="shared" ca="1" si="74"/>
        <v>2.3509292569538291</v>
      </c>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row>
    <row r="175" spans="4:79">
      <c r="E175" s="64"/>
      <c r="F175" s="64"/>
      <c r="G175" s="64"/>
      <c r="H175" s="64"/>
      <c r="I175" s="64"/>
      <c r="J175" s="64"/>
      <c r="K175" s="64"/>
      <c r="L175" s="64"/>
      <c r="M175" s="64"/>
      <c r="N175" s="64"/>
      <c r="O175" s="64"/>
      <c r="P175" s="64"/>
      <c r="Q175" s="64"/>
      <c r="R175" s="64"/>
      <c r="S175" s="64"/>
      <c r="T175" s="64"/>
      <c r="U175" s="64"/>
      <c r="V175" s="64"/>
      <c r="W175" s="64"/>
      <c r="X175" s="64"/>
      <c r="Y175" s="64"/>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c r="BZ175" s="58"/>
      <c r="CA175" s="58"/>
    </row>
    <row r="176" spans="4:79" ht="15">
      <c r="D176" s="81" t="s">
        <v>6038</v>
      </c>
      <c r="E176" s="82">
        <f ca="1">SUM(E143:E174)</f>
        <v>0.7044364923153128</v>
      </c>
      <c r="F176" s="82">
        <f t="shared" ref="F176:Y176" ca="1" si="75">SUM(F143:F174)</f>
        <v>0.69690818904773832</v>
      </c>
      <c r="G176" s="82">
        <f t="shared" ca="1" si="75"/>
        <v>0.68946034065538297</v>
      </c>
      <c r="H176" s="82">
        <f t="shared" ca="1" si="75"/>
        <v>0.68209208731808191</v>
      </c>
      <c r="I176" s="82">
        <f t="shared" ca="1" si="75"/>
        <v>0.67480257840455926</v>
      </c>
      <c r="J176" s="82">
        <f t="shared" ca="1" si="75"/>
        <v>0.60083187513679981</v>
      </c>
      <c r="K176" s="82">
        <f t="shared" ca="1" si="75"/>
        <v>0.47552863440960874</v>
      </c>
      <c r="L176" s="82">
        <f t="shared" ca="1" si="75"/>
        <v>0.37635733305923808</v>
      </c>
      <c r="M176" s="82">
        <f t="shared" ca="1" si="75"/>
        <v>0.29786816586412534</v>
      </c>
      <c r="N176" s="82">
        <f t="shared" ca="1" si="75"/>
        <v>0.23574788224278539</v>
      </c>
      <c r="O176" s="82">
        <f t="shared" ca="1" si="75"/>
        <v>0.18658275825054127</v>
      </c>
      <c r="P176" s="82">
        <f t="shared" ca="1" si="75"/>
        <v>0.14767100066895858</v>
      </c>
      <c r="Q176" s="82">
        <f t="shared" ca="1" si="75"/>
        <v>0.11687427414536201</v>
      </c>
      <c r="R176" s="82">
        <f t="shared" ca="1" si="75"/>
        <v>9.2500192286409849E-2</v>
      </c>
      <c r="S176" s="82">
        <f t="shared" ca="1" si="75"/>
        <v>7.3209315185829113E-2</v>
      </c>
      <c r="T176" s="82">
        <f t="shared" ca="1" si="75"/>
        <v>5.7941542579533635E-2</v>
      </c>
      <c r="U176" s="82">
        <f t="shared" ca="1" si="75"/>
        <v>3.9098219083275699E-4</v>
      </c>
      <c r="V176" s="82">
        <f t="shared" ca="1" si="75"/>
        <v>1.3814420337376242E-4</v>
      </c>
      <c r="W176" s="82">
        <f t="shared" ca="1" si="75"/>
        <v>4.65913152753951E-5</v>
      </c>
      <c r="X176" s="82">
        <f t="shared" ca="1" si="75"/>
        <v>1.5030454734597262E-5</v>
      </c>
      <c r="Y176" s="82">
        <f t="shared" ca="1" si="75"/>
        <v>5.2512912342887139</v>
      </c>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row>
    <row r="177" spans="4:79" ht="15">
      <c r="D177" s="81" t="s">
        <v>6039</v>
      </c>
      <c r="E177" s="82">
        <f ca="1">E176</f>
        <v>0.7044364923153128</v>
      </c>
      <c r="F177" s="82">
        <f t="shared" ref="F177:X177" ca="1" si="76">E177+F176</f>
        <v>1.4013446813630512</v>
      </c>
      <c r="G177" s="82">
        <f t="shared" ca="1" si="76"/>
        <v>2.0908050220184342</v>
      </c>
      <c r="H177" s="82">
        <f t="shared" ca="1" si="76"/>
        <v>2.7728971093365162</v>
      </c>
      <c r="I177" s="82">
        <f t="shared" ca="1" si="76"/>
        <v>3.4476996877410757</v>
      </c>
      <c r="J177" s="82">
        <f t="shared" ca="1" si="76"/>
        <v>4.0485315628778755</v>
      </c>
      <c r="K177" s="82">
        <f t="shared" ca="1" si="76"/>
        <v>4.5240601972874845</v>
      </c>
      <c r="L177" s="82">
        <f t="shared" ca="1" si="76"/>
        <v>4.900417530346723</v>
      </c>
      <c r="M177" s="82">
        <f t="shared" ca="1" si="76"/>
        <v>5.1982856962108484</v>
      </c>
      <c r="N177" s="82">
        <f t="shared" ca="1" si="76"/>
        <v>5.4340335784536338</v>
      </c>
      <c r="O177" s="82">
        <f t="shared" ca="1" si="76"/>
        <v>5.6206163367041748</v>
      </c>
      <c r="P177" s="82">
        <f t="shared" ca="1" si="76"/>
        <v>5.7682873373731338</v>
      </c>
      <c r="Q177" s="82">
        <f t="shared" ca="1" si="76"/>
        <v>5.8851616115184955</v>
      </c>
      <c r="R177" s="82">
        <f t="shared" ca="1" si="76"/>
        <v>5.9776618038049056</v>
      </c>
      <c r="S177" s="82">
        <f t="shared" ca="1" si="76"/>
        <v>6.0508711189907345</v>
      </c>
      <c r="T177" s="82">
        <f t="shared" ca="1" si="76"/>
        <v>6.1088126615702683</v>
      </c>
      <c r="U177" s="82">
        <f t="shared" ca="1" si="76"/>
        <v>6.1092036437611013</v>
      </c>
      <c r="V177" s="82">
        <f t="shared" ca="1" si="76"/>
        <v>6.1093417879644747</v>
      </c>
      <c r="W177" s="82">
        <f t="shared" ca="1" si="76"/>
        <v>6.1093883792797499</v>
      </c>
      <c r="X177" s="82">
        <f t="shared" ca="1" si="76"/>
        <v>6.109403409734484</v>
      </c>
      <c r="Y177" s="82"/>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row>
    <row r="178" spans="4:79">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row>
    <row r="179" spans="4:79">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row>
    <row r="180" spans="4:79" s="58" customFormat="1"/>
    <row r="181" spans="4:79" s="58" customFormat="1"/>
    <row r="182" spans="4:79" s="58" customFormat="1"/>
    <row r="183" spans="4:79" s="58" customFormat="1"/>
    <row r="184" spans="4:79" s="58" customFormat="1"/>
    <row r="185" spans="4:79" s="58" customFormat="1"/>
    <row r="186" spans="4:79" s="58" customFormat="1"/>
    <row r="187" spans="4:79" s="58" customFormat="1"/>
  </sheetData>
  <mergeCells count="1">
    <mergeCell ref="B1:S6"/>
  </mergeCells>
  <pageMargins left="0.75" right="0.75" top="1" bottom="1" header="0.5" footer="0.5"/>
  <headerFooter alignWithMargins="0"/>
  <legacyDrawing r:id="rId1"/>
</worksheet>
</file>

<file path=xl/worksheets/sheet4.xml><?xml version="1.0" encoding="utf-8"?>
<worksheet xmlns="http://schemas.openxmlformats.org/spreadsheetml/2006/main" xmlns:r="http://schemas.openxmlformats.org/officeDocument/2006/relationships">
  <dimension ref="A1:I16"/>
  <sheetViews>
    <sheetView workbookViewId="0">
      <selection activeCell="A6" sqref="A6:C17"/>
    </sheetView>
  </sheetViews>
  <sheetFormatPr defaultRowHeight="12.75"/>
  <cols>
    <col min="1" max="1" width="27.5703125" customWidth="1"/>
    <col min="2" max="2" width="23.7109375" customWidth="1"/>
    <col min="3" max="3" width="14.7109375" bestFit="1" customWidth="1"/>
    <col min="4" max="4" width="31.85546875" bestFit="1" customWidth="1"/>
    <col min="5" max="5" width="19.85546875" bestFit="1" customWidth="1"/>
    <col min="6" max="6" width="21.140625" bestFit="1" customWidth="1"/>
    <col min="7" max="7" width="29.28515625" bestFit="1" customWidth="1"/>
    <col min="8" max="8" width="15.140625" bestFit="1" customWidth="1"/>
    <col min="9" max="16" width="12" bestFit="1" customWidth="1"/>
  </cols>
  <sheetData>
    <row r="1" spans="1:9">
      <c r="A1" t="s">
        <v>6380</v>
      </c>
      <c r="D1" s="297" t="s">
        <v>6381</v>
      </c>
    </row>
    <row r="2" spans="1:9">
      <c r="D2" s="297"/>
    </row>
    <row r="3" spans="1:9">
      <c r="A3" t="s">
        <v>6382</v>
      </c>
      <c r="D3" s="297"/>
    </row>
    <row r="4" spans="1:9">
      <c r="A4" t="s">
        <v>6373</v>
      </c>
      <c r="B4" t="s">
        <v>6374</v>
      </c>
      <c r="C4" t="s">
        <v>6384</v>
      </c>
      <c r="D4" t="s">
        <v>6385</v>
      </c>
      <c r="E4" t="s">
        <v>6376</v>
      </c>
      <c r="F4" t="s">
        <v>6377</v>
      </c>
      <c r="G4" t="s">
        <v>6378</v>
      </c>
      <c r="H4" t="s">
        <v>6379</v>
      </c>
      <c r="I4" t="s">
        <v>55</v>
      </c>
    </row>
    <row r="5" spans="1:9">
      <c r="A5" s="296">
        <v>5.3709094872804723E-2</v>
      </c>
      <c r="B5" s="296">
        <v>1.7654231774693368E-2</v>
      </c>
      <c r="C5" s="296">
        <v>1.0533305070999604E-3</v>
      </c>
      <c r="D5" s="296">
        <v>1.0665247527328251E-2</v>
      </c>
      <c r="E5" s="296">
        <v>1.6234206236719669E-2</v>
      </c>
      <c r="F5" s="296">
        <v>8.6960001218737133E-4</v>
      </c>
      <c r="G5" s="296">
        <v>1.709672948278617E-2</v>
      </c>
      <c r="H5" s="296">
        <v>2.6590867305579857E-2</v>
      </c>
      <c r="I5" s="296">
        <v>8.3666550181711416E-2</v>
      </c>
    </row>
    <row r="7" spans="1:9">
      <c r="A7" s="65"/>
      <c r="B7" s="66"/>
      <c r="C7" s="66"/>
      <c r="D7" s="66"/>
      <c r="E7" s="66"/>
      <c r="F7" s="66"/>
      <c r="G7" s="66"/>
      <c r="H7" s="66"/>
      <c r="I7" s="66"/>
    </row>
    <row r="8" spans="1:9">
      <c r="B8" s="296"/>
      <c r="C8" s="66"/>
      <c r="D8" s="66"/>
      <c r="E8" s="66"/>
      <c r="F8" s="66"/>
      <c r="G8" s="66"/>
      <c r="H8" s="66"/>
      <c r="I8" s="66"/>
    </row>
    <row r="9" spans="1:9">
      <c r="B9" s="296"/>
      <c r="C9" s="66"/>
      <c r="D9" s="66"/>
      <c r="E9" s="66"/>
      <c r="F9" s="66"/>
      <c r="G9" s="66"/>
      <c r="H9" s="66"/>
      <c r="I9" s="66"/>
    </row>
    <row r="10" spans="1:9">
      <c r="B10" s="296"/>
      <c r="C10" s="66"/>
      <c r="D10" s="66"/>
      <c r="E10" s="66"/>
      <c r="F10" s="66"/>
      <c r="G10" s="66"/>
      <c r="H10" s="66"/>
      <c r="I10" s="66"/>
    </row>
    <row r="11" spans="1:9">
      <c r="B11" s="296"/>
      <c r="C11" s="66"/>
      <c r="D11" s="66"/>
      <c r="E11" s="66"/>
      <c r="F11" s="66"/>
      <c r="G11" s="66"/>
      <c r="H11" s="66"/>
      <c r="I11" s="66"/>
    </row>
    <row r="12" spans="1:9">
      <c r="B12" s="296"/>
      <c r="C12" s="66"/>
      <c r="D12" s="66"/>
      <c r="E12" s="66"/>
      <c r="F12" s="66"/>
      <c r="G12" s="66"/>
      <c r="H12" s="66"/>
      <c r="I12" s="66"/>
    </row>
    <row r="13" spans="1:9">
      <c r="B13" s="296"/>
      <c r="C13" s="66"/>
      <c r="D13" s="66"/>
      <c r="E13" s="66"/>
      <c r="F13" s="66"/>
      <c r="G13" s="66"/>
      <c r="H13" s="66"/>
      <c r="I13" s="66"/>
    </row>
    <row r="14" spans="1:9">
      <c r="B14" s="296"/>
      <c r="C14" s="66"/>
      <c r="D14" s="66"/>
      <c r="E14" s="66"/>
      <c r="F14" s="66"/>
      <c r="G14" s="66"/>
      <c r="H14" s="66"/>
      <c r="I14" s="66"/>
    </row>
    <row r="15" spans="1:9">
      <c r="B15" s="296"/>
    </row>
    <row r="16" spans="1:9">
      <c r="B16" s="296"/>
    </row>
  </sheetData>
  <hyperlinks>
    <hyperlink ref="D1"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EA24"/>
  <sheetViews>
    <sheetView workbookViewId="0">
      <selection sqref="A1:EA24"/>
    </sheetView>
  </sheetViews>
  <sheetFormatPr defaultRowHeight="12.75"/>
  <cols>
    <col min="1" max="1" width="27" customWidth="1"/>
  </cols>
  <sheetData>
    <row r="1" spans="1:131" ht="13.5" thickBot="1">
      <c r="A1" s="36" t="s">
        <v>29</v>
      </c>
      <c r="B1" s="37"/>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row>
    <row r="2" spans="1:131" ht="13.5" thickBot="1">
      <c r="A2" s="39"/>
      <c r="B2" s="40"/>
      <c r="C2" s="41"/>
      <c r="D2" s="41"/>
      <c r="E2" s="41"/>
      <c r="F2" s="41"/>
      <c r="G2" s="41"/>
      <c r="H2" s="41"/>
      <c r="I2" s="41"/>
      <c r="J2" s="41"/>
      <c r="K2" s="41"/>
      <c r="L2" s="41"/>
      <c r="M2" s="41"/>
      <c r="N2" s="41"/>
      <c r="O2" s="42" t="s">
        <v>5852</v>
      </c>
      <c r="P2" s="43"/>
      <c r="Q2" s="43"/>
      <c r="R2" s="43"/>
      <c r="S2" s="43"/>
      <c r="T2" s="43"/>
      <c r="U2" s="43"/>
      <c r="V2" s="43"/>
      <c r="W2" s="43"/>
      <c r="X2" s="43"/>
      <c r="Y2" s="43"/>
      <c r="Z2" s="44"/>
      <c r="AA2" s="41"/>
      <c r="AB2" s="42" t="s">
        <v>5853</v>
      </c>
      <c r="AC2" s="43"/>
      <c r="AD2" s="43"/>
      <c r="AE2" s="43"/>
      <c r="AF2" s="43"/>
      <c r="AG2" s="43"/>
      <c r="AH2" s="43"/>
      <c r="AI2" s="43"/>
      <c r="AJ2" s="43"/>
      <c r="AK2" s="43"/>
      <c r="AL2" s="43"/>
      <c r="AM2" s="44"/>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row>
    <row r="3" spans="1:131" ht="191.25">
      <c r="A3" s="45" t="s">
        <v>30</v>
      </c>
      <c r="B3" s="46" t="s">
        <v>31</v>
      </c>
      <c r="C3" s="47" t="s">
        <v>32</v>
      </c>
      <c r="D3" s="47" t="s">
        <v>33</v>
      </c>
      <c r="E3" s="47" t="s">
        <v>34</v>
      </c>
      <c r="F3" s="47" t="s">
        <v>35</v>
      </c>
      <c r="G3" s="47" t="s">
        <v>36</v>
      </c>
      <c r="H3" s="47" t="s">
        <v>37</v>
      </c>
      <c r="I3" s="47" t="s">
        <v>38</v>
      </c>
      <c r="J3" s="47" t="s">
        <v>39</v>
      </c>
      <c r="K3" s="47" t="s">
        <v>40</v>
      </c>
      <c r="L3" s="47" t="s">
        <v>41</v>
      </c>
      <c r="M3" s="47" t="s">
        <v>42</v>
      </c>
      <c r="N3" s="47" t="s">
        <v>5854</v>
      </c>
      <c r="O3" s="47" t="s">
        <v>43</v>
      </c>
      <c r="P3" s="47" t="s">
        <v>44</v>
      </c>
      <c r="Q3" s="47" t="s">
        <v>45</v>
      </c>
      <c r="R3" s="47" t="s">
        <v>46</v>
      </c>
      <c r="S3" s="47" t="s">
        <v>47</v>
      </c>
      <c r="T3" s="47" t="s">
        <v>48</v>
      </c>
      <c r="U3" s="47" t="s">
        <v>49</v>
      </c>
      <c r="V3" s="47" t="s">
        <v>50</v>
      </c>
      <c r="W3" s="47" t="s">
        <v>51</v>
      </c>
      <c r="X3" s="47" t="s">
        <v>52</v>
      </c>
      <c r="Y3" s="47" t="s">
        <v>53</v>
      </c>
      <c r="Z3" s="47" t="s">
        <v>54</v>
      </c>
      <c r="AA3" s="47"/>
      <c r="AB3" s="47" t="s">
        <v>43</v>
      </c>
      <c r="AC3" s="47" t="s">
        <v>44</v>
      </c>
      <c r="AD3" s="47" t="s">
        <v>45</v>
      </c>
      <c r="AE3" s="47" t="s">
        <v>46</v>
      </c>
      <c r="AF3" s="47" t="s">
        <v>47</v>
      </c>
      <c r="AG3" s="47" t="s">
        <v>48</v>
      </c>
      <c r="AH3" s="47" t="s">
        <v>49</v>
      </c>
      <c r="AI3" s="47" t="s">
        <v>50</v>
      </c>
      <c r="AJ3" s="47" t="s">
        <v>51</v>
      </c>
      <c r="AK3" s="47" t="s">
        <v>52</v>
      </c>
      <c r="AL3" s="47" t="s">
        <v>53</v>
      </c>
      <c r="AM3" s="47" t="s">
        <v>54</v>
      </c>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row>
    <row r="4" spans="1:131">
      <c r="A4" s="27" t="s">
        <v>167</v>
      </c>
      <c r="B4" s="27"/>
      <c r="C4" s="48">
        <v>1790.7788990860683</v>
      </c>
      <c r="D4" s="48">
        <v>3296.9499559131623</v>
      </c>
      <c r="E4" s="48">
        <v>659.38999118263246</v>
      </c>
      <c r="F4" s="48">
        <v>3956.3399470957947</v>
      </c>
      <c r="G4" s="48">
        <v>3574.9994062010855</v>
      </c>
      <c r="H4" s="48">
        <v>1914.2734528245696</v>
      </c>
      <c r="I4" s="48">
        <v>19353.331644820464</v>
      </c>
      <c r="J4" s="48">
        <v>75.212596273959946</v>
      </c>
      <c r="K4" s="48">
        <v>106.99546691295355</v>
      </c>
      <c r="L4" s="50">
        <v>0.53546119462401276</v>
      </c>
      <c r="M4" s="48">
        <v>17.012508065979748</v>
      </c>
      <c r="N4" s="48">
        <v>0.93643206542905433</v>
      </c>
      <c r="O4" s="48">
        <v>199.48406880366878</v>
      </c>
      <c r="P4" s="48">
        <v>145.54353791823829</v>
      </c>
      <c r="Q4" s="48">
        <v>131.88486323397285</v>
      </c>
      <c r="R4" s="48">
        <v>105.71950053262697</v>
      </c>
      <c r="S4" s="48">
        <v>43.557606159124269</v>
      </c>
      <c r="T4" s="48">
        <v>12.166806139183265</v>
      </c>
      <c r="U4" s="48">
        <v>2.9627173547969274</v>
      </c>
      <c r="V4" s="48">
        <v>2.4905946045941922</v>
      </c>
      <c r="W4" s="48">
        <v>23.633595494357742</v>
      </c>
      <c r="X4" s="48">
        <v>81.175078959256169</v>
      </c>
      <c r="Y4" s="48">
        <v>128.40109780144567</v>
      </c>
      <c r="Z4" s="48">
        <v>232.47940821816286</v>
      </c>
      <c r="AA4" s="48"/>
      <c r="AB4" s="48">
        <v>126.8007917935247</v>
      </c>
      <c r="AC4" s="48">
        <v>94.996712057489532</v>
      </c>
      <c r="AD4" s="48">
        <v>73.585410242158389</v>
      </c>
      <c r="AE4" s="48">
        <v>63.106772438144112</v>
      </c>
      <c r="AF4" s="48">
        <v>24.79204230368903</v>
      </c>
      <c r="AG4" s="48">
        <v>6.1547012701641526</v>
      </c>
      <c r="AH4" s="48">
        <v>1.6576990126323854</v>
      </c>
      <c r="AI4" s="48">
        <v>1.1084442663843979</v>
      </c>
      <c r="AJ4" s="48">
        <v>13.57166180760742</v>
      </c>
      <c r="AK4" s="48">
        <v>41.851700216981023</v>
      </c>
      <c r="AL4" s="48">
        <v>84.009887301798415</v>
      </c>
      <c r="AM4" s="38">
        <v>149.64420115606697</v>
      </c>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row>
    <row r="5" spans="1:131">
      <c r="A5" s="27" t="s">
        <v>169</v>
      </c>
      <c r="B5" s="27"/>
      <c r="C5" s="48">
        <v>1855.5407675899996</v>
      </c>
      <c r="D5" s="48">
        <v>3514.5499559131631</v>
      </c>
      <c r="E5" s="48">
        <v>702.90999118263267</v>
      </c>
      <c r="F5" s="48">
        <v>4217.4599470957955</v>
      </c>
      <c r="G5" s="48">
        <v>3810.9507798014456</v>
      </c>
      <c r="H5" s="48">
        <v>1984.4398544922949</v>
      </c>
      <c r="I5" s="48">
        <v>19910.610309329797</v>
      </c>
      <c r="J5" s="48">
        <v>78.233245721999893</v>
      </c>
      <c r="K5" s="48">
        <v>111.18806127875146</v>
      </c>
      <c r="L5" s="50">
        <v>0.52072041051017881</v>
      </c>
      <c r="M5" s="48">
        <v>17.627749741461496</v>
      </c>
      <c r="N5" s="48">
        <v>0.9702972680596702</v>
      </c>
      <c r="O5" s="48">
        <v>206.69822630747097</v>
      </c>
      <c r="P5" s="48">
        <v>150.80698583415258</v>
      </c>
      <c r="Q5" s="48">
        <v>136.65435776776286</v>
      </c>
      <c r="R5" s="48">
        <v>109.54274883831644</v>
      </c>
      <c r="S5" s="48">
        <v>45.132826843186869</v>
      </c>
      <c r="T5" s="48">
        <v>12.606807470280442</v>
      </c>
      <c r="U5" s="48">
        <v>3.0698612974933681</v>
      </c>
      <c r="V5" s="48">
        <v>2.5806646631377941</v>
      </c>
      <c r="W5" s="48">
        <v>24.488282694693766</v>
      </c>
      <c r="X5" s="48">
        <v>84.110700878879257</v>
      </c>
      <c r="Y5" s="48">
        <v>133.04460516900593</v>
      </c>
      <c r="Z5" s="48">
        <v>240.88681176339125</v>
      </c>
      <c r="AA5" s="48"/>
      <c r="AB5" s="48">
        <v>131.38642556915025</v>
      </c>
      <c r="AC5" s="48">
        <v>98.43218060009562</v>
      </c>
      <c r="AD5" s="48">
        <v>76.246558787264988</v>
      </c>
      <c r="AE5" s="48">
        <v>65.388970704179286</v>
      </c>
      <c r="AF5" s="48">
        <v>25.688623665260142</v>
      </c>
      <c r="AG5" s="48">
        <v>6.3772803694280382</v>
      </c>
      <c r="AH5" s="48">
        <v>1.717648169689119</v>
      </c>
      <c r="AI5" s="48">
        <v>1.14853013173615</v>
      </c>
      <c r="AJ5" s="48">
        <v>14.062468449238422</v>
      </c>
      <c r="AK5" s="48">
        <v>43.365228384808624</v>
      </c>
      <c r="AL5" s="48">
        <v>87.048027452570679</v>
      </c>
      <c r="AM5" s="38">
        <v>155.0559457788068</v>
      </c>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row>
    <row r="6" spans="1:131">
      <c r="A6" s="27" t="s">
        <v>6420</v>
      </c>
      <c r="B6" s="27"/>
      <c r="C6" s="48">
        <v>997.78419810830133</v>
      </c>
      <c r="D6" s="48">
        <v>2687.9999999999973</v>
      </c>
      <c r="E6" s="48">
        <v>537.59999999999945</v>
      </c>
      <c r="F6" s="48">
        <v>3225.5999999999967</v>
      </c>
      <c r="G6" s="48">
        <v>2914.6934385926761</v>
      </c>
      <c r="H6" s="48">
        <v>1065.2646628758225</v>
      </c>
      <c r="I6" s="48">
        <v>28319.005305526982</v>
      </c>
      <c r="J6" s="48">
        <v>123.80975047932414</v>
      </c>
      <c r="K6" s="48">
        <v>175.14390543938447</v>
      </c>
      <c r="L6" s="50">
        <v>0.36548085941764513</v>
      </c>
      <c r="M6" s="48">
        <v>9.4790103496795748</v>
      </c>
      <c r="N6" s="48">
        <v>0.52176017819055298</v>
      </c>
      <c r="O6" s="48">
        <v>111.1483119039608</v>
      </c>
      <c r="P6" s="48">
        <v>81.093786812938603</v>
      </c>
      <c r="Q6" s="48">
        <v>73.483461622030191</v>
      </c>
      <c r="R6" s="48">
        <v>58.904673892009882</v>
      </c>
      <c r="S6" s="48">
        <v>24.269378623558477</v>
      </c>
      <c r="T6" s="48">
        <v>6.7790875318665824</v>
      </c>
      <c r="U6" s="48">
        <v>1.6507635652766988</v>
      </c>
      <c r="V6" s="48">
        <v>1.3877067356702422</v>
      </c>
      <c r="W6" s="48">
        <v>13.168140489475547</v>
      </c>
      <c r="X6" s="48">
        <v>45.229040339416386</v>
      </c>
      <c r="Y6" s="48">
        <v>71.542381067492968</v>
      </c>
      <c r="Z6" s="48">
        <v>129.53261847346764</v>
      </c>
      <c r="AA6" s="48"/>
      <c r="AB6" s="48">
        <v>70.650724343340016</v>
      </c>
      <c r="AC6" s="48">
        <v>52.930162518433711</v>
      </c>
      <c r="AD6" s="48">
        <v>41.000237152902464</v>
      </c>
      <c r="AE6" s="48">
        <v>35.161761379102757</v>
      </c>
      <c r="AF6" s="48">
        <v>13.81360259609834</v>
      </c>
      <c r="AG6" s="48">
        <v>3.429269618142698</v>
      </c>
      <c r="AH6" s="48">
        <v>0.92363489477593619</v>
      </c>
      <c r="AI6" s="48">
        <v>0.61760174527773726</v>
      </c>
      <c r="AJ6" s="48">
        <v>7.561843452930809</v>
      </c>
      <c r="AK6" s="48">
        <v>23.31888384533752</v>
      </c>
      <c r="AL6" s="48">
        <v>46.808535703304017</v>
      </c>
      <c r="AM6" s="38">
        <v>83.378589801491373</v>
      </c>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row>
    <row r="7" spans="1:131">
      <c r="A7" s="27" t="s">
        <v>174</v>
      </c>
      <c r="B7" s="27"/>
      <c r="C7" s="48">
        <v>1623.7407839406073</v>
      </c>
      <c r="D7" s="48">
        <v>3514.5499559131654</v>
      </c>
      <c r="E7" s="48">
        <v>702.90999118263312</v>
      </c>
      <c r="F7" s="48">
        <v>4217.4599470957983</v>
      </c>
      <c r="G7" s="48">
        <v>3810.9507798014483</v>
      </c>
      <c r="H7" s="48">
        <v>1318.0051553858339</v>
      </c>
      <c r="I7" s="48">
        <v>22752.984652450876</v>
      </c>
      <c r="J7" s="48">
        <v>103.49479211683391</v>
      </c>
      <c r="K7" s="48">
        <v>151.2142697308571</v>
      </c>
      <c r="L7" s="50">
        <v>0.34584680609664087</v>
      </c>
      <c r="M7" s="48">
        <v>15.425724910345707</v>
      </c>
      <c r="N7" s="48">
        <v>0.56724606815137368</v>
      </c>
      <c r="O7" s="48">
        <v>138.85203456423986</v>
      </c>
      <c r="P7" s="48">
        <v>101.39380588372711</v>
      </c>
      <c r="Q7" s="48">
        <v>82.138717967918708</v>
      </c>
      <c r="R7" s="48">
        <v>71.212501698107857</v>
      </c>
      <c r="S7" s="48">
        <v>26.130169602375368</v>
      </c>
      <c r="T7" s="48">
        <v>16.894072866013701</v>
      </c>
      <c r="U7" s="48">
        <v>49.119247011007275</v>
      </c>
      <c r="V7" s="48">
        <v>48.989922768169762</v>
      </c>
      <c r="W7" s="48">
        <v>28.488767323940966</v>
      </c>
      <c r="X7" s="48">
        <v>64.715496968657845</v>
      </c>
      <c r="Y7" s="48">
        <v>100.48597774631028</v>
      </c>
      <c r="Z7" s="48">
        <v>175.34662282278254</v>
      </c>
      <c r="AA7" s="48"/>
      <c r="AB7" s="48">
        <v>131.74783450081617</v>
      </c>
      <c r="AC7" s="48">
        <v>93.31513850601614</v>
      </c>
      <c r="AD7" s="48">
        <v>68.908337229521962</v>
      </c>
      <c r="AE7" s="48">
        <v>64.271529672339099</v>
      </c>
      <c r="AF7" s="48">
        <v>25.408270881664375</v>
      </c>
      <c r="AG7" s="48">
        <v>7.849139283972506</v>
      </c>
      <c r="AH7" s="48">
        <v>24.178120558254221</v>
      </c>
      <c r="AI7" s="48">
        <v>17.30957478571657</v>
      </c>
      <c r="AJ7" s="48">
        <v>16.368420591427178</v>
      </c>
      <c r="AK7" s="48">
        <v>39.757521607554821</v>
      </c>
      <c r="AL7" s="48">
        <v>79.124264420196198</v>
      </c>
      <c r="AM7" s="38">
        <v>151.73529467987703</v>
      </c>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row>
    <row r="8" spans="1:131">
      <c r="A8" s="27" t="s">
        <v>168</v>
      </c>
      <c r="B8" s="27"/>
      <c r="C8" s="48">
        <v>889.23061579983505</v>
      </c>
      <c r="D8" s="48">
        <v>3296.9499559131623</v>
      </c>
      <c r="E8" s="48">
        <v>659.38999118263246</v>
      </c>
      <c r="F8" s="48">
        <v>3956.3399470957947</v>
      </c>
      <c r="G8" s="48">
        <v>3574.9994062010855</v>
      </c>
      <c r="H8" s="48">
        <v>966.40251106837707</v>
      </c>
      <c r="I8" s="48">
        <v>38974.7466188912</v>
      </c>
      <c r="J8" s="48">
        <v>181.56767513450552</v>
      </c>
      <c r="K8" s="48">
        <v>254.61277586775591</v>
      </c>
      <c r="L8" s="50">
        <v>0.27032242561833286</v>
      </c>
      <c r="M8" s="48">
        <v>8.4477447391922666</v>
      </c>
      <c r="N8" s="48">
        <v>0.46499546237738415</v>
      </c>
      <c r="O8" s="48">
        <v>99.055970245725717</v>
      </c>
      <c r="P8" s="48">
        <v>72.271216683853382</v>
      </c>
      <c r="Q8" s="48">
        <v>65.488854156185909</v>
      </c>
      <c r="R8" s="48">
        <v>52.496160530290346</v>
      </c>
      <c r="S8" s="48">
        <v>21.629000077794185</v>
      </c>
      <c r="T8" s="48">
        <v>6.041559078557782</v>
      </c>
      <c r="U8" s="48">
        <v>1.4711693214564221</v>
      </c>
      <c r="V8" s="48">
        <v>1.2367316674779494</v>
      </c>
      <c r="W8" s="48">
        <v>11.735517257734834</v>
      </c>
      <c r="X8" s="48">
        <v>40.308362739464194</v>
      </c>
      <c r="Y8" s="48">
        <v>63.75895278061725</v>
      </c>
      <c r="Z8" s="48">
        <v>115.44016262204262</v>
      </c>
      <c r="AA8" s="48"/>
      <c r="AB8" s="48">
        <v>62.964303537420335</v>
      </c>
      <c r="AC8" s="48">
        <v>47.171644028725538</v>
      </c>
      <c r="AD8" s="48">
        <v>36.539630714273386</v>
      </c>
      <c r="AE8" s="48">
        <v>31.336349867060765</v>
      </c>
      <c r="AF8" s="48">
        <v>12.310756540573569</v>
      </c>
      <c r="AG8" s="48">
        <v>3.0561834313131784</v>
      </c>
      <c r="AH8" s="48">
        <v>0.82314835994894509</v>
      </c>
      <c r="AI8" s="48">
        <v>0.5504099797467078</v>
      </c>
      <c r="AJ8" s="48">
        <v>6.7391553433899487</v>
      </c>
      <c r="AK8" s="48">
        <v>20.781914046010577</v>
      </c>
      <c r="AL8" s="48">
        <v>41.716017458536356</v>
      </c>
      <c r="AM8" s="38">
        <v>74.307445331635151</v>
      </c>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row>
    <row r="9" spans="1:131">
      <c r="A9" s="27" t="s">
        <v>170</v>
      </c>
      <c r="B9" s="27"/>
      <c r="C9" s="48">
        <v>946.66291413598583</v>
      </c>
      <c r="D9" s="48">
        <v>3514.5499559131631</v>
      </c>
      <c r="E9" s="48">
        <v>702.90999118263267</v>
      </c>
      <c r="F9" s="48">
        <v>4217.4599470957955</v>
      </c>
      <c r="G9" s="48">
        <v>3810.9507798014456</v>
      </c>
      <c r="H9" s="48">
        <v>1026.9287181924453</v>
      </c>
      <c r="I9" s="48">
        <v>39026.509420492752</v>
      </c>
      <c r="J9" s="48">
        <v>181.84824801131637</v>
      </c>
      <c r="K9" s="48">
        <v>255.15259403647889</v>
      </c>
      <c r="L9" s="50">
        <v>0.26946785133917406</v>
      </c>
      <c r="M9" s="48">
        <v>8.9933550538939908</v>
      </c>
      <c r="N9" s="48">
        <v>0.49502789451108137</v>
      </c>
      <c r="O9" s="48">
        <v>105.45364924377991</v>
      </c>
      <c r="P9" s="48">
        <v>76.938962040293049</v>
      </c>
      <c r="Q9" s="48">
        <v>69.718550415808807</v>
      </c>
      <c r="R9" s="48">
        <v>55.886704107522249</v>
      </c>
      <c r="S9" s="48">
        <v>23.025941617040651</v>
      </c>
      <c r="T9" s="48">
        <v>6.4317622691025802</v>
      </c>
      <c r="U9" s="48">
        <v>1.5661870073880737</v>
      </c>
      <c r="V9" s="48">
        <v>1.3166078445082141</v>
      </c>
      <c r="W9" s="48">
        <v>12.493473311316089</v>
      </c>
      <c r="X9" s="48">
        <v>42.911739043835382</v>
      </c>
      <c r="Y9" s="48">
        <v>67.876920754991659</v>
      </c>
      <c r="Z9" s="48">
        <v>122.89603935624552</v>
      </c>
      <c r="AA9" s="48"/>
      <c r="AB9" s="48">
        <v>67.030947893829989</v>
      </c>
      <c r="AC9" s="48">
        <v>50.21829568997952</v>
      </c>
      <c r="AD9" s="48">
        <v>38.89959778579324</v>
      </c>
      <c r="AE9" s="48">
        <v>33.360255209897218</v>
      </c>
      <c r="AF9" s="48">
        <v>13.105865289439562</v>
      </c>
      <c r="AG9" s="48">
        <v>3.2535716402642403</v>
      </c>
      <c r="AH9" s="48">
        <v>0.87631263628346867</v>
      </c>
      <c r="AI9" s="48">
        <v>0.58595903710296426</v>
      </c>
      <c r="AJ9" s="48">
        <v>7.1744138391482188</v>
      </c>
      <c r="AK9" s="48">
        <v>22.124145258341429</v>
      </c>
      <c r="AL9" s="48">
        <v>44.410309262603114</v>
      </c>
      <c r="AM9" s="38">
        <v>79.106703581470668</v>
      </c>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row>
    <row r="10" spans="1:131">
      <c r="A10" s="27" t="s">
        <v>6387</v>
      </c>
      <c r="B10" s="27"/>
      <c r="C10" s="48">
        <v>658.46797022967348</v>
      </c>
      <c r="D10" s="48">
        <v>2687.9999999999973</v>
      </c>
      <c r="E10" s="48">
        <v>537.59999999999945</v>
      </c>
      <c r="F10" s="48">
        <v>3225.5999999999967</v>
      </c>
      <c r="G10" s="48">
        <v>2914.6934385926761</v>
      </c>
      <c r="H10" s="48">
        <v>712.59613382189582</v>
      </c>
      <c r="I10" s="48">
        <v>42912.119157662593</v>
      </c>
      <c r="J10" s="48">
        <v>202.90964091106946</v>
      </c>
      <c r="K10" s="48">
        <v>284.83502736057329</v>
      </c>
      <c r="L10" s="50">
        <v>0.24448407657100435</v>
      </c>
      <c r="M10" s="48">
        <v>6.2554856216134382</v>
      </c>
      <c r="N10" s="48">
        <v>0.34432532218005246</v>
      </c>
      <c r="O10" s="48">
        <v>73.350132696641282</v>
      </c>
      <c r="P10" s="48">
        <v>53.516242592526673</v>
      </c>
      <c r="Q10" s="48">
        <v>48.493958825409628</v>
      </c>
      <c r="R10" s="48">
        <v>38.872975868177249</v>
      </c>
      <c r="S10" s="48">
        <v>16.016096978973618</v>
      </c>
      <c r="T10" s="48">
        <v>4.4737248952032065</v>
      </c>
      <c r="U10" s="48">
        <v>1.0893888039293891</v>
      </c>
      <c r="V10" s="48">
        <v>0.91578964594070378</v>
      </c>
      <c r="W10" s="48">
        <v>8.6900541782913656</v>
      </c>
      <c r="X10" s="48">
        <v>29.848011668449924</v>
      </c>
      <c r="Y10" s="48">
        <v>47.212981059654631</v>
      </c>
      <c r="Z10" s="48">
        <v>85.482492633643673</v>
      </c>
      <c r="AA10" s="48"/>
      <c r="AB10" s="48">
        <v>46.624549819304491</v>
      </c>
      <c r="AC10" s="48">
        <v>34.930215114167197</v>
      </c>
      <c r="AD10" s="48">
        <v>27.057296545877538</v>
      </c>
      <c r="AE10" s="48">
        <v>23.204309798545097</v>
      </c>
      <c r="AF10" s="48">
        <v>9.1160141443981306</v>
      </c>
      <c r="AG10" s="48">
        <v>2.2630787389796039</v>
      </c>
      <c r="AH10" s="48">
        <v>0.60953460232128809</v>
      </c>
      <c r="AI10" s="48">
        <v>0.40757407102091098</v>
      </c>
      <c r="AJ10" s="48">
        <v>4.9902892018995875</v>
      </c>
      <c r="AK10" s="48">
        <v>15.388836727192073</v>
      </c>
      <c r="AL10" s="48">
        <v>30.890368430781994</v>
      </c>
      <c r="AM10" s="38">
        <v>55.02405318834424</v>
      </c>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row>
    <row r="11" spans="1:131">
      <c r="A11" s="27" t="s">
        <v>6389</v>
      </c>
      <c r="B11" s="27"/>
      <c r="C11" s="48">
        <v>861.73982544876924</v>
      </c>
      <c r="D11" s="48">
        <v>4223.9999999999964</v>
      </c>
      <c r="E11" s="48">
        <v>844.79999999999927</v>
      </c>
      <c r="F11" s="48">
        <v>5068.7999999999956</v>
      </c>
      <c r="G11" s="48">
        <v>4580.2325463599209</v>
      </c>
      <c r="H11" s="48">
        <v>924.56900868535013</v>
      </c>
      <c r="I11" s="48">
        <v>51526.791136612868</v>
      </c>
      <c r="J11" s="48">
        <v>249.60424060684804</v>
      </c>
      <c r="K11" s="48">
        <v>350.9052137073852</v>
      </c>
      <c r="L11" s="50">
        <v>0.20186071325573612</v>
      </c>
      <c r="M11" s="48">
        <v>8.1865805648621173</v>
      </c>
      <c r="N11" s="48">
        <v>0.45062000954964321</v>
      </c>
      <c r="O11" s="48">
        <v>95.99362976546989</v>
      </c>
      <c r="P11" s="48">
        <v>70.036933663261237</v>
      </c>
      <c r="Q11" s="48">
        <v>63.464249595849346</v>
      </c>
      <c r="R11" s="48">
        <v>50.873228393528464</v>
      </c>
      <c r="S11" s="48">
        <v>20.960334046646569</v>
      </c>
      <c r="T11" s="48">
        <v>5.8547827450947016</v>
      </c>
      <c r="U11" s="48">
        <v>1.4256877482081816</v>
      </c>
      <c r="V11" s="48">
        <v>1.1984977938493637</v>
      </c>
      <c r="W11" s="48">
        <v>11.37271076090328</v>
      </c>
      <c r="X11" s="48">
        <v>39.062219467093151</v>
      </c>
      <c r="Y11" s="48">
        <v>61.787828560699474</v>
      </c>
      <c r="Z11" s="48">
        <v>111.87130067290582</v>
      </c>
      <c r="AA11" s="48"/>
      <c r="AB11" s="48">
        <v>61.017746100696037</v>
      </c>
      <c r="AC11" s="48">
        <v>45.71332067203096</v>
      </c>
      <c r="AD11" s="48">
        <v>35.409998749714973</v>
      </c>
      <c r="AE11" s="48">
        <v>30.367578651521633</v>
      </c>
      <c r="AF11" s="48">
        <v>11.930166375202901</v>
      </c>
      <c r="AG11" s="48">
        <v>2.9617007442668477</v>
      </c>
      <c r="AH11" s="48">
        <v>0.79770051932233099</v>
      </c>
      <c r="AI11" s="48">
        <v>0.53339391541929915</v>
      </c>
      <c r="AJ11" s="48">
        <v>6.5308126442108856</v>
      </c>
      <c r="AK11" s="48">
        <v>20.139435894694486</v>
      </c>
      <c r="AL11" s="48">
        <v>40.426356182982424</v>
      </c>
      <c r="AM11" s="38">
        <v>72.010211785196958</v>
      </c>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row>
    <row r="12" spans="1:131">
      <c r="A12" s="27" t="s">
        <v>173</v>
      </c>
      <c r="B12" s="27"/>
      <c r="C12" s="48">
        <v>694.72089398889955</v>
      </c>
      <c r="D12" s="48">
        <v>3514.5499559131654</v>
      </c>
      <c r="E12" s="48">
        <v>702.90999118263312</v>
      </c>
      <c r="F12" s="48">
        <v>4217.4599470957983</v>
      </c>
      <c r="G12" s="48">
        <v>3810.9507798014483</v>
      </c>
      <c r="H12" s="48">
        <v>625.34942861866307</v>
      </c>
      <c r="I12" s="48">
        <v>53179.55664818325</v>
      </c>
      <c r="J12" s="48">
        <v>268.41768214991822</v>
      </c>
      <c r="K12" s="48">
        <v>375.64820626927155</v>
      </c>
      <c r="L12" s="50">
        <v>0.16409275919623501</v>
      </c>
      <c r="M12" s="48">
        <v>6.599928699293045</v>
      </c>
      <c r="N12" s="48">
        <v>0.24269741788552934</v>
      </c>
      <c r="O12" s="48">
        <v>59.408133698866742</v>
      </c>
      <c r="P12" s="48">
        <v>43.381552132681044</v>
      </c>
      <c r="Q12" s="48">
        <v>35.143222454072337</v>
      </c>
      <c r="R12" s="48">
        <v>30.468417947125435</v>
      </c>
      <c r="S12" s="48">
        <v>11.179847772369424</v>
      </c>
      <c r="T12" s="48">
        <v>7.228164446363964</v>
      </c>
      <c r="U12" s="48">
        <v>21.015772673230295</v>
      </c>
      <c r="V12" s="48">
        <v>20.960441025169779</v>
      </c>
      <c r="W12" s="48">
        <v>12.188978745670253</v>
      </c>
      <c r="X12" s="48">
        <v>27.688660871036173</v>
      </c>
      <c r="Y12" s="48">
        <v>42.993135963393293</v>
      </c>
      <c r="Z12" s="48">
        <v>75.022419692965997</v>
      </c>
      <c r="AA12" s="48"/>
      <c r="AB12" s="48">
        <v>56.368586827869244</v>
      </c>
      <c r="AC12" s="48">
        <v>39.925077381051224</v>
      </c>
      <c r="AD12" s="48">
        <v>29.482576355077324</v>
      </c>
      <c r="AE12" s="48">
        <v>27.498708533784498</v>
      </c>
      <c r="AF12" s="48">
        <v>10.870981893294402</v>
      </c>
      <c r="AG12" s="48">
        <v>3.3582706761673773</v>
      </c>
      <c r="AH12" s="48">
        <v>10.344659501892613</v>
      </c>
      <c r="AI12" s="48">
        <v>7.4059378126333915</v>
      </c>
      <c r="AJ12" s="48">
        <v>7.0032630201388981</v>
      </c>
      <c r="AK12" s="48">
        <v>17.010338858984877</v>
      </c>
      <c r="AL12" s="48">
        <v>33.853482192403582</v>
      </c>
      <c r="AM12" s="38">
        <v>64.920263512657499</v>
      </c>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row>
    <row r="13" spans="1:131">
      <c r="A13" s="27" t="s">
        <v>171</v>
      </c>
      <c r="B13" s="27"/>
      <c r="C13" s="48">
        <v>636.37687710812145</v>
      </c>
      <c r="D13" s="48">
        <v>3296.949955913165</v>
      </c>
      <c r="E13" s="48">
        <v>659.38999118263303</v>
      </c>
      <c r="F13" s="48">
        <v>3956.3399470957979</v>
      </c>
      <c r="G13" s="48">
        <v>3574.9994062010883</v>
      </c>
      <c r="H13" s="48">
        <v>572.9375568739589</v>
      </c>
      <c r="I13" s="48">
        <v>54460.712171147636</v>
      </c>
      <c r="J13" s="48">
        <v>275.3620027739691</v>
      </c>
      <c r="K13" s="48">
        <v>385.3600457829516</v>
      </c>
      <c r="L13" s="50">
        <v>0.16026228029021722</v>
      </c>
      <c r="M13" s="48">
        <v>6.0456538030357292</v>
      </c>
      <c r="N13" s="48">
        <v>0.22231521494827203</v>
      </c>
      <c r="O13" s="48">
        <v>54.418922656888803</v>
      </c>
      <c r="P13" s="48">
        <v>39.738284697019409</v>
      </c>
      <c r="Q13" s="48">
        <v>32.191826027325313</v>
      </c>
      <c r="R13" s="48">
        <v>27.909620728819672</v>
      </c>
      <c r="S13" s="48">
        <v>10.24094233163847</v>
      </c>
      <c r="T13" s="48">
        <v>6.6211290856534255</v>
      </c>
      <c r="U13" s="48">
        <v>19.250827058064825</v>
      </c>
      <c r="V13" s="48">
        <v>19.200142269824443</v>
      </c>
      <c r="W13" s="48">
        <v>11.165324515820368</v>
      </c>
      <c r="X13" s="48">
        <v>25.363313078499957</v>
      </c>
      <c r="Y13" s="48">
        <v>39.382488475877416</v>
      </c>
      <c r="Z13" s="48">
        <v>68.721890431680862</v>
      </c>
      <c r="AA13" s="48"/>
      <c r="AB13" s="48">
        <v>51.634642865787455</v>
      </c>
      <c r="AC13" s="48">
        <v>36.572091442609526</v>
      </c>
      <c r="AD13" s="48">
        <v>27.006572038188381</v>
      </c>
      <c r="AE13" s="48">
        <v>25.189313309347277</v>
      </c>
      <c r="AF13" s="48">
        <v>9.9580156120425585</v>
      </c>
      <c r="AG13" s="48">
        <v>3.0762365489144514</v>
      </c>
      <c r="AH13" s="48">
        <v>9.4758948025341283</v>
      </c>
      <c r="AI13" s="48">
        <v>6.7839726975821959</v>
      </c>
      <c r="AJ13" s="48">
        <v>6.4151153202454188</v>
      </c>
      <c r="AK13" s="48">
        <v>15.581777394771555</v>
      </c>
      <c r="AL13" s="48">
        <v>31.010400670605744</v>
      </c>
      <c r="AM13" s="38">
        <v>59.46813304837989</v>
      </c>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row>
    <row r="14" spans="1:131">
      <c r="A14" s="27" t="s">
        <v>6390</v>
      </c>
      <c r="B14" s="27"/>
      <c r="C14" s="48">
        <v>375.72434346075732</v>
      </c>
      <c r="D14" s="48">
        <v>2687.9999999999995</v>
      </c>
      <c r="E14" s="48">
        <v>537.59999999999991</v>
      </c>
      <c r="F14" s="48">
        <v>3225.5999999999995</v>
      </c>
      <c r="G14" s="48">
        <v>2914.6934385926788</v>
      </c>
      <c r="H14" s="48">
        <v>339.06064706259843</v>
      </c>
      <c r="I14" s="48">
        <v>75204.75181281734</v>
      </c>
      <c r="J14" s="48">
        <v>387.80210838773621</v>
      </c>
      <c r="K14" s="48">
        <v>542.6546707757401</v>
      </c>
      <c r="L14" s="50">
        <v>0.11632806475397611</v>
      </c>
      <c r="M14" s="48">
        <v>3.5694246407238639</v>
      </c>
      <c r="N14" s="48">
        <v>0.13125750036261122</v>
      </c>
      <c r="O14" s="48">
        <v>32.129567749249603</v>
      </c>
      <c r="P14" s="48">
        <v>23.461947574043513</v>
      </c>
      <c r="Q14" s="48">
        <v>19.006430205138834</v>
      </c>
      <c r="R14" s="48">
        <v>16.478166165036306</v>
      </c>
      <c r="S14" s="48">
        <v>6.0463720043690383</v>
      </c>
      <c r="T14" s="48">
        <v>3.9091919712434655</v>
      </c>
      <c r="U14" s="48">
        <v>11.36591321535256</v>
      </c>
      <c r="V14" s="48">
        <v>11.335988324191201</v>
      </c>
      <c r="W14" s="48">
        <v>6.5921380460845285</v>
      </c>
      <c r="X14" s="48">
        <v>14.974796378074464</v>
      </c>
      <c r="Y14" s="48">
        <v>23.251881328076376</v>
      </c>
      <c r="Z14" s="48">
        <v>40.574207034612996</v>
      </c>
      <c r="AA14" s="48"/>
      <c r="AB14" s="48">
        <v>30.485696429982813</v>
      </c>
      <c r="AC14" s="48">
        <v>21.592590083889274</v>
      </c>
      <c r="AD14" s="48">
        <v>15.94499566716655</v>
      </c>
      <c r="AE14" s="48">
        <v>14.872064881411198</v>
      </c>
      <c r="AF14" s="48">
        <v>5.8793287634977665</v>
      </c>
      <c r="AG14" s="48">
        <v>1.8162460002054617</v>
      </c>
      <c r="AH14" s="48">
        <v>5.5946790046245392</v>
      </c>
      <c r="AI14" s="48">
        <v>4.0053367423369011</v>
      </c>
      <c r="AJ14" s="48">
        <v>3.7875590371501504</v>
      </c>
      <c r="AK14" s="48">
        <v>9.1996634261862589</v>
      </c>
      <c r="AL14" s="48">
        <v>18.308902871150025</v>
      </c>
      <c r="AM14" s="38">
        <v>35.110680557683558</v>
      </c>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row>
    <row r="15" spans="1:131">
      <c r="A15" s="27" t="s">
        <v>6421</v>
      </c>
      <c r="B15" s="27"/>
      <c r="C15" s="48">
        <v>367.54737879417922</v>
      </c>
      <c r="D15" s="48">
        <v>2687.9999999999995</v>
      </c>
      <c r="E15" s="48">
        <v>537.59999999999991</v>
      </c>
      <c r="F15" s="48">
        <v>3225.5999999999995</v>
      </c>
      <c r="G15" s="48">
        <v>2914.6934385926788</v>
      </c>
      <c r="H15" s="48">
        <v>331.20923902760637</v>
      </c>
      <c r="I15" s="48">
        <v>76877.860189619401</v>
      </c>
      <c r="J15" s="48">
        <v>396.87095350375722</v>
      </c>
      <c r="K15" s="48">
        <v>555.44832193884758</v>
      </c>
      <c r="L15" s="50">
        <v>0.11363433102162757</v>
      </c>
      <c r="M15" s="48">
        <v>3.4917425323505462</v>
      </c>
      <c r="N15" s="48">
        <v>0.12840091690889488</v>
      </c>
      <c r="O15" s="48">
        <v>31.43032548611027</v>
      </c>
      <c r="P15" s="48">
        <v>22.951340476949472</v>
      </c>
      <c r="Q15" s="48">
        <v>18.59278943117755</v>
      </c>
      <c r="R15" s="48">
        <v>16.119548511305339</v>
      </c>
      <c r="S15" s="48">
        <v>5.9147835909452047</v>
      </c>
      <c r="T15" s="48">
        <v>3.8241154379283775</v>
      </c>
      <c r="U15" s="48">
        <v>11.118554553655841</v>
      </c>
      <c r="V15" s="48">
        <v>11.089280923936379</v>
      </c>
      <c r="W15" s="48">
        <v>6.4486720162192892</v>
      </c>
      <c r="X15" s="48">
        <v>14.648896864231796</v>
      </c>
      <c r="Y15" s="48">
        <v>22.745845945061578</v>
      </c>
      <c r="Z15" s="48">
        <v>39.691182383507027</v>
      </c>
      <c r="AA15" s="48"/>
      <c r="AB15" s="48">
        <v>29.822230069917083</v>
      </c>
      <c r="AC15" s="48">
        <v>21.122666190884164</v>
      </c>
      <c r="AD15" s="48">
        <v>15.597981510515879</v>
      </c>
      <c r="AE15" s="48">
        <v>14.548401133850328</v>
      </c>
      <c r="AF15" s="48">
        <v>5.7513757458159649</v>
      </c>
      <c r="AG15" s="48">
        <v>1.7767186721843402</v>
      </c>
      <c r="AH15" s="48">
        <v>5.4729208770561053</v>
      </c>
      <c r="AI15" s="48">
        <v>3.9181677909770678</v>
      </c>
      <c r="AJ15" s="48">
        <v>3.7051296259118818</v>
      </c>
      <c r="AK15" s="48">
        <v>8.99944929556208</v>
      </c>
      <c r="AL15" s="48">
        <v>17.910442525242626</v>
      </c>
      <c r="AM15" s="38">
        <v>34.34655973523364</v>
      </c>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row>
    <row r="16" spans="1:131">
      <c r="A16" s="27" t="s">
        <v>5812</v>
      </c>
      <c r="B16" s="27"/>
      <c r="C16" s="48">
        <v>440.16223485965639</v>
      </c>
      <c r="D16" s="48">
        <v>3967.9999999999968</v>
      </c>
      <c r="E16" s="48">
        <v>793.59999999999945</v>
      </c>
      <c r="F16" s="48">
        <v>4761.5999999999967</v>
      </c>
      <c r="G16" s="48">
        <v>4302.6426950653804</v>
      </c>
      <c r="H16" s="48">
        <v>473.09801445624703</v>
      </c>
      <c r="I16" s="48">
        <v>94764.186239874747</v>
      </c>
      <c r="J16" s="48">
        <v>483.96636851703289</v>
      </c>
      <c r="K16" s="48">
        <v>678.94099483691605</v>
      </c>
      <c r="L16" s="50">
        <v>0.10995521775462187</v>
      </c>
      <c r="M16" s="48">
        <v>4.1815679058488211</v>
      </c>
      <c r="N16" s="48">
        <v>0.23016913529853145</v>
      </c>
      <c r="O16" s="48">
        <v>49.031934421570497</v>
      </c>
      <c r="P16" s="48">
        <v>35.773689846450395</v>
      </c>
      <c r="Q16" s="48">
        <v>32.416473175360764</v>
      </c>
      <c r="R16" s="48">
        <v>25.98519093922561</v>
      </c>
      <c r="S16" s="48">
        <v>10.706186722393028</v>
      </c>
      <c r="T16" s="48">
        <v>2.9905247286866223</v>
      </c>
      <c r="U16" s="48">
        <v>0.72821736553320227</v>
      </c>
      <c r="V16" s="48">
        <v>0.61217255119940583</v>
      </c>
      <c r="W16" s="48">
        <v>5.8089897171977114</v>
      </c>
      <c r="X16" s="48">
        <v>19.952325877778836</v>
      </c>
      <c r="Y16" s="48">
        <v>31.560185456485716</v>
      </c>
      <c r="Z16" s="48">
        <v>57.141982146640657</v>
      </c>
      <c r="AA16" s="48"/>
      <c r="AB16" s="48">
        <v>31.166840265035603</v>
      </c>
      <c r="AC16" s="48">
        <v>23.349596706150486</v>
      </c>
      <c r="AD16" s="48">
        <v>18.086832853448971</v>
      </c>
      <c r="AE16" s="48">
        <v>15.511249325826599</v>
      </c>
      <c r="AF16" s="48">
        <v>6.0937286857110928</v>
      </c>
      <c r="AG16" s="48">
        <v>1.5127870153884453</v>
      </c>
      <c r="AH16" s="48">
        <v>0.40745203246324813</v>
      </c>
      <c r="AI16" s="48">
        <v>0.27244865670358764</v>
      </c>
      <c r="AJ16" s="48">
        <v>3.3358294511090372</v>
      </c>
      <c r="AK16" s="48">
        <v>10.286885728653738</v>
      </c>
      <c r="AL16" s="48">
        <v>20.649104009400226</v>
      </c>
      <c r="AM16" s="38">
        <v>36.781607181242912</v>
      </c>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row>
    <row r="17" spans="1:131">
      <c r="A17" s="27" t="s">
        <v>6422</v>
      </c>
      <c r="B17" s="27"/>
      <c r="C17" s="48">
        <v>264.76066179606534</v>
      </c>
      <c r="D17" s="48">
        <v>2687.9999999999973</v>
      </c>
      <c r="E17" s="48">
        <v>537.59999999999945</v>
      </c>
      <c r="F17" s="48">
        <v>3225.5999999999967</v>
      </c>
      <c r="G17" s="48">
        <v>2914.6934385926761</v>
      </c>
      <c r="H17" s="48">
        <v>287.4284948784059</v>
      </c>
      <c r="I17" s="48">
        <v>106723.77009604489</v>
      </c>
      <c r="J17" s="48">
        <v>548.79158554868684</v>
      </c>
      <c r="K17" s="48">
        <v>768.92167985978085</v>
      </c>
      <c r="L17" s="50">
        <v>9.86136281341434E-2</v>
      </c>
      <c r="M17" s="48">
        <v>2.5152423320703994</v>
      </c>
      <c r="N17" s="48">
        <v>0.13844834417949925</v>
      </c>
      <c r="O17" s="48">
        <v>29.493051376239588</v>
      </c>
      <c r="P17" s="48">
        <v>21.518124565260173</v>
      </c>
      <c r="Q17" s="48">
        <v>19.498735264599514</v>
      </c>
      <c r="R17" s="48">
        <v>15.630274033300704</v>
      </c>
      <c r="S17" s="48">
        <v>6.4398461690763114</v>
      </c>
      <c r="T17" s="48">
        <v>1.7988215334671365</v>
      </c>
      <c r="U17" s="48">
        <v>0.43802783692115765</v>
      </c>
      <c r="V17" s="48">
        <v>0.36822606973680638</v>
      </c>
      <c r="W17" s="48">
        <v>3.4941479302107457</v>
      </c>
      <c r="X17" s="48">
        <v>12.001463518231668</v>
      </c>
      <c r="Y17" s="48">
        <v>18.983672214700455</v>
      </c>
      <c r="Z17" s="48">
        <v>34.371301786731713</v>
      </c>
      <c r="AA17" s="48"/>
      <c r="AB17" s="48">
        <v>18.747072331850813</v>
      </c>
      <c r="AC17" s="48">
        <v>14.04494567454827</v>
      </c>
      <c r="AD17" s="48">
        <v>10.879356420936055</v>
      </c>
      <c r="AE17" s="48">
        <v>9.3301249210965285</v>
      </c>
      <c r="AF17" s="48">
        <v>3.6654204106105444</v>
      </c>
      <c r="AG17" s="48">
        <v>0.90995196686613788</v>
      </c>
      <c r="AH17" s="48">
        <v>0.24508524635130871</v>
      </c>
      <c r="AI17" s="48">
        <v>0.16387977191475858</v>
      </c>
      <c r="AJ17" s="48">
        <v>2.0065247383070859</v>
      </c>
      <c r="AK17" s="48">
        <v>6.187633689671852</v>
      </c>
      <c r="AL17" s="48">
        <v>12.420580436137914</v>
      </c>
      <c r="AM17" s="38">
        <v>22.124393889298112</v>
      </c>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row>
    <row r="18" spans="1:131">
      <c r="A18" s="27" t="s">
        <v>6388</v>
      </c>
      <c r="B18" s="27"/>
      <c r="C18" s="48">
        <v>365.50857691222126</v>
      </c>
      <c r="D18" s="48">
        <v>4223.9999999999964</v>
      </c>
      <c r="E18" s="48">
        <v>844.79999999999927</v>
      </c>
      <c r="F18" s="48">
        <v>5068.7999999999956</v>
      </c>
      <c r="G18" s="48">
        <v>4580.2325463599209</v>
      </c>
      <c r="H18" s="48">
        <v>392.82556402369994</v>
      </c>
      <c r="I18" s="48">
        <v>121481.93176507454</v>
      </c>
      <c r="J18" s="48">
        <v>628.78609411091497</v>
      </c>
      <c r="K18" s="48">
        <v>881.73835537497496</v>
      </c>
      <c r="L18" s="50">
        <v>8.5765419123946626E-2</v>
      </c>
      <c r="M18" s="48">
        <v>3.4723536311922429</v>
      </c>
      <c r="N18" s="48">
        <v>0.19113132938110153</v>
      </c>
      <c r="O18" s="48">
        <v>40.715879633326111</v>
      </c>
      <c r="P18" s="48">
        <v>29.706297885470235</v>
      </c>
      <c r="Q18" s="48">
        <v>26.918481506295386</v>
      </c>
      <c r="R18" s="48">
        <v>21.577976047892957</v>
      </c>
      <c r="S18" s="48">
        <v>8.8903653315603055</v>
      </c>
      <c r="T18" s="48">
        <v>2.4833171754309444</v>
      </c>
      <c r="U18" s="48">
        <v>0.60470815503668673</v>
      </c>
      <c r="V18" s="48">
        <v>0.50834510617423079</v>
      </c>
      <c r="W18" s="48">
        <v>4.8237567802872627</v>
      </c>
      <c r="X18" s="48">
        <v>16.568314271670957</v>
      </c>
      <c r="Y18" s="48">
        <v>26.2074243533499</v>
      </c>
      <c r="Z18" s="48">
        <v>47.450423780726091</v>
      </c>
      <c r="AA18" s="48"/>
      <c r="AB18" s="48">
        <v>25.880792421357739</v>
      </c>
      <c r="AC18" s="48">
        <v>19.389391428050459</v>
      </c>
      <c r="AD18" s="48">
        <v>15.019217946358337</v>
      </c>
      <c r="AE18" s="48">
        <v>12.880465924163673</v>
      </c>
      <c r="AF18" s="48">
        <v>5.0602026334985535</v>
      </c>
      <c r="AG18" s="48">
        <v>1.2562109726251693</v>
      </c>
      <c r="AH18" s="48">
        <v>0.33834618409077905</v>
      </c>
      <c r="AI18" s="48">
        <v>0.2262400381194129</v>
      </c>
      <c r="AJ18" s="48">
        <v>2.7700565358259328</v>
      </c>
      <c r="AK18" s="48">
        <v>8.542179827712177</v>
      </c>
      <c r="AL18" s="48">
        <v>17.14691543992814</v>
      </c>
      <c r="AM18" s="38">
        <v>30.543267533269834</v>
      </c>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row>
    <row r="19" spans="1:131">
      <c r="A19" s="27" t="s">
        <v>172</v>
      </c>
      <c r="B19" s="27"/>
      <c r="C19" s="48">
        <v>261.52488255554965</v>
      </c>
      <c r="D19" s="48">
        <v>3296.949955913165</v>
      </c>
      <c r="E19" s="48">
        <v>659.38999118263303</v>
      </c>
      <c r="F19" s="48">
        <v>3956.3399470957979</v>
      </c>
      <c r="G19" s="48">
        <v>3574.9994062010883</v>
      </c>
      <c r="H19" s="48">
        <v>238.72921859648545</v>
      </c>
      <c r="I19" s="48">
        <v>132520.99608226644</v>
      </c>
      <c r="J19" s="48">
        <v>698.47662841206227</v>
      </c>
      <c r="K19" s="48">
        <v>976.92508358126088</v>
      </c>
      <c r="L19" s="50">
        <v>6.6777414894780909E-2</v>
      </c>
      <c r="M19" s="48">
        <v>2.4845165776534026</v>
      </c>
      <c r="N19" s="48">
        <v>9.1362465499795931E-2</v>
      </c>
      <c r="O19" s="48">
        <v>22.363952664836315</v>
      </c>
      <c r="P19" s="48">
        <v>16.330810581260774</v>
      </c>
      <c r="Q19" s="48">
        <v>13.229524553599619</v>
      </c>
      <c r="R19" s="48">
        <v>11.4697132247223</v>
      </c>
      <c r="S19" s="48">
        <v>4.2086086671009992</v>
      </c>
      <c r="T19" s="48">
        <v>2.7210133944204355</v>
      </c>
      <c r="U19" s="48">
        <v>7.9113029818684311</v>
      </c>
      <c r="V19" s="48">
        <v>7.8904736058041163</v>
      </c>
      <c r="W19" s="48">
        <v>4.5884919577277579</v>
      </c>
      <c r="X19" s="48">
        <v>10.423284868892804</v>
      </c>
      <c r="Y19" s="48">
        <v>16.184592878677499</v>
      </c>
      <c r="Z19" s="48">
        <v>28.241887740819244</v>
      </c>
      <c r="AA19" s="48"/>
      <c r="AB19" s="48">
        <v>21.219727487016325</v>
      </c>
      <c r="AC19" s="48">
        <v>15.02963458195269</v>
      </c>
      <c r="AD19" s="48">
        <v>11.098597127870207</v>
      </c>
      <c r="AE19" s="48">
        <v>10.35177807656695</v>
      </c>
      <c r="AF19" s="48">
        <v>4.0923373508797223</v>
      </c>
      <c r="AG19" s="48">
        <v>1.264207470616902</v>
      </c>
      <c r="AH19" s="48">
        <v>3.8942054063985641</v>
      </c>
      <c r="AI19" s="48">
        <v>2.7879354621707972</v>
      </c>
      <c r="AJ19" s="48">
        <v>2.6363501583079119</v>
      </c>
      <c r="AK19" s="48">
        <v>6.4034735543698842</v>
      </c>
      <c r="AL19" s="48">
        <v>12.744007026519924</v>
      </c>
      <c r="AM19" s="38">
        <v>24.438971733149529</v>
      </c>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row>
    <row r="20" spans="1:131">
      <c r="A20" s="27" t="s">
        <v>6392</v>
      </c>
      <c r="B20" s="27"/>
      <c r="C20" s="48">
        <v>258.45844496592201</v>
      </c>
      <c r="D20" s="48">
        <v>4223.9999999999991</v>
      </c>
      <c r="E20" s="48">
        <v>844.79999999999984</v>
      </c>
      <c r="F20" s="48">
        <v>5068.7999999999993</v>
      </c>
      <c r="G20" s="48">
        <v>4580.2325463599236</v>
      </c>
      <c r="H20" s="48">
        <v>227.57781291041624</v>
      </c>
      <c r="I20" s="48">
        <v>171798.17051771912</v>
      </c>
      <c r="J20" s="48">
        <v>911.37294552386152</v>
      </c>
      <c r="K20" s="48">
        <v>1277.4212136241763</v>
      </c>
      <c r="L20" s="50">
        <v>4.9686955980276712E-2</v>
      </c>
      <c r="M20" s="48">
        <v>2.4553850665278776</v>
      </c>
      <c r="N20" s="48">
        <v>9.0291220210429929E-2</v>
      </c>
      <c r="O20" s="48">
        <v>22.101730330831288</v>
      </c>
      <c r="P20" s="48">
        <v>16.139328184074991</v>
      </c>
      <c r="Q20" s="48">
        <v>13.07440542693127</v>
      </c>
      <c r="R20" s="48">
        <v>11.335228278468412</v>
      </c>
      <c r="S20" s="48">
        <v>4.1592617916116668</v>
      </c>
      <c r="T20" s="48">
        <v>2.6891089053599777</v>
      </c>
      <c r="U20" s="48">
        <v>7.8185411895315902</v>
      </c>
      <c r="V20" s="48">
        <v>7.7979560425483028</v>
      </c>
      <c r="W20" s="48">
        <v>4.5346908659104548</v>
      </c>
      <c r="X20" s="48">
        <v>10.301069528551027</v>
      </c>
      <c r="Y20" s="48">
        <v>15.99482491667314</v>
      </c>
      <c r="Z20" s="48">
        <v>27.910745306782985</v>
      </c>
      <c r="AA20" s="48"/>
      <c r="AB20" s="48">
        <v>20.970921448478023</v>
      </c>
      <c r="AC20" s="48">
        <v>14.853408763628586</v>
      </c>
      <c r="AD20" s="48">
        <v>10.968463600641472</v>
      </c>
      <c r="AE20" s="48">
        <v>10.230401169317117</v>
      </c>
      <c r="AF20" s="48">
        <v>4.0443537825111973</v>
      </c>
      <c r="AG20" s="48">
        <v>1.2493843560011664</v>
      </c>
      <c r="AH20" s="48">
        <v>3.8485449792788797</v>
      </c>
      <c r="AI20" s="48">
        <v>2.7552462969368143</v>
      </c>
      <c r="AJ20" s="48">
        <v>2.6054383645777723</v>
      </c>
      <c r="AK20" s="48">
        <v>6.3283913984410489</v>
      </c>
      <c r="AL20" s="48">
        <v>12.59458070116712</v>
      </c>
      <c r="AM20" s="38">
        <v>24.152419337667776</v>
      </c>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row>
    <row r="21" spans="1:131">
      <c r="A21" s="27" t="s">
        <v>6423</v>
      </c>
      <c r="B21" s="27"/>
      <c r="C21" s="48">
        <v>123.3447862890545</v>
      </c>
      <c r="D21" s="48">
        <v>2687.9999999999995</v>
      </c>
      <c r="E21" s="48">
        <v>537.59999999999991</v>
      </c>
      <c r="F21" s="48">
        <v>3225.5999999999995</v>
      </c>
      <c r="G21" s="48">
        <v>2914.6934385926788</v>
      </c>
      <c r="H21" s="48">
        <v>109.12377224051619</v>
      </c>
      <c r="I21" s="48">
        <v>229083.50527100821</v>
      </c>
      <c r="J21" s="48">
        <v>1221.8799249282536</v>
      </c>
      <c r="K21" s="48">
        <v>1711.9155590488463</v>
      </c>
      <c r="L21" s="50">
        <v>3.7439193705807068E-2</v>
      </c>
      <c r="M21" s="48">
        <v>1.171789710056288</v>
      </c>
      <c r="N21" s="48">
        <v>4.3089910496450806E-2</v>
      </c>
      <c r="O21" s="48">
        <v>10.547665426966962</v>
      </c>
      <c r="P21" s="48">
        <v>7.7022129649356961</v>
      </c>
      <c r="Q21" s="48">
        <v>6.2395320201432085</v>
      </c>
      <c r="R21" s="48">
        <v>5.4095400509342202</v>
      </c>
      <c r="S21" s="48">
        <v>1.9849351677180194</v>
      </c>
      <c r="T21" s="48">
        <v>1.2833303368491327</v>
      </c>
      <c r="U21" s="48">
        <v>3.7312624559127783</v>
      </c>
      <c r="V21" s="48">
        <v>3.721438553444754</v>
      </c>
      <c r="W21" s="48">
        <v>2.1641021473157926</v>
      </c>
      <c r="X21" s="48">
        <v>4.9160058194861662</v>
      </c>
      <c r="Y21" s="48">
        <v>7.6332513001771636</v>
      </c>
      <c r="Z21" s="48">
        <v>13.319916536243548</v>
      </c>
      <c r="AA21" s="48"/>
      <c r="AB21" s="48">
        <v>10.008006605039055</v>
      </c>
      <c r="AC21" s="48">
        <v>7.0885303432638835</v>
      </c>
      <c r="AD21" s="48">
        <v>5.2345080034772193</v>
      </c>
      <c r="AE21" s="48">
        <v>4.8822805772397615</v>
      </c>
      <c r="AF21" s="48">
        <v>1.9300973239506511</v>
      </c>
      <c r="AG21" s="48">
        <v>0.59624689920335439</v>
      </c>
      <c r="AH21" s="48">
        <v>1.8366509867981153</v>
      </c>
      <c r="AI21" s="48">
        <v>1.3148932537847196</v>
      </c>
      <c r="AJ21" s="48">
        <v>1.2434000301693431</v>
      </c>
      <c r="AK21" s="48">
        <v>3.0201144508825055</v>
      </c>
      <c r="AL21" s="48">
        <v>6.0105440361623144</v>
      </c>
      <c r="AM21" s="38">
        <v>11.526320998956148</v>
      </c>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row>
    <row r="22" spans="1:131">
      <c r="A22" s="27" t="s">
        <v>5813</v>
      </c>
      <c r="B22" s="27"/>
      <c r="C22" s="48">
        <v>176.68277392664916</v>
      </c>
      <c r="D22" s="48">
        <v>3967.9999999999995</v>
      </c>
      <c r="E22" s="48">
        <v>793.59999999999991</v>
      </c>
      <c r="F22" s="48">
        <v>4761.5999999999995</v>
      </c>
      <c r="G22" s="48">
        <v>4302.6426950653822</v>
      </c>
      <c r="H22" s="48">
        <v>159.58416895813619</v>
      </c>
      <c r="I22" s="48">
        <v>236081.96245162419</v>
      </c>
      <c r="J22" s="48">
        <v>1259.8140630283938</v>
      </c>
      <c r="K22" s="48">
        <v>1763.6719906342573</v>
      </c>
      <c r="L22" s="50">
        <v>3.7089802771947622E-2</v>
      </c>
      <c r="M22" s="48">
        <v>1.6785067505510027</v>
      </c>
      <c r="N22" s="48">
        <v>6.1723281087232761E-2</v>
      </c>
      <c r="O22" s="48">
        <v>15.108792533147469</v>
      </c>
      <c r="P22" s="48">
        <v>11.032881023682151</v>
      </c>
      <c r="Q22" s="48">
        <v>8.937692937742586</v>
      </c>
      <c r="R22" s="48">
        <v>7.7487875298315663</v>
      </c>
      <c r="S22" s="48">
        <v>2.8432807096938428</v>
      </c>
      <c r="T22" s="48">
        <v>1.8382808921275557</v>
      </c>
      <c r="U22" s="48">
        <v>5.3447723312285014</v>
      </c>
      <c r="V22" s="48">
        <v>5.3307002784806228</v>
      </c>
      <c r="W22" s="48">
        <v>3.0999248687522551</v>
      </c>
      <c r="X22" s="48">
        <v>7.0418342838658141</v>
      </c>
      <c r="Y22" s="48">
        <v>10.934098265280157</v>
      </c>
      <c r="Z22" s="48">
        <v>19.079848227875953</v>
      </c>
      <c r="AA22" s="48"/>
      <c r="AB22" s="48">
        <v>14.335769039403971</v>
      </c>
      <c r="AC22" s="48">
        <v>10.153823617449683</v>
      </c>
      <c r="AD22" s="48">
        <v>7.4980663716766385</v>
      </c>
      <c r="AE22" s="48">
        <v>6.9935252346492627</v>
      </c>
      <c r="AF22" s="48">
        <v>2.7647293363891845</v>
      </c>
      <c r="AG22" s="48">
        <v>0.85408195405629561</v>
      </c>
      <c r="AH22" s="48">
        <v>2.630873998371869</v>
      </c>
      <c r="AI22" s="48">
        <v>1.8834925616692848</v>
      </c>
      <c r="AJ22" s="48">
        <v>1.7810835223790376</v>
      </c>
      <c r="AK22" s="48">
        <v>4.3261025845664891</v>
      </c>
      <c r="AL22" s="48">
        <v>8.6096836766879452</v>
      </c>
      <c r="AM22" s="38">
        <v>16.510648147641042</v>
      </c>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row>
    <row r="23" spans="1:131">
      <c r="A23" s="27" t="s">
        <v>6391</v>
      </c>
      <c r="B23" s="27"/>
      <c r="C23" s="48">
        <v>136.2385033530833</v>
      </c>
      <c r="D23" s="48">
        <v>4223.9999999999991</v>
      </c>
      <c r="E23" s="48">
        <v>844.79999999999984</v>
      </c>
      <c r="F23" s="48">
        <v>5068.7999999999993</v>
      </c>
      <c r="G23" s="48">
        <v>4580.2325463599236</v>
      </c>
      <c r="H23" s="48">
        <v>120.38532732044305</v>
      </c>
      <c r="I23" s="48">
        <v>325918.78879440937</v>
      </c>
      <c r="J23" s="48">
        <v>1746.7617557862425</v>
      </c>
      <c r="K23" s="48">
        <v>2446.9851682769763</v>
      </c>
      <c r="L23" s="50">
        <v>2.6283671429765641E-2</v>
      </c>
      <c r="M23" s="48">
        <v>1.2942815107603658</v>
      </c>
      <c r="N23" s="48">
        <v>4.7594268815687395E-2</v>
      </c>
      <c r="O23" s="48">
        <v>11.650254501000802</v>
      </c>
      <c r="P23" s="48">
        <v>8.5073556687711474</v>
      </c>
      <c r="Q23" s="48">
        <v>6.8917749150406129</v>
      </c>
      <c r="R23" s="48">
        <v>5.9750206112541608</v>
      </c>
      <c r="S23" s="48">
        <v>2.1924282706937697</v>
      </c>
      <c r="T23" s="48">
        <v>1.4174819192617072</v>
      </c>
      <c r="U23" s="48">
        <v>4.1213060389907756</v>
      </c>
      <c r="V23" s="48">
        <v>4.1104552052458141</v>
      </c>
      <c r="W23" s="48">
        <v>2.3903242814217007</v>
      </c>
      <c r="X23" s="48">
        <v>5.4298952997681429</v>
      </c>
      <c r="Y23" s="48">
        <v>8.4311851691650919</v>
      </c>
      <c r="Z23" s="48">
        <v>14.71229995431789</v>
      </c>
      <c r="AA23" s="48"/>
      <c r="AB23" s="48">
        <v>11.05418301364625</v>
      </c>
      <c r="AC23" s="48">
        <v>7.8295223818867443</v>
      </c>
      <c r="AD23" s="48">
        <v>5.781691773434579</v>
      </c>
      <c r="AE23" s="48">
        <v>5.3926446249151105</v>
      </c>
      <c r="AF23" s="48">
        <v>2.1318580108007548</v>
      </c>
      <c r="AG23" s="48">
        <v>0.65857493956832258</v>
      </c>
      <c r="AH23" s="48">
        <v>2.0286433594116442</v>
      </c>
      <c r="AI23" s="48">
        <v>1.4523442324095444</v>
      </c>
      <c r="AJ23" s="48">
        <v>1.3733775401131993</v>
      </c>
      <c r="AK23" s="48">
        <v>3.3358189277576606</v>
      </c>
      <c r="AL23" s="48">
        <v>6.6388499138144752</v>
      </c>
      <c r="AM23" s="38">
        <v>12.731212800393422</v>
      </c>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row>
    <row r="24" spans="1:131">
      <c r="A24" s="27"/>
      <c r="B24" s="27"/>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EA156"/>
  <sheetViews>
    <sheetView topLeftCell="A4" workbookViewId="0">
      <selection activeCell="A30" sqref="A30:EA156"/>
    </sheetView>
  </sheetViews>
  <sheetFormatPr defaultRowHeight="12.75"/>
  <cols>
    <col min="1" max="1" width="84.42578125" bestFit="1" customWidth="1"/>
    <col min="2" max="2" width="95.7109375" bestFit="1" customWidth="1"/>
    <col min="7" max="7" width="28.28515625" customWidth="1"/>
    <col min="15" max="15" width="9.85546875" customWidth="1"/>
  </cols>
  <sheetData>
    <row r="1" spans="1:20">
      <c r="A1" s="1" t="s">
        <v>0</v>
      </c>
      <c r="B1" s="32"/>
      <c r="C1" s="32"/>
      <c r="D1" s="32" t="s">
        <v>59</v>
      </c>
      <c r="E1" s="32" t="s">
        <v>59</v>
      </c>
      <c r="F1" s="32" t="s">
        <v>59</v>
      </c>
      <c r="G1" s="32" t="s">
        <v>59</v>
      </c>
      <c r="H1" s="2"/>
      <c r="I1" s="3"/>
      <c r="J1" s="3"/>
      <c r="K1" s="3"/>
      <c r="L1" s="3"/>
      <c r="M1" s="3"/>
      <c r="N1" s="4"/>
      <c r="O1" s="33" t="s">
        <v>59</v>
      </c>
      <c r="P1" s="4"/>
    </row>
    <row r="2" spans="1:20">
      <c r="A2" s="8" t="s">
        <v>28</v>
      </c>
      <c r="B2" s="2"/>
      <c r="C2" s="2"/>
      <c r="D2" s="2"/>
      <c r="E2" s="2"/>
      <c r="F2" s="2"/>
      <c r="G2" s="2"/>
      <c r="H2" s="2"/>
      <c r="I2" s="3"/>
      <c r="J2" s="3"/>
      <c r="K2" s="3"/>
      <c r="L2" s="3"/>
      <c r="M2" s="3"/>
      <c r="N2" s="4"/>
      <c r="O2" s="4"/>
      <c r="P2" s="4"/>
    </row>
    <row r="3" spans="1:20">
      <c r="A3" s="8" t="s">
        <v>1</v>
      </c>
      <c r="B3" s="27"/>
      <c r="C3" s="8">
        <v>2012</v>
      </c>
      <c r="D3" s="27"/>
      <c r="E3" s="27"/>
      <c r="F3" s="27"/>
      <c r="G3" s="27"/>
      <c r="H3" s="27"/>
      <c r="I3" s="27"/>
      <c r="J3" s="34"/>
      <c r="K3" s="35"/>
      <c r="L3" s="27"/>
      <c r="M3" s="27"/>
      <c r="N3" s="27"/>
      <c r="O3" s="27"/>
      <c r="P3" s="27"/>
    </row>
    <row r="4" spans="1:20">
      <c r="A4" s="27"/>
      <c r="B4" s="27"/>
      <c r="C4" s="27"/>
      <c r="D4" s="27"/>
      <c r="E4" s="27"/>
      <c r="F4" s="27"/>
      <c r="G4" s="27"/>
      <c r="H4" s="27"/>
      <c r="I4" s="27"/>
      <c r="J4" s="27"/>
      <c r="K4" s="27"/>
      <c r="L4" s="27"/>
      <c r="M4" s="27"/>
      <c r="N4" s="27"/>
      <c r="O4" s="27"/>
      <c r="P4" s="27"/>
    </row>
    <row r="5" spans="1:20">
      <c r="A5" s="11">
        <v>1</v>
      </c>
      <c r="B5" s="11">
        <v>2</v>
      </c>
      <c r="C5" s="11">
        <v>3</v>
      </c>
      <c r="D5" s="11">
        <v>4</v>
      </c>
      <c r="E5" s="11">
        <v>5</v>
      </c>
      <c r="F5" s="11">
        <v>6</v>
      </c>
      <c r="G5" s="11">
        <v>7</v>
      </c>
      <c r="H5" s="11">
        <v>8</v>
      </c>
      <c r="I5" s="11">
        <v>9</v>
      </c>
      <c r="J5" s="11">
        <v>10</v>
      </c>
      <c r="K5" s="11">
        <v>11</v>
      </c>
      <c r="L5" s="11">
        <v>12</v>
      </c>
      <c r="M5" s="11">
        <v>13</v>
      </c>
      <c r="N5" s="11">
        <v>14</v>
      </c>
      <c r="O5" s="11">
        <v>15</v>
      </c>
      <c r="P5" s="11">
        <v>16</v>
      </c>
    </row>
    <row r="6" spans="1:20">
      <c r="A6" s="12" t="s">
        <v>2</v>
      </c>
      <c r="B6" s="13"/>
      <c r="C6" s="13"/>
      <c r="D6" s="13"/>
      <c r="E6" s="13"/>
      <c r="F6" s="13"/>
      <c r="G6" s="14"/>
      <c r="H6" s="28"/>
      <c r="I6" s="393" t="s">
        <v>3</v>
      </c>
      <c r="J6" s="394"/>
      <c r="K6" s="394"/>
      <c r="L6" s="394"/>
      <c r="M6" s="394"/>
      <c r="N6" s="395"/>
      <c r="O6" s="396" t="s">
        <v>4</v>
      </c>
      <c r="P6" s="397"/>
      <c r="Q6" s="107" t="s">
        <v>208</v>
      </c>
      <c r="R6" s="398" t="s">
        <v>209</v>
      </c>
      <c r="S6" s="398"/>
      <c r="T6" s="398"/>
    </row>
    <row r="7" spans="1:20" ht="38.25">
      <c r="A7" s="29" t="s">
        <v>5</v>
      </c>
      <c r="B7" s="29" t="s">
        <v>6</v>
      </c>
      <c r="C7" s="29" t="s">
        <v>7</v>
      </c>
      <c r="D7" s="29" t="s">
        <v>8</v>
      </c>
      <c r="E7" s="29" t="s">
        <v>9</v>
      </c>
      <c r="F7" s="29" t="s">
        <v>10</v>
      </c>
      <c r="G7" s="29" t="s">
        <v>11</v>
      </c>
      <c r="H7" s="29" t="s">
        <v>12</v>
      </c>
      <c r="I7" s="29" t="s">
        <v>13</v>
      </c>
      <c r="J7" s="29" t="s">
        <v>14</v>
      </c>
      <c r="K7" s="29" t="s">
        <v>15</v>
      </c>
      <c r="L7" s="29" t="s">
        <v>16</v>
      </c>
      <c r="M7" s="29" t="s">
        <v>17</v>
      </c>
      <c r="N7" s="29" t="s">
        <v>18</v>
      </c>
      <c r="O7" s="30" t="s">
        <v>19</v>
      </c>
      <c r="P7" s="29" t="s">
        <v>11</v>
      </c>
      <c r="Q7" s="108" t="s">
        <v>210</v>
      </c>
      <c r="R7" s="109" t="s">
        <v>211</v>
      </c>
      <c r="S7" s="109" t="s">
        <v>212</v>
      </c>
      <c r="T7" s="109" t="s">
        <v>213</v>
      </c>
    </row>
    <row r="8" spans="1:20">
      <c r="A8" s="54" t="str">
        <f>Segmented!F86</f>
        <v>Attic R0 - R30_Electric FAF</v>
      </c>
      <c r="B8" s="54" t="str">
        <f>Segmented!G86</f>
        <v>Attic R0 - R30</v>
      </c>
      <c r="C8" s="54">
        <f>Segmented!H86</f>
        <v>610.60803932916519</v>
      </c>
      <c r="D8" s="54">
        <f>Segmented!I86</f>
        <v>25</v>
      </c>
      <c r="E8" s="54">
        <f>Segmented!J86</f>
        <v>2687.9999999999973</v>
      </c>
      <c r="F8" s="54">
        <f>Segmented!K86</f>
        <v>0</v>
      </c>
      <c r="G8" s="54" t="s">
        <v>5851</v>
      </c>
      <c r="H8" s="54">
        <f>Segmented!M86</f>
        <v>7.3639999610412943</v>
      </c>
      <c r="I8" s="54">
        <f>Segmented!N86</f>
        <v>0</v>
      </c>
      <c r="J8" s="54">
        <f>Segmented!O86</f>
        <v>0</v>
      </c>
      <c r="K8" s="54">
        <f>Segmented!P86</f>
        <v>0</v>
      </c>
      <c r="L8" s="54">
        <f>Segmented!Q86</f>
        <v>0</v>
      </c>
      <c r="M8" s="54">
        <f>Segmented!R86</f>
        <v>0</v>
      </c>
      <c r="N8" s="54">
        <f>Segmented!S86</f>
        <v>0</v>
      </c>
      <c r="O8" s="54">
        <f>Segmented!T86</f>
        <v>0</v>
      </c>
      <c r="P8" s="54"/>
      <c r="Q8" t="s">
        <v>214</v>
      </c>
    </row>
    <row r="9" spans="1:20">
      <c r="A9" s="54" t="str">
        <f>Segmented!F87</f>
        <v>Attic R0 - R22_Electric FAF</v>
      </c>
      <c r="B9" s="54" t="str">
        <f>Segmented!G87</f>
        <v>Attic R0 - R22</v>
      </c>
      <c r="C9" s="54">
        <f>Segmented!H87</f>
        <v>925.26148639853386</v>
      </c>
      <c r="D9" s="54">
        <f>Segmented!I87</f>
        <v>25</v>
      </c>
      <c r="E9" s="54">
        <f>Segmented!J87</f>
        <v>2687.9999999999973</v>
      </c>
      <c r="F9" s="54">
        <f>Segmented!K87</f>
        <v>0</v>
      </c>
      <c r="G9" s="54" t="s">
        <v>5851</v>
      </c>
      <c r="H9" s="54">
        <f>Segmented!M87</f>
        <v>10.088834244336626</v>
      </c>
      <c r="I9" s="54">
        <f>Segmented!N87</f>
        <v>0</v>
      </c>
      <c r="J9" s="54">
        <f>Segmented!O87</f>
        <v>0</v>
      </c>
      <c r="K9" s="54">
        <f>Segmented!P87</f>
        <v>0</v>
      </c>
      <c r="L9" s="54">
        <f>Segmented!Q87</f>
        <v>0</v>
      </c>
      <c r="M9" s="54">
        <f>Segmented!R87</f>
        <v>0</v>
      </c>
      <c r="N9" s="54">
        <f>Segmented!S87</f>
        <v>0</v>
      </c>
      <c r="O9" s="54">
        <f>Segmented!T87</f>
        <v>0</v>
      </c>
      <c r="P9" s="54"/>
      <c r="Q9" t="s">
        <v>214</v>
      </c>
    </row>
    <row r="10" spans="1:20">
      <c r="A10" s="54" t="str">
        <f>Segmented!F88</f>
        <v>Attic R11 - R30_Electric FAF</v>
      </c>
      <c r="B10" s="54" t="str">
        <f>Segmented!G88</f>
        <v>Attic R11 - R30</v>
      </c>
      <c r="C10" s="54">
        <f>Segmented!H88</f>
        <v>245.51686019655438</v>
      </c>
      <c r="D10" s="54">
        <f>Segmented!I88</f>
        <v>25</v>
      </c>
      <c r="E10" s="54">
        <f>Segmented!J88</f>
        <v>2687.9999999999973</v>
      </c>
      <c r="F10" s="54">
        <f>Segmented!K88</f>
        <v>0</v>
      </c>
      <c r="G10" s="54" t="s">
        <v>5851</v>
      </c>
      <c r="H10" s="54">
        <f>Segmented!M88</f>
        <v>3.0274534356921809</v>
      </c>
      <c r="I10" s="54">
        <f>Segmented!N88</f>
        <v>0</v>
      </c>
      <c r="J10" s="54">
        <f>Segmented!O88</f>
        <v>0</v>
      </c>
      <c r="K10" s="54">
        <f>Segmented!P88</f>
        <v>0</v>
      </c>
      <c r="L10" s="54">
        <f>Segmented!Q88</f>
        <v>0</v>
      </c>
      <c r="M10" s="54">
        <f>Segmented!R88</f>
        <v>0</v>
      </c>
      <c r="N10" s="54">
        <f>Segmented!S88</f>
        <v>0</v>
      </c>
      <c r="O10" s="54">
        <f>Segmented!T88</f>
        <v>0</v>
      </c>
      <c r="P10" s="54"/>
      <c r="Q10" t="s">
        <v>214</v>
      </c>
    </row>
    <row r="11" spans="1:20">
      <c r="A11" s="54" t="str">
        <f>Segmented!F89</f>
        <v>Floor R0 - R22_Electric FAF</v>
      </c>
      <c r="B11" s="54" t="str">
        <f>Segmented!G89</f>
        <v>Floor R0 - R22</v>
      </c>
      <c r="C11" s="54">
        <f>Segmented!H89</f>
        <v>799.10533088738805</v>
      </c>
      <c r="D11" s="54">
        <f>Segmented!I89</f>
        <v>25</v>
      </c>
      <c r="E11" s="54">
        <f>Segmented!J89</f>
        <v>4223.9999999999964</v>
      </c>
      <c r="F11" s="54">
        <f>Segmented!K89</f>
        <v>0</v>
      </c>
      <c r="G11" s="54" t="s">
        <v>5851</v>
      </c>
      <c r="H11" s="54">
        <f>Segmented!M89</f>
        <v>9.0480130874104745</v>
      </c>
      <c r="I11" s="54">
        <f>Segmented!N89</f>
        <v>0</v>
      </c>
      <c r="J11" s="54">
        <f>Segmented!O89</f>
        <v>0</v>
      </c>
      <c r="K11" s="54">
        <f>Segmented!P89</f>
        <v>0</v>
      </c>
      <c r="L11" s="54">
        <f>Segmented!Q89</f>
        <v>0</v>
      </c>
      <c r="M11" s="54">
        <f>Segmented!R89</f>
        <v>0</v>
      </c>
      <c r="N11" s="54">
        <f>Segmented!S89</f>
        <v>0</v>
      </c>
      <c r="O11" s="54">
        <f>Segmented!T89</f>
        <v>0</v>
      </c>
      <c r="P11" s="54"/>
      <c r="Q11" t="s">
        <v>214</v>
      </c>
    </row>
    <row r="12" spans="1:20">
      <c r="A12" s="54" t="str">
        <f>Segmented!F90</f>
        <v>Floor R11 - R22_Electric FAF</v>
      </c>
      <c r="B12" s="54" t="str">
        <f>Segmented!G90</f>
        <v>Floor R11 - R22</v>
      </c>
      <c r="C12" s="54">
        <f>Segmented!H90</f>
        <v>338.94203757324567</v>
      </c>
      <c r="D12" s="54">
        <f>Segmented!I90</f>
        <v>25</v>
      </c>
      <c r="E12" s="54">
        <f>Segmented!J90</f>
        <v>4223.9999999999964</v>
      </c>
      <c r="F12" s="54">
        <f>Segmented!K90</f>
        <v>0</v>
      </c>
      <c r="G12" s="54" t="s">
        <v>5851</v>
      </c>
      <c r="H12" s="54">
        <f>Segmented!M90</f>
        <v>3.886874923502873</v>
      </c>
      <c r="I12" s="54">
        <f>Segmented!N90</f>
        <v>0</v>
      </c>
      <c r="J12" s="54">
        <f>Segmented!O90</f>
        <v>0</v>
      </c>
      <c r="K12" s="54">
        <f>Segmented!P90</f>
        <v>0</v>
      </c>
      <c r="L12" s="54">
        <f>Segmented!Q90</f>
        <v>0</v>
      </c>
      <c r="M12" s="54">
        <f>Segmented!R90</f>
        <v>0</v>
      </c>
      <c r="N12" s="54">
        <f>Segmented!S90</f>
        <v>0</v>
      </c>
      <c r="O12" s="54">
        <f>Segmented!T90</f>
        <v>0</v>
      </c>
      <c r="P12" s="54"/>
      <c r="Q12" t="s">
        <v>214</v>
      </c>
    </row>
    <row r="13" spans="1:20">
      <c r="A13" s="54" t="str">
        <f>Segmented!F91</f>
        <v>WINDOW CL30 Prime Window Replacement of Double Pane Base_Electric FAF</v>
      </c>
      <c r="B13" s="54" t="str">
        <f>Segmented!G91</f>
        <v>WINDOW CL30 Prime Window Replacement of Double Pane Base</v>
      </c>
      <c r="C13" s="54">
        <f>Segmented!H91</f>
        <v>824.59798710575876</v>
      </c>
      <c r="D13" s="54">
        <f>Segmented!I91</f>
        <v>25</v>
      </c>
      <c r="E13" s="54">
        <f>Segmented!J91</f>
        <v>3296.9499559131623</v>
      </c>
      <c r="F13" s="54">
        <f>Segmented!K91</f>
        <v>0</v>
      </c>
      <c r="G13" s="54" t="s">
        <v>5851</v>
      </c>
      <c r="H13" s="54">
        <f>Segmented!M91</f>
        <v>10.244536891603387</v>
      </c>
      <c r="I13" s="54">
        <f>Segmented!N91</f>
        <v>0</v>
      </c>
      <c r="J13" s="54">
        <f>Segmented!O91</f>
        <v>0</v>
      </c>
      <c r="K13" s="54">
        <f>Segmented!P91</f>
        <v>0</v>
      </c>
      <c r="L13" s="54">
        <f>Segmented!Q91</f>
        <v>0</v>
      </c>
      <c r="M13" s="54">
        <f>Segmented!R91</f>
        <v>0</v>
      </c>
      <c r="N13" s="54">
        <f>Segmented!S91</f>
        <v>0</v>
      </c>
      <c r="O13" s="54">
        <f>Segmented!T91</f>
        <v>0</v>
      </c>
      <c r="P13" s="54"/>
      <c r="Q13" t="s">
        <v>214</v>
      </c>
    </row>
    <row r="14" spans="1:20">
      <c r="A14" s="54" t="str">
        <f>Segmented!F92</f>
        <v>WINDOW CL30 Prime Window Replacement of Single Pane Base_Electric FAF</v>
      </c>
      <c r="B14" s="54" t="str">
        <f>Segmented!G92</f>
        <v>WINDOW CL30 Prime Window Replacement of Single Pane Base</v>
      </c>
      <c r="C14" s="54">
        <f>Segmented!H92</f>
        <v>1660.6183472547423</v>
      </c>
      <c r="D14" s="54">
        <f>Segmented!I92</f>
        <v>25</v>
      </c>
      <c r="E14" s="54">
        <f>Segmented!J92</f>
        <v>3296.9499559131623</v>
      </c>
      <c r="F14" s="54">
        <f>Segmented!K92</f>
        <v>0</v>
      </c>
      <c r="G14" s="54" t="s">
        <v>5851</v>
      </c>
      <c r="H14" s="54">
        <f>Segmented!M92</f>
        <v>18.282382705100755</v>
      </c>
      <c r="I14" s="54">
        <f>Segmented!N92</f>
        <v>0</v>
      </c>
      <c r="J14" s="54">
        <f>Segmented!O92</f>
        <v>0</v>
      </c>
      <c r="K14" s="54">
        <f>Segmented!P92</f>
        <v>0</v>
      </c>
      <c r="L14" s="54">
        <f>Segmented!Q92</f>
        <v>0</v>
      </c>
      <c r="M14" s="54">
        <f>Segmented!R92</f>
        <v>0</v>
      </c>
      <c r="N14" s="54">
        <f>Segmented!S92</f>
        <v>0</v>
      </c>
      <c r="O14" s="54">
        <f>Segmented!T92</f>
        <v>0</v>
      </c>
      <c r="P14" s="54"/>
      <c r="Q14" t="s">
        <v>214</v>
      </c>
    </row>
    <row r="15" spans="1:20">
      <c r="A15" s="54" t="str">
        <f>Segmented!F93</f>
        <v>WINDOW CL22 Prime Window Replacement of Double Pane Base_Electric FAF</v>
      </c>
      <c r="B15" s="54" t="str">
        <f>Segmented!G93</f>
        <v>WINDOW CL22 Prime Window Replacement of Double Pane Base</v>
      </c>
      <c r="C15" s="54">
        <f>Segmented!H93</f>
        <v>877.85588979307215</v>
      </c>
      <c r="D15" s="54">
        <f>Segmented!I93</f>
        <v>25</v>
      </c>
      <c r="E15" s="54">
        <f>Segmented!J93</f>
        <v>3514.5499559131631</v>
      </c>
      <c r="F15" s="54">
        <f>Segmented!K93</f>
        <v>0</v>
      </c>
      <c r="G15" s="54" t="s">
        <v>5851</v>
      </c>
      <c r="H15" s="54">
        <f>Segmented!M93</f>
        <v>10.767100156848006</v>
      </c>
      <c r="I15" s="54">
        <f>Segmented!N93</f>
        <v>0</v>
      </c>
      <c r="J15" s="54">
        <f>Segmented!O93</f>
        <v>0</v>
      </c>
      <c r="K15" s="54">
        <f>Segmented!P93</f>
        <v>0</v>
      </c>
      <c r="L15" s="54">
        <f>Segmented!Q93</f>
        <v>0</v>
      </c>
      <c r="M15" s="54">
        <f>Segmented!R93</f>
        <v>0</v>
      </c>
      <c r="N15" s="54">
        <f>Segmented!S93</f>
        <v>0</v>
      </c>
      <c r="O15" s="54">
        <f>Segmented!T93</f>
        <v>0</v>
      </c>
      <c r="P15" s="54"/>
      <c r="Q15" t="s">
        <v>214</v>
      </c>
    </row>
    <row r="16" spans="1:20">
      <c r="A16" s="54" t="str">
        <f>Segmented!F94</f>
        <v>WINDOW CL22 Prime Window Replacement of Single Pane Base_Electric FAF</v>
      </c>
      <c r="B16" s="54" t="str">
        <f>Segmented!G94</f>
        <v>WINDOW CL22 Prime Window Replacement of Single Pane Base</v>
      </c>
      <c r="C16" s="54">
        <f>Segmented!H94</f>
        <v>1720.6730793576351</v>
      </c>
      <c r="D16" s="54">
        <f>Segmented!I94</f>
        <v>25</v>
      </c>
      <c r="E16" s="54">
        <f>Segmented!J94</f>
        <v>3514.5499559131631</v>
      </c>
      <c r="F16" s="54">
        <f>Segmented!K94</f>
        <v>0</v>
      </c>
      <c r="G16" s="54" t="s">
        <v>5851</v>
      </c>
      <c r="H16" s="54">
        <f>Segmented!M94</f>
        <v>19.012602229899393</v>
      </c>
      <c r="I16" s="54">
        <f>Segmented!N94</f>
        <v>0</v>
      </c>
      <c r="J16" s="54">
        <f>Segmented!O94</f>
        <v>0</v>
      </c>
      <c r="K16" s="54">
        <f>Segmented!P94</f>
        <v>0</v>
      </c>
      <c r="L16" s="54">
        <f>Segmented!Q94</f>
        <v>0</v>
      </c>
      <c r="M16" s="54">
        <f>Segmented!R94</f>
        <v>0</v>
      </c>
      <c r="N16" s="54">
        <f>Segmented!S94</f>
        <v>0</v>
      </c>
      <c r="O16" s="54">
        <f>Segmented!T94</f>
        <v>0</v>
      </c>
      <c r="P16" s="54"/>
      <c r="Q16" t="s">
        <v>214</v>
      </c>
    </row>
    <row r="17" spans="1:131">
      <c r="A17" s="54" t="str">
        <f>Segmented!F95</f>
        <v>CFM50 Infiltration Reduction_Electric FAF</v>
      </c>
      <c r="B17" s="54" t="str">
        <f>Segmented!G95</f>
        <v>Infiltration</v>
      </c>
      <c r="C17" s="54">
        <f>Segmented!H95</f>
        <v>408.16958662492357</v>
      </c>
      <c r="D17" s="54">
        <f>Segmented!I95</f>
        <v>25</v>
      </c>
      <c r="E17" s="54">
        <f>Segmented!J95</f>
        <v>3967.9999999999968</v>
      </c>
      <c r="F17" s="54">
        <f>Segmented!K95</f>
        <v>0</v>
      </c>
      <c r="G17" s="54" t="s">
        <v>5851</v>
      </c>
      <c r="H17" s="54">
        <f>Segmented!M95</f>
        <v>4.6836531899499807</v>
      </c>
      <c r="I17" s="54">
        <f>Segmented!N95</f>
        <v>0</v>
      </c>
      <c r="J17" s="54">
        <f>Segmented!O95</f>
        <v>0</v>
      </c>
      <c r="K17" s="54">
        <f>Segmented!P95</f>
        <v>0</v>
      </c>
      <c r="L17" s="54">
        <f>Segmented!Q95</f>
        <v>0</v>
      </c>
      <c r="M17" s="54">
        <f>Segmented!R95</f>
        <v>0</v>
      </c>
      <c r="N17" s="54">
        <f>Segmented!S95</f>
        <v>0</v>
      </c>
      <c r="O17" s="54">
        <f>Segmented!T95</f>
        <v>0</v>
      </c>
      <c r="P17" s="54"/>
      <c r="Q17" t="s">
        <v>214</v>
      </c>
    </row>
    <row r="18" spans="1:131">
      <c r="A18" s="54" t="str">
        <f>Segmented!F96</f>
        <v>Attic R0 - R30_Heat Pump</v>
      </c>
      <c r="B18" s="54" t="str">
        <f>Segmented!G96</f>
        <v>Attic R0 - R30</v>
      </c>
      <c r="C18" s="54">
        <f>Segmented!H96</f>
        <v>348.81230203688159</v>
      </c>
      <c r="D18" s="54">
        <f>Segmented!I96</f>
        <v>25</v>
      </c>
      <c r="E18" s="54">
        <f>Segmented!J96</f>
        <v>2687.9999999999995</v>
      </c>
      <c r="F18" s="54">
        <f>Segmented!K96</f>
        <v>0</v>
      </c>
      <c r="G18" s="54" t="s">
        <v>6424</v>
      </c>
      <c r="H18" s="54">
        <f>Segmented!M96</f>
        <v>3.1273655502790092</v>
      </c>
      <c r="I18" s="54">
        <f>Segmented!N96</f>
        <v>0</v>
      </c>
      <c r="J18" s="54">
        <f>Segmented!O96</f>
        <v>0</v>
      </c>
      <c r="K18" s="54">
        <f>Segmented!P96</f>
        <v>0</v>
      </c>
      <c r="L18" s="54">
        <f>Segmented!Q96</f>
        <v>0</v>
      </c>
      <c r="M18" s="54">
        <f>Segmented!R96</f>
        <v>0</v>
      </c>
      <c r="N18" s="54">
        <f>Segmented!S96</f>
        <v>0</v>
      </c>
      <c r="O18" s="54">
        <f>Segmented!T96</f>
        <v>0</v>
      </c>
      <c r="P18" s="54"/>
      <c r="Q18" t="s">
        <v>214</v>
      </c>
    </row>
    <row r="19" spans="1:131">
      <c r="A19" s="54" t="str">
        <f>Segmented!F97</f>
        <v>Attic R0 - R22_Heat Pump</v>
      </c>
      <c r="B19" s="54" t="str">
        <f>Segmented!G97</f>
        <v>Attic R0 - R22</v>
      </c>
      <c r="C19" s="54">
        <f>Segmented!H97</f>
        <v>341.22102955570085</v>
      </c>
      <c r="D19" s="54">
        <f>Segmented!I97</f>
        <v>25</v>
      </c>
      <c r="E19" s="54">
        <f>Segmented!J97</f>
        <v>2687.9999999999995</v>
      </c>
      <c r="F19" s="54">
        <f>Segmented!K97</f>
        <v>0</v>
      </c>
      <c r="G19" s="54" t="s">
        <v>6424</v>
      </c>
      <c r="H19" s="54">
        <f>Segmented!M97</f>
        <v>3.0245467823314547</v>
      </c>
      <c r="I19" s="54">
        <f>Segmented!N97</f>
        <v>0</v>
      </c>
      <c r="J19" s="54">
        <f>Segmented!O97</f>
        <v>0</v>
      </c>
      <c r="K19" s="54">
        <f>Segmented!P97</f>
        <v>0</v>
      </c>
      <c r="L19" s="54">
        <f>Segmented!Q97</f>
        <v>0</v>
      </c>
      <c r="M19" s="54">
        <f>Segmented!R97</f>
        <v>0</v>
      </c>
      <c r="N19" s="54">
        <f>Segmented!S97</f>
        <v>0</v>
      </c>
      <c r="O19" s="54">
        <f>Segmented!T97</f>
        <v>0</v>
      </c>
      <c r="P19" s="54"/>
      <c r="Q19" t="s">
        <v>214</v>
      </c>
    </row>
    <row r="20" spans="1:131">
      <c r="A20" s="54" t="str">
        <f>Segmented!F98</f>
        <v>Attic R11 - R30_Heat Pump</v>
      </c>
      <c r="B20" s="54" t="str">
        <f>Segmented!G98</f>
        <v>Attic R11 - R30</v>
      </c>
      <c r="C20" s="54">
        <f>Segmented!H98</f>
        <v>114.50995816092487</v>
      </c>
      <c r="D20" s="54">
        <f>Segmented!I98</f>
        <v>25</v>
      </c>
      <c r="E20" s="54">
        <f>Segmented!J98</f>
        <v>2687.9999999999995</v>
      </c>
      <c r="F20" s="54">
        <f>Segmented!K98</f>
        <v>0</v>
      </c>
      <c r="G20" s="54" t="s">
        <v>6424</v>
      </c>
      <c r="H20" s="54">
        <f>Segmented!M98</f>
        <v>0.86590232210190832</v>
      </c>
      <c r="I20" s="54">
        <f>Segmented!N98</f>
        <v>0</v>
      </c>
      <c r="J20" s="54">
        <f>Segmented!O98</f>
        <v>0</v>
      </c>
      <c r="K20" s="54">
        <f>Segmented!P98</f>
        <v>0</v>
      </c>
      <c r="L20" s="54">
        <f>Segmented!Q98</f>
        <v>0</v>
      </c>
      <c r="M20" s="54">
        <f>Segmented!R98</f>
        <v>0</v>
      </c>
      <c r="N20" s="54">
        <f>Segmented!S98</f>
        <v>0</v>
      </c>
      <c r="O20" s="54">
        <f>Segmented!T98</f>
        <v>0</v>
      </c>
      <c r="P20" s="54"/>
      <c r="Q20" t="s">
        <v>214</v>
      </c>
    </row>
    <row r="21" spans="1:131">
      <c r="A21" s="54" t="str">
        <f>Segmented!F99</f>
        <v>Floor R0 - R22_Heat Pump</v>
      </c>
      <c r="B21" s="54" t="str">
        <f>Segmented!G99</f>
        <v>Floor R0 - R22</v>
      </c>
      <c r="C21" s="54">
        <f>Segmented!H99</f>
        <v>239.94581862607487</v>
      </c>
      <c r="D21" s="54">
        <f>Segmented!I99</f>
        <v>25</v>
      </c>
      <c r="E21" s="54">
        <f>Segmented!J99</f>
        <v>4223.9999999999991</v>
      </c>
      <c r="F21" s="54">
        <f>Segmented!K99</f>
        <v>0</v>
      </c>
      <c r="G21" s="54" t="s">
        <v>6424</v>
      </c>
      <c r="H21" s="54">
        <f>Segmented!M99</f>
        <v>1.7348298091816472</v>
      </c>
      <c r="I21" s="54">
        <f>Segmented!N99</f>
        <v>0</v>
      </c>
      <c r="J21" s="54">
        <f>Segmented!O99</f>
        <v>0</v>
      </c>
      <c r="K21" s="54">
        <f>Segmented!P99</f>
        <v>0</v>
      </c>
      <c r="L21" s="54">
        <f>Segmented!Q99</f>
        <v>0</v>
      </c>
      <c r="M21" s="54">
        <f>Segmented!R99</f>
        <v>0</v>
      </c>
      <c r="N21" s="54">
        <f>Segmented!S99</f>
        <v>0</v>
      </c>
      <c r="O21" s="54">
        <f>Segmented!T99</f>
        <v>0</v>
      </c>
      <c r="P21" s="54"/>
      <c r="Q21" t="s">
        <v>214</v>
      </c>
    </row>
    <row r="22" spans="1:131">
      <c r="A22" s="54" t="str">
        <f>Segmented!F100</f>
        <v>Floor R11 - R22_Heat Pump</v>
      </c>
      <c r="B22" s="54" t="str">
        <f>Segmented!G100</f>
        <v>Floor R11 - R22</v>
      </c>
      <c r="C22" s="54">
        <f>Segmented!H100</f>
        <v>126.48013579032794</v>
      </c>
      <c r="D22" s="54">
        <f>Segmented!I100</f>
        <v>25</v>
      </c>
      <c r="E22" s="54">
        <f>Segmented!J100</f>
        <v>4223.9999999999991</v>
      </c>
      <c r="F22" s="54">
        <f>Segmented!K100</f>
        <v>0</v>
      </c>
      <c r="G22" s="54" t="s">
        <v>6424</v>
      </c>
      <c r="H22" s="54">
        <f>Segmented!M100</f>
        <v>0.94570623433172107</v>
      </c>
      <c r="I22" s="54">
        <f>Segmented!N100</f>
        <v>0</v>
      </c>
      <c r="J22" s="54">
        <f>Segmented!O100</f>
        <v>0</v>
      </c>
      <c r="K22" s="54">
        <f>Segmented!P100</f>
        <v>0</v>
      </c>
      <c r="L22" s="54">
        <f>Segmented!Q100</f>
        <v>0</v>
      </c>
      <c r="M22" s="54">
        <f>Segmented!R100</f>
        <v>0</v>
      </c>
      <c r="N22" s="54">
        <f>Segmented!S100</f>
        <v>0</v>
      </c>
      <c r="O22" s="54">
        <f>Segmented!T100</f>
        <v>0</v>
      </c>
      <c r="P22" s="54"/>
      <c r="Q22" t="s">
        <v>214</v>
      </c>
    </row>
    <row r="23" spans="1:131">
      <c r="A23" s="54" t="str">
        <f>Segmented!F101</f>
        <v>WINDOW CL30 Prime Window Replacement of Double Pane Base_Heat Pump</v>
      </c>
      <c r="B23" s="54" t="str">
        <f>Segmented!G101</f>
        <v>WINDOW CL30 Prime Window Replacement of Double Pane Base</v>
      </c>
      <c r="C23" s="54">
        <f>Segmented!H101</f>
        <v>242.79261621400425</v>
      </c>
      <c r="D23" s="54">
        <f>Segmented!I101</f>
        <v>25</v>
      </c>
      <c r="E23" s="54">
        <f>Segmented!J101</f>
        <v>3296.949955913165</v>
      </c>
      <c r="F23" s="54">
        <f>Segmented!K101</f>
        <v>0</v>
      </c>
      <c r="G23" s="54" t="s">
        <v>6424</v>
      </c>
      <c r="H23" s="54">
        <f>Segmented!M101</f>
        <v>2.3772772618937883</v>
      </c>
      <c r="I23" s="54">
        <f>Segmented!N101</f>
        <v>0</v>
      </c>
      <c r="J23" s="54">
        <f>Segmented!O101</f>
        <v>0</v>
      </c>
      <c r="K23" s="54">
        <f>Segmented!P101</f>
        <v>0</v>
      </c>
      <c r="L23" s="54">
        <f>Segmented!Q101</f>
        <v>0</v>
      </c>
      <c r="M23" s="54">
        <f>Segmented!R101</f>
        <v>0</v>
      </c>
      <c r="N23" s="54">
        <f>Segmented!S101</f>
        <v>0</v>
      </c>
      <c r="O23" s="54">
        <f>Segmented!T101</f>
        <v>0</v>
      </c>
      <c r="P23" s="54"/>
      <c r="Q23" t="s">
        <v>214</v>
      </c>
    </row>
    <row r="24" spans="1:131">
      <c r="A24" s="54" t="str">
        <f>Segmented!F102</f>
        <v>WINDOW CL30 Prime Window Replacement of Single Pane Base_Heat Pump</v>
      </c>
      <c r="B24" s="54" t="str">
        <f>Segmented!G102</f>
        <v>WINDOW CL30 Prime Window Replacement of Single Pane Base</v>
      </c>
      <c r="C24" s="54">
        <f>Segmented!H102</f>
        <v>590.79505315659674</v>
      </c>
      <c r="D24" s="54">
        <f>Segmented!I102</f>
        <v>25</v>
      </c>
      <c r="E24" s="54">
        <f>Segmented!J102</f>
        <v>3296.949955913165</v>
      </c>
      <c r="F24" s="54">
        <f>Segmented!K102</f>
        <v>0</v>
      </c>
      <c r="G24" s="54" t="s">
        <v>6424</v>
      </c>
      <c r="H24" s="54">
        <f>Segmented!M102</f>
        <v>5.1982656997315368</v>
      </c>
      <c r="I24" s="54">
        <f>Segmented!N102</f>
        <v>0</v>
      </c>
      <c r="J24" s="54">
        <f>Segmented!O102</f>
        <v>0</v>
      </c>
      <c r="K24" s="54">
        <f>Segmented!P102</f>
        <v>0</v>
      </c>
      <c r="L24" s="54">
        <f>Segmented!Q102</f>
        <v>0</v>
      </c>
      <c r="M24" s="54">
        <f>Segmented!R102</f>
        <v>0</v>
      </c>
      <c r="N24" s="54">
        <f>Segmented!S102</f>
        <v>0</v>
      </c>
      <c r="O24" s="54">
        <f>Segmented!T102</f>
        <v>0</v>
      </c>
      <c r="P24" s="54"/>
      <c r="Q24" t="s">
        <v>214</v>
      </c>
    </row>
    <row r="25" spans="1:131">
      <c r="A25" s="54" t="str">
        <f>Segmented!F103</f>
        <v>WINDOW CL22 Prime Window Replacement of Double Pane Base_Heat Pump</v>
      </c>
      <c r="B25" s="54" t="str">
        <f>Segmented!G103</f>
        <v>WINDOW CL22 Prime Window Replacement of Double Pane Base</v>
      </c>
      <c r="C25" s="54">
        <f>Segmented!H103</f>
        <v>1507.4369564149624</v>
      </c>
      <c r="D25" s="54">
        <f>Segmented!I103</f>
        <v>25</v>
      </c>
      <c r="E25" s="54">
        <f>Segmented!J103</f>
        <v>3514.5499559131654</v>
      </c>
      <c r="F25" s="54">
        <f>Segmented!K103</f>
        <v>0</v>
      </c>
      <c r="G25" s="54" t="s">
        <v>6424</v>
      </c>
      <c r="H25" s="54">
        <f>Segmented!M103</f>
        <v>2.6775439936307941</v>
      </c>
      <c r="I25" s="54">
        <f>Segmented!N103</f>
        <v>0</v>
      </c>
      <c r="J25" s="54">
        <f>Segmented!O103</f>
        <v>0</v>
      </c>
      <c r="K25" s="54">
        <f>Segmented!P103</f>
        <v>0</v>
      </c>
      <c r="L25" s="54">
        <f>Segmented!Q103</f>
        <v>0</v>
      </c>
      <c r="M25" s="54">
        <f>Segmented!R103</f>
        <v>0</v>
      </c>
      <c r="N25" s="54">
        <f>Segmented!S103</f>
        <v>0</v>
      </c>
      <c r="O25" s="54">
        <f>Segmented!T103</f>
        <v>0</v>
      </c>
      <c r="P25" s="54"/>
      <c r="Q25" t="s">
        <v>214</v>
      </c>
    </row>
    <row r="26" spans="1:131">
      <c r="A26" s="54" t="str">
        <f>Segmented!F104</f>
        <v>WINDOW CL22 Prime Window Replacement of Single Pane Base_Heat Pump</v>
      </c>
      <c r="B26" s="54" t="str">
        <f>Segmented!G104</f>
        <v>WINDOW CL22 Prime Window Replacement of Single Pane Base</v>
      </c>
      <c r="C26" s="54">
        <f>Segmented!H104</f>
        <v>644.96005788003561</v>
      </c>
      <c r="D26" s="54">
        <f>Segmented!I104</f>
        <v>25</v>
      </c>
      <c r="E26" s="54">
        <f>Segmented!J104</f>
        <v>3514.5499559131654</v>
      </c>
      <c r="F26" s="54">
        <f>Segmented!K104</f>
        <v>0</v>
      </c>
      <c r="G26" s="54" t="s">
        <v>6424</v>
      </c>
      <c r="H26" s="54">
        <f>Segmented!M104</f>
        <v>5.6663204047656617</v>
      </c>
      <c r="I26" s="54">
        <f>Segmented!N104</f>
        <v>0</v>
      </c>
      <c r="J26" s="54">
        <f>Segmented!O104</f>
        <v>0</v>
      </c>
      <c r="K26" s="54">
        <f>Segmented!P104</f>
        <v>0</v>
      </c>
      <c r="L26" s="54">
        <f>Segmented!Q104</f>
        <v>0</v>
      </c>
      <c r="M26" s="54">
        <f>Segmented!R104</f>
        <v>0</v>
      </c>
      <c r="N26" s="54">
        <f>Segmented!S104</f>
        <v>0</v>
      </c>
      <c r="O26" s="54">
        <f>Segmented!T104</f>
        <v>0</v>
      </c>
      <c r="P26" s="54"/>
      <c r="Q26" t="s">
        <v>214</v>
      </c>
    </row>
    <row r="27" spans="1:131">
      <c r="A27" s="54" t="str">
        <f>Segmented!F105</f>
        <v>CFM50 Infiltration Reduction_Heat Pump</v>
      </c>
      <c r="B27" s="54" t="str">
        <f>Segmented!G105</f>
        <v>Infiltration</v>
      </c>
      <c r="C27" s="54">
        <f>Segmented!H105</f>
        <v>164.0275009491188</v>
      </c>
      <c r="D27" s="54">
        <f>Segmented!I105</f>
        <v>25</v>
      </c>
      <c r="E27" s="54">
        <f>Segmented!J105</f>
        <v>3967.9999999999995</v>
      </c>
      <c r="F27" s="54">
        <f>Segmented!K105</f>
        <v>0</v>
      </c>
      <c r="G27" s="54" t="s">
        <v>6424</v>
      </c>
      <c r="H27" s="54">
        <f>Segmented!M105</f>
        <v>1.4811041374994094</v>
      </c>
      <c r="I27" s="54">
        <f>Segmented!N105</f>
        <v>0</v>
      </c>
      <c r="J27" s="54">
        <f>Segmented!O105</f>
        <v>0</v>
      </c>
      <c r="K27" s="54">
        <f>Segmented!P105</f>
        <v>0</v>
      </c>
      <c r="L27" s="54">
        <f>Segmented!Q105</f>
        <v>0</v>
      </c>
      <c r="M27" s="54">
        <f>Segmented!R105</f>
        <v>0</v>
      </c>
      <c r="N27" s="54">
        <f>Segmented!S105</f>
        <v>0</v>
      </c>
      <c r="O27" s="54">
        <f>Segmented!T105</f>
        <v>0</v>
      </c>
      <c r="P27" s="54"/>
      <c r="Q27" t="s">
        <v>214</v>
      </c>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row>
    <row r="30" spans="1:13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row>
    <row r="31" spans="1:131">
      <c r="A31" s="268" t="s">
        <v>5855</v>
      </c>
      <c r="B31" s="269"/>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row>
    <row r="32" spans="1:131">
      <c r="A32" s="27" t="s">
        <v>5856</v>
      </c>
      <c r="B32" s="27" t="s">
        <v>5857</v>
      </c>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row>
    <row r="33" spans="1:131">
      <c r="A33" s="27" t="s">
        <v>5858</v>
      </c>
      <c r="B33" s="27" t="s">
        <v>6503</v>
      </c>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row>
    <row r="34" spans="1:13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row>
    <row r="35" spans="1:131" ht="13.5" thickBot="1">
      <c r="A35" s="36" t="s">
        <v>5859</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70"/>
      <c r="AE35" s="270"/>
      <c r="AF35" s="270"/>
      <c r="AG35" s="270"/>
      <c r="AH35" s="270"/>
      <c r="AI35" s="3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row>
    <row r="36" spans="1:131">
      <c r="A36" s="27"/>
      <c r="B36" s="271" t="s">
        <v>5860</v>
      </c>
      <c r="C36" s="272"/>
      <c r="D36" s="272" t="s">
        <v>5860</v>
      </c>
      <c r="E36" s="273"/>
      <c r="F36" s="27"/>
      <c r="G36" s="271" t="s">
        <v>5861</v>
      </c>
      <c r="H36" s="272"/>
      <c r="I36" s="272"/>
      <c r="J36" s="272"/>
      <c r="K36" s="272"/>
      <c r="L36" s="272"/>
      <c r="M36" s="272"/>
      <c r="N36" s="272"/>
      <c r="O36" s="273"/>
      <c r="P36" s="27"/>
      <c r="Q36" s="271" t="s">
        <v>5862</v>
      </c>
      <c r="R36" s="272"/>
      <c r="S36" s="272"/>
      <c r="T36" s="272"/>
      <c r="U36" s="273"/>
      <c r="V36" s="27"/>
      <c r="W36" s="271" t="s">
        <v>5863</v>
      </c>
      <c r="X36" s="273"/>
      <c r="Y36" s="27"/>
      <c r="Z36" s="271" t="s">
        <v>5864</v>
      </c>
      <c r="AA36" s="272"/>
      <c r="AB36" s="273"/>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row>
    <row r="37" spans="1:131">
      <c r="A37" s="27"/>
      <c r="B37" s="274" t="s">
        <v>5865</v>
      </c>
      <c r="C37" s="131" t="s">
        <v>5866</v>
      </c>
      <c r="D37" s="131" t="s">
        <v>5865</v>
      </c>
      <c r="E37" s="275" t="s">
        <v>5866</v>
      </c>
      <c r="F37" s="27"/>
      <c r="G37" s="274" t="s">
        <v>5867</v>
      </c>
      <c r="H37" s="131" t="s">
        <v>5868</v>
      </c>
      <c r="I37" s="131"/>
      <c r="J37" s="131"/>
      <c r="K37" s="131" t="s">
        <v>5869</v>
      </c>
      <c r="L37" s="131"/>
      <c r="M37" s="131"/>
      <c r="N37" s="131"/>
      <c r="O37" s="275"/>
      <c r="P37" s="27"/>
      <c r="Q37" s="274"/>
      <c r="R37" s="131" t="s">
        <v>5870</v>
      </c>
      <c r="S37" s="131" t="s">
        <v>5871</v>
      </c>
      <c r="T37" s="131" t="s">
        <v>5872</v>
      </c>
      <c r="U37" s="275" t="s">
        <v>5873</v>
      </c>
      <c r="V37" s="27"/>
      <c r="W37" s="274" t="s">
        <v>5874</v>
      </c>
      <c r="X37" s="275">
        <v>20</v>
      </c>
      <c r="Y37" s="27"/>
      <c r="Z37" s="274"/>
      <c r="AA37" s="131" t="s">
        <v>5866</v>
      </c>
      <c r="AB37" s="275" t="s">
        <v>5875</v>
      </c>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row>
    <row r="38" spans="1:131">
      <c r="A38" s="27"/>
      <c r="B38" s="274" t="s">
        <v>5876</v>
      </c>
      <c r="C38" s="131" t="s">
        <v>5877</v>
      </c>
      <c r="D38" s="131" t="s">
        <v>5876</v>
      </c>
      <c r="E38" s="275" t="s">
        <v>5877</v>
      </c>
      <c r="F38" s="27"/>
      <c r="G38" s="274" t="s">
        <v>5878</v>
      </c>
      <c r="H38" s="131" t="s">
        <v>5879</v>
      </c>
      <c r="I38" s="131"/>
      <c r="J38" s="131"/>
      <c r="K38" s="131" t="s">
        <v>5880</v>
      </c>
      <c r="L38" s="131"/>
      <c r="M38" s="131"/>
      <c r="N38" s="131"/>
      <c r="O38" s="275"/>
      <c r="P38" s="27"/>
      <c r="Q38" s="274" t="s">
        <v>5881</v>
      </c>
      <c r="R38" s="131">
        <v>4.3096045197740109E-2</v>
      </c>
      <c r="S38" s="131">
        <v>4.387844424080023E-2</v>
      </c>
      <c r="T38" s="131">
        <v>5.3289007766645871E-2</v>
      </c>
      <c r="U38" s="275">
        <v>5.447903102274565E-2</v>
      </c>
      <c r="V38" s="27"/>
      <c r="W38" s="274" t="s">
        <v>5882</v>
      </c>
      <c r="X38" s="275">
        <v>2016</v>
      </c>
      <c r="Y38" s="27"/>
      <c r="Z38" s="274" t="s">
        <v>5883</v>
      </c>
      <c r="AA38" s="131">
        <v>4.03890184699085E-3</v>
      </c>
      <c r="AB38" s="275">
        <v>0.01</v>
      </c>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row>
    <row r="39" spans="1:131">
      <c r="A39" s="27"/>
      <c r="B39" s="274" t="s">
        <v>5884</v>
      </c>
      <c r="C39" s="131" t="s">
        <v>5885</v>
      </c>
      <c r="D39" s="131" t="s">
        <v>5884</v>
      </c>
      <c r="E39" s="275" t="s">
        <v>5885</v>
      </c>
      <c r="F39" s="27"/>
      <c r="G39" s="274" t="s">
        <v>5886</v>
      </c>
      <c r="H39" s="131" t="s">
        <v>5887</v>
      </c>
      <c r="I39" s="131"/>
      <c r="J39" s="131"/>
      <c r="K39" s="131" t="s">
        <v>5888</v>
      </c>
      <c r="L39" s="131"/>
      <c r="M39" s="131"/>
      <c r="N39" s="131"/>
      <c r="O39" s="275"/>
      <c r="P39" s="27"/>
      <c r="Q39" s="274" t="s">
        <v>5889</v>
      </c>
      <c r="R39" s="131">
        <v>12</v>
      </c>
      <c r="S39" s="131">
        <v>12</v>
      </c>
      <c r="T39" s="131">
        <v>1</v>
      </c>
      <c r="U39" s="275">
        <v>1</v>
      </c>
      <c r="V39" s="27"/>
      <c r="W39" s="274" t="s">
        <v>5890</v>
      </c>
      <c r="X39" s="275">
        <v>2016</v>
      </c>
      <c r="Y39" s="27"/>
      <c r="Z39" s="274" t="s">
        <v>5891</v>
      </c>
      <c r="AA39" s="131">
        <v>26</v>
      </c>
      <c r="AB39" s="275">
        <v>0</v>
      </c>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row>
    <row r="40" spans="1:131" ht="13.5" thickBot="1">
      <c r="A40" s="27"/>
      <c r="B40" s="276" t="s">
        <v>5892</v>
      </c>
      <c r="C40" s="277" t="s">
        <v>5885</v>
      </c>
      <c r="D40" s="277" t="s">
        <v>5892</v>
      </c>
      <c r="E40" s="278" t="s">
        <v>5885</v>
      </c>
      <c r="F40" s="27"/>
      <c r="G40" s="274" t="s">
        <v>5893</v>
      </c>
      <c r="H40" s="131" t="s">
        <v>5894</v>
      </c>
      <c r="I40" s="131"/>
      <c r="J40" s="131"/>
      <c r="K40" s="131" t="s">
        <v>5880</v>
      </c>
      <c r="L40" s="131"/>
      <c r="M40" s="131"/>
      <c r="N40" s="131"/>
      <c r="O40" s="275"/>
      <c r="P40" s="27"/>
      <c r="Q40" s="274"/>
      <c r="R40" s="131" t="s">
        <v>5870</v>
      </c>
      <c r="S40" s="131" t="s">
        <v>5871</v>
      </c>
      <c r="T40" s="131" t="s">
        <v>5872</v>
      </c>
      <c r="U40" s="275" t="s">
        <v>5873</v>
      </c>
      <c r="V40" s="27"/>
      <c r="W40" s="274" t="s">
        <v>5895</v>
      </c>
      <c r="X40" s="275">
        <v>2012</v>
      </c>
      <c r="Y40" s="27"/>
      <c r="Z40" s="274" t="s">
        <v>5896</v>
      </c>
      <c r="AA40" s="131">
        <v>0.9</v>
      </c>
      <c r="AB40" s="275" t="s">
        <v>5897</v>
      </c>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row>
    <row r="41" spans="1:131">
      <c r="A41" s="27"/>
      <c r="B41" s="27"/>
      <c r="C41" s="27"/>
      <c r="D41" s="27"/>
      <c r="E41" s="27"/>
      <c r="F41" s="27"/>
      <c r="G41" s="274" t="s">
        <v>5898</v>
      </c>
      <c r="H41" s="131" t="s">
        <v>5887</v>
      </c>
      <c r="I41" s="131"/>
      <c r="J41" s="131"/>
      <c r="K41" s="131"/>
      <c r="L41" s="131"/>
      <c r="M41" s="131"/>
      <c r="N41" s="131"/>
      <c r="O41" s="275"/>
      <c r="P41" s="27"/>
      <c r="Q41" s="274" t="s">
        <v>5899</v>
      </c>
      <c r="R41" s="131">
        <v>0.35</v>
      </c>
      <c r="S41" s="131">
        <v>0.19500000000000001</v>
      </c>
      <c r="T41" s="131">
        <v>0.45499999999999996</v>
      </c>
      <c r="U41" s="275">
        <v>0</v>
      </c>
      <c r="V41" s="27"/>
      <c r="W41" s="274" t="s">
        <v>5900</v>
      </c>
      <c r="X41" s="275">
        <v>0.04</v>
      </c>
      <c r="Y41" s="27"/>
      <c r="Z41" s="274" t="s">
        <v>5901</v>
      </c>
      <c r="AA41" s="131">
        <v>4.7399348199455904E-2</v>
      </c>
      <c r="AB41" s="275">
        <v>0</v>
      </c>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row>
    <row r="42" spans="1:131">
      <c r="A42" s="27"/>
      <c r="B42" s="27" t="s">
        <v>5902</v>
      </c>
      <c r="C42" s="27" t="s">
        <v>5866</v>
      </c>
      <c r="D42" s="27"/>
      <c r="E42" s="27"/>
      <c r="F42" s="27"/>
      <c r="G42" s="274" t="s">
        <v>5903</v>
      </c>
      <c r="H42" s="131" t="s">
        <v>5904</v>
      </c>
      <c r="I42" s="131"/>
      <c r="J42" s="131"/>
      <c r="K42" s="131" t="s">
        <v>5905</v>
      </c>
      <c r="L42" s="131"/>
      <c r="M42" s="131"/>
      <c r="N42" s="131"/>
      <c r="O42" s="275"/>
      <c r="P42" s="27"/>
      <c r="Q42" s="274" t="s">
        <v>5906</v>
      </c>
      <c r="R42" s="131">
        <v>1</v>
      </c>
      <c r="S42" s="131">
        <v>0</v>
      </c>
      <c r="T42" s="131">
        <v>0</v>
      </c>
      <c r="U42" s="275">
        <v>0</v>
      </c>
      <c r="V42" s="27"/>
      <c r="W42" s="274" t="s">
        <v>5907</v>
      </c>
      <c r="X42" s="275">
        <v>0</v>
      </c>
      <c r="Y42" s="27"/>
      <c r="Z42" s="274" t="s">
        <v>5908</v>
      </c>
      <c r="AA42" s="131">
        <v>31</v>
      </c>
      <c r="AB42" s="275">
        <v>0</v>
      </c>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row>
    <row r="43" spans="1:131">
      <c r="A43" s="27"/>
      <c r="B43" s="27" t="s">
        <v>5909</v>
      </c>
      <c r="C43" s="27" t="s">
        <v>5910</v>
      </c>
      <c r="D43" s="27"/>
      <c r="E43" s="27"/>
      <c r="F43" s="27"/>
      <c r="G43" s="274" t="s">
        <v>5911</v>
      </c>
      <c r="H43" s="131" t="s">
        <v>5905</v>
      </c>
      <c r="I43" s="131"/>
      <c r="J43" s="131"/>
      <c r="K43" s="131" t="s">
        <v>5912</v>
      </c>
      <c r="L43" s="131"/>
      <c r="M43" s="131"/>
      <c r="N43" s="131"/>
      <c r="O43" s="275"/>
      <c r="P43" s="27"/>
      <c r="Q43" s="274" t="s">
        <v>5913</v>
      </c>
      <c r="R43" s="131">
        <v>1</v>
      </c>
      <c r="S43" s="131">
        <v>0</v>
      </c>
      <c r="T43" s="131">
        <v>0</v>
      </c>
      <c r="U43" s="275">
        <v>0</v>
      </c>
      <c r="V43" s="27"/>
      <c r="W43" s="274" t="s">
        <v>5914</v>
      </c>
      <c r="X43" s="275">
        <v>0.2</v>
      </c>
      <c r="Y43" s="27"/>
      <c r="Z43" s="274" t="s">
        <v>5915</v>
      </c>
      <c r="AA43" s="131">
        <v>0.7</v>
      </c>
      <c r="AB43" s="275" t="s">
        <v>5897</v>
      </c>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row>
    <row r="44" spans="1:131">
      <c r="A44" s="27"/>
      <c r="B44" s="27" t="s">
        <v>5916</v>
      </c>
      <c r="C44" s="27" t="s">
        <v>5917</v>
      </c>
      <c r="D44" s="27"/>
      <c r="E44" s="27"/>
      <c r="F44" s="27"/>
      <c r="G44" s="274" t="s">
        <v>5918</v>
      </c>
      <c r="H44" s="131" t="s">
        <v>5912</v>
      </c>
      <c r="I44" s="131"/>
      <c r="J44" s="131"/>
      <c r="K44" s="131" t="s">
        <v>5919</v>
      </c>
      <c r="L44" s="131"/>
      <c r="M44" s="131"/>
      <c r="N44" s="131"/>
      <c r="O44" s="275"/>
      <c r="P44" s="27"/>
      <c r="Q44" s="274" t="s">
        <v>5920</v>
      </c>
      <c r="R44" s="131"/>
      <c r="S44" s="131">
        <v>0.3</v>
      </c>
      <c r="T44" s="131">
        <v>0.7</v>
      </c>
      <c r="U44" s="275">
        <v>0</v>
      </c>
      <c r="V44" s="27"/>
      <c r="W44" s="274" t="s">
        <v>5921</v>
      </c>
      <c r="X44" s="275">
        <v>0</v>
      </c>
      <c r="Y44" s="27"/>
      <c r="Z44" s="274" t="s">
        <v>5922</v>
      </c>
      <c r="AA44" s="131">
        <v>0</v>
      </c>
      <c r="AB44" s="275">
        <v>0</v>
      </c>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row>
    <row r="45" spans="1:131" ht="13.5" thickBot="1">
      <c r="A45" s="27"/>
      <c r="B45" s="27" t="s">
        <v>5923</v>
      </c>
      <c r="C45" s="27" t="s">
        <v>5924</v>
      </c>
      <c r="D45" s="27"/>
      <c r="E45" s="27"/>
      <c r="F45" s="27"/>
      <c r="G45" s="276" t="s">
        <v>5925</v>
      </c>
      <c r="H45" s="277" t="s">
        <v>5919</v>
      </c>
      <c r="I45" s="277"/>
      <c r="J45" s="277"/>
      <c r="K45" s="277"/>
      <c r="L45" s="277"/>
      <c r="M45" s="277"/>
      <c r="N45" s="277"/>
      <c r="O45" s="278"/>
      <c r="P45" s="27"/>
      <c r="Q45" s="276" t="s">
        <v>5926</v>
      </c>
      <c r="R45" s="277"/>
      <c r="S45" s="277">
        <v>20</v>
      </c>
      <c r="T45" s="277"/>
      <c r="U45" s="278"/>
      <c r="V45" s="27"/>
      <c r="W45" s="276" t="s">
        <v>5927</v>
      </c>
      <c r="X45" s="278">
        <v>2018</v>
      </c>
      <c r="Y45" s="27"/>
      <c r="Z45" s="276" t="s">
        <v>5928</v>
      </c>
      <c r="AA45" s="277">
        <v>0</v>
      </c>
      <c r="AB45" s="278">
        <v>0</v>
      </c>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row>
    <row r="46" spans="1:13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row>
    <row r="47" spans="1:13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row>
    <row r="48" spans="1:13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row>
    <row r="49" spans="1:13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row>
    <row r="50" spans="1:13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row>
    <row r="51" spans="1:13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row>
    <row r="52" spans="1:13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row>
    <row r="53" spans="1:131" ht="13.5" thickBot="1">
      <c r="A53" s="36" t="s">
        <v>5929</v>
      </c>
      <c r="B53" s="37"/>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row>
    <row r="54" spans="1:131" ht="26.25" thickBot="1">
      <c r="A54" s="279" t="s">
        <v>5930</v>
      </c>
      <c r="B54" s="280"/>
      <c r="C54" s="281" t="s">
        <v>5931</v>
      </c>
      <c r="D54" s="282"/>
      <c r="E54" s="282"/>
      <c r="F54" s="282"/>
      <c r="G54" s="282"/>
      <c r="H54" s="282"/>
      <c r="I54" s="282"/>
      <c r="J54" s="282"/>
      <c r="K54" s="283"/>
      <c r="L54" s="281" t="s">
        <v>5932</v>
      </c>
      <c r="M54" s="282"/>
      <c r="N54" s="282"/>
      <c r="O54" s="282"/>
      <c r="P54" s="282"/>
      <c r="Q54" s="283"/>
      <c r="R54" s="281" t="s">
        <v>5933</v>
      </c>
      <c r="S54" s="282"/>
      <c r="T54" s="282"/>
      <c r="U54" s="283"/>
      <c r="V54" s="281" t="s">
        <v>5934</v>
      </c>
      <c r="W54" s="282"/>
      <c r="X54" s="282"/>
      <c r="Y54" s="283"/>
      <c r="Z54" s="281" t="s">
        <v>5935</v>
      </c>
      <c r="AA54" s="282"/>
      <c r="AB54" s="282"/>
      <c r="AC54" s="283"/>
      <c r="AD54" s="281" t="s">
        <v>5936</v>
      </c>
      <c r="AE54" s="282"/>
      <c r="AF54" s="282"/>
      <c r="AG54" s="283"/>
      <c r="AH54" s="281" t="s">
        <v>5937</v>
      </c>
      <c r="AI54" s="282"/>
      <c r="AJ54" s="282"/>
      <c r="AK54" s="282"/>
      <c r="AL54" s="283"/>
      <c r="AM54" s="281" t="s">
        <v>5938</v>
      </c>
      <c r="AN54" s="282"/>
      <c r="AO54" s="282"/>
      <c r="AP54" s="282"/>
      <c r="AQ54" s="282"/>
      <c r="AR54" s="282"/>
      <c r="AS54" s="283"/>
      <c r="AT54" s="281" t="s">
        <v>5939</v>
      </c>
      <c r="AU54" s="282"/>
      <c r="AV54" s="282"/>
      <c r="AW54" s="282"/>
      <c r="AX54" s="282"/>
      <c r="AY54" s="282"/>
      <c r="AZ54" s="283"/>
      <c r="BA54" s="281" t="s">
        <v>5940</v>
      </c>
      <c r="BB54" s="282"/>
      <c r="BC54" s="282"/>
      <c r="BD54" s="282"/>
      <c r="BE54" s="282"/>
      <c r="BF54" s="283"/>
      <c r="BG54" s="281" t="s">
        <v>5941</v>
      </c>
      <c r="BH54" s="283"/>
      <c r="BI54" s="281" t="s">
        <v>5942</v>
      </c>
      <c r="BJ54" s="282"/>
      <c r="BK54" s="282"/>
      <c r="BL54" s="282"/>
      <c r="BM54" s="283"/>
      <c r="BN54" s="281" t="s">
        <v>5943</v>
      </c>
      <c r="BO54" s="282"/>
      <c r="BP54" s="282"/>
      <c r="BQ54" s="282"/>
      <c r="BR54" s="282"/>
      <c r="BS54" s="282"/>
      <c r="BT54" s="282"/>
      <c r="BU54" s="282"/>
      <c r="BV54" s="282"/>
      <c r="BW54" s="282"/>
      <c r="BX54" s="282"/>
      <c r="BY54" s="282"/>
      <c r="BZ54" s="282"/>
      <c r="CA54" s="282"/>
      <c r="CB54" s="282"/>
      <c r="CC54" s="283"/>
      <c r="CD54" s="281" t="s">
        <v>5944</v>
      </c>
      <c r="CE54" s="283"/>
      <c r="CF54" s="281" t="s">
        <v>5945</v>
      </c>
      <c r="CG54" s="282"/>
      <c r="CH54" s="282"/>
      <c r="CI54" s="282"/>
      <c r="CJ54" s="282"/>
      <c r="CK54" s="283"/>
      <c r="CL54" s="284"/>
      <c r="CM54" s="281" t="s">
        <v>4</v>
      </c>
      <c r="CN54" s="282"/>
      <c r="CO54" s="282"/>
      <c r="CP54" s="283"/>
      <c r="CQ54" s="281" t="s">
        <v>5946</v>
      </c>
      <c r="CR54" s="282"/>
      <c r="CS54" s="282"/>
      <c r="CT54" s="282"/>
      <c r="CU54" s="283"/>
      <c r="CV54" s="281" t="s">
        <v>5947</v>
      </c>
      <c r="CW54" s="283"/>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row>
    <row r="55" spans="1:131" ht="204">
      <c r="A55" s="45" t="s">
        <v>30</v>
      </c>
      <c r="B55" s="46" t="s">
        <v>31</v>
      </c>
      <c r="C55" s="47" t="s">
        <v>191</v>
      </c>
      <c r="D55" s="47" t="s">
        <v>5948</v>
      </c>
      <c r="E55" s="47" t="s">
        <v>5949</v>
      </c>
      <c r="F55" s="47" t="s">
        <v>5950</v>
      </c>
      <c r="G55" s="47" t="s">
        <v>5951</v>
      </c>
      <c r="H55" s="47" t="s">
        <v>5952</v>
      </c>
      <c r="I55" s="47" t="s">
        <v>5953</v>
      </c>
      <c r="J55" s="47" t="s">
        <v>5954</v>
      </c>
      <c r="K55" s="47" t="s">
        <v>5955</v>
      </c>
      <c r="L55" s="47" t="s">
        <v>5956</v>
      </c>
      <c r="M55" s="47" t="s">
        <v>5957</v>
      </c>
      <c r="N55" s="47" t="s">
        <v>5958</v>
      </c>
      <c r="O55" s="47" t="s">
        <v>5959</v>
      </c>
      <c r="P55" s="47" t="s">
        <v>5960</v>
      </c>
      <c r="Q55" s="47" t="s">
        <v>5961</v>
      </c>
      <c r="R55" s="47" t="s">
        <v>5962</v>
      </c>
      <c r="S55" s="47" t="s">
        <v>5963</v>
      </c>
      <c r="T55" s="47" t="s">
        <v>5964</v>
      </c>
      <c r="U55" s="47" t="s">
        <v>5870</v>
      </c>
      <c r="V55" s="47" t="s">
        <v>5962</v>
      </c>
      <c r="W55" s="47" t="s">
        <v>5963</v>
      </c>
      <c r="X55" s="47" t="s">
        <v>5964</v>
      </c>
      <c r="Y55" s="47" t="s">
        <v>5870</v>
      </c>
      <c r="Z55" s="47" t="s">
        <v>5962</v>
      </c>
      <c r="AA55" s="47" t="s">
        <v>5963</v>
      </c>
      <c r="AB55" s="47" t="s">
        <v>5964</v>
      </c>
      <c r="AC55" s="47" t="s">
        <v>5870</v>
      </c>
      <c r="AD55" s="47" t="s">
        <v>5962</v>
      </c>
      <c r="AE55" s="47" t="s">
        <v>5963</v>
      </c>
      <c r="AF55" s="47" t="s">
        <v>5964</v>
      </c>
      <c r="AG55" s="47" t="s">
        <v>5870</v>
      </c>
      <c r="AH55" s="47" t="s">
        <v>5962</v>
      </c>
      <c r="AI55" s="47" t="s">
        <v>5963</v>
      </c>
      <c r="AJ55" s="47" t="s">
        <v>5964</v>
      </c>
      <c r="AK55" s="47" t="s">
        <v>5870</v>
      </c>
      <c r="AL55" s="47" t="s">
        <v>619</v>
      </c>
      <c r="AM55" s="47" t="s">
        <v>5965</v>
      </c>
      <c r="AN55" s="47" t="s">
        <v>5966</v>
      </c>
      <c r="AO55" s="47" t="s">
        <v>5967</v>
      </c>
      <c r="AP55" s="47" t="s">
        <v>5968</v>
      </c>
      <c r="AQ55" s="47" t="s">
        <v>5969</v>
      </c>
      <c r="AR55" s="47" t="s">
        <v>5970</v>
      </c>
      <c r="AS55" s="47" t="s">
        <v>5971</v>
      </c>
      <c r="AT55" s="47" t="s">
        <v>5972</v>
      </c>
      <c r="AU55" s="47" t="s">
        <v>5973</v>
      </c>
      <c r="AV55" s="47" t="s">
        <v>5974</v>
      </c>
      <c r="AW55" s="47" t="s">
        <v>5975</v>
      </c>
      <c r="AX55" s="47" t="s">
        <v>5976</v>
      </c>
      <c r="AY55" s="47" t="s">
        <v>5977</v>
      </c>
      <c r="AZ55" s="47" t="s">
        <v>5978</v>
      </c>
      <c r="BA55" s="47" t="s">
        <v>5979</v>
      </c>
      <c r="BB55" s="47" t="s">
        <v>5980</v>
      </c>
      <c r="BC55" s="47" t="s">
        <v>5981</v>
      </c>
      <c r="BD55" s="47" t="s">
        <v>5982</v>
      </c>
      <c r="BE55" s="47" t="s">
        <v>5983</v>
      </c>
      <c r="BF55" s="47" t="s">
        <v>5984</v>
      </c>
      <c r="BG55" s="47" t="s">
        <v>5985</v>
      </c>
      <c r="BH55" s="47" t="s">
        <v>5986</v>
      </c>
      <c r="BI55" s="47" t="s">
        <v>5987</v>
      </c>
      <c r="BJ55" s="47" t="s">
        <v>5988</v>
      </c>
      <c r="BK55" s="47" t="s">
        <v>5989</v>
      </c>
      <c r="BL55" s="47" t="s">
        <v>5990</v>
      </c>
      <c r="BM55" s="47" t="s">
        <v>5991</v>
      </c>
      <c r="BN55" s="47" t="s">
        <v>5992</v>
      </c>
      <c r="BO55" s="47" t="s">
        <v>5993</v>
      </c>
      <c r="BP55" s="47" t="s">
        <v>5994</v>
      </c>
      <c r="BQ55" s="47" t="s">
        <v>5995</v>
      </c>
      <c r="BR55" s="47" t="s">
        <v>5996</v>
      </c>
      <c r="BS55" s="47" t="s">
        <v>5997</v>
      </c>
      <c r="BT55" s="47" t="s">
        <v>5998</v>
      </c>
      <c r="BU55" s="47" t="s">
        <v>5999</v>
      </c>
      <c r="BV55" s="47" t="s">
        <v>6000</v>
      </c>
      <c r="BW55" s="47" t="s">
        <v>6001</v>
      </c>
      <c r="BX55" s="47" t="s">
        <v>6002</v>
      </c>
      <c r="BY55" s="47" t="s">
        <v>6003</v>
      </c>
      <c r="BZ55" s="47" t="s">
        <v>6004</v>
      </c>
      <c r="CA55" s="47" t="s">
        <v>6005</v>
      </c>
      <c r="CB55" s="47" t="s">
        <v>6006</v>
      </c>
      <c r="CC55" s="47" t="s">
        <v>6007</v>
      </c>
      <c r="CD55" s="47" t="s">
        <v>41</v>
      </c>
      <c r="CE55" s="47" t="s">
        <v>40</v>
      </c>
      <c r="CF55" s="47" t="s">
        <v>6008</v>
      </c>
      <c r="CG55" s="47" t="s">
        <v>6009</v>
      </c>
      <c r="CH55" s="47" t="s">
        <v>6010</v>
      </c>
      <c r="CI55" s="47" t="s">
        <v>6011</v>
      </c>
      <c r="CJ55" s="47" t="s">
        <v>6012</v>
      </c>
      <c r="CK55" s="47" t="s">
        <v>6013</v>
      </c>
      <c r="CL55" s="47"/>
      <c r="CM55" s="47" t="s">
        <v>6014</v>
      </c>
      <c r="CN55" s="47" t="s">
        <v>6015</v>
      </c>
      <c r="CO55" s="47" t="s">
        <v>6016</v>
      </c>
      <c r="CP55" s="47" t="s">
        <v>6017</v>
      </c>
      <c r="CQ55" s="47" t="s">
        <v>6018</v>
      </c>
      <c r="CR55" s="47" t="s">
        <v>6019</v>
      </c>
      <c r="CS55" s="47" t="s">
        <v>6020</v>
      </c>
      <c r="CT55" s="47" t="s">
        <v>6021</v>
      </c>
      <c r="CU55" s="47" t="s">
        <v>6022</v>
      </c>
      <c r="CV55" s="47" t="s">
        <v>6023</v>
      </c>
      <c r="CW55" s="285" t="s">
        <v>6024</v>
      </c>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row>
    <row r="56" spans="1:131">
      <c r="A56" s="27" t="s">
        <v>6387</v>
      </c>
      <c r="B56" s="27" t="s">
        <v>6373</v>
      </c>
      <c r="C56" s="38">
        <v>25</v>
      </c>
      <c r="D56" s="38">
        <v>610.60803932916519</v>
      </c>
      <c r="E56" s="38">
        <v>0</v>
      </c>
      <c r="F56" s="38">
        <v>2687.9999999999973</v>
      </c>
      <c r="G56" s="38">
        <v>0</v>
      </c>
      <c r="H56" s="38">
        <v>0</v>
      </c>
      <c r="I56" s="38" t="s">
        <v>5851</v>
      </c>
      <c r="J56" s="38"/>
      <c r="K56" s="38"/>
      <c r="L56" s="38">
        <v>658.46797022967348</v>
      </c>
      <c r="M56" s="38">
        <v>0.34432532218005246</v>
      </c>
      <c r="N56" s="38">
        <v>0.3418401364150363</v>
      </c>
      <c r="O56" s="38">
        <v>0</v>
      </c>
      <c r="P56" s="38">
        <v>0</v>
      </c>
      <c r="Q56" s="38">
        <v>0</v>
      </c>
      <c r="R56" s="38">
        <v>466.30979919034803</v>
      </c>
      <c r="S56" s="38">
        <v>1077.5710206088099</v>
      </c>
      <c r="T56" s="38">
        <v>0</v>
      </c>
      <c r="U56" s="38">
        <v>833.21261879351891</v>
      </c>
      <c r="V56" s="38" t="s">
        <v>6025</v>
      </c>
      <c r="W56" s="38" t="s">
        <v>6025</v>
      </c>
      <c r="X56" s="38" t="s">
        <v>6025</v>
      </c>
      <c r="Y56" s="38" t="s">
        <v>6025</v>
      </c>
      <c r="Z56" s="38">
        <v>0</v>
      </c>
      <c r="AA56" s="38">
        <v>0</v>
      </c>
      <c r="AB56" s="38">
        <v>0</v>
      </c>
      <c r="AC56" s="38">
        <v>0</v>
      </c>
      <c r="AD56" s="38">
        <v>0</v>
      </c>
      <c r="AE56" s="38">
        <v>0</v>
      </c>
      <c r="AF56" s="38">
        <v>0</v>
      </c>
      <c r="AG56" s="38">
        <v>0</v>
      </c>
      <c r="AH56" s="38">
        <v>466.30979919034803</v>
      </c>
      <c r="AI56" s="38">
        <v>1077.5710206088099</v>
      </c>
      <c r="AJ56" s="38">
        <v>0</v>
      </c>
      <c r="AK56" s="38">
        <v>833.21261879351891</v>
      </c>
      <c r="AL56" s="38">
        <v>2377.0934385926766</v>
      </c>
      <c r="AM56" s="38">
        <v>346.83285085582884</v>
      </c>
      <c r="AN56" s="38">
        <v>121.66683092883939</v>
      </c>
      <c r="AO56" s="38">
        <v>0</v>
      </c>
      <c r="AP56" s="38">
        <v>0</v>
      </c>
      <c r="AQ56" s="38">
        <v>468.49968178466821</v>
      </c>
      <c r="AR56" s="38">
        <v>466.30979919034803</v>
      </c>
      <c r="AS56" s="49">
        <v>1.0046961968161991</v>
      </c>
      <c r="AT56" s="38">
        <v>346.83285085582884</v>
      </c>
      <c r="AU56" s="38">
        <v>144.01728936234704</v>
      </c>
      <c r="AV56" s="38">
        <v>0</v>
      </c>
      <c r="AW56" s="38">
        <v>0</v>
      </c>
      <c r="AX56" s="38">
        <v>490.85014021817585</v>
      </c>
      <c r="AY56" s="38">
        <v>1077.5710206088099</v>
      </c>
      <c r="AZ56" s="50">
        <v>0.45551534964336138</v>
      </c>
      <c r="BA56" s="38">
        <v>346.83285085582884</v>
      </c>
      <c r="BB56" s="38">
        <v>265.68412029118645</v>
      </c>
      <c r="BC56" s="38">
        <v>0</v>
      </c>
      <c r="BD56" s="38">
        <v>0</v>
      </c>
      <c r="BE56" s="38">
        <v>612.51697114701528</v>
      </c>
      <c r="BF56" s="38">
        <v>1543.880819799158</v>
      </c>
      <c r="BG56" s="38">
        <v>142.83451081343819</v>
      </c>
      <c r="BH56" s="50">
        <v>0.3967385068147275</v>
      </c>
      <c r="BI56" s="38">
        <v>52.108671600000925</v>
      </c>
      <c r="BJ56" s="38">
        <v>120.41521438339217</v>
      </c>
      <c r="BK56" s="38">
        <v>0</v>
      </c>
      <c r="BL56" s="38">
        <v>93.10892201080496</v>
      </c>
      <c r="BM56" s="38">
        <v>265.632807994198</v>
      </c>
      <c r="BN56" s="38">
        <v>346.83285085582884</v>
      </c>
      <c r="BO56" s="38">
        <v>0</v>
      </c>
      <c r="BP56" s="38">
        <v>265.68412029118645</v>
      </c>
      <c r="BQ56" s="38">
        <v>0</v>
      </c>
      <c r="BR56" s="38">
        <v>0</v>
      </c>
      <c r="BS56" s="38">
        <v>0</v>
      </c>
      <c r="BT56" s="38">
        <v>0</v>
      </c>
      <c r="BU56" s="38">
        <v>0</v>
      </c>
      <c r="BV56" s="38">
        <v>100.07916267488051</v>
      </c>
      <c r="BW56" s="38">
        <v>0</v>
      </c>
      <c r="BX56" s="38">
        <v>2377.0934385926766</v>
      </c>
      <c r="BY56" s="38"/>
      <c r="BZ56" s="38">
        <v>0</v>
      </c>
      <c r="CA56" s="38">
        <v>0</v>
      </c>
      <c r="CB56" s="38">
        <v>712.59613382189582</v>
      </c>
      <c r="CC56" s="38">
        <v>2377.0934385926766</v>
      </c>
      <c r="CD56" s="50">
        <v>0.29977624028266131</v>
      </c>
      <c r="CE56" s="38">
        <v>224.75989726294205</v>
      </c>
      <c r="CF56" s="38">
        <v>6.2554856216134382</v>
      </c>
      <c r="CG56" s="38">
        <v>0</v>
      </c>
      <c r="CH56" s="38">
        <v>6.2554856216134382</v>
      </c>
      <c r="CI56" s="38">
        <v>0.31277228585909489</v>
      </c>
      <c r="CJ56" s="38">
        <v>0</v>
      </c>
      <c r="CK56" s="38">
        <v>0.31277228585909489</v>
      </c>
      <c r="CL56" s="38"/>
      <c r="CM56" s="38">
        <v>0</v>
      </c>
      <c r="CN56" s="38"/>
      <c r="CO56" s="38">
        <v>0</v>
      </c>
      <c r="CP56" s="38">
        <v>0</v>
      </c>
      <c r="CQ56" s="38">
        <v>0</v>
      </c>
      <c r="CR56" s="38">
        <v>0</v>
      </c>
      <c r="CS56" s="38">
        <v>0</v>
      </c>
      <c r="CT56" s="38">
        <v>0</v>
      </c>
      <c r="CU56" s="38">
        <v>0</v>
      </c>
      <c r="CV56" s="38">
        <v>9999</v>
      </c>
      <c r="CW56" s="49">
        <v>9999</v>
      </c>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row>
    <row r="57" spans="1:131">
      <c r="A57" s="27" t="s">
        <v>6420</v>
      </c>
      <c r="B57" s="27" t="s">
        <v>6374</v>
      </c>
      <c r="C57" s="38">
        <v>25</v>
      </c>
      <c r="D57" s="38">
        <v>925.26148639853386</v>
      </c>
      <c r="E57" s="38">
        <v>0</v>
      </c>
      <c r="F57" s="38">
        <v>2687.9999999999973</v>
      </c>
      <c r="G57" s="38">
        <v>0</v>
      </c>
      <c r="H57" s="38">
        <v>0</v>
      </c>
      <c r="I57" s="38" t="s">
        <v>5851</v>
      </c>
      <c r="J57" s="38"/>
      <c r="K57" s="38"/>
      <c r="L57" s="38">
        <v>997.78419810830133</v>
      </c>
      <c r="M57" s="38">
        <v>0.52176017819055298</v>
      </c>
      <c r="N57" s="38">
        <v>0.51799434720437476</v>
      </c>
      <c r="O57" s="38">
        <v>0</v>
      </c>
      <c r="P57" s="38">
        <v>0</v>
      </c>
      <c r="Q57" s="38">
        <v>0</v>
      </c>
      <c r="R57" s="38">
        <v>466.30979919034803</v>
      </c>
      <c r="S57" s="38">
        <v>1077.5710206088099</v>
      </c>
      <c r="T57" s="38">
        <v>0</v>
      </c>
      <c r="U57" s="38">
        <v>833.21261879351891</v>
      </c>
      <c r="V57" s="38" t="s">
        <v>6025</v>
      </c>
      <c r="W57" s="38" t="s">
        <v>6025</v>
      </c>
      <c r="X57" s="38" t="s">
        <v>6025</v>
      </c>
      <c r="Y57" s="38" t="s">
        <v>6025</v>
      </c>
      <c r="Z57" s="38">
        <v>0</v>
      </c>
      <c r="AA57" s="38">
        <v>0</v>
      </c>
      <c r="AB57" s="38">
        <v>0</v>
      </c>
      <c r="AC57" s="38">
        <v>0</v>
      </c>
      <c r="AD57" s="38">
        <v>0</v>
      </c>
      <c r="AE57" s="38">
        <v>0</v>
      </c>
      <c r="AF57" s="38">
        <v>0</v>
      </c>
      <c r="AG57" s="38">
        <v>0</v>
      </c>
      <c r="AH57" s="38">
        <v>466.30979919034803</v>
      </c>
      <c r="AI57" s="38">
        <v>1077.5710206088099</v>
      </c>
      <c r="AJ57" s="38">
        <v>0</v>
      </c>
      <c r="AK57" s="38">
        <v>833.21261879351891</v>
      </c>
      <c r="AL57" s="38">
        <v>2377.0934385926766</v>
      </c>
      <c r="AM57" s="38">
        <v>525.55986565009698</v>
      </c>
      <c r="AN57" s="38">
        <v>184.36316848087074</v>
      </c>
      <c r="AO57" s="38">
        <v>0</v>
      </c>
      <c r="AP57" s="38">
        <v>0</v>
      </c>
      <c r="AQ57" s="38">
        <v>709.92303413096772</v>
      </c>
      <c r="AR57" s="38">
        <v>466.30979919034803</v>
      </c>
      <c r="AS57" s="49">
        <v>1.5224278695485371</v>
      </c>
      <c r="AT57" s="38">
        <v>525.55986565009698</v>
      </c>
      <c r="AU57" s="38">
        <v>218.23107892403453</v>
      </c>
      <c r="AV57" s="38">
        <v>0</v>
      </c>
      <c r="AW57" s="38">
        <v>0</v>
      </c>
      <c r="AX57" s="38">
        <v>743.79094457413157</v>
      </c>
      <c r="AY57" s="38">
        <v>1077.5710206088099</v>
      </c>
      <c r="AZ57" s="50">
        <v>0.69024772413970625</v>
      </c>
      <c r="BA57" s="38">
        <v>525.55986565009698</v>
      </c>
      <c r="BB57" s="38">
        <v>402.59424740490527</v>
      </c>
      <c r="BC57" s="38">
        <v>0</v>
      </c>
      <c r="BD57" s="38">
        <v>0</v>
      </c>
      <c r="BE57" s="38">
        <v>928.15411305500231</v>
      </c>
      <c r="BF57" s="38">
        <v>1543.880819799158</v>
      </c>
      <c r="BG57" s="38">
        <v>84.164355160709192</v>
      </c>
      <c r="BH57" s="50">
        <v>0.60118248840978872</v>
      </c>
      <c r="BI57" s="38">
        <v>34.388088411170614</v>
      </c>
      <c r="BJ57" s="38">
        <v>79.465641919493478</v>
      </c>
      <c r="BK57" s="38">
        <v>0</v>
      </c>
      <c r="BL57" s="38">
        <v>61.445393706338372</v>
      </c>
      <c r="BM57" s="38">
        <v>175.29912403700243</v>
      </c>
      <c r="BN57" s="38">
        <v>525.55986565009698</v>
      </c>
      <c r="BO57" s="38">
        <v>0</v>
      </c>
      <c r="BP57" s="38">
        <v>402.59424740490527</v>
      </c>
      <c r="BQ57" s="38">
        <v>0</v>
      </c>
      <c r="BR57" s="38">
        <v>0</v>
      </c>
      <c r="BS57" s="38">
        <v>0</v>
      </c>
      <c r="BT57" s="38">
        <v>0</v>
      </c>
      <c r="BU57" s="38">
        <v>0</v>
      </c>
      <c r="BV57" s="38">
        <v>137.11054982082021</v>
      </c>
      <c r="BW57" s="38">
        <v>0</v>
      </c>
      <c r="BX57" s="38">
        <v>2377.0934385926766</v>
      </c>
      <c r="BY57" s="38"/>
      <c r="BZ57" s="38">
        <v>0</v>
      </c>
      <c r="CA57" s="38">
        <v>0</v>
      </c>
      <c r="CB57" s="38">
        <v>1065.2646628758225</v>
      </c>
      <c r="CC57" s="38">
        <v>2377.0934385926766</v>
      </c>
      <c r="CD57" s="50">
        <v>0.44813747982346747</v>
      </c>
      <c r="CE57" s="38">
        <v>135.49851012076951</v>
      </c>
      <c r="CF57" s="38">
        <v>9.4790103496795748</v>
      </c>
      <c r="CG57" s="38">
        <v>0</v>
      </c>
      <c r="CH57" s="38">
        <v>9.4790103496795748</v>
      </c>
      <c r="CI57" s="38">
        <v>0.4739474941014431</v>
      </c>
      <c r="CJ57" s="38">
        <v>0</v>
      </c>
      <c r="CK57" s="38">
        <v>0.4739474941014431</v>
      </c>
      <c r="CL57" s="38"/>
      <c r="CM57" s="38">
        <v>0</v>
      </c>
      <c r="CN57" s="38"/>
      <c r="CO57" s="38">
        <v>0</v>
      </c>
      <c r="CP57" s="38">
        <v>0</v>
      </c>
      <c r="CQ57" s="38">
        <v>0</v>
      </c>
      <c r="CR57" s="38">
        <v>0</v>
      </c>
      <c r="CS57" s="38">
        <v>0</v>
      </c>
      <c r="CT57" s="38">
        <v>0</v>
      </c>
      <c r="CU57" s="38">
        <v>0</v>
      </c>
      <c r="CV57" s="38">
        <v>9999</v>
      </c>
      <c r="CW57" s="49">
        <v>9999</v>
      </c>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row>
    <row r="58" spans="1:131">
      <c r="A58" s="27" t="s">
        <v>6422</v>
      </c>
      <c r="B58" s="27" t="s">
        <v>6396</v>
      </c>
      <c r="C58" s="38">
        <v>25</v>
      </c>
      <c r="D58" s="38">
        <v>245.51686019655438</v>
      </c>
      <c r="E58" s="38">
        <v>0</v>
      </c>
      <c r="F58" s="38">
        <v>2687.9999999999973</v>
      </c>
      <c r="G58" s="38">
        <v>0</v>
      </c>
      <c r="H58" s="38">
        <v>0</v>
      </c>
      <c r="I58" s="38" t="s">
        <v>5851</v>
      </c>
      <c r="J58" s="38"/>
      <c r="K58" s="38"/>
      <c r="L58" s="38">
        <v>264.76066179606534</v>
      </c>
      <c r="M58" s="38">
        <v>0.13844834417949925</v>
      </c>
      <c r="N58" s="38">
        <v>0.13744908611748247</v>
      </c>
      <c r="O58" s="38">
        <v>0</v>
      </c>
      <c r="P58" s="38">
        <v>0</v>
      </c>
      <c r="Q58" s="38">
        <v>0</v>
      </c>
      <c r="R58" s="38">
        <v>466.30979919034803</v>
      </c>
      <c r="S58" s="38">
        <v>1077.5710206088099</v>
      </c>
      <c r="T58" s="38">
        <v>0</v>
      </c>
      <c r="U58" s="38">
        <v>833.21261879351891</v>
      </c>
      <c r="V58" s="38" t="s">
        <v>6025</v>
      </c>
      <c r="W58" s="38" t="s">
        <v>6025</v>
      </c>
      <c r="X58" s="38" t="s">
        <v>6025</v>
      </c>
      <c r="Y58" s="38" t="s">
        <v>6025</v>
      </c>
      <c r="Z58" s="38">
        <v>0</v>
      </c>
      <c r="AA58" s="38">
        <v>0</v>
      </c>
      <c r="AB58" s="38">
        <v>0</v>
      </c>
      <c r="AC58" s="38">
        <v>0</v>
      </c>
      <c r="AD58" s="38">
        <v>0</v>
      </c>
      <c r="AE58" s="38">
        <v>0</v>
      </c>
      <c r="AF58" s="38">
        <v>0</v>
      </c>
      <c r="AG58" s="38">
        <v>0</v>
      </c>
      <c r="AH58" s="38">
        <v>466.30979919034803</v>
      </c>
      <c r="AI58" s="38">
        <v>1077.5710206088099</v>
      </c>
      <c r="AJ58" s="38">
        <v>0</v>
      </c>
      <c r="AK58" s="38">
        <v>833.21261879351891</v>
      </c>
      <c r="AL58" s="38">
        <v>2377.0934385926766</v>
      </c>
      <c r="AM58" s="38">
        <v>139.45658601006187</v>
      </c>
      <c r="AN58" s="38">
        <v>48.920512662314856</v>
      </c>
      <c r="AO58" s="38">
        <v>0</v>
      </c>
      <c r="AP58" s="38">
        <v>0</v>
      </c>
      <c r="AQ58" s="38">
        <v>188.37709867237672</v>
      </c>
      <c r="AR58" s="38">
        <v>466.30979919034803</v>
      </c>
      <c r="AS58" s="50">
        <v>0.40397413693526313</v>
      </c>
      <c r="AT58" s="38">
        <v>139.45658601006187</v>
      </c>
      <c r="AU58" s="38">
        <v>57.907316020778772</v>
      </c>
      <c r="AV58" s="38">
        <v>0</v>
      </c>
      <c r="AW58" s="38">
        <v>0</v>
      </c>
      <c r="AX58" s="38">
        <v>197.36390203084065</v>
      </c>
      <c r="AY58" s="38">
        <v>1077.5710206088099</v>
      </c>
      <c r="AZ58" s="50">
        <v>0.18315628228321626</v>
      </c>
      <c r="BA58" s="38">
        <v>139.45658601006187</v>
      </c>
      <c r="BB58" s="38">
        <v>106.82782868309363</v>
      </c>
      <c r="BC58" s="38">
        <v>0</v>
      </c>
      <c r="BD58" s="38">
        <v>0</v>
      </c>
      <c r="BE58" s="38">
        <v>246.2844146931555</v>
      </c>
      <c r="BF58" s="38">
        <v>1543.880819799158</v>
      </c>
      <c r="BG58" s="38">
        <v>399.3828754014807</v>
      </c>
      <c r="BH58" s="50">
        <v>0.15952294473429265</v>
      </c>
      <c r="BI58" s="38">
        <v>129.59588100080492</v>
      </c>
      <c r="BJ58" s="38">
        <v>299.47636957063071</v>
      </c>
      <c r="BK58" s="38">
        <v>0</v>
      </c>
      <c r="BL58" s="38">
        <v>231.56477427886091</v>
      </c>
      <c r="BM58" s="38">
        <v>660.63702485029648</v>
      </c>
      <c r="BN58" s="38">
        <v>139.45658601006187</v>
      </c>
      <c r="BO58" s="38">
        <v>0</v>
      </c>
      <c r="BP58" s="38">
        <v>106.82782868309363</v>
      </c>
      <c r="BQ58" s="38">
        <v>0</v>
      </c>
      <c r="BR58" s="38">
        <v>0</v>
      </c>
      <c r="BS58" s="38">
        <v>0</v>
      </c>
      <c r="BT58" s="38">
        <v>0</v>
      </c>
      <c r="BU58" s="38">
        <v>0</v>
      </c>
      <c r="BV58" s="38">
        <v>41.144080185250381</v>
      </c>
      <c r="BW58" s="38">
        <v>0</v>
      </c>
      <c r="BX58" s="38">
        <v>2377.0934385926766</v>
      </c>
      <c r="BY58" s="38"/>
      <c r="BZ58" s="38">
        <v>0</v>
      </c>
      <c r="CA58" s="38">
        <v>0</v>
      </c>
      <c r="CB58" s="38">
        <v>287.4284948784059</v>
      </c>
      <c r="CC58" s="38">
        <v>2377.0934385926766</v>
      </c>
      <c r="CD58" s="50">
        <v>0.12091594306388466</v>
      </c>
      <c r="CE58" s="38">
        <v>619.51296971257466</v>
      </c>
      <c r="CF58" s="38">
        <v>2.5152423320703994</v>
      </c>
      <c r="CG58" s="38">
        <v>0</v>
      </c>
      <c r="CH58" s="38">
        <v>2.5152423320703994</v>
      </c>
      <c r="CI58" s="38">
        <v>0.12576131435313101</v>
      </c>
      <c r="CJ58" s="38">
        <v>0</v>
      </c>
      <c r="CK58" s="38">
        <v>0.12576131435313101</v>
      </c>
      <c r="CL58" s="38"/>
      <c r="CM58" s="38">
        <v>0</v>
      </c>
      <c r="CN58" s="38"/>
      <c r="CO58" s="38">
        <v>0</v>
      </c>
      <c r="CP58" s="38">
        <v>0</v>
      </c>
      <c r="CQ58" s="38">
        <v>0</v>
      </c>
      <c r="CR58" s="38">
        <v>0</v>
      </c>
      <c r="CS58" s="38">
        <v>0</v>
      </c>
      <c r="CT58" s="38">
        <v>0</v>
      </c>
      <c r="CU58" s="38">
        <v>0</v>
      </c>
      <c r="CV58" s="38">
        <v>9999</v>
      </c>
      <c r="CW58" s="49">
        <v>9999</v>
      </c>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row>
    <row r="59" spans="1:131">
      <c r="A59" s="27" t="s">
        <v>6389</v>
      </c>
      <c r="B59" s="27" t="s">
        <v>6375</v>
      </c>
      <c r="C59" s="38">
        <v>25</v>
      </c>
      <c r="D59" s="38">
        <v>799.10533088738805</v>
      </c>
      <c r="E59" s="38">
        <v>0</v>
      </c>
      <c r="F59" s="38">
        <v>4223.9999999999964</v>
      </c>
      <c r="G59" s="38">
        <v>0</v>
      </c>
      <c r="H59" s="38">
        <v>0</v>
      </c>
      <c r="I59" s="38" t="s">
        <v>5851</v>
      </c>
      <c r="J59" s="38"/>
      <c r="K59" s="38"/>
      <c r="L59" s="38">
        <v>861.73982544876924</v>
      </c>
      <c r="M59" s="38">
        <v>0.45062000954964321</v>
      </c>
      <c r="N59" s="38">
        <v>0.44736763639836324</v>
      </c>
      <c r="O59" s="38">
        <v>0</v>
      </c>
      <c r="P59" s="38">
        <v>0</v>
      </c>
      <c r="Q59" s="38">
        <v>0</v>
      </c>
      <c r="R59" s="38">
        <v>732.77254158483288</v>
      </c>
      <c r="S59" s="38">
        <v>1693.3258895281301</v>
      </c>
      <c r="T59" s="38">
        <v>0</v>
      </c>
      <c r="U59" s="38">
        <v>1309.3341152469584</v>
      </c>
      <c r="V59" s="38" t="s">
        <v>6025</v>
      </c>
      <c r="W59" s="38" t="s">
        <v>6025</v>
      </c>
      <c r="X59" s="38" t="s">
        <v>6025</v>
      </c>
      <c r="Y59" s="38" t="s">
        <v>6025</v>
      </c>
      <c r="Z59" s="38">
        <v>0</v>
      </c>
      <c r="AA59" s="38">
        <v>0</v>
      </c>
      <c r="AB59" s="38">
        <v>0</v>
      </c>
      <c r="AC59" s="38">
        <v>0</v>
      </c>
      <c r="AD59" s="38">
        <v>0</v>
      </c>
      <c r="AE59" s="38">
        <v>0</v>
      </c>
      <c r="AF59" s="38">
        <v>0</v>
      </c>
      <c r="AG59" s="38">
        <v>0</v>
      </c>
      <c r="AH59" s="38">
        <v>732.77254158483288</v>
      </c>
      <c r="AI59" s="38">
        <v>1693.3258895281301</v>
      </c>
      <c r="AJ59" s="38">
        <v>0</v>
      </c>
      <c r="AK59" s="38">
        <v>1309.3341152469584</v>
      </c>
      <c r="AL59" s="38">
        <v>3735.4325463599216</v>
      </c>
      <c r="AM59" s="38">
        <v>453.90162296299985</v>
      </c>
      <c r="AN59" s="38">
        <v>159.22589767115471</v>
      </c>
      <c r="AO59" s="38">
        <v>0</v>
      </c>
      <c r="AP59" s="38">
        <v>0</v>
      </c>
      <c r="AQ59" s="38">
        <v>613.12752063415451</v>
      </c>
      <c r="AR59" s="38">
        <v>732.77254158483288</v>
      </c>
      <c r="AS59" s="50">
        <v>0.8367228380420596</v>
      </c>
      <c r="AT59" s="38">
        <v>453.90162296299985</v>
      </c>
      <c r="AU59" s="38">
        <v>188.47603741974862</v>
      </c>
      <c r="AV59" s="38">
        <v>0</v>
      </c>
      <c r="AW59" s="38">
        <v>0</v>
      </c>
      <c r="AX59" s="38">
        <v>642.37766038274845</v>
      </c>
      <c r="AY59" s="38">
        <v>1693.3258895281301</v>
      </c>
      <c r="AZ59" s="50">
        <v>0.37935855369326238</v>
      </c>
      <c r="BA59" s="38">
        <v>453.90162296299985</v>
      </c>
      <c r="BB59" s="38">
        <v>347.70193509090336</v>
      </c>
      <c r="BC59" s="38">
        <v>0</v>
      </c>
      <c r="BD59" s="38">
        <v>0</v>
      </c>
      <c r="BE59" s="38">
        <v>801.60355805390316</v>
      </c>
      <c r="BF59" s="38">
        <v>2426.0984311129632</v>
      </c>
      <c r="BG59" s="38">
        <v>177.46893846358978</v>
      </c>
      <c r="BH59" s="50">
        <v>0.33040850600862498</v>
      </c>
      <c r="BI59" s="38">
        <v>62.569565210115094</v>
      </c>
      <c r="BJ59" s="38">
        <v>144.58874842342959</v>
      </c>
      <c r="BK59" s="38">
        <v>0</v>
      </c>
      <c r="BL59" s="38">
        <v>111.80067709495164</v>
      </c>
      <c r="BM59" s="38">
        <v>318.95899072849636</v>
      </c>
      <c r="BN59" s="38">
        <v>453.90162296299985</v>
      </c>
      <c r="BO59" s="38">
        <v>0</v>
      </c>
      <c r="BP59" s="38">
        <v>347.70193509090336</v>
      </c>
      <c r="BQ59" s="38">
        <v>0</v>
      </c>
      <c r="BR59" s="38">
        <v>0</v>
      </c>
      <c r="BS59" s="38">
        <v>0</v>
      </c>
      <c r="BT59" s="38">
        <v>0</v>
      </c>
      <c r="BU59" s="38">
        <v>0</v>
      </c>
      <c r="BV59" s="38">
        <v>122.96545063144696</v>
      </c>
      <c r="BW59" s="38">
        <v>0</v>
      </c>
      <c r="BX59" s="38">
        <v>3735.4325463599216</v>
      </c>
      <c r="BY59" s="38"/>
      <c r="BZ59" s="38">
        <v>0</v>
      </c>
      <c r="CA59" s="38">
        <v>0</v>
      </c>
      <c r="CB59" s="38">
        <v>924.56900868535013</v>
      </c>
      <c r="CC59" s="38">
        <v>3735.4325463599216</v>
      </c>
      <c r="CD59" s="50">
        <v>0.24751323901868277</v>
      </c>
      <c r="CE59" s="38">
        <v>278.76991156412697</v>
      </c>
      <c r="CF59" s="38">
        <v>8.1865805648621173</v>
      </c>
      <c r="CG59" s="38">
        <v>0</v>
      </c>
      <c r="CH59" s="38">
        <v>8.1865805648621173</v>
      </c>
      <c r="CI59" s="38">
        <v>0.40932641708816547</v>
      </c>
      <c r="CJ59" s="38">
        <v>0</v>
      </c>
      <c r="CK59" s="38">
        <v>0.40932641708816547</v>
      </c>
      <c r="CL59" s="38"/>
      <c r="CM59" s="38">
        <v>0</v>
      </c>
      <c r="CN59" s="38"/>
      <c r="CO59" s="38">
        <v>0</v>
      </c>
      <c r="CP59" s="38">
        <v>0</v>
      </c>
      <c r="CQ59" s="38">
        <v>0</v>
      </c>
      <c r="CR59" s="38">
        <v>0</v>
      </c>
      <c r="CS59" s="38">
        <v>0</v>
      </c>
      <c r="CT59" s="38">
        <v>0</v>
      </c>
      <c r="CU59" s="38">
        <v>0</v>
      </c>
      <c r="CV59" s="38">
        <v>9999</v>
      </c>
      <c r="CW59" s="49">
        <v>9999</v>
      </c>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row>
    <row r="60" spans="1:131">
      <c r="A60" s="27" t="s">
        <v>6388</v>
      </c>
      <c r="B60" s="27" t="s">
        <v>6376</v>
      </c>
      <c r="C60" s="38">
        <v>25</v>
      </c>
      <c r="D60" s="38">
        <v>338.94203757324567</v>
      </c>
      <c r="E60" s="38">
        <v>0</v>
      </c>
      <c r="F60" s="38">
        <v>4223.9999999999964</v>
      </c>
      <c r="G60" s="38">
        <v>0</v>
      </c>
      <c r="H60" s="38">
        <v>0</v>
      </c>
      <c r="I60" s="38" t="s">
        <v>5851</v>
      </c>
      <c r="J60" s="38"/>
      <c r="K60" s="38"/>
      <c r="L60" s="38">
        <v>365.50857691222126</v>
      </c>
      <c r="M60" s="38">
        <v>0.19113132938110153</v>
      </c>
      <c r="N60" s="38">
        <v>0.18975182915724595</v>
      </c>
      <c r="O60" s="38">
        <v>0</v>
      </c>
      <c r="P60" s="38">
        <v>0</v>
      </c>
      <c r="Q60" s="38">
        <v>0</v>
      </c>
      <c r="R60" s="38">
        <v>732.77254158483288</v>
      </c>
      <c r="S60" s="38">
        <v>1693.3258895281301</v>
      </c>
      <c r="T60" s="38">
        <v>0</v>
      </c>
      <c r="U60" s="38">
        <v>1309.3341152469584</v>
      </c>
      <c r="V60" s="38" t="s">
        <v>6025</v>
      </c>
      <c r="W60" s="38" t="s">
        <v>6025</v>
      </c>
      <c r="X60" s="38" t="s">
        <v>6025</v>
      </c>
      <c r="Y60" s="38" t="s">
        <v>6025</v>
      </c>
      <c r="Z60" s="38">
        <v>0</v>
      </c>
      <c r="AA60" s="38">
        <v>0</v>
      </c>
      <c r="AB60" s="38">
        <v>0</v>
      </c>
      <c r="AC60" s="38">
        <v>0</v>
      </c>
      <c r="AD60" s="38">
        <v>0</v>
      </c>
      <c r="AE60" s="38">
        <v>0</v>
      </c>
      <c r="AF60" s="38">
        <v>0</v>
      </c>
      <c r="AG60" s="38">
        <v>0</v>
      </c>
      <c r="AH60" s="38">
        <v>732.77254158483288</v>
      </c>
      <c r="AI60" s="38">
        <v>1693.3258895281301</v>
      </c>
      <c r="AJ60" s="38">
        <v>0</v>
      </c>
      <c r="AK60" s="38">
        <v>1309.3341152469584</v>
      </c>
      <c r="AL60" s="38">
        <v>3735.4325463599216</v>
      </c>
      <c r="AM60" s="38">
        <v>192.5232319174236</v>
      </c>
      <c r="AN60" s="38">
        <v>67.535965666953672</v>
      </c>
      <c r="AO60" s="38">
        <v>0</v>
      </c>
      <c r="AP60" s="38">
        <v>0</v>
      </c>
      <c r="AQ60" s="38">
        <v>260.05919758437727</v>
      </c>
      <c r="AR60" s="38">
        <v>732.77254158483288</v>
      </c>
      <c r="AS60" s="50">
        <v>0.35489757438498437</v>
      </c>
      <c r="AT60" s="38">
        <v>192.5232319174236</v>
      </c>
      <c r="AU60" s="38">
        <v>79.942467766847329</v>
      </c>
      <c r="AV60" s="38">
        <v>0</v>
      </c>
      <c r="AW60" s="38">
        <v>0</v>
      </c>
      <c r="AX60" s="38">
        <v>272.46569968427093</v>
      </c>
      <c r="AY60" s="38">
        <v>1693.3258895281301</v>
      </c>
      <c r="AZ60" s="50">
        <v>0.16090564809128233</v>
      </c>
      <c r="BA60" s="38">
        <v>192.5232319174236</v>
      </c>
      <c r="BB60" s="38">
        <v>147.478433433801</v>
      </c>
      <c r="BC60" s="38">
        <v>0</v>
      </c>
      <c r="BD60" s="38">
        <v>0</v>
      </c>
      <c r="BE60" s="38">
        <v>340.00166535122457</v>
      </c>
      <c r="BF60" s="38">
        <v>2426.0984311129632</v>
      </c>
      <c r="BG60" s="38">
        <v>458.7165893054119</v>
      </c>
      <c r="BH60" s="50">
        <v>0.14014339277868876</v>
      </c>
      <c r="BI60" s="38">
        <v>147.51688362026815</v>
      </c>
      <c r="BJ60" s="38">
        <v>340.8890808550986</v>
      </c>
      <c r="BK60" s="38">
        <v>0</v>
      </c>
      <c r="BL60" s="38">
        <v>263.58641643584502</v>
      </c>
      <c r="BM60" s="38">
        <v>751.99238091121185</v>
      </c>
      <c r="BN60" s="38">
        <v>192.5232319174236</v>
      </c>
      <c r="BO60" s="38">
        <v>0</v>
      </c>
      <c r="BP60" s="38">
        <v>147.478433433801</v>
      </c>
      <c r="BQ60" s="38">
        <v>0</v>
      </c>
      <c r="BR60" s="38">
        <v>0</v>
      </c>
      <c r="BS60" s="38">
        <v>0</v>
      </c>
      <c r="BT60" s="38">
        <v>0</v>
      </c>
      <c r="BU60" s="38">
        <v>0</v>
      </c>
      <c r="BV60" s="38">
        <v>52.823898672475352</v>
      </c>
      <c r="BW60" s="38">
        <v>0</v>
      </c>
      <c r="BX60" s="38">
        <v>3735.4325463599216</v>
      </c>
      <c r="BY60" s="38"/>
      <c r="BZ60" s="38">
        <v>0</v>
      </c>
      <c r="CA60" s="38">
        <v>0</v>
      </c>
      <c r="CB60" s="38">
        <v>392.82556402369994</v>
      </c>
      <c r="CC60" s="38">
        <v>3735.4325463599216</v>
      </c>
      <c r="CD60" s="50">
        <v>0.10516200176241915</v>
      </c>
      <c r="CE60" s="38">
        <v>711.66885056947194</v>
      </c>
      <c r="CF60" s="38">
        <v>3.4723536311922429</v>
      </c>
      <c r="CG60" s="38">
        <v>0</v>
      </c>
      <c r="CH60" s="38">
        <v>3.4723536311922429</v>
      </c>
      <c r="CI60" s="38">
        <v>0.17361657403330508</v>
      </c>
      <c r="CJ60" s="38">
        <v>0</v>
      </c>
      <c r="CK60" s="38">
        <v>0.17361657403330508</v>
      </c>
      <c r="CL60" s="38"/>
      <c r="CM60" s="38">
        <v>0</v>
      </c>
      <c r="CN60" s="38"/>
      <c r="CO60" s="38">
        <v>0</v>
      </c>
      <c r="CP60" s="38">
        <v>0</v>
      </c>
      <c r="CQ60" s="38">
        <v>0</v>
      </c>
      <c r="CR60" s="38">
        <v>0</v>
      </c>
      <c r="CS60" s="38">
        <v>0</v>
      </c>
      <c r="CT60" s="38">
        <v>0</v>
      </c>
      <c r="CU60" s="38">
        <v>0</v>
      </c>
      <c r="CV60" s="38">
        <v>9999</v>
      </c>
      <c r="CW60" s="49">
        <v>9999</v>
      </c>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row>
    <row r="61" spans="1:131">
      <c r="A61" s="27" t="s">
        <v>168</v>
      </c>
      <c r="B61" s="27" t="s">
        <v>61</v>
      </c>
      <c r="C61" s="38">
        <v>25</v>
      </c>
      <c r="D61" s="38">
        <v>824.59798710575876</v>
      </c>
      <c r="E61" s="38">
        <v>0</v>
      </c>
      <c r="F61" s="38">
        <v>3296.9499559131623</v>
      </c>
      <c r="G61" s="38">
        <v>0</v>
      </c>
      <c r="H61" s="38">
        <v>0</v>
      </c>
      <c r="I61" s="38" t="s">
        <v>5851</v>
      </c>
      <c r="J61" s="38"/>
      <c r="K61" s="38"/>
      <c r="L61" s="38">
        <v>889.23061579983505</v>
      </c>
      <c r="M61" s="38">
        <v>0.46499546237738415</v>
      </c>
      <c r="N61" s="38">
        <v>0.46163933365417309</v>
      </c>
      <c r="O61" s="38">
        <v>0</v>
      </c>
      <c r="P61" s="38">
        <v>0</v>
      </c>
      <c r="Q61" s="38">
        <v>0</v>
      </c>
      <c r="R61" s="38">
        <v>571.94943150390452</v>
      </c>
      <c r="S61" s="38">
        <v>1321.6881431880656</v>
      </c>
      <c r="T61" s="38">
        <v>0</v>
      </c>
      <c r="U61" s="38">
        <v>1021.9718403264827</v>
      </c>
      <c r="V61" s="38" t="s">
        <v>6025</v>
      </c>
      <c r="W61" s="38" t="s">
        <v>6025</v>
      </c>
      <c r="X61" s="38" t="s">
        <v>6025</v>
      </c>
      <c r="Y61" s="38" t="s">
        <v>6025</v>
      </c>
      <c r="Z61" s="38">
        <v>0</v>
      </c>
      <c r="AA61" s="38">
        <v>0</v>
      </c>
      <c r="AB61" s="38">
        <v>0</v>
      </c>
      <c r="AC61" s="38">
        <v>0</v>
      </c>
      <c r="AD61" s="38">
        <v>0</v>
      </c>
      <c r="AE61" s="38">
        <v>0</v>
      </c>
      <c r="AF61" s="38">
        <v>0</v>
      </c>
      <c r="AG61" s="38">
        <v>0</v>
      </c>
      <c r="AH61" s="38">
        <v>571.94943150390452</v>
      </c>
      <c r="AI61" s="38">
        <v>1321.6881431880656</v>
      </c>
      <c r="AJ61" s="38">
        <v>0</v>
      </c>
      <c r="AK61" s="38">
        <v>1021.9718403264827</v>
      </c>
      <c r="AL61" s="38">
        <v>2915.6094150184531</v>
      </c>
      <c r="AM61" s="38">
        <v>468.38176417080086</v>
      </c>
      <c r="AN61" s="38">
        <v>164.30544214858261</v>
      </c>
      <c r="AO61" s="38">
        <v>0</v>
      </c>
      <c r="AP61" s="38">
        <v>0</v>
      </c>
      <c r="AQ61" s="38">
        <v>632.68720631938345</v>
      </c>
      <c r="AR61" s="38">
        <v>571.94943150390452</v>
      </c>
      <c r="AS61" s="49">
        <v>1.1061943092692177</v>
      </c>
      <c r="AT61" s="38">
        <v>468.38176417080086</v>
      </c>
      <c r="AU61" s="38">
        <v>194.48870513904271</v>
      </c>
      <c r="AV61" s="38">
        <v>0</v>
      </c>
      <c r="AW61" s="38">
        <v>0</v>
      </c>
      <c r="AX61" s="38">
        <v>662.87046930984354</v>
      </c>
      <c r="AY61" s="38">
        <v>1321.6881431880656</v>
      </c>
      <c r="AZ61" s="50">
        <v>0.50153318899488863</v>
      </c>
      <c r="BA61" s="38">
        <v>468.38176417080086</v>
      </c>
      <c r="BB61" s="38">
        <v>358.79414728762532</v>
      </c>
      <c r="BC61" s="38">
        <v>0</v>
      </c>
      <c r="BD61" s="38">
        <v>0</v>
      </c>
      <c r="BE61" s="38">
        <v>827.17591145842619</v>
      </c>
      <c r="BF61" s="38">
        <v>1893.6375746919703</v>
      </c>
      <c r="BG61" s="38">
        <v>127.00469806386579</v>
      </c>
      <c r="BH61" s="50">
        <v>0.43681849289084757</v>
      </c>
      <c r="BI61" s="38">
        <v>47.32747559716816</v>
      </c>
      <c r="BJ61" s="38">
        <v>109.36659763665251</v>
      </c>
      <c r="BK61" s="38">
        <v>0</v>
      </c>
      <c r="BL61" s="38">
        <v>84.565775696053734</v>
      </c>
      <c r="BM61" s="38">
        <v>241.25984892987444</v>
      </c>
      <c r="BN61" s="38">
        <v>468.38176417080086</v>
      </c>
      <c r="BO61" s="38">
        <v>0</v>
      </c>
      <c r="BP61" s="38">
        <v>358.79414728762532</v>
      </c>
      <c r="BQ61" s="38">
        <v>0</v>
      </c>
      <c r="BR61" s="38">
        <v>0</v>
      </c>
      <c r="BS61" s="38">
        <v>0</v>
      </c>
      <c r="BT61" s="38">
        <v>0</v>
      </c>
      <c r="BU61" s="38">
        <v>0</v>
      </c>
      <c r="BV61" s="38">
        <v>139.22659960995088</v>
      </c>
      <c r="BW61" s="38">
        <v>0</v>
      </c>
      <c r="BX61" s="38">
        <v>2915.6094150184531</v>
      </c>
      <c r="BY61" s="38"/>
      <c r="BZ61" s="38">
        <v>0</v>
      </c>
      <c r="CA61" s="38">
        <v>0</v>
      </c>
      <c r="CB61" s="38">
        <v>966.40251106837707</v>
      </c>
      <c r="CC61" s="38">
        <v>2915.6094150184531</v>
      </c>
      <c r="CD61" s="50">
        <v>0.33145815282746321</v>
      </c>
      <c r="CE61" s="38">
        <v>200.04979879711621</v>
      </c>
      <c r="CF61" s="38">
        <v>8.4477447391922666</v>
      </c>
      <c r="CG61" s="38">
        <v>0</v>
      </c>
      <c r="CH61" s="38">
        <v>8.4477447391922666</v>
      </c>
      <c r="CI61" s="38">
        <v>0.42238454250492163</v>
      </c>
      <c r="CJ61" s="38">
        <v>0</v>
      </c>
      <c r="CK61" s="38">
        <v>0.42238454250492163</v>
      </c>
      <c r="CL61" s="38"/>
      <c r="CM61" s="38">
        <v>0</v>
      </c>
      <c r="CN61" s="38"/>
      <c r="CO61" s="38">
        <v>0</v>
      </c>
      <c r="CP61" s="38">
        <v>0</v>
      </c>
      <c r="CQ61" s="38">
        <v>0</v>
      </c>
      <c r="CR61" s="38">
        <v>0</v>
      </c>
      <c r="CS61" s="38">
        <v>0</v>
      </c>
      <c r="CT61" s="38">
        <v>0</v>
      </c>
      <c r="CU61" s="38">
        <v>0</v>
      </c>
      <c r="CV61" s="38">
        <v>9999</v>
      </c>
      <c r="CW61" s="49">
        <v>9999</v>
      </c>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row>
    <row r="62" spans="1:131">
      <c r="A62" s="27" t="s">
        <v>167</v>
      </c>
      <c r="B62" s="27" t="s">
        <v>60</v>
      </c>
      <c r="C62" s="38">
        <v>25</v>
      </c>
      <c r="D62" s="38">
        <v>1660.6183472547423</v>
      </c>
      <c r="E62" s="38">
        <v>0</v>
      </c>
      <c r="F62" s="38">
        <v>3296.9499559131623</v>
      </c>
      <c r="G62" s="38">
        <v>0</v>
      </c>
      <c r="H62" s="38">
        <v>0</v>
      </c>
      <c r="I62" s="38" t="s">
        <v>5851</v>
      </c>
      <c r="J62" s="38"/>
      <c r="K62" s="38"/>
      <c r="L62" s="38">
        <v>1790.7788990860683</v>
      </c>
      <c r="M62" s="38">
        <v>0.93643206542905433</v>
      </c>
      <c r="N62" s="38">
        <v>0.9296733187177334</v>
      </c>
      <c r="O62" s="38">
        <v>0</v>
      </c>
      <c r="P62" s="38">
        <v>0</v>
      </c>
      <c r="Q62" s="38">
        <v>0</v>
      </c>
      <c r="R62" s="38">
        <v>571.94943150390452</v>
      </c>
      <c r="S62" s="38">
        <v>1321.6881431880656</v>
      </c>
      <c r="T62" s="38">
        <v>0</v>
      </c>
      <c r="U62" s="38">
        <v>1021.9718403264827</v>
      </c>
      <c r="V62" s="38" t="s">
        <v>6025</v>
      </c>
      <c r="W62" s="38" t="s">
        <v>6025</v>
      </c>
      <c r="X62" s="38" t="s">
        <v>6025</v>
      </c>
      <c r="Y62" s="38" t="s">
        <v>6025</v>
      </c>
      <c r="Z62" s="38">
        <v>0</v>
      </c>
      <c r="AA62" s="38">
        <v>0</v>
      </c>
      <c r="AB62" s="38">
        <v>0</v>
      </c>
      <c r="AC62" s="38">
        <v>0</v>
      </c>
      <c r="AD62" s="38">
        <v>0</v>
      </c>
      <c r="AE62" s="38">
        <v>0</v>
      </c>
      <c r="AF62" s="38">
        <v>0</v>
      </c>
      <c r="AG62" s="38">
        <v>0</v>
      </c>
      <c r="AH62" s="38">
        <v>571.94943150390452</v>
      </c>
      <c r="AI62" s="38">
        <v>1321.6881431880656</v>
      </c>
      <c r="AJ62" s="38">
        <v>0</v>
      </c>
      <c r="AK62" s="38">
        <v>1021.9718403264827</v>
      </c>
      <c r="AL62" s="38">
        <v>2915.6094150184531</v>
      </c>
      <c r="AM62" s="38">
        <v>943.25157623968209</v>
      </c>
      <c r="AN62" s="38">
        <v>330.88685159589738</v>
      </c>
      <c r="AO62" s="38">
        <v>0</v>
      </c>
      <c r="AP62" s="38">
        <v>0</v>
      </c>
      <c r="AQ62" s="38">
        <v>1274.1384278355795</v>
      </c>
      <c r="AR62" s="38">
        <v>571.94943150390452</v>
      </c>
      <c r="AS62" s="49">
        <v>2.2277116780854449</v>
      </c>
      <c r="AT62" s="38">
        <v>943.25157623968209</v>
      </c>
      <c r="AU62" s="38">
        <v>391.67147766307767</v>
      </c>
      <c r="AV62" s="38">
        <v>0</v>
      </c>
      <c r="AW62" s="38">
        <v>0</v>
      </c>
      <c r="AX62" s="38">
        <v>1334.9230539027599</v>
      </c>
      <c r="AY62" s="38">
        <v>1321.6881431880656</v>
      </c>
      <c r="AZ62" s="49">
        <v>1.0100136411020304</v>
      </c>
      <c r="BA62" s="38">
        <v>943.25157623968209</v>
      </c>
      <c r="BB62" s="38">
        <v>722.55832925897505</v>
      </c>
      <c r="BC62" s="38">
        <v>0</v>
      </c>
      <c r="BD62" s="38">
        <v>0</v>
      </c>
      <c r="BE62" s="38">
        <v>1665.8099054986574</v>
      </c>
      <c r="BF62" s="38">
        <v>1893.6375746919703</v>
      </c>
      <c r="BG62" s="38">
        <v>48.118760331868408</v>
      </c>
      <c r="BH62" s="50">
        <v>0.87968781764885895</v>
      </c>
      <c r="BI62" s="38">
        <v>23.500969489309814</v>
      </c>
      <c r="BJ62" s="38">
        <v>54.307166012513512</v>
      </c>
      <c r="BK62" s="38">
        <v>0</v>
      </c>
      <c r="BL62" s="38">
        <v>41.992049848348366</v>
      </c>
      <c r="BM62" s="38">
        <v>119.8001853501717</v>
      </c>
      <c r="BN62" s="38">
        <v>943.25157623968209</v>
      </c>
      <c r="BO62" s="38">
        <v>0</v>
      </c>
      <c r="BP62" s="38">
        <v>722.55832925897505</v>
      </c>
      <c r="BQ62" s="38">
        <v>0</v>
      </c>
      <c r="BR62" s="38">
        <v>0</v>
      </c>
      <c r="BS62" s="38">
        <v>0</v>
      </c>
      <c r="BT62" s="38">
        <v>0</v>
      </c>
      <c r="BU62" s="38">
        <v>0</v>
      </c>
      <c r="BV62" s="38">
        <v>248.46354732591237</v>
      </c>
      <c r="BW62" s="38">
        <v>0</v>
      </c>
      <c r="BX62" s="38">
        <v>2915.6094150184531</v>
      </c>
      <c r="BY62" s="38"/>
      <c r="BZ62" s="38">
        <v>0</v>
      </c>
      <c r="CA62" s="38">
        <v>0</v>
      </c>
      <c r="CB62" s="38">
        <v>1914.2734528245696</v>
      </c>
      <c r="CC62" s="38">
        <v>2915.6094150184531</v>
      </c>
      <c r="CD62" s="50">
        <v>0.65656032079058646</v>
      </c>
      <c r="CE62" s="38">
        <v>79.901630970862001</v>
      </c>
      <c r="CF62" s="38">
        <v>17.012508065979748</v>
      </c>
      <c r="CG62" s="38">
        <v>0</v>
      </c>
      <c r="CH62" s="38">
        <v>17.012508065979748</v>
      </c>
      <c r="CI62" s="38">
        <v>0.85061997706588255</v>
      </c>
      <c r="CJ62" s="38">
        <v>0</v>
      </c>
      <c r="CK62" s="38">
        <v>0.85061997706588255</v>
      </c>
      <c r="CL62" s="38"/>
      <c r="CM62" s="38">
        <v>0</v>
      </c>
      <c r="CN62" s="38"/>
      <c r="CO62" s="38">
        <v>0</v>
      </c>
      <c r="CP62" s="38">
        <v>0</v>
      </c>
      <c r="CQ62" s="38">
        <v>0</v>
      </c>
      <c r="CR62" s="38">
        <v>0</v>
      </c>
      <c r="CS62" s="38">
        <v>0</v>
      </c>
      <c r="CT62" s="38">
        <v>0</v>
      </c>
      <c r="CU62" s="38">
        <v>0</v>
      </c>
      <c r="CV62" s="38">
        <v>9999</v>
      </c>
      <c r="CW62" s="49">
        <v>9999</v>
      </c>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row>
    <row r="63" spans="1:131">
      <c r="A63" s="27" t="s">
        <v>170</v>
      </c>
      <c r="B63" s="27" t="s">
        <v>63</v>
      </c>
      <c r="C63" s="38">
        <v>25</v>
      </c>
      <c r="D63" s="38">
        <v>877.85588979307215</v>
      </c>
      <c r="E63" s="38">
        <v>0</v>
      </c>
      <c r="F63" s="38">
        <v>3514.5499559131631</v>
      </c>
      <c r="G63" s="38">
        <v>0</v>
      </c>
      <c r="H63" s="38">
        <v>0</v>
      </c>
      <c r="I63" s="38" t="s">
        <v>5851</v>
      </c>
      <c r="J63" s="38"/>
      <c r="K63" s="38"/>
      <c r="L63" s="38">
        <v>946.66291413598583</v>
      </c>
      <c r="M63" s="38">
        <v>0.49502789451108137</v>
      </c>
      <c r="N63" s="38">
        <v>0.4914550051605806</v>
      </c>
      <c r="O63" s="38">
        <v>0</v>
      </c>
      <c r="P63" s="38">
        <v>0</v>
      </c>
      <c r="Q63" s="38">
        <v>0</v>
      </c>
      <c r="R63" s="38">
        <v>609.69832000979</v>
      </c>
      <c r="S63" s="38">
        <v>1408.9200829516362</v>
      </c>
      <c r="T63" s="38">
        <v>0</v>
      </c>
      <c r="U63" s="38">
        <v>1089.4223856573872</v>
      </c>
      <c r="V63" s="38" t="s">
        <v>6025</v>
      </c>
      <c r="W63" s="38" t="s">
        <v>6025</v>
      </c>
      <c r="X63" s="38" t="s">
        <v>6025</v>
      </c>
      <c r="Y63" s="38" t="s">
        <v>6025</v>
      </c>
      <c r="Z63" s="38">
        <v>0</v>
      </c>
      <c r="AA63" s="38">
        <v>0</v>
      </c>
      <c r="AB63" s="38">
        <v>0</v>
      </c>
      <c r="AC63" s="38">
        <v>0</v>
      </c>
      <c r="AD63" s="38">
        <v>0</v>
      </c>
      <c r="AE63" s="38">
        <v>0</v>
      </c>
      <c r="AF63" s="38">
        <v>0</v>
      </c>
      <c r="AG63" s="38">
        <v>0</v>
      </c>
      <c r="AH63" s="38">
        <v>609.69832000979</v>
      </c>
      <c r="AI63" s="38">
        <v>1408.9200829516362</v>
      </c>
      <c r="AJ63" s="38">
        <v>0</v>
      </c>
      <c r="AK63" s="38">
        <v>1089.4223856573872</v>
      </c>
      <c r="AL63" s="38">
        <v>3108.0407886188132</v>
      </c>
      <c r="AM63" s="38">
        <v>498.63290570496235</v>
      </c>
      <c r="AN63" s="38">
        <v>174.91735654296369</v>
      </c>
      <c r="AO63" s="38">
        <v>0</v>
      </c>
      <c r="AP63" s="38">
        <v>0</v>
      </c>
      <c r="AQ63" s="38">
        <v>673.55026224792607</v>
      </c>
      <c r="AR63" s="38">
        <v>609.69832000979</v>
      </c>
      <c r="AS63" s="49">
        <v>1.1047271087069928</v>
      </c>
      <c r="AT63" s="38">
        <v>498.63290570496235</v>
      </c>
      <c r="AU63" s="38">
        <v>207.05005102400207</v>
      </c>
      <c r="AV63" s="38">
        <v>0</v>
      </c>
      <c r="AW63" s="38">
        <v>0</v>
      </c>
      <c r="AX63" s="38">
        <v>705.68295672896443</v>
      </c>
      <c r="AY63" s="38">
        <v>1408.9200829516362</v>
      </c>
      <c r="AZ63" s="50">
        <v>0.50086798056748849</v>
      </c>
      <c r="BA63" s="38">
        <v>498.63290570496235</v>
      </c>
      <c r="BB63" s="38">
        <v>381.96740756696579</v>
      </c>
      <c r="BC63" s="38">
        <v>0</v>
      </c>
      <c r="BD63" s="38">
        <v>0</v>
      </c>
      <c r="BE63" s="38">
        <v>880.60031327192814</v>
      </c>
      <c r="BF63" s="38">
        <v>2018.6184029614262</v>
      </c>
      <c r="BG63" s="38">
        <v>127.2128052339842</v>
      </c>
      <c r="BH63" s="50">
        <v>0.43623911878542182</v>
      </c>
      <c r="BI63" s="38">
        <v>47.390331752554957</v>
      </c>
      <c r="BJ63" s="38">
        <v>109.51184865138414</v>
      </c>
      <c r="BK63" s="38">
        <v>0</v>
      </c>
      <c r="BL63" s="38">
        <v>84.678088458788025</v>
      </c>
      <c r="BM63" s="38">
        <v>241.58026886272711</v>
      </c>
      <c r="BN63" s="38">
        <v>498.63290570496235</v>
      </c>
      <c r="BO63" s="38">
        <v>0</v>
      </c>
      <c r="BP63" s="38">
        <v>381.96740756696579</v>
      </c>
      <c r="BQ63" s="38">
        <v>0</v>
      </c>
      <c r="BR63" s="38">
        <v>0</v>
      </c>
      <c r="BS63" s="38">
        <v>0</v>
      </c>
      <c r="BT63" s="38">
        <v>0</v>
      </c>
      <c r="BU63" s="38">
        <v>0</v>
      </c>
      <c r="BV63" s="38">
        <v>146.32840492051713</v>
      </c>
      <c r="BW63" s="38">
        <v>0</v>
      </c>
      <c r="BX63" s="38">
        <v>3108.0407886188132</v>
      </c>
      <c r="BY63" s="38"/>
      <c r="BZ63" s="38">
        <v>0</v>
      </c>
      <c r="CA63" s="38">
        <v>0</v>
      </c>
      <c r="CB63" s="38">
        <v>1026.9287181924453</v>
      </c>
      <c r="CC63" s="38">
        <v>3108.0407886188132</v>
      </c>
      <c r="CD63" s="50">
        <v>0.33041030927036313</v>
      </c>
      <c r="CE63" s="38">
        <v>200.51715125914674</v>
      </c>
      <c r="CF63" s="38">
        <v>8.9933550538939908</v>
      </c>
      <c r="CG63" s="38">
        <v>0</v>
      </c>
      <c r="CH63" s="38">
        <v>8.9933550538939908</v>
      </c>
      <c r="CI63" s="38">
        <v>0.44966488421459322</v>
      </c>
      <c r="CJ63" s="38">
        <v>0</v>
      </c>
      <c r="CK63" s="38">
        <v>0.44966488421459322</v>
      </c>
      <c r="CL63" s="38"/>
      <c r="CM63" s="38">
        <v>0</v>
      </c>
      <c r="CN63" s="38"/>
      <c r="CO63" s="38">
        <v>0</v>
      </c>
      <c r="CP63" s="38">
        <v>0</v>
      </c>
      <c r="CQ63" s="38">
        <v>0</v>
      </c>
      <c r="CR63" s="38">
        <v>0</v>
      </c>
      <c r="CS63" s="38">
        <v>0</v>
      </c>
      <c r="CT63" s="38">
        <v>0</v>
      </c>
      <c r="CU63" s="38">
        <v>0</v>
      </c>
      <c r="CV63" s="38">
        <v>9999</v>
      </c>
      <c r="CW63" s="49">
        <v>9999</v>
      </c>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row>
    <row r="64" spans="1:131">
      <c r="A64" s="27" t="s">
        <v>169</v>
      </c>
      <c r="B64" s="27" t="s">
        <v>62</v>
      </c>
      <c r="C64" s="38">
        <v>25</v>
      </c>
      <c r="D64" s="38">
        <v>1720.6730793576351</v>
      </c>
      <c r="E64" s="38">
        <v>0</v>
      </c>
      <c r="F64" s="38">
        <v>3514.5499559131631</v>
      </c>
      <c r="G64" s="38">
        <v>0</v>
      </c>
      <c r="H64" s="38">
        <v>0</v>
      </c>
      <c r="I64" s="38" t="s">
        <v>5851</v>
      </c>
      <c r="J64" s="38"/>
      <c r="K64" s="38"/>
      <c r="L64" s="38">
        <v>1855.5407675899996</v>
      </c>
      <c r="M64" s="38">
        <v>0.9702972680596702</v>
      </c>
      <c r="N64" s="38">
        <v>0.96329409750239414</v>
      </c>
      <c r="O64" s="38">
        <v>0</v>
      </c>
      <c r="P64" s="38">
        <v>0</v>
      </c>
      <c r="Q64" s="38">
        <v>0</v>
      </c>
      <c r="R64" s="38">
        <v>609.69832000979</v>
      </c>
      <c r="S64" s="38">
        <v>1408.9200829516362</v>
      </c>
      <c r="T64" s="38">
        <v>0</v>
      </c>
      <c r="U64" s="38">
        <v>1089.4223856573872</v>
      </c>
      <c r="V64" s="38" t="s">
        <v>6025</v>
      </c>
      <c r="W64" s="38" t="s">
        <v>6025</v>
      </c>
      <c r="X64" s="38" t="s">
        <v>6025</v>
      </c>
      <c r="Y64" s="38" t="s">
        <v>6025</v>
      </c>
      <c r="Z64" s="38">
        <v>0</v>
      </c>
      <c r="AA64" s="38">
        <v>0</v>
      </c>
      <c r="AB64" s="38">
        <v>0</v>
      </c>
      <c r="AC64" s="38">
        <v>0</v>
      </c>
      <c r="AD64" s="38">
        <v>0</v>
      </c>
      <c r="AE64" s="38">
        <v>0</v>
      </c>
      <c r="AF64" s="38">
        <v>0</v>
      </c>
      <c r="AG64" s="38">
        <v>0</v>
      </c>
      <c r="AH64" s="38">
        <v>609.69832000979</v>
      </c>
      <c r="AI64" s="38">
        <v>1408.9200829516362</v>
      </c>
      <c r="AJ64" s="38">
        <v>0</v>
      </c>
      <c r="AK64" s="38">
        <v>1089.4223856573872</v>
      </c>
      <c r="AL64" s="38">
        <v>3108.0407886188132</v>
      </c>
      <c r="AM64" s="38">
        <v>977.36340019390445</v>
      </c>
      <c r="AN64" s="38">
        <v>342.85306963859915</v>
      </c>
      <c r="AO64" s="38">
        <v>0</v>
      </c>
      <c r="AP64" s="38">
        <v>0</v>
      </c>
      <c r="AQ64" s="38">
        <v>1320.2164698325037</v>
      </c>
      <c r="AR64" s="38">
        <v>609.69832000979</v>
      </c>
      <c r="AS64" s="49">
        <v>2.1653601896283803</v>
      </c>
      <c r="AT64" s="38">
        <v>977.36340019390445</v>
      </c>
      <c r="AU64" s="38">
        <v>405.83591568839825</v>
      </c>
      <c r="AV64" s="38">
        <v>0</v>
      </c>
      <c r="AW64" s="38">
        <v>0</v>
      </c>
      <c r="AX64" s="38">
        <v>1383.1993158823027</v>
      </c>
      <c r="AY64" s="38">
        <v>1408.9200829516362</v>
      </c>
      <c r="AZ64" s="50">
        <v>0.9817443392421169</v>
      </c>
      <c r="BA64" s="38">
        <v>977.36340019390445</v>
      </c>
      <c r="BB64" s="38">
        <v>748.68898532699745</v>
      </c>
      <c r="BC64" s="38">
        <v>0</v>
      </c>
      <c r="BD64" s="38">
        <v>0</v>
      </c>
      <c r="BE64" s="38">
        <v>1726.0523855209019</v>
      </c>
      <c r="BF64" s="38">
        <v>2018.6184029614262</v>
      </c>
      <c r="BG64" s="38">
        <v>50.359243502218149</v>
      </c>
      <c r="BH64" s="50">
        <v>0.85506620914021514</v>
      </c>
      <c r="BI64" s="38">
        <v>24.177679274065767</v>
      </c>
      <c r="BJ64" s="38">
        <v>55.870939398107282</v>
      </c>
      <c r="BK64" s="38">
        <v>0</v>
      </c>
      <c r="BL64" s="38">
        <v>43.201209795016247</v>
      </c>
      <c r="BM64" s="38">
        <v>123.24982846718929</v>
      </c>
      <c r="BN64" s="38">
        <v>977.36340019390445</v>
      </c>
      <c r="BO64" s="38">
        <v>0</v>
      </c>
      <c r="BP64" s="38">
        <v>748.68898532699745</v>
      </c>
      <c r="BQ64" s="38">
        <v>0</v>
      </c>
      <c r="BR64" s="38">
        <v>0</v>
      </c>
      <c r="BS64" s="38">
        <v>0</v>
      </c>
      <c r="BT64" s="38">
        <v>0</v>
      </c>
      <c r="BU64" s="38">
        <v>0</v>
      </c>
      <c r="BV64" s="38">
        <v>258.38746897139305</v>
      </c>
      <c r="BW64" s="38">
        <v>0</v>
      </c>
      <c r="BX64" s="38">
        <v>3108.0407886188132</v>
      </c>
      <c r="BY64" s="38"/>
      <c r="BZ64" s="38">
        <v>0</v>
      </c>
      <c r="CA64" s="38">
        <v>0</v>
      </c>
      <c r="CB64" s="38">
        <v>1984.4398544922949</v>
      </c>
      <c r="CC64" s="38">
        <v>3108.0407886188132</v>
      </c>
      <c r="CD64" s="50">
        <v>0.63848578234848807</v>
      </c>
      <c r="CE64" s="38">
        <v>83.314059058969704</v>
      </c>
      <c r="CF64" s="38">
        <v>17.627749741461496</v>
      </c>
      <c r="CG64" s="38">
        <v>0</v>
      </c>
      <c r="CH64" s="38">
        <v>17.627749741461496</v>
      </c>
      <c r="CI64" s="38">
        <v>0.88138186460524992</v>
      </c>
      <c r="CJ64" s="38">
        <v>0</v>
      </c>
      <c r="CK64" s="38">
        <v>0.88138186460524992</v>
      </c>
      <c r="CL64" s="38"/>
      <c r="CM64" s="38">
        <v>0</v>
      </c>
      <c r="CN64" s="38"/>
      <c r="CO64" s="38">
        <v>0</v>
      </c>
      <c r="CP64" s="38">
        <v>0</v>
      </c>
      <c r="CQ64" s="38">
        <v>0</v>
      </c>
      <c r="CR64" s="38">
        <v>0</v>
      </c>
      <c r="CS64" s="38">
        <v>0</v>
      </c>
      <c r="CT64" s="38">
        <v>0</v>
      </c>
      <c r="CU64" s="38">
        <v>0</v>
      </c>
      <c r="CV64" s="38">
        <v>9999</v>
      </c>
      <c r="CW64" s="49">
        <v>9999</v>
      </c>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row>
    <row r="65" spans="1:131">
      <c r="A65" s="27" t="s">
        <v>5812</v>
      </c>
      <c r="B65" s="27" t="s">
        <v>55</v>
      </c>
      <c r="C65" s="38">
        <v>25</v>
      </c>
      <c r="D65" s="38">
        <v>408.16958662492357</v>
      </c>
      <c r="E65" s="38">
        <v>0</v>
      </c>
      <c r="F65" s="38">
        <v>3967.9999999999968</v>
      </c>
      <c r="G65" s="38">
        <v>0</v>
      </c>
      <c r="H65" s="38">
        <v>0</v>
      </c>
      <c r="I65" s="38" t="s">
        <v>5851</v>
      </c>
      <c r="J65" s="38"/>
      <c r="K65" s="38"/>
      <c r="L65" s="38">
        <v>440.16223485965639</v>
      </c>
      <c r="M65" s="38">
        <v>0.23016913529853145</v>
      </c>
      <c r="N65" s="38">
        <v>0.22850787769781725</v>
      </c>
      <c r="O65" s="38">
        <v>0</v>
      </c>
      <c r="P65" s="38">
        <v>0</v>
      </c>
      <c r="Q65" s="38">
        <v>0</v>
      </c>
      <c r="R65" s="38">
        <v>688.36208451908544</v>
      </c>
      <c r="S65" s="38">
        <v>1590.7000780415769</v>
      </c>
      <c r="T65" s="38">
        <v>0</v>
      </c>
      <c r="U65" s="38">
        <v>1229.9805325047187</v>
      </c>
      <c r="V65" s="38" t="s">
        <v>6025</v>
      </c>
      <c r="W65" s="38" t="s">
        <v>6025</v>
      </c>
      <c r="X65" s="38" t="s">
        <v>6025</v>
      </c>
      <c r="Y65" s="38" t="s">
        <v>6025</v>
      </c>
      <c r="Z65" s="38">
        <v>0</v>
      </c>
      <c r="AA65" s="38">
        <v>0</v>
      </c>
      <c r="AB65" s="38">
        <v>0</v>
      </c>
      <c r="AC65" s="38">
        <v>0</v>
      </c>
      <c r="AD65" s="38">
        <v>0</v>
      </c>
      <c r="AE65" s="38">
        <v>0</v>
      </c>
      <c r="AF65" s="38">
        <v>0</v>
      </c>
      <c r="AG65" s="38">
        <v>0</v>
      </c>
      <c r="AH65" s="38">
        <v>688.36208451908544</v>
      </c>
      <c r="AI65" s="38">
        <v>1590.7000780415769</v>
      </c>
      <c r="AJ65" s="38">
        <v>0</v>
      </c>
      <c r="AK65" s="38">
        <v>1229.9805325047187</v>
      </c>
      <c r="AL65" s="38">
        <v>3509.0426950653809</v>
      </c>
      <c r="AM65" s="38">
        <v>231.84532833419195</v>
      </c>
      <c r="AN65" s="38">
        <v>81.329915244397654</v>
      </c>
      <c r="AO65" s="38">
        <v>0</v>
      </c>
      <c r="AP65" s="38">
        <v>0</v>
      </c>
      <c r="AQ65" s="38">
        <v>313.17524357858963</v>
      </c>
      <c r="AR65" s="38">
        <v>688.36208451908544</v>
      </c>
      <c r="AS65" s="50">
        <v>0.45495713756138262</v>
      </c>
      <c r="AT65" s="38">
        <v>231.84532833419195</v>
      </c>
      <c r="AU65" s="38">
        <v>96.270395539588264</v>
      </c>
      <c r="AV65" s="38">
        <v>0</v>
      </c>
      <c r="AW65" s="38">
        <v>0</v>
      </c>
      <c r="AX65" s="38">
        <v>328.11572387378021</v>
      </c>
      <c r="AY65" s="38">
        <v>1590.7000780415769</v>
      </c>
      <c r="AZ65" s="50">
        <v>0.20627126911174018</v>
      </c>
      <c r="BA65" s="38">
        <v>231.84532833419195</v>
      </c>
      <c r="BB65" s="38">
        <v>177.60031078398592</v>
      </c>
      <c r="BC65" s="38">
        <v>0</v>
      </c>
      <c r="BD65" s="38">
        <v>0</v>
      </c>
      <c r="BE65" s="38">
        <v>409.44563911817784</v>
      </c>
      <c r="BF65" s="38">
        <v>2279.0621625606623</v>
      </c>
      <c r="BG65" s="38">
        <v>351.30056387475452</v>
      </c>
      <c r="BH65" s="50">
        <v>0.17965531868518286</v>
      </c>
      <c r="BI65" s="38">
        <v>115.07322306950674</v>
      </c>
      <c r="BJ65" s="38">
        <v>265.91671597520275</v>
      </c>
      <c r="BK65" s="38">
        <v>0</v>
      </c>
      <c r="BL65" s="38">
        <v>205.6153692528687</v>
      </c>
      <c r="BM65" s="38">
        <v>586.60530829757818</v>
      </c>
      <c r="BN65" s="38">
        <v>231.84532833419195</v>
      </c>
      <c r="BO65" s="38">
        <v>0</v>
      </c>
      <c r="BP65" s="38">
        <v>177.60031078398592</v>
      </c>
      <c r="BQ65" s="38">
        <v>0</v>
      </c>
      <c r="BR65" s="38">
        <v>0</v>
      </c>
      <c r="BS65" s="38">
        <v>0</v>
      </c>
      <c r="BT65" s="38">
        <v>0</v>
      </c>
      <c r="BU65" s="38">
        <v>0</v>
      </c>
      <c r="BV65" s="38">
        <v>63.652375338069156</v>
      </c>
      <c r="BW65" s="38">
        <v>0</v>
      </c>
      <c r="BX65" s="38">
        <v>3509.0426950653809</v>
      </c>
      <c r="BY65" s="38"/>
      <c r="BZ65" s="38">
        <v>0</v>
      </c>
      <c r="CA65" s="38">
        <v>0</v>
      </c>
      <c r="CB65" s="38">
        <v>473.09801445624703</v>
      </c>
      <c r="CC65" s="38">
        <v>3509.0426950653809</v>
      </c>
      <c r="CD65" s="50">
        <v>0.134822530122402</v>
      </c>
      <c r="CE65" s="38">
        <v>546.27519019463773</v>
      </c>
      <c r="CF65" s="38">
        <v>4.1815679058488211</v>
      </c>
      <c r="CG65" s="38">
        <v>0</v>
      </c>
      <c r="CH65" s="38">
        <v>4.1815679058488211</v>
      </c>
      <c r="CI65" s="38">
        <v>0.20907706155833677</v>
      </c>
      <c r="CJ65" s="38">
        <v>0</v>
      </c>
      <c r="CK65" s="38">
        <v>0.20907706155833677</v>
      </c>
      <c r="CL65" s="38"/>
      <c r="CM65" s="38">
        <v>0</v>
      </c>
      <c r="CN65" s="38"/>
      <c r="CO65" s="38">
        <v>0</v>
      </c>
      <c r="CP65" s="38">
        <v>0</v>
      </c>
      <c r="CQ65" s="38">
        <v>0</v>
      </c>
      <c r="CR65" s="38">
        <v>0</v>
      </c>
      <c r="CS65" s="38">
        <v>0</v>
      </c>
      <c r="CT65" s="38">
        <v>0</v>
      </c>
      <c r="CU65" s="38">
        <v>0</v>
      </c>
      <c r="CV65" s="38">
        <v>9999</v>
      </c>
      <c r="CW65" s="49">
        <v>9999</v>
      </c>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row>
    <row r="66" spans="1:131">
      <c r="A66" s="27" t="s">
        <v>6390</v>
      </c>
      <c r="B66" s="27" t="s">
        <v>6373</v>
      </c>
      <c r="C66" s="38">
        <v>25</v>
      </c>
      <c r="D66" s="38">
        <v>348.81230203688159</v>
      </c>
      <c r="E66" s="38">
        <v>0</v>
      </c>
      <c r="F66" s="38">
        <v>2687.9999999999995</v>
      </c>
      <c r="G66" s="38">
        <v>0</v>
      </c>
      <c r="H66" s="38">
        <v>0</v>
      </c>
      <c r="I66" s="38" t="s">
        <v>6424</v>
      </c>
      <c r="J66" s="38"/>
      <c r="K66" s="38"/>
      <c r="L66" s="38">
        <v>375.72434346075732</v>
      </c>
      <c r="M66" s="38">
        <v>0.13125750036261122</v>
      </c>
      <c r="N66" s="38">
        <v>0.130310142586577</v>
      </c>
      <c r="O66" s="38">
        <v>0</v>
      </c>
      <c r="P66" s="38">
        <v>0</v>
      </c>
      <c r="Q66" s="38">
        <v>0</v>
      </c>
      <c r="R66" s="38">
        <v>466.30979919034849</v>
      </c>
      <c r="S66" s="38">
        <v>1077.5710206088108</v>
      </c>
      <c r="T66" s="38">
        <v>0</v>
      </c>
      <c r="U66" s="38">
        <v>833.2126187935196</v>
      </c>
      <c r="V66" s="38" t="s">
        <v>6025</v>
      </c>
      <c r="W66" s="38" t="s">
        <v>6025</v>
      </c>
      <c r="X66" s="38" t="s">
        <v>6025</v>
      </c>
      <c r="Y66" s="38" t="s">
        <v>6025</v>
      </c>
      <c r="Z66" s="38">
        <v>0</v>
      </c>
      <c r="AA66" s="38">
        <v>0</v>
      </c>
      <c r="AB66" s="38">
        <v>0</v>
      </c>
      <c r="AC66" s="38">
        <v>0</v>
      </c>
      <c r="AD66" s="38">
        <v>0</v>
      </c>
      <c r="AE66" s="38">
        <v>0</v>
      </c>
      <c r="AF66" s="38">
        <v>0</v>
      </c>
      <c r="AG66" s="38">
        <v>0</v>
      </c>
      <c r="AH66" s="38">
        <v>466.30979919034849</v>
      </c>
      <c r="AI66" s="38">
        <v>1077.5710206088108</v>
      </c>
      <c r="AJ66" s="38">
        <v>0</v>
      </c>
      <c r="AK66" s="38">
        <v>833.2126187935196</v>
      </c>
      <c r="AL66" s="38">
        <v>2377.0934385926789</v>
      </c>
      <c r="AM66" s="38">
        <v>195.27941146219325</v>
      </c>
      <c r="AN66" s="38">
        <v>46.379638893967609</v>
      </c>
      <c r="AO66" s="38">
        <v>0</v>
      </c>
      <c r="AP66" s="38">
        <v>0</v>
      </c>
      <c r="AQ66" s="38">
        <v>241.65905035616086</v>
      </c>
      <c r="AR66" s="38">
        <v>466.30979919034849</v>
      </c>
      <c r="AS66" s="50">
        <v>0.51823712642486253</v>
      </c>
      <c r="AT66" s="38">
        <v>195.27941146219325</v>
      </c>
      <c r="AU66" s="38">
        <v>54.899678278136427</v>
      </c>
      <c r="AV66" s="38">
        <v>0</v>
      </c>
      <c r="AW66" s="38">
        <v>0</v>
      </c>
      <c r="AX66" s="38">
        <v>250.17908974032969</v>
      </c>
      <c r="AY66" s="38">
        <v>1077.5710206088108</v>
      </c>
      <c r="AZ66" s="50">
        <v>0.23216946721431167</v>
      </c>
      <c r="BA66" s="38">
        <v>195.27941146219325</v>
      </c>
      <c r="BB66" s="38">
        <v>101.27931717210404</v>
      </c>
      <c r="BC66" s="38">
        <v>0</v>
      </c>
      <c r="BD66" s="38">
        <v>0</v>
      </c>
      <c r="BE66" s="38">
        <v>296.55872863429727</v>
      </c>
      <c r="BF66" s="38">
        <v>1543.8808197991593</v>
      </c>
      <c r="BG66" s="38">
        <v>282.51867476107668</v>
      </c>
      <c r="BH66" s="50">
        <v>0.19208654245272383</v>
      </c>
      <c r="BI66" s="38">
        <v>91.321980640844444</v>
      </c>
      <c r="BJ66" s="38">
        <v>211.03120726614489</v>
      </c>
      <c r="BK66" s="38">
        <v>0</v>
      </c>
      <c r="BL66" s="38">
        <v>163.17612620469245</v>
      </c>
      <c r="BM66" s="38">
        <v>465.52931411168174</v>
      </c>
      <c r="BN66" s="38">
        <v>195.27941146219325</v>
      </c>
      <c r="BO66" s="38">
        <v>0</v>
      </c>
      <c r="BP66" s="38">
        <v>101.27931717210404</v>
      </c>
      <c r="BQ66" s="38">
        <v>0</v>
      </c>
      <c r="BR66" s="38">
        <v>0</v>
      </c>
      <c r="BS66" s="38">
        <v>0</v>
      </c>
      <c r="BT66" s="38">
        <v>0</v>
      </c>
      <c r="BU66" s="38">
        <v>0</v>
      </c>
      <c r="BV66" s="38">
        <v>42.501918428301174</v>
      </c>
      <c r="BW66" s="38">
        <v>0</v>
      </c>
      <c r="BX66" s="38">
        <v>2377.0934385926789</v>
      </c>
      <c r="BY66" s="38"/>
      <c r="BZ66" s="38">
        <v>0</v>
      </c>
      <c r="CA66" s="38">
        <v>0</v>
      </c>
      <c r="CB66" s="38">
        <v>339.06064706259843</v>
      </c>
      <c r="CC66" s="38">
        <v>2377.0934385926789</v>
      </c>
      <c r="CD66" s="50">
        <v>0.1426366509443289</v>
      </c>
      <c r="CE66" s="38">
        <v>437.37123714908068</v>
      </c>
      <c r="CF66" s="38">
        <v>3.5694246407238639</v>
      </c>
      <c r="CG66" s="38">
        <v>0</v>
      </c>
      <c r="CH66" s="38">
        <v>3.5694246407238639</v>
      </c>
      <c r="CI66" s="38">
        <v>0.17846906314385977</v>
      </c>
      <c r="CJ66" s="38">
        <v>0</v>
      </c>
      <c r="CK66" s="38">
        <v>0.17846906314385977</v>
      </c>
      <c r="CL66" s="38"/>
      <c r="CM66" s="38">
        <v>0</v>
      </c>
      <c r="CN66" s="38"/>
      <c r="CO66" s="38">
        <v>0</v>
      </c>
      <c r="CP66" s="38">
        <v>0</v>
      </c>
      <c r="CQ66" s="38">
        <v>0</v>
      </c>
      <c r="CR66" s="38">
        <v>0</v>
      </c>
      <c r="CS66" s="38">
        <v>0</v>
      </c>
      <c r="CT66" s="38">
        <v>0</v>
      </c>
      <c r="CU66" s="38">
        <v>0</v>
      </c>
      <c r="CV66" s="38">
        <v>9999</v>
      </c>
      <c r="CW66" s="49">
        <v>9999</v>
      </c>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row>
    <row r="67" spans="1:131">
      <c r="A67" s="27" t="s">
        <v>6421</v>
      </c>
      <c r="B67" s="27" t="s">
        <v>6374</v>
      </c>
      <c r="C67" s="38">
        <v>25</v>
      </c>
      <c r="D67" s="38">
        <v>341.22102955570085</v>
      </c>
      <c r="E67" s="38">
        <v>0</v>
      </c>
      <c r="F67" s="38">
        <v>2687.9999999999995</v>
      </c>
      <c r="G67" s="38">
        <v>0</v>
      </c>
      <c r="H67" s="38">
        <v>0</v>
      </c>
      <c r="I67" s="38" t="s">
        <v>6424</v>
      </c>
      <c r="J67" s="38"/>
      <c r="K67" s="38"/>
      <c r="L67" s="38">
        <v>367.54737879417922</v>
      </c>
      <c r="M67" s="38">
        <v>0.12840091690889488</v>
      </c>
      <c r="N67" s="38">
        <v>0.12747417667121308</v>
      </c>
      <c r="O67" s="38">
        <v>0</v>
      </c>
      <c r="P67" s="38">
        <v>0</v>
      </c>
      <c r="Q67" s="38">
        <v>0</v>
      </c>
      <c r="R67" s="38">
        <v>466.30979919034849</v>
      </c>
      <c r="S67" s="38">
        <v>1077.5710206088108</v>
      </c>
      <c r="T67" s="38">
        <v>0</v>
      </c>
      <c r="U67" s="38">
        <v>833.2126187935196</v>
      </c>
      <c r="V67" s="38" t="s">
        <v>6025</v>
      </c>
      <c r="W67" s="38" t="s">
        <v>6025</v>
      </c>
      <c r="X67" s="38" t="s">
        <v>6025</v>
      </c>
      <c r="Y67" s="38" t="s">
        <v>6025</v>
      </c>
      <c r="Z67" s="38">
        <v>0</v>
      </c>
      <c r="AA67" s="38">
        <v>0</v>
      </c>
      <c r="AB67" s="38">
        <v>0</v>
      </c>
      <c r="AC67" s="38">
        <v>0</v>
      </c>
      <c r="AD67" s="38">
        <v>0</v>
      </c>
      <c r="AE67" s="38">
        <v>0</v>
      </c>
      <c r="AF67" s="38">
        <v>0</v>
      </c>
      <c r="AG67" s="38">
        <v>0</v>
      </c>
      <c r="AH67" s="38">
        <v>466.30979919034849</v>
      </c>
      <c r="AI67" s="38">
        <v>1077.5710206088108</v>
      </c>
      <c r="AJ67" s="38">
        <v>0</v>
      </c>
      <c r="AK67" s="38">
        <v>833.2126187935196</v>
      </c>
      <c r="AL67" s="38">
        <v>2377.0934385926789</v>
      </c>
      <c r="AM67" s="38">
        <v>191.02950624463753</v>
      </c>
      <c r="AN67" s="38">
        <v>45.370269458408977</v>
      </c>
      <c r="AO67" s="38">
        <v>0</v>
      </c>
      <c r="AP67" s="38">
        <v>0</v>
      </c>
      <c r="AQ67" s="38">
        <v>236.39977570304652</v>
      </c>
      <c r="AR67" s="38">
        <v>466.30979919034849</v>
      </c>
      <c r="AS67" s="50">
        <v>0.50695862731923358</v>
      </c>
      <c r="AT67" s="38">
        <v>191.02950624463753</v>
      </c>
      <c r="AU67" s="38">
        <v>53.704885507053412</v>
      </c>
      <c r="AV67" s="38">
        <v>0</v>
      </c>
      <c r="AW67" s="38">
        <v>0</v>
      </c>
      <c r="AX67" s="38">
        <v>244.73439175169094</v>
      </c>
      <c r="AY67" s="38">
        <v>1077.5710206088108</v>
      </c>
      <c r="AZ67" s="50">
        <v>0.22711671627306737</v>
      </c>
      <c r="BA67" s="38">
        <v>191.02950624463753</v>
      </c>
      <c r="BB67" s="38">
        <v>99.075154965462389</v>
      </c>
      <c r="BC67" s="38">
        <v>0</v>
      </c>
      <c r="BD67" s="38">
        <v>0</v>
      </c>
      <c r="BE67" s="38">
        <v>290.10466121009989</v>
      </c>
      <c r="BF67" s="38">
        <v>1543.8808197991593</v>
      </c>
      <c r="BG67" s="38">
        <v>289.24523976190397</v>
      </c>
      <c r="BH67" s="50">
        <v>0.18790612428739098</v>
      </c>
      <c r="BI67" s="38">
        <v>93.353655064511827</v>
      </c>
      <c r="BJ67" s="38">
        <v>215.72609784330473</v>
      </c>
      <c r="BK67" s="38">
        <v>0</v>
      </c>
      <c r="BL67" s="38">
        <v>166.80636680872638</v>
      </c>
      <c r="BM67" s="38">
        <v>475.88611971654291</v>
      </c>
      <c r="BN67" s="38">
        <v>191.02950624463753</v>
      </c>
      <c r="BO67" s="38">
        <v>0</v>
      </c>
      <c r="BP67" s="38">
        <v>99.075154965462389</v>
      </c>
      <c r="BQ67" s="38">
        <v>0</v>
      </c>
      <c r="BR67" s="38">
        <v>0</v>
      </c>
      <c r="BS67" s="38">
        <v>0</v>
      </c>
      <c r="BT67" s="38">
        <v>0</v>
      </c>
      <c r="BU67" s="38">
        <v>0</v>
      </c>
      <c r="BV67" s="38">
        <v>41.104577817506403</v>
      </c>
      <c r="BW67" s="38">
        <v>0</v>
      </c>
      <c r="BX67" s="38">
        <v>2377.0934385926789</v>
      </c>
      <c r="BY67" s="38"/>
      <c r="BZ67" s="38">
        <v>0</v>
      </c>
      <c r="CA67" s="38">
        <v>0</v>
      </c>
      <c r="CB67" s="38">
        <v>331.20923902760637</v>
      </c>
      <c r="CC67" s="38">
        <v>2377.0934385926789</v>
      </c>
      <c r="CD67" s="50">
        <v>0.13933370630297714</v>
      </c>
      <c r="CE67" s="38">
        <v>447.82260819699439</v>
      </c>
      <c r="CF67" s="38">
        <v>3.4917425323505462</v>
      </c>
      <c r="CG67" s="38">
        <v>0</v>
      </c>
      <c r="CH67" s="38">
        <v>3.4917425323505462</v>
      </c>
      <c r="CI67" s="38">
        <v>0.17458500492723517</v>
      </c>
      <c r="CJ67" s="38">
        <v>0</v>
      </c>
      <c r="CK67" s="38">
        <v>0.17458500492723517</v>
      </c>
      <c r="CL67" s="38"/>
      <c r="CM67" s="38">
        <v>0</v>
      </c>
      <c r="CN67" s="38"/>
      <c r="CO67" s="38">
        <v>0</v>
      </c>
      <c r="CP67" s="38">
        <v>0</v>
      </c>
      <c r="CQ67" s="38">
        <v>0</v>
      </c>
      <c r="CR67" s="38">
        <v>0</v>
      </c>
      <c r="CS67" s="38">
        <v>0</v>
      </c>
      <c r="CT67" s="38">
        <v>0</v>
      </c>
      <c r="CU67" s="38">
        <v>0</v>
      </c>
      <c r="CV67" s="38">
        <v>9999</v>
      </c>
      <c r="CW67" s="49">
        <v>9999</v>
      </c>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row>
    <row r="68" spans="1:131">
      <c r="A68" s="27" t="s">
        <v>6423</v>
      </c>
      <c r="B68" s="27" t="s">
        <v>6396</v>
      </c>
      <c r="C68" s="38">
        <v>25</v>
      </c>
      <c r="D68" s="38">
        <v>114.50995816092487</v>
      </c>
      <c r="E68" s="38">
        <v>0</v>
      </c>
      <c r="F68" s="38">
        <v>2687.9999999999995</v>
      </c>
      <c r="G68" s="38">
        <v>0</v>
      </c>
      <c r="H68" s="38">
        <v>0</v>
      </c>
      <c r="I68" s="38" t="s">
        <v>6424</v>
      </c>
      <c r="J68" s="38"/>
      <c r="K68" s="38"/>
      <c r="L68" s="38">
        <v>123.3447862890545</v>
      </c>
      <c r="M68" s="38">
        <v>4.3089910496450806E-2</v>
      </c>
      <c r="N68" s="38">
        <v>4.2778906845881065E-2</v>
      </c>
      <c r="O68" s="38">
        <v>0</v>
      </c>
      <c r="P68" s="38">
        <v>0</v>
      </c>
      <c r="Q68" s="38">
        <v>0</v>
      </c>
      <c r="R68" s="38">
        <v>466.30979919034849</v>
      </c>
      <c r="S68" s="38">
        <v>1077.5710206088108</v>
      </c>
      <c r="T68" s="38">
        <v>0</v>
      </c>
      <c r="U68" s="38">
        <v>833.2126187935196</v>
      </c>
      <c r="V68" s="38" t="s">
        <v>6025</v>
      </c>
      <c r="W68" s="38" t="s">
        <v>6025</v>
      </c>
      <c r="X68" s="38" t="s">
        <v>6025</v>
      </c>
      <c r="Y68" s="38" t="s">
        <v>6025</v>
      </c>
      <c r="Z68" s="38">
        <v>0</v>
      </c>
      <c r="AA68" s="38">
        <v>0</v>
      </c>
      <c r="AB68" s="38">
        <v>0</v>
      </c>
      <c r="AC68" s="38">
        <v>0</v>
      </c>
      <c r="AD68" s="38">
        <v>0</v>
      </c>
      <c r="AE68" s="38">
        <v>0</v>
      </c>
      <c r="AF68" s="38">
        <v>0</v>
      </c>
      <c r="AG68" s="38">
        <v>0</v>
      </c>
      <c r="AH68" s="38">
        <v>466.30979919034849</v>
      </c>
      <c r="AI68" s="38">
        <v>1077.5710206088108</v>
      </c>
      <c r="AJ68" s="38">
        <v>0</v>
      </c>
      <c r="AK68" s="38">
        <v>833.2126187935196</v>
      </c>
      <c r="AL68" s="38">
        <v>2377.0934385926789</v>
      </c>
      <c r="AM68" s="38">
        <v>64.107364062696973</v>
      </c>
      <c r="AN68" s="38">
        <v>15.225754591377592</v>
      </c>
      <c r="AO68" s="38">
        <v>0</v>
      </c>
      <c r="AP68" s="38">
        <v>0</v>
      </c>
      <c r="AQ68" s="38">
        <v>79.333118654074568</v>
      </c>
      <c r="AR68" s="38">
        <v>466.30979919034849</v>
      </c>
      <c r="AS68" s="50">
        <v>0.17012964083495627</v>
      </c>
      <c r="AT68" s="38">
        <v>64.107364062696973</v>
      </c>
      <c r="AU68" s="38">
        <v>18.022758446211373</v>
      </c>
      <c r="AV68" s="38">
        <v>0</v>
      </c>
      <c r="AW68" s="38">
        <v>0</v>
      </c>
      <c r="AX68" s="38">
        <v>82.130122508908343</v>
      </c>
      <c r="AY68" s="38">
        <v>1077.5710206088108</v>
      </c>
      <c r="AZ68" s="50">
        <v>7.6217827816588923E-2</v>
      </c>
      <c r="BA68" s="38">
        <v>64.107364062696973</v>
      </c>
      <c r="BB68" s="38">
        <v>33.248513037588964</v>
      </c>
      <c r="BC68" s="38">
        <v>0</v>
      </c>
      <c r="BD68" s="38">
        <v>0</v>
      </c>
      <c r="BE68" s="38">
        <v>97.355877100285937</v>
      </c>
      <c r="BF68" s="38">
        <v>1543.8808197991593</v>
      </c>
      <c r="BG68" s="38">
        <v>901.17282277341224</v>
      </c>
      <c r="BH68" s="50">
        <v>6.3059192038509029E-2</v>
      </c>
      <c r="BI68" s="38">
        <v>278.17869122905989</v>
      </c>
      <c r="BJ68" s="38">
        <v>642.82864469026504</v>
      </c>
      <c r="BK68" s="38">
        <v>0</v>
      </c>
      <c r="BL68" s="38">
        <v>497.05581185289452</v>
      </c>
      <c r="BM68" s="38">
        <v>1418.0631477722195</v>
      </c>
      <c r="BN68" s="38">
        <v>64.107364062696973</v>
      </c>
      <c r="BO68" s="38">
        <v>0</v>
      </c>
      <c r="BP68" s="38">
        <v>33.248513037588964</v>
      </c>
      <c r="BQ68" s="38">
        <v>0</v>
      </c>
      <c r="BR68" s="38">
        <v>0</v>
      </c>
      <c r="BS68" s="38">
        <v>0</v>
      </c>
      <c r="BT68" s="38">
        <v>0</v>
      </c>
      <c r="BU68" s="38">
        <v>0</v>
      </c>
      <c r="BV68" s="38">
        <v>11.767895140230259</v>
      </c>
      <c r="BW68" s="38">
        <v>0</v>
      </c>
      <c r="BX68" s="38">
        <v>2377.0934385926789</v>
      </c>
      <c r="BY68" s="38"/>
      <c r="BZ68" s="38">
        <v>0</v>
      </c>
      <c r="CA68" s="38">
        <v>0</v>
      </c>
      <c r="CB68" s="38">
        <v>109.12377224051619</v>
      </c>
      <c r="CC68" s="38">
        <v>2377.0934385926789</v>
      </c>
      <c r="CD68" s="50">
        <v>4.5906387384217096E-2</v>
      </c>
      <c r="CE68" s="38">
        <v>1391.2084568940054</v>
      </c>
      <c r="CF68" s="38">
        <v>1.171789710056288</v>
      </c>
      <c r="CG68" s="38">
        <v>0</v>
      </c>
      <c r="CH68" s="38">
        <v>1.171789710056288</v>
      </c>
      <c r="CI68" s="38">
        <v>5.8588773487300884E-2</v>
      </c>
      <c r="CJ68" s="38">
        <v>0</v>
      </c>
      <c r="CK68" s="38">
        <v>5.8588773487300884E-2</v>
      </c>
      <c r="CL68" s="38"/>
      <c r="CM68" s="38">
        <v>0</v>
      </c>
      <c r="CN68" s="38"/>
      <c r="CO68" s="38">
        <v>0</v>
      </c>
      <c r="CP68" s="38">
        <v>0</v>
      </c>
      <c r="CQ68" s="38">
        <v>0</v>
      </c>
      <c r="CR68" s="38">
        <v>0</v>
      </c>
      <c r="CS68" s="38">
        <v>0</v>
      </c>
      <c r="CT68" s="38">
        <v>0</v>
      </c>
      <c r="CU68" s="38">
        <v>0</v>
      </c>
      <c r="CV68" s="38">
        <v>9999</v>
      </c>
      <c r="CW68" s="49">
        <v>9999</v>
      </c>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row>
    <row r="69" spans="1:131">
      <c r="A69" s="27" t="s">
        <v>6392</v>
      </c>
      <c r="B69" s="27" t="s">
        <v>6375</v>
      </c>
      <c r="C69" s="38">
        <v>25</v>
      </c>
      <c r="D69" s="38">
        <v>239.94581862607487</v>
      </c>
      <c r="E69" s="38">
        <v>0</v>
      </c>
      <c r="F69" s="38">
        <v>4223.9999999999991</v>
      </c>
      <c r="G69" s="38">
        <v>0</v>
      </c>
      <c r="H69" s="38">
        <v>0</v>
      </c>
      <c r="I69" s="38" t="s">
        <v>6424</v>
      </c>
      <c r="J69" s="38"/>
      <c r="K69" s="38"/>
      <c r="L69" s="38">
        <v>258.45844496592201</v>
      </c>
      <c r="M69" s="38">
        <v>9.0291220210429929E-2</v>
      </c>
      <c r="N69" s="38">
        <v>8.9639538673468896E-2</v>
      </c>
      <c r="O69" s="38">
        <v>0</v>
      </c>
      <c r="P69" s="38">
        <v>0</v>
      </c>
      <c r="Q69" s="38">
        <v>0</v>
      </c>
      <c r="R69" s="38">
        <v>732.77254158483333</v>
      </c>
      <c r="S69" s="38">
        <v>1693.325889528131</v>
      </c>
      <c r="T69" s="38">
        <v>0</v>
      </c>
      <c r="U69" s="38">
        <v>1309.3341152469591</v>
      </c>
      <c r="V69" s="38" t="s">
        <v>6025</v>
      </c>
      <c r="W69" s="38" t="s">
        <v>6025</v>
      </c>
      <c r="X69" s="38" t="s">
        <v>6025</v>
      </c>
      <c r="Y69" s="38" t="s">
        <v>6025</v>
      </c>
      <c r="Z69" s="38">
        <v>0</v>
      </c>
      <c r="AA69" s="38">
        <v>0</v>
      </c>
      <c r="AB69" s="38">
        <v>0</v>
      </c>
      <c r="AC69" s="38">
        <v>0</v>
      </c>
      <c r="AD69" s="38">
        <v>0</v>
      </c>
      <c r="AE69" s="38">
        <v>0</v>
      </c>
      <c r="AF69" s="38">
        <v>0</v>
      </c>
      <c r="AG69" s="38">
        <v>0</v>
      </c>
      <c r="AH69" s="38">
        <v>732.77254158483333</v>
      </c>
      <c r="AI69" s="38">
        <v>1693.325889528131</v>
      </c>
      <c r="AJ69" s="38">
        <v>0</v>
      </c>
      <c r="AK69" s="38">
        <v>1309.3341152469591</v>
      </c>
      <c r="AL69" s="38">
        <v>3735.4325463599234</v>
      </c>
      <c r="AM69" s="38">
        <v>134.33149567975886</v>
      </c>
      <c r="AN69" s="38">
        <v>31.904265867372196</v>
      </c>
      <c r="AO69" s="38">
        <v>0</v>
      </c>
      <c r="AP69" s="38">
        <v>0</v>
      </c>
      <c r="AQ69" s="38">
        <v>166.23576154713106</v>
      </c>
      <c r="AR69" s="38">
        <v>732.77254158483333</v>
      </c>
      <c r="AS69" s="50">
        <v>0.2268586117973225</v>
      </c>
      <c r="AT69" s="38">
        <v>134.33149567975886</v>
      </c>
      <c r="AU69" s="38">
        <v>37.765148103528603</v>
      </c>
      <c r="AV69" s="38">
        <v>0</v>
      </c>
      <c r="AW69" s="38">
        <v>0</v>
      </c>
      <c r="AX69" s="38">
        <v>172.09664378328745</v>
      </c>
      <c r="AY69" s="38">
        <v>1693.325889528131</v>
      </c>
      <c r="AZ69" s="50">
        <v>0.10163232302037535</v>
      </c>
      <c r="BA69" s="38">
        <v>134.33149567975886</v>
      </c>
      <c r="BB69" s="38">
        <v>69.669413970900791</v>
      </c>
      <c r="BC69" s="38">
        <v>0</v>
      </c>
      <c r="BD69" s="38">
        <v>0</v>
      </c>
      <c r="BE69" s="38">
        <v>204.00090965065965</v>
      </c>
      <c r="BF69" s="38">
        <v>2426.0984311129641</v>
      </c>
      <c r="BG69" s="38">
        <v>670.86286009863306</v>
      </c>
      <c r="BH69" s="50">
        <v>8.4085998751944682E-2</v>
      </c>
      <c r="BI69" s="38">
        <v>208.61646138000725</v>
      </c>
      <c r="BJ69" s="38">
        <v>482.08091186453839</v>
      </c>
      <c r="BK69" s="38">
        <v>0</v>
      </c>
      <c r="BL69" s="38">
        <v>372.76048758074364</v>
      </c>
      <c r="BM69" s="38">
        <v>1063.4578608252893</v>
      </c>
      <c r="BN69" s="38">
        <v>134.33149567975886</v>
      </c>
      <c r="BO69" s="38">
        <v>0</v>
      </c>
      <c r="BP69" s="38">
        <v>69.669413970900791</v>
      </c>
      <c r="BQ69" s="38">
        <v>0</v>
      </c>
      <c r="BR69" s="38">
        <v>0</v>
      </c>
      <c r="BS69" s="38">
        <v>0</v>
      </c>
      <c r="BT69" s="38">
        <v>0</v>
      </c>
      <c r="BU69" s="38">
        <v>0</v>
      </c>
      <c r="BV69" s="38">
        <v>23.576903259756602</v>
      </c>
      <c r="BW69" s="38">
        <v>0</v>
      </c>
      <c r="BX69" s="38">
        <v>3735.4325463599234</v>
      </c>
      <c r="BY69" s="38"/>
      <c r="BZ69" s="38">
        <v>0</v>
      </c>
      <c r="CA69" s="38">
        <v>0</v>
      </c>
      <c r="CB69" s="38">
        <v>227.57781291041624</v>
      </c>
      <c r="CC69" s="38">
        <v>3735.4325463599234</v>
      </c>
      <c r="CD69" s="50">
        <v>6.0924085788186588E-2</v>
      </c>
      <c r="CE69" s="38">
        <v>1036.9111281989476</v>
      </c>
      <c r="CF69" s="38">
        <v>2.4553850665278776</v>
      </c>
      <c r="CG69" s="38">
        <v>0</v>
      </c>
      <c r="CH69" s="38">
        <v>2.4553850665278776</v>
      </c>
      <c r="CI69" s="38">
        <v>0.122767761358813</v>
      </c>
      <c r="CJ69" s="38">
        <v>0</v>
      </c>
      <c r="CK69" s="38">
        <v>0.122767761358813</v>
      </c>
      <c r="CL69" s="38"/>
      <c r="CM69" s="38">
        <v>0</v>
      </c>
      <c r="CN69" s="38"/>
      <c r="CO69" s="38">
        <v>0</v>
      </c>
      <c r="CP69" s="38">
        <v>0</v>
      </c>
      <c r="CQ69" s="38">
        <v>0</v>
      </c>
      <c r="CR69" s="38">
        <v>0</v>
      </c>
      <c r="CS69" s="38">
        <v>0</v>
      </c>
      <c r="CT69" s="38">
        <v>0</v>
      </c>
      <c r="CU69" s="38">
        <v>0</v>
      </c>
      <c r="CV69" s="38">
        <v>9999</v>
      </c>
      <c r="CW69" s="49">
        <v>9999</v>
      </c>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1">
      <c r="A70" s="27" t="s">
        <v>6391</v>
      </c>
      <c r="B70" s="27" t="s">
        <v>6376</v>
      </c>
      <c r="C70" s="38">
        <v>25</v>
      </c>
      <c r="D70" s="38">
        <v>126.48013579032794</v>
      </c>
      <c r="E70" s="38">
        <v>0</v>
      </c>
      <c r="F70" s="38">
        <v>4223.9999999999991</v>
      </c>
      <c r="G70" s="38">
        <v>0</v>
      </c>
      <c r="H70" s="38">
        <v>0</v>
      </c>
      <c r="I70" s="38" t="s">
        <v>6424</v>
      </c>
      <c r="J70" s="38"/>
      <c r="K70" s="38"/>
      <c r="L70" s="38">
        <v>136.2385033530833</v>
      </c>
      <c r="M70" s="38">
        <v>4.7594268815687395E-2</v>
      </c>
      <c r="N70" s="38">
        <v>4.7250754726719968E-2</v>
      </c>
      <c r="O70" s="38">
        <v>0</v>
      </c>
      <c r="P70" s="38">
        <v>0</v>
      </c>
      <c r="Q70" s="38">
        <v>0</v>
      </c>
      <c r="R70" s="38">
        <v>732.77254158483333</v>
      </c>
      <c r="S70" s="38">
        <v>1693.325889528131</v>
      </c>
      <c r="T70" s="38">
        <v>0</v>
      </c>
      <c r="U70" s="38">
        <v>1309.3341152469591</v>
      </c>
      <c r="V70" s="38" t="s">
        <v>6025</v>
      </c>
      <c r="W70" s="38" t="s">
        <v>6025</v>
      </c>
      <c r="X70" s="38" t="s">
        <v>6025</v>
      </c>
      <c r="Y70" s="38" t="s">
        <v>6025</v>
      </c>
      <c r="Z70" s="38">
        <v>0</v>
      </c>
      <c r="AA70" s="38">
        <v>0</v>
      </c>
      <c r="AB70" s="38">
        <v>0</v>
      </c>
      <c r="AC70" s="38">
        <v>0</v>
      </c>
      <c r="AD70" s="38">
        <v>0</v>
      </c>
      <c r="AE70" s="38">
        <v>0</v>
      </c>
      <c r="AF70" s="38">
        <v>0</v>
      </c>
      <c r="AG70" s="38">
        <v>0</v>
      </c>
      <c r="AH70" s="38">
        <v>732.77254158483333</v>
      </c>
      <c r="AI70" s="38">
        <v>1693.325889528131</v>
      </c>
      <c r="AJ70" s="38">
        <v>0</v>
      </c>
      <c r="AK70" s="38">
        <v>1309.3341152469591</v>
      </c>
      <c r="AL70" s="38">
        <v>3735.4325463599234</v>
      </c>
      <c r="AM70" s="38">
        <v>70.808759709919798</v>
      </c>
      <c r="AN70" s="38">
        <v>16.817362779238067</v>
      </c>
      <c r="AO70" s="38">
        <v>0</v>
      </c>
      <c r="AP70" s="38">
        <v>0</v>
      </c>
      <c r="AQ70" s="38">
        <v>87.626122489157865</v>
      </c>
      <c r="AR70" s="38">
        <v>732.77254158483333</v>
      </c>
      <c r="AS70" s="50">
        <v>0.11958161300591441</v>
      </c>
      <c r="AT70" s="38">
        <v>70.808759709919798</v>
      </c>
      <c r="AU70" s="38">
        <v>19.906748480246613</v>
      </c>
      <c r="AV70" s="38">
        <v>0</v>
      </c>
      <c r="AW70" s="38">
        <v>0</v>
      </c>
      <c r="AX70" s="38">
        <v>90.715508190166418</v>
      </c>
      <c r="AY70" s="38">
        <v>1693.325889528131</v>
      </c>
      <c r="AZ70" s="50">
        <v>5.3572386007424456E-2</v>
      </c>
      <c r="BA70" s="38">
        <v>70.808759709919798</v>
      </c>
      <c r="BB70" s="38">
        <v>36.72411125948468</v>
      </c>
      <c r="BC70" s="38">
        <v>0</v>
      </c>
      <c r="BD70" s="38">
        <v>0</v>
      </c>
      <c r="BE70" s="38">
        <v>107.53287096940448</v>
      </c>
      <c r="BF70" s="38">
        <v>2426.0984311129641</v>
      </c>
      <c r="BG70" s="38">
        <v>1290.4894014392232</v>
      </c>
      <c r="BH70" s="50">
        <v>4.4323375173229949E-2</v>
      </c>
      <c r="BI70" s="38">
        <v>395.76687115265293</v>
      </c>
      <c r="BJ70" s="38">
        <v>914.55704343248294</v>
      </c>
      <c r="BK70" s="38">
        <v>0</v>
      </c>
      <c r="BL70" s="38">
        <v>707.1649613998602</v>
      </c>
      <c r="BM70" s="38">
        <v>2017.4888759849962</v>
      </c>
      <c r="BN70" s="38">
        <v>70.808759709919798</v>
      </c>
      <c r="BO70" s="38">
        <v>0</v>
      </c>
      <c r="BP70" s="38">
        <v>36.72411125948468</v>
      </c>
      <c r="BQ70" s="38">
        <v>0</v>
      </c>
      <c r="BR70" s="38">
        <v>0</v>
      </c>
      <c r="BS70" s="38">
        <v>0</v>
      </c>
      <c r="BT70" s="38">
        <v>0</v>
      </c>
      <c r="BU70" s="38">
        <v>0</v>
      </c>
      <c r="BV70" s="38">
        <v>12.852456351038571</v>
      </c>
      <c r="BW70" s="38">
        <v>0</v>
      </c>
      <c r="BX70" s="38">
        <v>3735.4325463599234</v>
      </c>
      <c r="BY70" s="38"/>
      <c r="BZ70" s="38">
        <v>0</v>
      </c>
      <c r="CA70" s="38">
        <v>0</v>
      </c>
      <c r="CB70" s="38">
        <v>120.38532732044305</v>
      </c>
      <c r="CC70" s="38">
        <v>3735.4325463599234</v>
      </c>
      <c r="CD70" s="50">
        <v>3.2227948390543222E-2</v>
      </c>
      <c r="CE70" s="38">
        <v>1990.7128139299562</v>
      </c>
      <c r="CF70" s="38">
        <v>1.2942815107603658</v>
      </c>
      <c r="CG70" s="38">
        <v>0</v>
      </c>
      <c r="CH70" s="38">
        <v>1.2942815107603658</v>
      </c>
      <c r="CI70" s="38">
        <v>6.4713289092714565E-2</v>
      </c>
      <c r="CJ70" s="38">
        <v>0</v>
      </c>
      <c r="CK70" s="38">
        <v>6.4713289092714565E-2</v>
      </c>
      <c r="CL70" s="38"/>
      <c r="CM70" s="38">
        <v>0</v>
      </c>
      <c r="CN70" s="38"/>
      <c r="CO70" s="38">
        <v>0</v>
      </c>
      <c r="CP70" s="38">
        <v>0</v>
      </c>
      <c r="CQ70" s="38">
        <v>0</v>
      </c>
      <c r="CR70" s="38">
        <v>0</v>
      </c>
      <c r="CS70" s="38">
        <v>0</v>
      </c>
      <c r="CT70" s="38">
        <v>0</v>
      </c>
      <c r="CU70" s="38">
        <v>0</v>
      </c>
      <c r="CV70" s="38">
        <v>9999</v>
      </c>
      <c r="CW70" s="49">
        <v>9999</v>
      </c>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1">
      <c r="A71" s="27" t="s">
        <v>172</v>
      </c>
      <c r="B71" s="27" t="s">
        <v>61</v>
      </c>
      <c r="C71" s="38">
        <v>25</v>
      </c>
      <c r="D71" s="38">
        <v>242.79261621400425</v>
      </c>
      <c r="E71" s="38">
        <v>0</v>
      </c>
      <c r="F71" s="38">
        <v>3296.949955913165</v>
      </c>
      <c r="G71" s="38">
        <v>0</v>
      </c>
      <c r="H71" s="38">
        <v>0</v>
      </c>
      <c r="I71" s="38" t="s">
        <v>6424</v>
      </c>
      <c r="J71" s="38"/>
      <c r="K71" s="38"/>
      <c r="L71" s="38">
        <v>261.52488255554965</v>
      </c>
      <c r="M71" s="38">
        <v>9.1362465499795931E-2</v>
      </c>
      <c r="N71" s="38">
        <v>9.0703052194729336E-2</v>
      </c>
      <c r="O71" s="38">
        <v>0</v>
      </c>
      <c r="P71" s="38">
        <v>0</v>
      </c>
      <c r="Q71" s="38">
        <v>0</v>
      </c>
      <c r="R71" s="38">
        <v>571.94943150390498</v>
      </c>
      <c r="S71" s="38">
        <v>1321.6881431880668</v>
      </c>
      <c r="T71" s="38">
        <v>0</v>
      </c>
      <c r="U71" s="38">
        <v>1021.9718403264836</v>
      </c>
      <c r="V71" s="38" t="s">
        <v>6025</v>
      </c>
      <c r="W71" s="38" t="s">
        <v>6025</v>
      </c>
      <c r="X71" s="38" t="s">
        <v>6025</v>
      </c>
      <c r="Y71" s="38" t="s">
        <v>6025</v>
      </c>
      <c r="Z71" s="38">
        <v>0</v>
      </c>
      <c r="AA71" s="38">
        <v>0</v>
      </c>
      <c r="AB71" s="38">
        <v>0</v>
      </c>
      <c r="AC71" s="38">
        <v>0</v>
      </c>
      <c r="AD71" s="38">
        <v>0</v>
      </c>
      <c r="AE71" s="38">
        <v>0</v>
      </c>
      <c r="AF71" s="38">
        <v>0</v>
      </c>
      <c r="AG71" s="38">
        <v>0</v>
      </c>
      <c r="AH71" s="38">
        <v>571.94943150390498</v>
      </c>
      <c r="AI71" s="38">
        <v>1321.6881431880668</v>
      </c>
      <c r="AJ71" s="38">
        <v>0</v>
      </c>
      <c r="AK71" s="38">
        <v>1021.9718403264836</v>
      </c>
      <c r="AL71" s="38">
        <v>2915.6094150184554</v>
      </c>
      <c r="AM71" s="38">
        <v>135.92524955333639</v>
      </c>
      <c r="AN71" s="38">
        <v>32.282788767400028</v>
      </c>
      <c r="AO71" s="38">
        <v>0</v>
      </c>
      <c r="AP71" s="38">
        <v>0</v>
      </c>
      <c r="AQ71" s="38">
        <v>168.20803832073642</v>
      </c>
      <c r="AR71" s="38">
        <v>571.94943150390498</v>
      </c>
      <c r="AS71" s="50">
        <v>0.29409599705072526</v>
      </c>
      <c r="AT71" s="38">
        <v>135.92524955333639</v>
      </c>
      <c r="AU71" s="38">
        <v>38.213206474141273</v>
      </c>
      <c r="AV71" s="38">
        <v>0</v>
      </c>
      <c r="AW71" s="38">
        <v>0</v>
      </c>
      <c r="AX71" s="38">
        <v>174.13845602747767</v>
      </c>
      <c r="AY71" s="38">
        <v>1321.6881431880668</v>
      </c>
      <c r="AZ71" s="50">
        <v>0.13175457230586582</v>
      </c>
      <c r="BA71" s="38">
        <v>135.92524955333639</v>
      </c>
      <c r="BB71" s="38">
        <v>70.495995241541294</v>
      </c>
      <c r="BC71" s="38">
        <v>0</v>
      </c>
      <c r="BD71" s="38">
        <v>0</v>
      </c>
      <c r="BE71" s="38">
        <v>206.42124479487771</v>
      </c>
      <c r="BF71" s="38">
        <v>1893.6375746919716</v>
      </c>
      <c r="BG71" s="38">
        <v>512.95290605615412</v>
      </c>
      <c r="BH71" s="50">
        <v>0.10900778879424972</v>
      </c>
      <c r="BI71" s="38">
        <v>160.92174426493582</v>
      </c>
      <c r="BJ71" s="38">
        <v>371.86567493713096</v>
      </c>
      <c r="BK71" s="38">
        <v>0</v>
      </c>
      <c r="BL71" s="38">
        <v>287.5385166526936</v>
      </c>
      <c r="BM71" s="38">
        <v>820.32593585476047</v>
      </c>
      <c r="BN71" s="38">
        <v>135.92524955333639</v>
      </c>
      <c r="BO71" s="38">
        <v>0</v>
      </c>
      <c r="BP71" s="38">
        <v>70.495995241541294</v>
      </c>
      <c r="BQ71" s="38">
        <v>0</v>
      </c>
      <c r="BR71" s="38">
        <v>0</v>
      </c>
      <c r="BS71" s="38">
        <v>0</v>
      </c>
      <c r="BT71" s="38">
        <v>0</v>
      </c>
      <c r="BU71" s="38">
        <v>0</v>
      </c>
      <c r="BV71" s="38">
        <v>32.307973801607787</v>
      </c>
      <c r="BW71" s="38">
        <v>0</v>
      </c>
      <c r="BX71" s="38">
        <v>2915.6094150184554</v>
      </c>
      <c r="BY71" s="38"/>
      <c r="BZ71" s="38">
        <v>0</v>
      </c>
      <c r="CA71" s="38">
        <v>0</v>
      </c>
      <c r="CB71" s="38">
        <v>238.72921859648545</v>
      </c>
      <c r="CC71" s="38">
        <v>2915.6094150184554</v>
      </c>
      <c r="CD71" s="50">
        <v>8.1879698071620585E-2</v>
      </c>
      <c r="CE71" s="38">
        <v>791.40136122535273</v>
      </c>
      <c r="CF71" s="38">
        <v>2.4845165776534026</v>
      </c>
      <c r="CG71" s="38">
        <v>0</v>
      </c>
      <c r="CH71" s="38">
        <v>2.4845165776534026</v>
      </c>
      <c r="CI71" s="38">
        <v>0.1242243192138861</v>
      </c>
      <c r="CJ71" s="38">
        <v>0</v>
      </c>
      <c r="CK71" s="38">
        <v>0.1242243192138861</v>
      </c>
      <c r="CL71" s="38"/>
      <c r="CM71" s="38">
        <v>0</v>
      </c>
      <c r="CN71" s="38"/>
      <c r="CO71" s="38">
        <v>0</v>
      </c>
      <c r="CP71" s="38">
        <v>0</v>
      </c>
      <c r="CQ71" s="38">
        <v>0</v>
      </c>
      <c r="CR71" s="38">
        <v>0</v>
      </c>
      <c r="CS71" s="38">
        <v>0</v>
      </c>
      <c r="CT71" s="38">
        <v>0</v>
      </c>
      <c r="CU71" s="38">
        <v>0</v>
      </c>
      <c r="CV71" s="38">
        <v>9999</v>
      </c>
      <c r="CW71" s="49">
        <v>9999</v>
      </c>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row>
    <row r="72" spans="1:131">
      <c r="A72" s="27" t="s">
        <v>171</v>
      </c>
      <c r="B72" s="27" t="s">
        <v>60</v>
      </c>
      <c r="C72" s="38">
        <v>25</v>
      </c>
      <c r="D72" s="38">
        <v>590.79505315659674</v>
      </c>
      <c r="E72" s="38">
        <v>0</v>
      </c>
      <c r="F72" s="38">
        <v>3296.949955913165</v>
      </c>
      <c r="G72" s="38">
        <v>0</v>
      </c>
      <c r="H72" s="38">
        <v>0</v>
      </c>
      <c r="I72" s="38" t="s">
        <v>6424</v>
      </c>
      <c r="J72" s="38"/>
      <c r="K72" s="38"/>
      <c r="L72" s="38">
        <v>636.37687710812145</v>
      </c>
      <c r="M72" s="38">
        <v>0.22231521494827203</v>
      </c>
      <c r="N72" s="38">
        <v>0.22071064342260585</v>
      </c>
      <c r="O72" s="38">
        <v>0</v>
      </c>
      <c r="P72" s="38">
        <v>0</v>
      </c>
      <c r="Q72" s="38">
        <v>0</v>
      </c>
      <c r="R72" s="38">
        <v>571.94943150390498</v>
      </c>
      <c r="S72" s="38">
        <v>1321.6881431880668</v>
      </c>
      <c r="T72" s="38">
        <v>0</v>
      </c>
      <c r="U72" s="38">
        <v>1021.9718403264836</v>
      </c>
      <c r="V72" s="38" t="s">
        <v>6025</v>
      </c>
      <c r="W72" s="38" t="s">
        <v>6025</v>
      </c>
      <c r="X72" s="38" t="s">
        <v>6025</v>
      </c>
      <c r="Y72" s="38" t="s">
        <v>6025</v>
      </c>
      <c r="Z72" s="38">
        <v>0</v>
      </c>
      <c r="AA72" s="38">
        <v>0</v>
      </c>
      <c r="AB72" s="38">
        <v>0</v>
      </c>
      <c r="AC72" s="38">
        <v>0</v>
      </c>
      <c r="AD72" s="38">
        <v>0</v>
      </c>
      <c r="AE72" s="38">
        <v>0</v>
      </c>
      <c r="AF72" s="38">
        <v>0</v>
      </c>
      <c r="AG72" s="38">
        <v>0</v>
      </c>
      <c r="AH72" s="38">
        <v>571.94943150390498</v>
      </c>
      <c r="AI72" s="38">
        <v>1321.6881431880668</v>
      </c>
      <c r="AJ72" s="38">
        <v>0</v>
      </c>
      <c r="AK72" s="38">
        <v>1021.9718403264836</v>
      </c>
      <c r="AL72" s="38">
        <v>2915.6094150184554</v>
      </c>
      <c r="AM72" s="38">
        <v>330.75126536963916</v>
      </c>
      <c r="AN72" s="38">
        <v>78.554744387565037</v>
      </c>
      <c r="AO72" s="38">
        <v>0</v>
      </c>
      <c r="AP72" s="38">
        <v>0</v>
      </c>
      <c r="AQ72" s="38">
        <v>409.30600975720421</v>
      </c>
      <c r="AR72" s="38">
        <v>571.94943150390498</v>
      </c>
      <c r="AS72" s="50">
        <v>0.71563321372828337</v>
      </c>
      <c r="AT72" s="38">
        <v>330.75126536963916</v>
      </c>
      <c r="AU72" s="38">
        <v>92.985419829551262</v>
      </c>
      <c r="AV72" s="38">
        <v>0</v>
      </c>
      <c r="AW72" s="38">
        <v>0</v>
      </c>
      <c r="AX72" s="38">
        <v>423.73668519919045</v>
      </c>
      <c r="AY72" s="38">
        <v>1321.6881431880668</v>
      </c>
      <c r="AZ72" s="50">
        <v>0.32060262277687374</v>
      </c>
      <c r="BA72" s="38">
        <v>330.75126536963916</v>
      </c>
      <c r="BB72" s="38">
        <v>171.54016421711628</v>
      </c>
      <c r="BC72" s="38">
        <v>0</v>
      </c>
      <c r="BD72" s="38">
        <v>0</v>
      </c>
      <c r="BE72" s="38">
        <v>502.2914295867555</v>
      </c>
      <c r="BF72" s="38">
        <v>1893.6375746919716</v>
      </c>
      <c r="BG72" s="38">
        <v>199.11933675995272</v>
      </c>
      <c r="BH72" s="50">
        <v>0.26525214555296345</v>
      </c>
      <c r="BI72" s="38">
        <v>66.132258703000019</v>
      </c>
      <c r="BJ72" s="38">
        <v>152.82159120286528</v>
      </c>
      <c r="BK72" s="38">
        <v>0</v>
      </c>
      <c r="BL72" s="38">
        <v>118.1665762896918</v>
      </c>
      <c r="BM72" s="38">
        <v>337.12042619555712</v>
      </c>
      <c r="BN72" s="38">
        <v>330.75126536963916</v>
      </c>
      <c r="BO72" s="38">
        <v>0</v>
      </c>
      <c r="BP72" s="38">
        <v>171.54016421711628</v>
      </c>
      <c r="BQ72" s="38">
        <v>0</v>
      </c>
      <c r="BR72" s="38">
        <v>0</v>
      </c>
      <c r="BS72" s="38">
        <v>0</v>
      </c>
      <c r="BT72" s="38">
        <v>0</v>
      </c>
      <c r="BU72" s="38">
        <v>0</v>
      </c>
      <c r="BV72" s="38">
        <v>70.64612728720337</v>
      </c>
      <c r="BW72" s="38">
        <v>0</v>
      </c>
      <c r="BX72" s="38">
        <v>2915.6094150184554</v>
      </c>
      <c r="BY72" s="38"/>
      <c r="BZ72" s="38">
        <v>0</v>
      </c>
      <c r="CA72" s="38">
        <v>0</v>
      </c>
      <c r="CB72" s="38">
        <v>572.9375568739589</v>
      </c>
      <c r="CC72" s="38">
        <v>2915.6094150184554</v>
      </c>
      <c r="CD72" s="50">
        <v>0.19650696486392444</v>
      </c>
      <c r="CE72" s="38">
        <v>309.11737976893517</v>
      </c>
      <c r="CF72" s="38">
        <v>6.0456538030357292</v>
      </c>
      <c r="CG72" s="38">
        <v>0</v>
      </c>
      <c r="CH72" s="38">
        <v>6.0456538030357292</v>
      </c>
      <c r="CI72" s="38">
        <v>0.30227901662635775</v>
      </c>
      <c r="CJ72" s="38">
        <v>0</v>
      </c>
      <c r="CK72" s="38">
        <v>0.30227901662635775</v>
      </c>
      <c r="CL72" s="38"/>
      <c r="CM72" s="38">
        <v>0</v>
      </c>
      <c r="CN72" s="38"/>
      <c r="CO72" s="38">
        <v>0</v>
      </c>
      <c r="CP72" s="38">
        <v>0</v>
      </c>
      <c r="CQ72" s="38">
        <v>0</v>
      </c>
      <c r="CR72" s="38">
        <v>0</v>
      </c>
      <c r="CS72" s="38">
        <v>0</v>
      </c>
      <c r="CT72" s="38">
        <v>0</v>
      </c>
      <c r="CU72" s="38">
        <v>0</v>
      </c>
      <c r="CV72" s="38">
        <v>9999</v>
      </c>
      <c r="CW72" s="49">
        <v>9999</v>
      </c>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row>
    <row r="73" spans="1:131">
      <c r="A73" s="27" t="s">
        <v>174</v>
      </c>
      <c r="B73" s="27" t="s">
        <v>63</v>
      </c>
      <c r="C73" s="38">
        <v>25</v>
      </c>
      <c r="D73" s="38">
        <v>1507.4369564149624</v>
      </c>
      <c r="E73" s="38">
        <v>0</v>
      </c>
      <c r="F73" s="38">
        <v>3514.5499559131654</v>
      </c>
      <c r="G73" s="38">
        <v>0</v>
      </c>
      <c r="H73" s="38">
        <v>0</v>
      </c>
      <c r="I73" s="38" t="s">
        <v>6424</v>
      </c>
      <c r="J73" s="38"/>
      <c r="K73" s="38"/>
      <c r="L73" s="38">
        <v>1623.7407839406073</v>
      </c>
      <c r="M73" s="38">
        <v>0.56724606815137368</v>
      </c>
      <c r="N73" s="38">
        <v>0.5631519404093136</v>
      </c>
      <c r="O73" s="38">
        <v>0</v>
      </c>
      <c r="P73" s="38">
        <v>0</v>
      </c>
      <c r="Q73" s="38">
        <v>0</v>
      </c>
      <c r="R73" s="38">
        <v>609.69832000979034</v>
      </c>
      <c r="S73" s="38">
        <v>1408.9200829516374</v>
      </c>
      <c r="T73" s="38">
        <v>0</v>
      </c>
      <c r="U73" s="38">
        <v>1089.4223856573876</v>
      </c>
      <c r="V73" s="38" t="s">
        <v>6025</v>
      </c>
      <c r="W73" s="38" t="s">
        <v>6025</v>
      </c>
      <c r="X73" s="38" t="s">
        <v>6025</v>
      </c>
      <c r="Y73" s="38" t="s">
        <v>6025</v>
      </c>
      <c r="Z73" s="38">
        <v>0</v>
      </c>
      <c r="AA73" s="38">
        <v>0</v>
      </c>
      <c r="AB73" s="38">
        <v>0</v>
      </c>
      <c r="AC73" s="38">
        <v>0</v>
      </c>
      <c r="AD73" s="38">
        <v>0</v>
      </c>
      <c r="AE73" s="38">
        <v>0</v>
      </c>
      <c r="AF73" s="38">
        <v>0</v>
      </c>
      <c r="AG73" s="38">
        <v>0</v>
      </c>
      <c r="AH73" s="38">
        <v>609.69832000979034</v>
      </c>
      <c r="AI73" s="38">
        <v>1408.9200829516374</v>
      </c>
      <c r="AJ73" s="38">
        <v>0</v>
      </c>
      <c r="AK73" s="38">
        <v>1089.4223856573876</v>
      </c>
      <c r="AL73" s="38">
        <v>3108.0407886188154</v>
      </c>
      <c r="AM73" s="38">
        <v>843.92494171248723</v>
      </c>
      <c r="AN73" s="38">
        <v>200.43553878600065</v>
      </c>
      <c r="AO73" s="38">
        <v>0</v>
      </c>
      <c r="AP73" s="38">
        <v>0</v>
      </c>
      <c r="AQ73" s="38">
        <v>1044.360480498488</v>
      </c>
      <c r="AR73" s="38">
        <v>609.69832000979034</v>
      </c>
      <c r="AS73" s="49">
        <v>1.7129134954508616</v>
      </c>
      <c r="AT73" s="38">
        <v>843.92494171248723</v>
      </c>
      <c r="AU73" s="38">
        <v>237.25597821089528</v>
      </c>
      <c r="AV73" s="38">
        <v>0</v>
      </c>
      <c r="AW73" s="38">
        <v>0</v>
      </c>
      <c r="AX73" s="38">
        <v>1081.1809199233826</v>
      </c>
      <c r="AY73" s="38">
        <v>1408.9200829516374</v>
      </c>
      <c r="AZ73" s="50">
        <v>0.76738271602910724</v>
      </c>
      <c r="BA73" s="38">
        <v>843.92494171248723</v>
      </c>
      <c r="BB73" s="38">
        <v>437.69151699689593</v>
      </c>
      <c r="BC73" s="38">
        <v>0</v>
      </c>
      <c r="BD73" s="38">
        <v>0</v>
      </c>
      <c r="BE73" s="38">
        <v>1281.6164587093833</v>
      </c>
      <c r="BF73" s="38">
        <v>2018.6184029614278</v>
      </c>
      <c r="BG73" s="38">
        <v>71.641587475894696</v>
      </c>
      <c r="BH73" s="50">
        <v>0.63489783746605066</v>
      </c>
      <c r="BI73" s="38">
        <v>27.6292065842363</v>
      </c>
      <c r="BJ73" s="38">
        <v>63.846894037570998</v>
      </c>
      <c r="BK73" s="38">
        <v>0</v>
      </c>
      <c r="BL73" s="38">
        <v>49.368474806255293</v>
      </c>
      <c r="BM73" s="38">
        <v>140.8445754280626</v>
      </c>
      <c r="BN73" s="38">
        <v>843.92494171248723</v>
      </c>
      <c r="BO73" s="38">
        <v>0</v>
      </c>
      <c r="BP73" s="38">
        <v>437.69151699689593</v>
      </c>
      <c r="BQ73" s="38">
        <v>0</v>
      </c>
      <c r="BR73" s="38">
        <v>0</v>
      </c>
      <c r="BS73" s="38">
        <v>0</v>
      </c>
      <c r="BT73" s="38">
        <v>0</v>
      </c>
      <c r="BU73" s="38">
        <v>0</v>
      </c>
      <c r="BV73" s="38">
        <v>36.388696676450571</v>
      </c>
      <c r="BW73" s="38">
        <v>0</v>
      </c>
      <c r="BX73" s="38">
        <v>3108.0407886188154</v>
      </c>
      <c r="BY73" s="38"/>
      <c r="BZ73" s="38">
        <v>0</v>
      </c>
      <c r="CA73" s="38">
        <v>0</v>
      </c>
      <c r="CB73" s="38">
        <v>1318.0051553858339</v>
      </c>
      <c r="CC73" s="38">
        <v>3108.0407886188154</v>
      </c>
      <c r="CD73" s="50">
        <v>0.42406301751642816</v>
      </c>
      <c r="CE73" s="38">
        <v>119.36106508991789</v>
      </c>
      <c r="CF73" s="38">
        <v>15.425724910345707</v>
      </c>
      <c r="CG73" s="38">
        <v>0</v>
      </c>
      <c r="CH73" s="38">
        <v>15.425724910345707</v>
      </c>
      <c r="CI73" s="38">
        <v>0.77127687237178832</v>
      </c>
      <c r="CJ73" s="38">
        <v>0</v>
      </c>
      <c r="CK73" s="38">
        <v>0.77127687237178832</v>
      </c>
      <c r="CL73" s="38"/>
      <c r="CM73" s="38">
        <v>0</v>
      </c>
      <c r="CN73" s="38"/>
      <c r="CO73" s="38">
        <v>0</v>
      </c>
      <c r="CP73" s="38">
        <v>0</v>
      </c>
      <c r="CQ73" s="38">
        <v>0</v>
      </c>
      <c r="CR73" s="38">
        <v>0</v>
      </c>
      <c r="CS73" s="38">
        <v>0</v>
      </c>
      <c r="CT73" s="38">
        <v>0</v>
      </c>
      <c r="CU73" s="38">
        <v>0</v>
      </c>
      <c r="CV73" s="38">
        <v>9999</v>
      </c>
      <c r="CW73" s="49">
        <v>9999</v>
      </c>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row>
    <row r="74" spans="1:131">
      <c r="A74" s="27" t="s">
        <v>173</v>
      </c>
      <c r="B74" s="27" t="s">
        <v>62</v>
      </c>
      <c r="C74" s="38">
        <v>25</v>
      </c>
      <c r="D74" s="38">
        <v>644.96005788003561</v>
      </c>
      <c r="E74" s="38">
        <v>0</v>
      </c>
      <c r="F74" s="38">
        <v>3514.5499559131654</v>
      </c>
      <c r="G74" s="38">
        <v>0</v>
      </c>
      <c r="H74" s="38">
        <v>0</v>
      </c>
      <c r="I74" s="38" t="s">
        <v>6424</v>
      </c>
      <c r="J74" s="38"/>
      <c r="K74" s="38"/>
      <c r="L74" s="38">
        <v>694.72089398889955</v>
      </c>
      <c r="M74" s="38">
        <v>0.24269741788552934</v>
      </c>
      <c r="N74" s="38">
        <v>0.24094573675933006</v>
      </c>
      <c r="O74" s="38">
        <v>0</v>
      </c>
      <c r="P74" s="38">
        <v>0</v>
      </c>
      <c r="Q74" s="38">
        <v>0</v>
      </c>
      <c r="R74" s="38">
        <v>609.69832000979034</v>
      </c>
      <c r="S74" s="38">
        <v>1408.9200829516374</v>
      </c>
      <c r="T74" s="38">
        <v>0</v>
      </c>
      <c r="U74" s="38">
        <v>1089.4223856573876</v>
      </c>
      <c r="V74" s="38" t="s">
        <v>6025</v>
      </c>
      <c r="W74" s="38" t="s">
        <v>6025</v>
      </c>
      <c r="X74" s="38" t="s">
        <v>6025</v>
      </c>
      <c r="Y74" s="38" t="s">
        <v>6025</v>
      </c>
      <c r="Z74" s="38">
        <v>0</v>
      </c>
      <c r="AA74" s="38">
        <v>0</v>
      </c>
      <c r="AB74" s="38">
        <v>0</v>
      </c>
      <c r="AC74" s="38">
        <v>0</v>
      </c>
      <c r="AD74" s="38">
        <v>0</v>
      </c>
      <c r="AE74" s="38">
        <v>0</v>
      </c>
      <c r="AF74" s="38">
        <v>0</v>
      </c>
      <c r="AG74" s="38">
        <v>0</v>
      </c>
      <c r="AH74" s="38">
        <v>609.69832000979034</v>
      </c>
      <c r="AI74" s="38">
        <v>1408.9200829516374</v>
      </c>
      <c r="AJ74" s="38">
        <v>0</v>
      </c>
      <c r="AK74" s="38">
        <v>1089.4223856573876</v>
      </c>
      <c r="AL74" s="38">
        <v>3108.0407886188154</v>
      </c>
      <c r="AM74" s="38">
        <v>361.07505321334241</v>
      </c>
      <c r="AN74" s="38">
        <v>85.756764915778845</v>
      </c>
      <c r="AO74" s="38">
        <v>0</v>
      </c>
      <c r="AP74" s="38">
        <v>0</v>
      </c>
      <c r="AQ74" s="38">
        <v>446.83181812912125</v>
      </c>
      <c r="AR74" s="38">
        <v>609.69832000979034</v>
      </c>
      <c r="AS74" s="50">
        <v>0.73287362530693234</v>
      </c>
      <c r="AT74" s="38">
        <v>361.07505321334241</v>
      </c>
      <c r="AU74" s="38">
        <v>101.51046701362714</v>
      </c>
      <c r="AV74" s="38">
        <v>0</v>
      </c>
      <c r="AW74" s="38">
        <v>0</v>
      </c>
      <c r="AX74" s="38">
        <v>462.58552022696955</v>
      </c>
      <c r="AY74" s="38">
        <v>1408.9200829516374</v>
      </c>
      <c r="AZ74" s="50">
        <v>0.32832630170042676</v>
      </c>
      <c r="BA74" s="38">
        <v>361.07505321334241</v>
      </c>
      <c r="BB74" s="38">
        <v>187.26723192940597</v>
      </c>
      <c r="BC74" s="38">
        <v>0</v>
      </c>
      <c r="BD74" s="38">
        <v>0</v>
      </c>
      <c r="BE74" s="38">
        <v>548.34228514274844</v>
      </c>
      <c r="BF74" s="38">
        <v>2018.6184029614278</v>
      </c>
      <c r="BG74" s="38">
        <v>193.96857903207589</v>
      </c>
      <c r="BH74" s="50">
        <v>0.27164236902739969</v>
      </c>
      <c r="BI74" s="38">
        <v>64.576537062467665</v>
      </c>
      <c r="BJ74" s="38">
        <v>149.22655511552082</v>
      </c>
      <c r="BK74" s="38">
        <v>0</v>
      </c>
      <c r="BL74" s="38">
        <v>115.38677860053239</v>
      </c>
      <c r="BM74" s="38">
        <v>329.18987077852091</v>
      </c>
      <c r="BN74" s="38">
        <v>361.07505321334241</v>
      </c>
      <c r="BO74" s="38">
        <v>0</v>
      </c>
      <c r="BP74" s="38">
        <v>187.26723192940597</v>
      </c>
      <c r="BQ74" s="38">
        <v>0</v>
      </c>
      <c r="BR74" s="38">
        <v>0</v>
      </c>
      <c r="BS74" s="38">
        <v>0</v>
      </c>
      <c r="BT74" s="38">
        <v>0</v>
      </c>
      <c r="BU74" s="38">
        <v>0</v>
      </c>
      <c r="BV74" s="38">
        <v>77.007143475914731</v>
      </c>
      <c r="BW74" s="38">
        <v>0</v>
      </c>
      <c r="BX74" s="38">
        <v>3108.0407886188154</v>
      </c>
      <c r="BY74" s="38"/>
      <c r="BZ74" s="38">
        <v>0</v>
      </c>
      <c r="CA74" s="38">
        <v>0</v>
      </c>
      <c r="CB74" s="38">
        <v>625.34942861866307</v>
      </c>
      <c r="CC74" s="38">
        <v>3108.0407886188154</v>
      </c>
      <c r="CD74" s="50">
        <v>0.20120373931661384</v>
      </c>
      <c r="CE74" s="38">
        <v>301.19910315142931</v>
      </c>
      <c r="CF74" s="38">
        <v>6.599928699293045</v>
      </c>
      <c r="CG74" s="38">
        <v>0</v>
      </c>
      <c r="CH74" s="38">
        <v>6.599928699293045</v>
      </c>
      <c r="CI74" s="38">
        <v>0.32999242464472733</v>
      </c>
      <c r="CJ74" s="38">
        <v>0</v>
      </c>
      <c r="CK74" s="38">
        <v>0.32999242464472733</v>
      </c>
      <c r="CL74" s="38"/>
      <c r="CM74" s="38">
        <v>0</v>
      </c>
      <c r="CN74" s="38"/>
      <c r="CO74" s="38">
        <v>0</v>
      </c>
      <c r="CP74" s="38">
        <v>0</v>
      </c>
      <c r="CQ74" s="38">
        <v>0</v>
      </c>
      <c r="CR74" s="38">
        <v>0</v>
      </c>
      <c r="CS74" s="38">
        <v>0</v>
      </c>
      <c r="CT74" s="38">
        <v>0</v>
      </c>
      <c r="CU74" s="38">
        <v>0</v>
      </c>
      <c r="CV74" s="38">
        <v>9999</v>
      </c>
      <c r="CW74" s="49">
        <v>9999</v>
      </c>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row>
    <row r="75" spans="1:131">
      <c r="A75" s="27" t="s">
        <v>5813</v>
      </c>
      <c r="B75" s="27" t="s">
        <v>55</v>
      </c>
      <c r="C75" s="38">
        <v>25</v>
      </c>
      <c r="D75" s="38">
        <v>164.0275009491188</v>
      </c>
      <c r="E75" s="38">
        <v>0</v>
      </c>
      <c r="F75" s="38">
        <v>3967.9999999999995</v>
      </c>
      <c r="G75" s="38">
        <v>0</v>
      </c>
      <c r="H75" s="38">
        <v>0</v>
      </c>
      <c r="I75" s="38" t="s">
        <v>6424</v>
      </c>
      <c r="J75" s="38"/>
      <c r="K75" s="38"/>
      <c r="L75" s="38">
        <v>176.68277392664916</v>
      </c>
      <c r="M75" s="38">
        <v>6.1723281087232761E-2</v>
      </c>
      <c r="N75" s="38">
        <v>6.1277790123754131E-2</v>
      </c>
      <c r="O75" s="38">
        <v>0</v>
      </c>
      <c r="P75" s="38">
        <v>0</v>
      </c>
      <c r="Q75" s="38">
        <v>0</v>
      </c>
      <c r="R75" s="38">
        <v>688.3620845190859</v>
      </c>
      <c r="S75" s="38">
        <v>1590.7000780415779</v>
      </c>
      <c r="T75" s="38">
        <v>0</v>
      </c>
      <c r="U75" s="38">
        <v>1229.9805325047193</v>
      </c>
      <c r="V75" s="38" t="s">
        <v>6025</v>
      </c>
      <c r="W75" s="38" t="s">
        <v>6025</v>
      </c>
      <c r="X75" s="38" t="s">
        <v>6025</v>
      </c>
      <c r="Y75" s="38" t="s">
        <v>6025</v>
      </c>
      <c r="Z75" s="38">
        <v>0</v>
      </c>
      <c r="AA75" s="38">
        <v>0</v>
      </c>
      <c r="AB75" s="38">
        <v>0</v>
      </c>
      <c r="AC75" s="38">
        <v>0</v>
      </c>
      <c r="AD75" s="38">
        <v>0</v>
      </c>
      <c r="AE75" s="38">
        <v>0</v>
      </c>
      <c r="AF75" s="38">
        <v>0</v>
      </c>
      <c r="AG75" s="38">
        <v>0</v>
      </c>
      <c r="AH75" s="38">
        <v>688.3620845190859</v>
      </c>
      <c r="AI75" s="38">
        <v>1590.7000780415779</v>
      </c>
      <c r="AJ75" s="38">
        <v>0</v>
      </c>
      <c r="AK75" s="38">
        <v>1229.9805325047193</v>
      </c>
      <c r="AL75" s="38">
        <v>3509.0426950653828</v>
      </c>
      <c r="AM75" s="38">
        <v>91.829312389250092</v>
      </c>
      <c r="AN75" s="38">
        <v>21.809827859499293</v>
      </c>
      <c r="AO75" s="38">
        <v>0</v>
      </c>
      <c r="AP75" s="38">
        <v>0</v>
      </c>
      <c r="AQ75" s="38">
        <v>113.63914024874938</v>
      </c>
      <c r="AR75" s="38">
        <v>688.3620845190859</v>
      </c>
      <c r="AS75" s="50">
        <v>0.16508628642459544</v>
      </c>
      <c r="AT75" s="38">
        <v>91.829312389250092</v>
      </c>
      <c r="AU75" s="38">
        <v>25.816340129887951</v>
      </c>
      <c r="AV75" s="38">
        <v>0</v>
      </c>
      <c r="AW75" s="38">
        <v>0</v>
      </c>
      <c r="AX75" s="38">
        <v>117.64565251913804</v>
      </c>
      <c r="AY75" s="38">
        <v>1590.7000780415779</v>
      </c>
      <c r="AZ75" s="50">
        <v>7.3958412489662936E-2</v>
      </c>
      <c r="BA75" s="38">
        <v>91.829312389250092</v>
      </c>
      <c r="BB75" s="38">
        <v>47.626167989387241</v>
      </c>
      <c r="BC75" s="38">
        <v>0</v>
      </c>
      <c r="BD75" s="38">
        <v>0</v>
      </c>
      <c r="BE75" s="38">
        <v>139.45548037863733</v>
      </c>
      <c r="BF75" s="38">
        <v>2279.0621625606636</v>
      </c>
      <c r="BG75" s="38">
        <v>929.3094203684218</v>
      </c>
      <c r="BH75" s="50">
        <v>6.1189853734375854E-2</v>
      </c>
      <c r="BI75" s="38">
        <v>286.67699693126781</v>
      </c>
      <c r="BJ75" s="38">
        <v>662.46693658306663</v>
      </c>
      <c r="BK75" s="38">
        <v>0</v>
      </c>
      <c r="BL75" s="38">
        <v>512.24077164087032</v>
      </c>
      <c r="BM75" s="38">
        <v>1461.3847051552045</v>
      </c>
      <c r="BN75" s="38">
        <v>91.829312389250092</v>
      </c>
      <c r="BO75" s="38">
        <v>0</v>
      </c>
      <c r="BP75" s="38">
        <v>47.626167989387241</v>
      </c>
      <c r="BQ75" s="38">
        <v>0</v>
      </c>
      <c r="BR75" s="38">
        <v>0</v>
      </c>
      <c r="BS75" s="38">
        <v>0</v>
      </c>
      <c r="BT75" s="38">
        <v>0</v>
      </c>
      <c r="BU75" s="38">
        <v>0</v>
      </c>
      <c r="BV75" s="38">
        <v>20.128688579498863</v>
      </c>
      <c r="BW75" s="38">
        <v>0</v>
      </c>
      <c r="BX75" s="38">
        <v>3509.0426950653828</v>
      </c>
      <c r="BY75" s="38"/>
      <c r="BZ75" s="38">
        <v>0</v>
      </c>
      <c r="CA75" s="38">
        <v>0</v>
      </c>
      <c r="CB75" s="38">
        <v>159.58416895813619</v>
      </c>
      <c r="CC75" s="38">
        <v>3509.0426950653828</v>
      </c>
      <c r="CD75" s="50">
        <v>4.5477978704149886E-2</v>
      </c>
      <c r="CE75" s="38">
        <v>1433.1673479742853</v>
      </c>
      <c r="CF75" s="38">
        <v>1.6785067505510027</v>
      </c>
      <c r="CG75" s="38">
        <v>0</v>
      </c>
      <c r="CH75" s="38">
        <v>1.6785067505510027</v>
      </c>
      <c r="CI75" s="38">
        <v>8.3924317615158353E-2</v>
      </c>
      <c r="CJ75" s="38">
        <v>0</v>
      </c>
      <c r="CK75" s="38">
        <v>8.3924317615158353E-2</v>
      </c>
      <c r="CL75" s="38"/>
      <c r="CM75" s="38">
        <v>0</v>
      </c>
      <c r="CN75" s="38"/>
      <c r="CO75" s="38">
        <v>0</v>
      </c>
      <c r="CP75" s="38">
        <v>0</v>
      </c>
      <c r="CQ75" s="38">
        <v>0</v>
      </c>
      <c r="CR75" s="38">
        <v>0</v>
      </c>
      <c r="CS75" s="38">
        <v>0</v>
      </c>
      <c r="CT75" s="38">
        <v>0</v>
      </c>
      <c r="CU75" s="38">
        <v>0</v>
      </c>
      <c r="CV75" s="38">
        <v>9999</v>
      </c>
      <c r="CW75" s="49">
        <v>9999</v>
      </c>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row>
    <row r="76" spans="1:131">
      <c r="A76" s="27"/>
      <c r="B76" s="27"/>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row>
    <row r="77" spans="1:131">
      <c r="A77" s="27"/>
      <c r="B77" s="27"/>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row>
    <row r="78" spans="1:131" ht="13.5" thickBot="1">
      <c r="A78" s="36" t="s">
        <v>6026</v>
      </c>
      <c r="B78" s="37"/>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row>
    <row r="79" spans="1:131" ht="26.25" thickBot="1">
      <c r="A79" s="279" t="s">
        <v>5930</v>
      </c>
      <c r="B79" s="280"/>
      <c r="C79" s="281" t="s">
        <v>5931</v>
      </c>
      <c r="D79" s="282"/>
      <c r="E79" s="282"/>
      <c r="F79" s="282"/>
      <c r="G79" s="282"/>
      <c r="H79" s="282"/>
      <c r="I79" s="282"/>
      <c r="J79" s="282"/>
      <c r="K79" s="283"/>
      <c r="L79" s="281" t="s">
        <v>5932</v>
      </c>
      <c r="M79" s="282"/>
      <c r="N79" s="282"/>
      <c r="O79" s="282"/>
      <c r="P79" s="282"/>
      <c r="Q79" s="283"/>
      <c r="R79" s="281" t="s">
        <v>5933</v>
      </c>
      <c r="S79" s="282"/>
      <c r="T79" s="282"/>
      <c r="U79" s="283"/>
      <c r="V79" s="281" t="s">
        <v>5934</v>
      </c>
      <c r="W79" s="282"/>
      <c r="X79" s="282"/>
      <c r="Y79" s="283"/>
      <c r="Z79" s="281" t="s">
        <v>5935</v>
      </c>
      <c r="AA79" s="282"/>
      <c r="AB79" s="282"/>
      <c r="AC79" s="283"/>
      <c r="AD79" s="281" t="s">
        <v>5936</v>
      </c>
      <c r="AE79" s="282"/>
      <c r="AF79" s="282"/>
      <c r="AG79" s="283"/>
      <c r="AH79" s="281" t="s">
        <v>5937</v>
      </c>
      <c r="AI79" s="282"/>
      <c r="AJ79" s="282"/>
      <c r="AK79" s="282"/>
      <c r="AL79" s="283"/>
      <c r="AM79" s="281" t="s">
        <v>5938</v>
      </c>
      <c r="AN79" s="282"/>
      <c r="AO79" s="282"/>
      <c r="AP79" s="282"/>
      <c r="AQ79" s="282"/>
      <c r="AR79" s="282"/>
      <c r="AS79" s="283"/>
      <c r="AT79" s="281" t="s">
        <v>5939</v>
      </c>
      <c r="AU79" s="282"/>
      <c r="AV79" s="282"/>
      <c r="AW79" s="282"/>
      <c r="AX79" s="282"/>
      <c r="AY79" s="282"/>
      <c r="AZ79" s="283"/>
      <c r="BA79" s="281" t="s">
        <v>5940</v>
      </c>
      <c r="BB79" s="282"/>
      <c r="BC79" s="282"/>
      <c r="BD79" s="282"/>
      <c r="BE79" s="282"/>
      <c r="BF79" s="283"/>
      <c r="BG79" s="281" t="s">
        <v>5941</v>
      </c>
      <c r="BH79" s="283"/>
      <c r="BI79" s="281" t="s">
        <v>5942</v>
      </c>
      <c r="BJ79" s="282"/>
      <c r="BK79" s="282"/>
      <c r="BL79" s="282"/>
      <c r="BM79" s="283"/>
      <c r="BN79" s="281" t="s">
        <v>5943</v>
      </c>
      <c r="BO79" s="282"/>
      <c r="BP79" s="282"/>
      <c r="BQ79" s="282"/>
      <c r="BR79" s="282"/>
      <c r="BS79" s="282"/>
      <c r="BT79" s="282"/>
      <c r="BU79" s="282"/>
      <c r="BV79" s="282"/>
      <c r="BW79" s="282"/>
      <c r="BX79" s="282"/>
      <c r="BY79" s="282"/>
      <c r="BZ79" s="282"/>
      <c r="CA79" s="282"/>
      <c r="CB79" s="282"/>
      <c r="CC79" s="283"/>
      <c r="CD79" s="281" t="s">
        <v>5944</v>
      </c>
      <c r="CE79" s="283"/>
      <c r="CF79" s="281" t="s">
        <v>5945</v>
      </c>
      <c r="CG79" s="282"/>
      <c r="CH79" s="282"/>
      <c r="CI79" s="282"/>
      <c r="CJ79" s="282"/>
      <c r="CK79" s="283"/>
      <c r="CL79" s="284"/>
      <c r="CM79" s="281" t="s">
        <v>4</v>
      </c>
      <c r="CN79" s="282"/>
      <c r="CO79" s="282"/>
      <c r="CP79" s="283"/>
      <c r="CQ79" s="281" t="s">
        <v>5946</v>
      </c>
      <c r="CR79" s="282"/>
      <c r="CS79" s="282"/>
      <c r="CT79" s="282"/>
      <c r="CU79" s="283"/>
      <c r="CV79" s="281" t="s">
        <v>5947</v>
      </c>
      <c r="CW79" s="283"/>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row>
    <row r="80" spans="1:131" ht="204">
      <c r="A80" s="45" t="s">
        <v>30</v>
      </c>
      <c r="B80" s="46" t="s">
        <v>31</v>
      </c>
      <c r="C80" s="47" t="s">
        <v>191</v>
      </c>
      <c r="D80" s="47" t="s">
        <v>5948</v>
      </c>
      <c r="E80" s="47" t="s">
        <v>5949</v>
      </c>
      <c r="F80" s="47" t="s">
        <v>5950</v>
      </c>
      <c r="G80" s="47" t="s">
        <v>5951</v>
      </c>
      <c r="H80" s="47" t="s">
        <v>5952</v>
      </c>
      <c r="I80" s="47" t="s">
        <v>5953</v>
      </c>
      <c r="J80" s="47" t="s">
        <v>5954</v>
      </c>
      <c r="K80" s="47" t="s">
        <v>5955</v>
      </c>
      <c r="L80" s="47" t="s">
        <v>5956</v>
      </c>
      <c r="M80" s="47" t="s">
        <v>5957</v>
      </c>
      <c r="N80" s="47" t="s">
        <v>5958</v>
      </c>
      <c r="O80" s="47" t="s">
        <v>5959</v>
      </c>
      <c r="P80" s="47" t="s">
        <v>5960</v>
      </c>
      <c r="Q80" s="47" t="s">
        <v>5961</v>
      </c>
      <c r="R80" s="47" t="s">
        <v>5962</v>
      </c>
      <c r="S80" s="47" t="s">
        <v>5963</v>
      </c>
      <c r="T80" s="47" t="s">
        <v>5964</v>
      </c>
      <c r="U80" s="47" t="s">
        <v>5870</v>
      </c>
      <c r="V80" s="47" t="s">
        <v>5962</v>
      </c>
      <c r="W80" s="47" t="s">
        <v>5963</v>
      </c>
      <c r="X80" s="47" t="s">
        <v>5964</v>
      </c>
      <c r="Y80" s="47" t="s">
        <v>5870</v>
      </c>
      <c r="Z80" s="47" t="s">
        <v>5962</v>
      </c>
      <c r="AA80" s="47" t="s">
        <v>5963</v>
      </c>
      <c r="AB80" s="47" t="s">
        <v>5964</v>
      </c>
      <c r="AC80" s="47" t="s">
        <v>5870</v>
      </c>
      <c r="AD80" s="47" t="s">
        <v>5962</v>
      </c>
      <c r="AE80" s="47" t="s">
        <v>5963</v>
      </c>
      <c r="AF80" s="47" t="s">
        <v>5964</v>
      </c>
      <c r="AG80" s="47" t="s">
        <v>5870</v>
      </c>
      <c r="AH80" s="47" t="s">
        <v>5962</v>
      </c>
      <c r="AI80" s="47" t="s">
        <v>5963</v>
      </c>
      <c r="AJ80" s="47" t="s">
        <v>5964</v>
      </c>
      <c r="AK80" s="47" t="s">
        <v>5870</v>
      </c>
      <c r="AL80" s="47" t="s">
        <v>619</v>
      </c>
      <c r="AM80" s="47" t="s">
        <v>5965</v>
      </c>
      <c r="AN80" s="47" t="s">
        <v>5966</v>
      </c>
      <c r="AO80" s="47" t="s">
        <v>5967</v>
      </c>
      <c r="AP80" s="47" t="s">
        <v>5968</v>
      </c>
      <c r="AQ80" s="47" t="s">
        <v>5969</v>
      </c>
      <c r="AR80" s="47" t="s">
        <v>5970</v>
      </c>
      <c r="AS80" s="47" t="s">
        <v>5971</v>
      </c>
      <c r="AT80" s="47" t="s">
        <v>5972</v>
      </c>
      <c r="AU80" s="47" t="s">
        <v>5973</v>
      </c>
      <c r="AV80" s="47" t="s">
        <v>5974</v>
      </c>
      <c r="AW80" s="47" t="s">
        <v>5975</v>
      </c>
      <c r="AX80" s="47" t="s">
        <v>5976</v>
      </c>
      <c r="AY80" s="47" t="s">
        <v>5977</v>
      </c>
      <c r="AZ80" s="47" t="s">
        <v>5978</v>
      </c>
      <c r="BA80" s="47" t="s">
        <v>5979</v>
      </c>
      <c r="BB80" s="47" t="s">
        <v>5980</v>
      </c>
      <c r="BC80" s="47" t="s">
        <v>5981</v>
      </c>
      <c r="BD80" s="47" t="s">
        <v>5982</v>
      </c>
      <c r="BE80" s="47" t="s">
        <v>5983</v>
      </c>
      <c r="BF80" s="47" t="s">
        <v>5984</v>
      </c>
      <c r="BG80" s="47" t="s">
        <v>5985</v>
      </c>
      <c r="BH80" s="47" t="s">
        <v>5986</v>
      </c>
      <c r="BI80" s="47" t="s">
        <v>5987</v>
      </c>
      <c r="BJ80" s="47" t="s">
        <v>5988</v>
      </c>
      <c r="BK80" s="47" t="s">
        <v>5989</v>
      </c>
      <c r="BL80" s="47" t="s">
        <v>5990</v>
      </c>
      <c r="BM80" s="47" t="s">
        <v>5991</v>
      </c>
      <c r="BN80" s="47" t="s">
        <v>5992</v>
      </c>
      <c r="BO80" s="47" t="s">
        <v>5993</v>
      </c>
      <c r="BP80" s="47" t="s">
        <v>5994</v>
      </c>
      <c r="BQ80" s="47" t="s">
        <v>5995</v>
      </c>
      <c r="BR80" s="47" t="s">
        <v>5996</v>
      </c>
      <c r="BS80" s="47" t="s">
        <v>5997</v>
      </c>
      <c r="BT80" s="47" t="s">
        <v>5998</v>
      </c>
      <c r="BU80" s="47" t="s">
        <v>5999</v>
      </c>
      <c r="BV80" s="47" t="s">
        <v>6000</v>
      </c>
      <c r="BW80" s="47" t="s">
        <v>6001</v>
      </c>
      <c r="BX80" s="47" t="s">
        <v>6002</v>
      </c>
      <c r="BY80" s="47" t="s">
        <v>6003</v>
      </c>
      <c r="BZ80" s="47" t="s">
        <v>6004</v>
      </c>
      <c r="CA80" s="47" t="s">
        <v>6005</v>
      </c>
      <c r="CB80" s="47" t="s">
        <v>6006</v>
      </c>
      <c r="CC80" s="47" t="s">
        <v>6007</v>
      </c>
      <c r="CD80" s="47" t="s">
        <v>41</v>
      </c>
      <c r="CE80" s="47" t="s">
        <v>40</v>
      </c>
      <c r="CF80" s="47" t="s">
        <v>6008</v>
      </c>
      <c r="CG80" s="47" t="s">
        <v>6009</v>
      </c>
      <c r="CH80" s="47" t="s">
        <v>6010</v>
      </c>
      <c r="CI80" s="47" t="s">
        <v>6011</v>
      </c>
      <c r="CJ80" s="47" t="s">
        <v>6012</v>
      </c>
      <c r="CK80" s="47" t="s">
        <v>6013</v>
      </c>
      <c r="CL80" s="47"/>
      <c r="CM80" s="47" t="s">
        <v>6014</v>
      </c>
      <c r="CN80" s="47" t="s">
        <v>6015</v>
      </c>
      <c r="CO80" s="47" t="s">
        <v>6016</v>
      </c>
      <c r="CP80" s="47" t="s">
        <v>6017</v>
      </c>
      <c r="CQ80" s="47" t="s">
        <v>6018</v>
      </c>
      <c r="CR80" s="47" t="s">
        <v>6019</v>
      </c>
      <c r="CS80" s="47" t="s">
        <v>6020</v>
      </c>
      <c r="CT80" s="47" t="s">
        <v>6021</v>
      </c>
      <c r="CU80" s="47" t="s">
        <v>6022</v>
      </c>
      <c r="CV80" s="47" t="s">
        <v>6023</v>
      </c>
      <c r="CW80" s="47" t="s">
        <v>6024</v>
      </c>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row>
    <row r="81" spans="1:131">
      <c r="A81" s="27" t="s">
        <v>167</v>
      </c>
      <c r="B81" s="27"/>
      <c r="C81" s="38">
        <v>25.000000000000004</v>
      </c>
      <c r="D81" s="38">
        <v>1660.6183472547423</v>
      </c>
      <c r="E81" s="38">
        <v>0</v>
      </c>
      <c r="F81" s="38">
        <v>3296.9499559131623</v>
      </c>
      <c r="G81" s="38">
        <v>0</v>
      </c>
      <c r="H81" s="38">
        <v>0</v>
      </c>
      <c r="I81" s="38"/>
      <c r="J81" s="38"/>
      <c r="K81" s="38"/>
      <c r="L81" s="38">
        <v>1790.7788990860683</v>
      </c>
      <c r="M81" s="38">
        <v>0.93643206542905433</v>
      </c>
      <c r="N81" s="38">
        <v>0.9296733187177334</v>
      </c>
      <c r="O81" s="38">
        <v>0</v>
      </c>
      <c r="P81" s="38">
        <v>0</v>
      </c>
      <c r="Q81" s="38">
        <v>0</v>
      </c>
      <c r="R81" s="38">
        <v>571.94943150390452</v>
      </c>
      <c r="S81" s="38">
        <v>1321.6881431880656</v>
      </c>
      <c r="T81" s="38">
        <v>0</v>
      </c>
      <c r="U81" s="38">
        <v>1021.9718403264827</v>
      </c>
      <c r="V81" s="38">
        <v>197.81699735478975</v>
      </c>
      <c r="W81" s="38">
        <v>461.57299382784271</v>
      </c>
      <c r="X81" s="38">
        <v>0</v>
      </c>
      <c r="Y81" s="38">
        <v>0</v>
      </c>
      <c r="Z81" s="38">
        <v>0</v>
      </c>
      <c r="AA81" s="38">
        <v>0</v>
      </c>
      <c r="AB81" s="38">
        <v>0</v>
      </c>
      <c r="AC81" s="38">
        <v>0</v>
      </c>
      <c r="AD81" s="38">
        <v>0</v>
      </c>
      <c r="AE81" s="38">
        <v>0</v>
      </c>
      <c r="AF81" s="38">
        <v>0</v>
      </c>
      <c r="AG81" s="38">
        <v>0</v>
      </c>
      <c r="AH81" s="38">
        <v>769.76642885869433</v>
      </c>
      <c r="AI81" s="38">
        <v>1783.2611370159084</v>
      </c>
      <c r="AJ81" s="38">
        <v>0</v>
      </c>
      <c r="AK81" s="38">
        <v>1021.9718403264827</v>
      </c>
      <c r="AL81" s="38">
        <v>3574.9994062010855</v>
      </c>
      <c r="AM81" s="38">
        <v>943.25157623968209</v>
      </c>
      <c r="AN81" s="38">
        <v>330.88685159589738</v>
      </c>
      <c r="AO81" s="38">
        <v>0</v>
      </c>
      <c r="AP81" s="38">
        <v>0</v>
      </c>
      <c r="AQ81" s="38">
        <v>1274.1384278355795</v>
      </c>
      <c r="AR81" s="38">
        <v>769.76642885869433</v>
      </c>
      <c r="AS81" s="49">
        <v>1.655227326196467</v>
      </c>
      <c r="AT81" s="38">
        <v>943.25157623968209</v>
      </c>
      <c r="AU81" s="38">
        <v>391.67147766307767</v>
      </c>
      <c r="AV81" s="38">
        <v>0</v>
      </c>
      <c r="AW81" s="38">
        <v>0</v>
      </c>
      <c r="AX81" s="38">
        <v>1334.9230539027599</v>
      </c>
      <c r="AY81" s="38">
        <v>1783.2611370159084</v>
      </c>
      <c r="AZ81" s="50">
        <v>0.74858528916107425</v>
      </c>
      <c r="BA81" s="38">
        <v>943.25157623968209</v>
      </c>
      <c r="BB81" s="38">
        <v>722.55832925897505</v>
      </c>
      <c r="BC81" s="38">
        <v>0</v>
      </c>
      <c r="BD81" s="38">
        <v>0</v>
      </c>
      <c r="BE81" s="38">
        <v>1665.8099054986574</v>
      </c>
      <c r="BF81" s="38">
        <v>2553.0275658746027</v>
      </c>
      <c r="BG81" s="38">
        <v>75.212596273959946</v>
      </c>
      <c r="BH81" s="50">
        <v>0.65248410466261186</v>
      </c>
      <c r="BI81" s="38">
        <v>31.629120271937275</v>
      </c>
      <c r="BJ81" s="38">
        <v>73.272851171977592</v>
      </c>
      <c r="BK81" s="38">
        <v>0</v>
      </c>
      <c r="BL81" s="38">
        <v>41.992049848348366</v>
      </c>
      <c r="BM81" s="38">
        <v>146.89402129226323</v>
      </c>
      <c r="BN81" s="38">
        <v>943.25157623968209</v>
      </c>
      <c r="BO81" s="38">
        <v>0</v>
      </c>
      <c r="BP81" s="38">
        <v>722.55832925897505</v>
      </c>
      <c r="BQ81" s="38">
        <v>0</v>
      </c>
      <c r="BR81" s="38">
        <v>0</v>
      </c>
      <c r="BS81" s="38">
        <v>0</v>
      </c>
      <c r="BT81" s="38">
        <v>0</v>
      </c>
      <c r="BU81" s="38">
        <v>0</v>
      </c>
      <c r="BV81" s="38">
        <v>248.46354732591237</v>
      </c>
      <c r="BW81" s="38">
        <v>0</v>
      </c>
      <c r="BX81" s="38">
        <v>2915.6094150184531</v>
      </c>
      <c r="BY81" s="38">
        <v>659.38999118263246</v>
      </c>
      <c r="BZ81" s="38">
        <v>0</v>
      </c>
      <c r="CA81" s="38">
        <v>0</v>
      </c>
      <c r="CB81" s="38">
        <v>1914.2734528245696</v>
      </c>
      <c r="CC81" s="38">
        <v>3574.9994062010855</v>
      </c>
      <c r="CD81" s="50">
        <v>0.53546119462401276</v>
      </c>
      <c r="CE81" s="38">
        <v>106.99546691295355</v>
      </c>
      <c r="CF81" s="38">
        <v>17.012508065979748</v>
      </c>
      <c r="CG81" s="38">
        <v>0</v>
      </c>
      <c r="CH81" s="38">
        <v>17.012508065979748</v>
      </c>
      <c r="CI81" s="38">
        <v>0.85061997706588255</v>
      </c>
      <c r="CJ81" s="38">
        <v>0</v>
      </c>
      <c r="CK81" s="38">
        <v>0.85061997706588255</v>
      </c>
      <c r="CL81" s="38"/>
      <c r="CM81" s="38">
        <v>0</v>
      </c>
      <c r="CN81" s="38"/>
      <c r="CO81" s="38">
        <v>0</v>
      </c>
      <c r="CP81" s="38">
        <v>0</v>
      </c>
      <c r="CQ81" s="38">
        <v>0</v>
      </c>
      <c r="CR81" s="38">
        <v>0</v>
      </c>
      <c r="CS81" s="38">
        <v>0</v>
      </c>
      <c r="CT81" s="38">
        <v>0</v>
      </c>
      <c r="CU81" s="38">
        <v>0</v>
      </c>
      <c r="CV81" s="38">
        <v>9999</v>
      </c>
      <c r="CW81" s="49">
        <v>9999</v>
      </c>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row>
    <row r="82" spans="1:131">
      <c r="A82" s="27" t="s">
        <v>169</v>
      </c>
      <c r="B82" s="27"/>
      <c r="C82" s="38">
        <v>25</v>
      </c>
      <c r="D82" s="38">
        <v>1720.6730793576351</v>
      </c>
      <c r="E82" s="38">
        <v>0</v>
      </c>
      <c r="F82" s="38">
        <v>3514.5499559131631</v>
      </c>
      <c r="G82" s="38">
        <v>0</v>
      </c>
      <c r="H82" s="38">
        <v>0</v>
      </c>
      <c r="I82" s="38"/>
      <c r="J82" s="38"/>
      <c r="K82" s="38"/>
      <c r="L82" s="38">
        <v>1855.5407675899996</v>
      </c>
      <c r="M82" s="38">
        <v>0.9702972680596702</v>
      </c>
      <c r="N82" s="38">
        <v>0.96329409750239414</v>
      </c>
      <c r="O82" s="38">
        <v>0</v>
      </c>
      <c r="P82" s="38">
        <v>0</v>
      </c>
      <c r="Q82" s="38">
        <v>0</v>
      </c>
      <c r="R82" s="38">
        <v>609.69832000979</v>
      </c>
      <c r="S82" s="38">
        <v>1408.9200829516362</v>
      </c>
      <c r="T82" s="38">
        <v>0</v>
      </c>
      <c r="U82" s="38">
        <v>1089.4223856573872</v>
      </c>
      <c r="V82" s="38">
        <v>210.87299735478979</v>
      </c>
      <c r="W82" s="38">
        <v>492.03699382784282</v>
      </c>
      <c r="X82" s="38">
        <v>0</v>
      </c>
      <c r="Y82" s="38">
        <v>0</v>
      </c>
      <c r="Z82" s="38">
        <v>0</v>
      </c>
      <c r="AA82" s="38">
        <v>0</v>
      </c>
      <c r="AB82" s="38">
        <v>0</v>
      </c>
      <c r="AC82" s="38">
        <v>0</v>
      </c>
      <c r="AD82" s="38">
        <v>0</v>
      </c>
      <c r="AE82" s="38">
        <v>0</v>
      </c>
      <c r="AF82" s="38">
        <v>0</v>
      </c>
      <c r="AG82" s="38">
        <v>0</v>
      </c>
      <c r="AH82" s="38">
        <v>820.57131736457973</v>
      </c>
      <c r="AI82" s="38">
        <v>1900.9570767794789</v>
      </c>
      <c r="AJ82" s="38">
        <v>0</v>
      </c>
      <c r="AK82" s="38">
        <v>1089.4223856573872</v>
      </c>
      <c r="AL82" s="38">
        <v>3810.9507798014456</v>
      </c>
      <c r="AM82" s="38">
        <v>977.36340019390445</v>
      </c>
      <c r="AN82" s="38">
        <v>342.85306963859915</v>
      </c>
      <c r="AO82" s="38">
        <v>0</v>
      </c>
      <c r="AP82" s="38">
        <v>0</v>
      </c>
      <c r="AQ82" s="38">
        <v>1320.2164698325037</v>
      </c>
      <c r="AR82" s="38">
        <v>820.57131736457973</v>
      </c>
      <c r="AS82" s="49">
        <v>1.608899119302182</v>
      </c>
      <c r="AT82" s="38">
        <v>977.36340019390445</v>
      </c>
      <c r="AU82" s="38">
        <v>405.83591568839825</v>
      </c>
      <c r="AV82" s="38">
        <v>0</v>
      </c>
      <c r="AW82" s="38">
        <v>0</v>
      </c>
      <c r="AX82" s="38">
        <v>1383.1993158823027</v>
      </c>
      <c r="AY82" s="38">
        <v>1900.9570767794789</v>
      </c>
      <c r="AZ82" s="50">
        <v>0.72763311322402946</v>
      </c>
      <c r="BA82" s="38">
        <v>977.36340019390445</v>
      </c>
      <c r="BB82" s="38">
        <v>748.68898532699745</v>
      </c>
      <c r="BC82" s="38">
        <v>0</v>
      </c>
      <c r="BD82" s="38">
        <v>0</v>
      </c>
      <c r="BE82" s="38">
        <v>1726.0523855209019</v>
      </c>
      <c r="BF82" s="38">
        <v>2721.5283941440589</v>
      </c>
      <c r="BG82" s="38">
        <v>78.233245721999893</v>
      </c>
      <c r="BH82" s="50">
        <v>0.63422170763857066</v>
      </c>
      <c r="BI82" s="38">
        <v>32.53987994000029</v>
      </c>
      <c r="BJ82" s="38">
        <v>75.382740951954503</v>
      </c>
      <c r="BK82" s="38">
        <v>0</v>
      </c>
      <c r="BL82" s="38">
        <v>43.201209795016247</v>
      </c>
      <c r="BM82" s="38">
        <v>151.12383068697102</v>
      </c>
      <c r="BN82" s="38">
        <v>977.36340019390445</v>
      </c>
      <c r="BO82" s="38">
        <v>0</v>
      </c>
      <c r="BP82" s="38">
        <v>748.68898532699745</v>
      </c>
      <c r="BQ82" s="38">
        <v>0</v>
      </c>
      <c r="BR82" s="38">
        <v>0</v>
      </c>
      <c r="BS82" s="38">
        <v>0</v>
      </c>
      <c r="BT82" s="38">
        <v>0</v>
      </c>
      <c r="BU82" s="38">
        <v>0</v>
      </c>
      <c r="BV82" s="38">
        <v>258.38746897139305</v>
      </c>
      <c r="BW82" s="38">
        <v>0</v>
      </c>
      <c r="BX82" s="38">
        <v>3108.0407886188132</v>
      </c>
      <c r="BY82" s="38">
        <v>702.90999118263267</v>
      </c>
      <c r="BZ82" s="38">
        <v>0</v>
      </c>
      <c r="CA82" s="38">
        <v>0</v>
      </c>
      <c r="CB82" s="38">
        <v>1984.4398544922949</v>
      </c>
      <c r="CC82" s="38">
        <v>3810.9507798014456</v>
      </c>
      <c r="CD82" s="50">
        <v>0.52072041051017881</v>
      </c>
      <c r="CE82" s="38">
        <v>111.18806127875146</v>
      </c>
      <c r="CF82" s="38">
        <v>17.627749741461496</v>
      </c>
      <c r="CG82" s="38">
        <v>0</v>
      </c>
      <c r="CH82" s="38">
        <v>17.627749741461496</v>
      </c>
      <c r="CI82" s="38">
        <v>0.88138186460524992</v>
      </c>
      <c r="CJ82" s="38">
        <v>0</v>
      </c>
      <c r="CK82" s="38">
        <v>0.88138186460524992</v>
      </c>
      <c r="CL82" s="38"/>
      <c r="CM82" s="38">
        <v>0</v>
      </c>
      <c r="CN82" s="38"/>
      <c r="CO82" s="38">
        <v>0</v>
      </c>
      <c r="CP82" s="38">
        <v>0</v>
      </c>
      <c r="CQ82" s="38">
        <v>0</v>
      </c>
      <c r="CR82" s="38">
        <v>0</v>
      </c>
      <c r="CS82" s="38">
        <v>0</v>
      </c>
      <c r="CT82" s="38">
        <v>0</v>
      </c>
      <c r="CU82" s="38">
        <v>0</v>
      </c>
      <c r="CV82" s="38">
        <v>9999</v>
      </c>
      <c r="CW82" s="49">
        <v>9999</v>
      </c>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row>
    <row r="83" spans="1:131">
      <c r="A83" s="27" t="s">
        <v>6420</v>
      </c>
      <c r="B83" s="27"/>
      <c r="C83" s="38">
        <v>25</v>
      </c>
      <c r="D83" s="38">
        <v>925.26148639853386</v>
      </c>
      <c r="E83" s="38">
        <v>0</v>
      </c>
      <c r="F83" s="38">
        <v>2687.9999999999973</v>
      </c>
      <c r="G83" s="38">
        <v>0</v>
      </c>
      <c r="H83" s="38">
        <v>0</v>
      </c>
      <c r="I83" s="38"/>
      <c r="J83" s="38"/>
      <c r="K83" s="38"/>
      <c r="L83" s="38">
        <v>997.78419810830133</v>
      </c>
      <c r="M83" s="38">
        <v>0.52176017819055298</v>
      </c>
      <c r="N83" s="38">
        <v>0.51799434720437476</v>
      </c>
      <c r="O83" s="38">
        <v>0</v>
      </c>
      <c r="P83" s="38">
        <v>0</v>
      </c>
      <c r="Q83" s="38">
        <v>0</v>
      </c>
      <c r="R83" s="38">
        <v>466.30979919034803</v>
      </c>
      <c r="S83" s="38">
        <v>1077.5710206088099</v>
      </c>
      <c r="T83" s="38">
        <v>0</v>
      </c>
      <c r="U83" s="38">
        <v>833.21261879351891</v>
      </c>
      <c r="V83" s="38">
        <v>161.27999999999983</v>
      </c>
      <c r="W83" s="38">
        <v>376.3199999999996</v>
      </c>
      <c r="X83" s="38">
        <v>0</v>
      </c>
      <c r="Y83" s="38">
        <v>0</v>
      </c>
      <c r="Z83" s="38">
        <v>0</v>
      </c>
      <c r="AA83" s="38">
        <v>0</v>
      </c>
      <c r="AB83" s="38">
        <v>0</v>
      </c>
      <c r="AC83" s="38">
        <v>0</v>
      </c>
      <c r="AD83" s="38">
        <v>0</v>
      </c>
      <c r="AE83" s="38">
        <v>0</v>
      </c>
      <c r="AF83" s="38">
        <v>0</v>
      </c>
      <c r="AG83" s="38">
        <v>0</v>
      </c>
      <c r="AH83" s="38">
        <v>627.58979919034789</v>
      </c>
      <c r="AI83" s="38">
        <v>1453.8910206088094</v>
      </c>
      <c r="AJ83" s="38">
        <v>0</v>
      </c>
      <c r="AK83" s="38">
        <v>833.21261879351891</v>
      </c>
      <c r="AL83" s="38">
        <v>2914.6934385926761</v>
      </c>
      <c r="AM83" s="38">
        <v>525.55986565009698</v>
      </c>
      <c r="AN83" s="38">
        <v>184.36316848087074</v>
      </c>
      <c r="AO83" s="38">
        <v>0</v>
      </c>
      <c r="AP83" s="38">
        <v>0</v>
      </c>
      <c r="AQ83" s="38">
        <v>709.92303413096772</v>
      </c>
      <c r="AR83" s="38">
        <v>627.58979919034789</v>
      </c>
      <c r="AS83" s="49">
        <v>1.1311895684838054</v>
      </c>
      <c r="AT83" s="38">
        <v>525.55986565009698</v>
      </c>
      <c r="AU83" s="38">
        <v>218.23107892403453</v>
      </c>
      <c r="AV83" s="38">
        <v>0</v>
      </c>
      <c r="AW83" s="38">
        <v>0</v>
      </c>
      <c r="AX83" s="38">
        <v>743.79094457413157</v>
      </c>
      <c r="AY83" s="38">
        <v>1453.8910206088094</v>
      </c>
      <c r="AZ83" s="50">
        <v>0.51158644907420425</v>
      </c>
      <c r="BA83" s="38">
        <v>525.55986565009698</v>
      </c>
      <c r="BB83" s="38">
        <v>402.59424740490527</v>
      </c>
      <c r="BC83" s="38">
        <v>0</v>
      </c>
      <c r="BD83" s="38">
        <v>0</v>
      </c>
      <c r="BE83" s="38">
        <v>928.15411305500231</v>
      </c>
      <c r="BF83" s="38">
        <v>2081.4808197991574</v>
      </c>
      <c r="BG83" s="38">
        <v>123.80975047932414</v>
      </c>
      <c r="BH83" s="50">
        <v>0.44591048076271012</v>
      </c>
      <c r="BI83" s="38">
        <v>46.281707006755099</v>
      </c>
      <c r="BJ83" s="38">
        <v>107.21741864252392</v>
      </c>
      <c r="BK83" s="38">
        <v>0</v>
      </c>
      <c r="BL83" s="38">
        <v>61.445393706338372</v>
      </c>
      <c r="BM83" s="38">
        <v>214.94451935561739</v>
      </c>
      <c r="BN83" s="38">
        <v>525.55986565009698</v>
      </c>
      <c r="BO83" s="38">
        <v>0</v>
      </c>
      <c r="BP83" s="38">
        <v>402.59424740490527</v>
      </c>
      <c r="BQ83" s="38">
        <v>0</v>
      </c>
      <c r="BR83" s="38">
        <v>0</v>
      </c>
      <c r="BS83" s="38">
        <v>0</v>
      </c>
      <c r="BT83" s="38">
        <v>0</v>
      </c>
      <c r="BU83" s="38">
        <v>0</v>
      </c>
      <c r="BV83" s="38">
        <v>137.11054982082021</v>
      </c>
      <c r="BW83" s="38">
        <v>0</v>
      </c>
      <c r="BX83" s="38">
        <v>2377.0934385926766</v>
      </c>
      <c r="BY83" s="38">
        <v>537.59999999999945</v>
      </c>
      <c r="BZ83" s="38">
        <v>0</v>
      </c>
      <c r="CA83" s="38">
        <v>0</v>
      </c>
      <c r="CB83" s="38">
        <v>1065.2646628758225</v>
      </c>
      <c r="CC83" s="38">
        <v>2914.6934385926761</v>
      </c>
      <c r="CD83" s="50">
        <v>0.36548085941764513</v>
      </c>
      <c r="CE83" s="38">
        <v>175.14390543938447</v>
      </c>
      <c r="CF83" s="38">
        <v>9.4790103496795748</v>
      </c>
      <c r="CG83" s="38">
        <v>0</v>
      </c>
      <c r="CH83" s="38">
        <v>9.4790103496795748</v>
      </c>
      <c r="CI83" s="38">
        <v>0.4739474941014431</v>
      </c>
      <c r="CJ83" s="38">
        <v>0</v>
      </c>
      <c r="CK83" s="38">
        <v>0.4739474941014431</v>
      </c>
      <c r="CL83" s="38"/>
      <c r="CM83" s="38">
        <v>0</v>
      </c>
      <c r="CN83" s="38"/>
      <c r="CO83" s="38">
        <v>0</v>
      </c>
      <c r="CP83" s="38">
        <v>0</v>
      </c>
      <c r="CQ83" s="38">
        <v>0</v>
      </c>
      <c r="CR83" s="38">
        <v>0</v>
      </c>
      <c r="CS83" s="38">
        <v>0</v>
      </c>
      <c r="CT83" s="38">
        <v>0</v>
      </c>
      <c r="CU83" s="38">
        <v>0</v>
      </c>
      <c r="CV83" s="38">
        <v>9999</v>
      </c>
      <c r="CW83" s="49">
        <v>9999</v>
      </c>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row>
    <row r="84" spans="1:131">
      <c r="A84" s="27" t="s">
        <v>174</v>
      </c>
      <c r="B84" s="27"/>
      <c r="C84" s="38">
        <v>25</v>
      </c>
      <c r="D84" s="38">
        <v>1507.4369564149624</v>
      </c>
      <c r="E84" s="38">
        <v>0</v>
      </c>
      <c r="F84" s="38">
        <v>3514.5499559131654</v>
      </c>
      <c r="G84" s="38">
        <v>0</v>
      </c>
      <c r="H84" s="38">
        <v>0</v>
      </c>
      <c r="I84" s="38"/>
      <c r="J84" s="38"/>
      <c r="K84" s="38"/>
      <c r="L84" s="38">
        <v>1623.7407839406073</v>
      </c>
      <c r="M84" s="38">
        <v>0.56724606815137368</v>
      </c>
      <c r="N84" s="38">
        <v>0.5631519404093136</v>
      </c>
      <c r="O84" s="38">
        <v>0</v>
      </c>
      <c r="P84" s="38">
        <v>0</v>
      </c>
      <c r="Q84" s="38">
        <v>0</v>
      </c>
      <c r="R84" s="38">
        <v>609.69832000979034</v>
      </c>
      <c r="S84" s="38">
        <v>1408.9200829516374</v>
      </c>
      <c r="T84" s="38">
        <v>0</v>
      </c>
      <c r="U84" s="38">
        <v>1089.4223856573876</v>
      </c>
      <c r="V84" s="38">
        <v>210.87299735478993</v>
      </c>
      <c r="W84" s="38">
        <v>492.03699382784316</v>
      </c>
      <c r="X84" s="38">
        <v>0</v>
      </c>
      <c r="Y84" s="38">
        <v>0</v>
      </c>
      <c r="Z84" s="38">
        <v>0</v>
      </c>
      <c r="AA84" s="38">
        <v>0</v>
      </c>
      <c r="AB84" s="38">
        <v>0</v>
      </c>
      <c r="AC84" s="38">
        <v>0</v>
      </c>
      <c r="AD84" s="38">
        <v>0</v>
      </c>
      <c r="AE84" s="38">
        <v>0</v>
      </c>
      <c r="AF84" s="38">
        <v>0</v>
      </c>
      <c r="AG84" s="38">
        <v>0</v>
      </c>
      <c r="AH84" s="38">
        <v>820.5713173645803</v>
      </c>
      <c r="AI84" s="38">
        <v>1900.9570767794805</v>
      </c>
      <c r="AJ84" s="38">
        <v>0</v>
      </c>
      <c r="AK84" s="38">
        <v>1089.4223856573876</v>
      </c>
      <c r="AL84" s="38">
        <v>3810.9507798014483</v>
      </c>
      <c r="AM84" s="38">
        <v>843.92494171248723</v>
      </c>
      <c r="AN84" s="38">
        <v>200.43553878600065</v>
      </c>
      <c r="AO84" s="38">
        <v>0</v>
      </c>
      <c r="AP84" s="38">
        <v>0</v>
      </c>
      <c r="AQ84" s="38">
        <v>1044.360480498488</v>
      </c>
      <c r="AR84" s="38">
        <v>820.5713173645803</v>
      </c>
      <c r="AS84" s="49">
        <v>1.2727235992755008</v>
      </c>
      <c r="AT84" s="38">
        <v>843.92494171248723</v>
      </c>
      <c r="AU84" s="38">
        <v>237.25597821089528</v>
      </c>
      <c r="AV84" s="38">
        <v>0</v>
      </c>
      <c r="AW84" s="38">
        <v>0</v>
      </c>
      <c r="AX84" s="38">
        <v>1081.1809199233826</v>
      </c>
      <c r="AY84" s="38">
        <v>1900.9570767794805</v>
      </c>
      <c r="AZ84" s="50">
        <v>0.56875609298610397</v>
      </c>
      <c r="BA84" s="38">
        <v>843.92494171248723</v>
      </c>
      <c r="BB84" s="38">
        <v>437.69151699689593</v>
      </c>
      <c r="BC84" s="38">
        <v>0</v>
      </c>
      <c r="BD84" s="38">
        <v>0</v>
      </c>
      <c r="BE84" s="38">
        <v>1281.6164587093833</v>
      </c>
      <c r="BF84" s="38">
        <v>2721.5283941440612</v>
      </c>
      <c r="BG84" s="38">
        <v>103.49479211683391</v>
      </c>
      <c r="BH84" s="50">
        <v>0.47091790828530389</v>
      </c>
      <c r="BI84" s="38">
        <v>37.185167976518066</v>
      </c>
      <c r="BJ84" s="38">
        <v>86.144137286228428</v>
      </c>
      <c r="BK84" s="38">
        <v>0</v>
      </c>
      <c r="BL84" s="38">
        <v>49.368474806255293</v>
      </c>
      <c r="BM84" s="38">
        <v>172.69778006900179</v>
      </c>
      <c r="BN84" s="38">
        <v>843.92494171248723</v>
      </c>
      <c r="BO84" s="38">
        <v>0</v>
      </c>
      <c r="BP84" s="38">
        <v>437.69151699689593</v>
      </c>
      <c r="BQ84" s="38">
        <v>0</v>
      </c>
      <c r="BR84" s="38">
        <v>0</v>
      </c>
      <c r="BS84" s="38">
        <v>0</v>
      </c>
      <c r="BT84" s="38">
        <v>0</v>
      </c>
      <c r="BU84" s="38">
        <v>0</v>
      </c>
      <c r="BV84" s="38">
        <v>36.388696676450571</v>
      </c>
      <c r="BW84" s="38">
        <v>0</v>
      </c>
      <c r="BX84" s="38">
        <v>3108.0407886188154</v>
      </c>
      <c r="BY84" s="38">
        <v>702.90999118263312</v>
      </c>
      <c r="BZ84" s="38">
        <v>0</v>
      </c>
      <c r="CA84" s="38">
        <v>0</v>
      </c>
      <c r="CB84" s="38">
        <v>1318.0051553858339</v>
      </c>
      <c r="CC84" s="38">
        <v>3810.9507798014483</v>
      </c>
      <c r="CD84" s="50">
        <v>0.34584680609664087</v>
      </c>
      <c r="CE84" s="38">
        <v>151.2142697308571</v>
      </c>
      <c r="CF84" s="38">
        <v>15.425724910345707</v>
      </c>
      <c r="CG84" s="38">
        <v>0</v>
      </c>
      <c r="CH84" s="38">
        <v>15.425724910345707</v>
      </c>
      <c r="CI84" s="38">
        <v>0.77127687237178832</v>
      </c>
      <c r="CJ84" s="38">
        <v>0</v>
      </c>
      <c r="CK84" s="38">
        <v>0.77127687237178832</v>
      </c>
      <c r="CL84" s="38"/>
      <c r="CM84" s="38">
        <v>0</v>
      </c>
      <c r="CN84" s="38"/>
      <c r="CO84" s="38">
        <v>0</v>
      </c>
      <c r="CP84" s="38">
        <v>0</v>
      </c>
      <c r="CQ84" s="38">
        <v>0</v>
      </c>
      <c r="CR84" s="38">
        <v>0</v>
      </c>
      <c r="CS84" s="38">
        <v>0</v>
      </c>
      <c r="CT84" s="38">
        <v>0</v>
      </c>
      <c r="CU84" s="38">
        <v>0</v>
      </c>
      <c r="CV84" s="38">
        <v>9999</v>
      </c>
      <c r="CW84" s="49">
        <v>9999</v>
      </c>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row>
    <row r="85" spans="1:131">
      <c r="A85" s="27" t="s">
        <v>168</v>
      </c>
      <c r="B85" s="27"/>
      <c r="C85" s="38">
        <v>25</v>
      </c>
      <c r="D85" s="38">
        <v>824.59798710575876</v>
      </c>
      <c r="E85" s="38">
        <v>0</v>
      </c>
      <c r="F85" s="38">
        <v>3296.9499559131623</v>
      </c>
      <c r="G85" s="38">
        <v>0</v>
      </c>
      <c r="H85" s="38">
        <v>0</v>
      </c>
      <c r="I85" s="38"/>
      <c r="J85" s="38"/>
      <c r="K85" s="38"/>
      <c r="L85" s="38">
        <v>889.23061579983505</v>
      </c>
      <c r="M85" s="38">
        <v>0.46499546237738415</v>
      </c>
      <c r="N85" s="38">
        <v>0.46163933365417309</v>
      </c>
      <c r="O85" s="38">
        <v>0</v>
      </c>
      <c r="P85" s="38">
        <v>0</v>
      </c>
      <c r="Q85" s="38">
        <v>0</v>
      </c>
      <c r="R85" s="38">
        <v>571.94943150390452</v>
      </c>
      <c r="S85" s="38">
        <v>1321.6881431880656</v>
      </c>
      <c r="T85" s="38">
        <v>0</v>
      </c>
      <c r="U85" s="38">
        <v>1021.9718403264827</v>
      </c>
      <c r="V85" s="38">
        <v>197.81699735478975</v>
      </c>
      <c r="W85" s="38">
        <v>461.57299382784271</v>
      </c>
      <c r="X85" s="38">
        <v>0</v>
      </c>
      <c r="Y85" s="38">
        <v>0</v>
      </c>
      <c r="Z85" s="38">
        <v>0</v>
      </c>
      <c r="AA85" s="38">
        <v>0</v>
      </c>
      <c r="AB85" s="38">
        <v>0</v>
      </c>
      <c r="AC85" s="38">
        <v>0</v>
      </c>
      <c r="AD85" s="38">
        <v>0</v>
      </c>
      <c r="AE85" s="38">
        <v>0</v>
      </c>
      <c r="AF85" s="38">
        <v>0</v>
      </c>
      <c r="AG85" s="38">
        <v>0</v>
      </c>
      <c r="AH85" s="38">
        <v>769.76642885869433</v>
      </c>
      <c r="AI85" s="38">
        <v>1783.2611370159084</v>
      </c>
      <c r="AJ85" s="38">
        <v>0</v>
      </c>
      <c r="AK85" s="38">
        <v>1021.9718403264827</v>
      </c>
      <c r="AL85" s="38">
        <v>3574.9994062010855</v>
      </c>
      <c r="AM85" s="38">
        <v>468.38176417080086</v>
      </c>
      <c r="AN85" s="38">
        <v>164.30544214858261</v>
      </c>
      <c r="AO85" s="38">
        <v>0</v>
      </c>
      <c r="AP85" s="38">
        <v>0</v>
      </c>
      <c r="AQ85" s="38">
        <v>632.68720631938345</v>
      </c>
      <c r="AR85" s="38">
        <v>769.76642885869433</v>
      </c>
      <c r="AS85" s="50">
        <v>0.82192101733696876</v>
      </c>
      <c r="AT85" s="38">
        <v>468.38176417080086</v>
      </c>
      <c r="AU85" s="38">
        <v>194.48870513904271</v>
      </c>
      <c r="AV85" s="38">
        <v>0</v>
      </c>
      <c r="AW85" s="38">
        <v>0</v>
      </c>
      <c r="AX85" s="38">
        <v>662.87046930984354</v>
      </c>
      <c r="AY85" s="38">
        <v>1783.2611370159084</v>
      </c>
      <c r="AZ85" s="50">
        <v>0.37171811550779627</v>
      </c>
      <c r="BA85" s="38">
        <v>468.38176417080086</v>
      </c>
      <c r="BB85" s="38">
        <v>358.79414728762532</v>
      </c>
      <c r="BC85" s="38">
        <v>0</v>
      </c>
      <c r="BD85" s="38">
        <v>0</v>
      </c>
      <c r="BE85" s="38">
        <v>827.17591145842619</v>
      </c>
      <c r="BF85" s="38">
        <v>2553.0275658746027</v>
      </c>
      <c r="BG85" s="38">
        <v>181.56767513450552</v>
      </c>
      <c r="BH85" s="50">
        <v>0.3239980337521568</v>
      </c>
      <c r="BI85" s="38">
        <v>63.696368718360077</v>
      </c>
      <c r="BJ85" s="38">
        <v>147.56068158610032</v>
      </c>
      <c r="BK85" s="38">
        <v>0</v>
      </c>
      <c r="BL85" s="38">
        <v>84.565775696053734</v>
      </c>
      <c r="BM85" s="38">
        <v>295.82282600051417</v>
      </c>
      <c r="BN85" s="38">
        <v>468.38176417080086</v>
      </c>
      <c r="BO85" s="38">
        <v>0</v>
      </c>
      <c r="BP85" s="38">
        <v>358.79414728762532</v>
      </c>
      <c r="BQ85" s="38">
        <v>0</v>
      </c>
      <c r="BR85" s="38">
        <v>0</v>
      </c>
      <c r="BS85" s="38">
        <v>0</v>
      </c>
      <c r="BT85" s="38">
        <v>0</v>
      </c>
      <c r="BU85" s="38">
        <v>0</v>
      </c>
      <c r="BV85" s="38">
        <v>139.22659960995088</v>
      </c>
      <c r="BW85" s="38">
        <v>0</v>
      </c>
      <c r="BX85" s="38">
        <v>2915.6094150184531</v>
      </c>
      <c r="BY85" s="38">
        <v>659.38999118263246</v>
      </c>
      <c r="BZ85" s="38">
        <v>0</v>
      </c>
      <c r="CA85" s="38">
        <v>0</v>
      </c>
      <c r="CB85" s="38">
        <v>966.40251106837707</v>
      </c>
      <c r="CC85" s="38">
        <v>3574.9994062010855</v>
      </c>
      <c r="CD85" s="50">
        <v>0.27032242561833286</v>
      </c>
      <c r="CE85" s="38">
        <v>254.61277586775591</v>
      </c>
      <c r="CF85" s="38">
        <v>8.4477447391922666</v>
      </c>
      <c r="CG85" s="38">
        <v>0</v>
      </c>
      <c r="CH85" s="38">
        <v>8.4477447391922666</v>
      </c>
      <c r="CI85" s="38">
        <v>0.42238454250492163</v>
      </c>
      <c r="CJ85" s="38">
        <v>0</v>
      </c>
      <c r="CK85" s="38">
        <v>0.42238454250492163</v>
      </c>
      <c r="CL85" s="38"/>
      <c r="CM85" s="38">
        <v>0</v>
      </c>
      <c r="CN85" s="38"/>
      <c r="CO85" s="38">
        <v>0</v>
      </c>
      <c r="CP85" s="38">
        <v>0</v>
      </c>
      <c r="CQ85" s="38">
        <v>0</v>
      </c>
      <c r="CR85" s="38">
        <v>0</v>
      </c>
      <c r="CS85" s="38">
        <v>0</v>
      </c>
      <c r="CT85" s="38">
        <v>0</v>
      </c>
      <c r="CU85" s="38">
        <v>0</v>
      </c>
      <c r="CV85" s="38">
        <v>9999</v>
      </c>
      <c r="CW85" s="49">
        <v>9999</v>
      </c>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row>
    <row r="86" spans="1:131">
      <c r="A86" s="27" t="s">
        <v>170</v>
      </c>
      <c r="B86" s="27"/>
      <c r="C86" s="38">
        <v>25</v>
      </c>
      <c r="D86" s="38">
        <v>877.85588979307215</v>
      </c>
      <c r="E86" s="38">
        <v>0</v>
      </c>
      <c r="F86" s="38">
        <v>3514.5499559131631</v>
      </c>
      <c r="G86" s="38">
        <v>0</v>
      </c>
      <c r="H86" s="38">
        <v>0</v>
      </c>
      <c r="I86" s="38"/>
      <c r="J86" s="38"/>
      <c r="K86" s="38"/>
      <c r="L86" s="38">
        <v>946.66291413598583</v>
      </c>
      <c r="M86" s="38">
        <v>0.49502789451108137</v>
      </c>
      <c r="N86" s="38">
        <v>0.4914550051605806</v>
      </c>
      <c r="O86" s="38">
        <v>0</v>
      </c>
      <c r="P86" s="38">
        <v>0</v>
      </c>
      <c r="Q86" s="38">
        <v>0</v>
      </c>
      <c r="R86" s="38">
        <v>609.69832000979</v>
      </c>
      <c r="S86" s="38">
        <v>1408.9200829516362</v>
      </c>
      <c r="T86" s="38">
        <v>0</v>
      </c>
      <c r="U86" s="38">
        <v>1089.4223856573872</v>
      </c>
      <c r="V86" s="38">
        <v>210.87299735478979</v>
      </c>
      <c r="W86" s="38">
        <v>492.03699382784282</v>
      </c>
      <c r="X86" s="38">
        <v>0</v>
      </c>
      <c r="Y86" s="38">
        <v>0</v>
      </c>
      <c r="Z86" s="38">
        <v>0</v>
      </c>
      <c r="AA86" s="38">
        <v>0</v>
      </c>
      <c r="AB86" s="38">
        <v>0</v>
      </c>
      <c r="AC86" s="38">
        <v>0</v>
      </c>
      <c r="AD86" s="38">
        <v>0</v>
      </c>
      <c r="AE86" s="38">
        <v>0</v>
      </c>
      <c r="AF86" s="38">
        <v>0</v>
      </c>
      <c r="AG86" s="38">
        <v>0</v>
      </c>
      <c r="AH86" s="38">
        <v>820.57131736457973</v>
      </c>
      <c r="AI86" s="38">
        <v>1900.9570767794789</v>
      </c>
      <c r="AJ86" s="38">
        <v>0</v>
      </c>
      <c r="AK86" s="38">
        <v>1089.4223856573872</v>
      </c>
      <c r="AL86" s="38">
        <v>3810.9507798014456</v>
      </c>
      <c r="AM86" s="38">
        <v>498.63290570496235</v>
      </c>
      <c r="AN86" s="38">
        <v>174.91735654296369</v>
      </c>
      <c r="AO86" s="38">
        <v>0</v>
      </c>
      <c r="AP86" s="38">
        <v>0</v>
      </c>
      <c r="AQ86" s="38">
        <v>673.55026224792607</v>
      </c>
      <c r="AR86" s="38">
        <v>820.57131736457973</v>
      </c>
      <c r="AS86" s="50">
        <v>0.82083086258871485</v>
      </c>
      <c r="AT86" s="38">
        <v>498.63290570496235</v>
      </c>
      <c r="AU86" s="38">
        <v>207.05005102400207</v>
      </c>
      <c r="AV86" s="38">
        <v>0</v>
      </c>
      <c r="AW86" s="38">
        <v>0</v>
      </c>
      <c r="AX86" s="38">
        <v>705.68295672896443</v>
      </c>
      <c r="AY86" s="38">
        <v>1900.9570767794789</v>
      </c>
      <c r="AZ86" s="50">
        <v>0.37122508727261883</v>
      </c>
      <c r="BA86" s="38">
        <v>498.63290570496235</v>
      </c>
      <c r="BB86" s="38">
        <v>381.96740756696579</v>
      </c>
      <c r="BC86" s="38">
        <v>0</v>
      </c>
      <c r="BD86" s="38">
        <v>0</v>
      </c>
      <c r="BE86" s="38">
        <v>880.60031327192814</v>
      </c>
      <c r="BF86" s="38">
        <v>2721.5283941440589</v>
      </c>
      <c r="BG86" s="38">
        <v>181.84824801131637</v>
      </c>
      <c r="BH86" s="50">
        <v>0.32356829903620521</v>
      </c>
      <c r="BI86" s="38">
        <v>63.78096458575461</v>
      </c>
      <c r="BJ86" s="38">
        <v>147.75665859551665</v>
      </c>
      <c r="BK86" s="38">
        <v>0</v>
      </c>
      <c r="BL86" s="38">
        <v>84.678088458788025</v>
      </c>
      <c r="BM86" s="38">
        <v>296.21571164005928</v>
      </c>
      <c r="BN86" s="38">
        <v>498.63290570496235</v>
      </c>
      <c r="BO86" s="38">
        <v>0</v>
      </c>
      <c r="BP86" s="38">
        <v>381.96740756696579</v>
      </c>
      <c r="BQ86" s="38">
        <v>0</v>
      </c>
      <c r="BR86" s="38">
        <v>0</v>
      </c>
      <c r="BS86" s="38">
        <v>0</v>
      </c>
      <c r="BT86" s="38">
        <v>0</v>
      </c>
      <c r="BU86" s="38">
        <v>0</v>
      </c>
      <c r="BV86" s="38">
        <v>146.32840492051713</v>
      </c>
      <c r="BW86" s="38">
        <v>0</v>
      </c>
      <c r="BX86" s="38">
        <v>3108.0407886188132</v>
      </c>
      <c r="BY86" s="38">
        <v>702.90999118263267</v>
      </c>
      <c r="BZ86" s="38">
        <v>0</v>
      </c>
      <c r="CA86" s="38">
        <v>0</v>
      </c>
      <c r="CB86" s="38">
        <v>1026.9287181924453</v>
      </c>
      <c r="CC86" s="38">
        <v>3810.9507798014456</v>
      </c>
      <c r="CD86" s="50">
        <v>0.26946785133917406</v>
      </c>
      <c r="CE86" s="38">
        <v>255.15259403647889</v>
      </c>
      <c r="CF86" s="38">
        <v>8.9933550538939908</v>
      </c>
      <c r="CG86" s="38">
        <v>0</v>
      </c>
      <c r="CH86" s="38">
        <v>8.9933550538939908</v>
      </c>
      <c r="CI86" s="38">
        <v>0.44966488421459322</v>
      </c>
      <c r="CJ86" s="38">
        <v>0</v>
      </c>
      <c r="CK86" s="38">
        <v>0.44966488421459322</v>
      </c>
      <c r="CL86" s="38"/>
      <c r="CM86" s="38">
        <v>0</v>
      </c>
      <c r="CN86" s="38"/>
      <c r="CO86" s="38">
        <v>0</v>
      </c>
      <c r="CP86" s="38">
        <v>0</v>
      </c>
      <c r="CQ86" s="38">
        <v>0</v>
      </c>
      <c r="CR86" s="38">
        <v>0</v>
      </c>
      <c r="CS86" s="38">
        <v>0</v>
      </c>
      <c r="CT86" s="38">
        <v>0</v>
      </c>
      <c r="CU86" s="38">
        <v>0</v>
      </c>
      <c r="CV86" s="38">
        <v>9999</v>
      </c>
      <c r="CW86" s="49">
        <v>9999</v>
      </c>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row>
    <row r="87" spans="1:131">
      <c r="A87" s="27" t="s">
        <v>6387</v>
      </c>
      <c r="B87" s="27"/>
      <c r="C87" s="38">
        <v>25</v>
      </c>
      <c r="D87" s="38">
        <v>610.60803932916519</v>
      </c>
      <c r="E87" s="38">
        <v>0</v>
      </c>
      <c r="F87" s="38">
        <v>2687.9999999999973</v>
      </c>
      <c r="G87" s="38">
        <v>0</v>
      </c>
      <c r="H87" s="38">
        <v>0</v>
      </c>
      <c r="I87" s="38"/>
      <c r="J87" s="38"/>
      <c r="K87" s="38"/>
      <c r="L87" s="38">
        <v>658.46797022967348</v>
      </c>
      <c r="M87" s="38">
        <v>0.34432532218005246</v>
      </c>
      <c r="N87" s="38">
        <v>0.3418401364150363</v>
      </c>
      <c r="O87" s="38">
        <v>0</v>
      </c>
      <c r="P87" s="38">
        <v>0</v>
      </c>
      <c r="Q87" s="38">
        <v>0</v>
      </c>
      <c r="R87" s="38">
        <v>466.30979919034803</v>
      </c>
      <c r="S87" s="38">
        <v>1077.5710206088099</v>
      </c>
      <c r="T87" s="38">
        <v>0</v>
      </c>
      <c r="U87" s="38">
        <v>833.21261879351891</v>
      </c>
      <c r="V87" s="38">
        <v>161.27999999999983</v>
      </c>
      <c r="W87" s="38">
        <v>376.3199999999996</v>
      </c>
      <c r="X87" s="38">
        <v>0</v>
      </c>
      <c r="Y87" s="38">
        <v>0</v>
      </c>
      <c r="Z87" s="38">
        <v>0</v>
      </c>
      <c r="AA87" s="38">
        <v>0</v>
      </c>
      <c r="AB87" s="38">
        <v>0</v>
      </c>
      <c r="AC87" s="38">
        <v>0</v>
      </c>
      <c r="AD87" s="38">
        <v>0</v>
      </c>
      <c r="AE87" s="38">
        <v>0</v>
      </c>
      <c r="AF87" s="38">
        <v>0</v>
      </c>
      <c r="AG87" s="38">
        <v>0</v>
      </c>
      <c r="AH87" s="38">
        <v>627.58979919034789</v>
      </c>
      <c r="AI87" s="38">
        <v>1453.8910206088094</v>
      </c>
      <c r="AJ87" s="38">
        <v>0</v>
      </c>
      <c r="AK87" s="38">
        <v>833.21261879351891</v>
      </c>
      <c r="AL87" s="38">
        <v>2914.6934385926761</v>
      </c>
      <c r="AM87" s="38">
        <v>346.83285085582884</v>
      </c>
      <c r="AN87" s="38">
        <v>121.66683092883939</v>
      </c>
      <c r="AO87" s="38">
        <v>0</v>
      </c>
      <c r="AP87" s="38">
        <v>0</v>
      </c>
      <c r="AQ87" s="38">
        <v>468.49968178466821</v>
      </c>
      <c r="AR87" s="38">
        <v>627.58979919034789</v>
      </c>
      <c r="AS87" s="50">
        <v>0.74650620897452213</v>
      </c>
      <c r="AT87" s="38">
        <v>346.83285085582884</v>
      </c>
      <c r="AU87" s="38">
        <v>144.01728936234704</v>
      </c>
      <c r="AV87" s="38">
        <v>0</v>
      </c>
      <c r="AW87" s="38">
        <v>0</v>
      </c>
      <c r="AX87" s="38">
        <v>490.85014021817585</v>
      </c>
      <c r="AY87" s="38">
        <v>1453.8910206088094</v>
      </c>
      <c r="AZ87" s="50">
        <v>0.33761137063260416</v>
      </c>
      <c r="BA87" s="38">
        <v>346.83285085582884</v>
      </c>
      <c r="BB87" s="38">
        <v>265.68412029118645</v>
      </c>
      <c r="BC87" s="38">
        <v>0</v>
      </c>
      <c r="BD87" s="38">
        <v>0</v>
      </c>
      <c r="BE87" s="38">
        <v>612.51697114701528</v>
      </c>
      <c r="BF87" s="38">
        <v>2081.4808197991574</v>
      </c>
      <c r="BG87" s="38">
        <v>202.90964091106946</v>
      </c>
      <c r="BH87" s="50">
        <v>0.29426981277978687</v>
      </c>
      <c r="BI87" s="38">
        <v>70.131210629290308</v>
      </c>
      <c r="BJ87" s="38">
        <v>162.46780545173402</v>
      </c>
      <c r="BK87" s="38">
        <v>0</v>
      </c>
      <c r="BL87" s="38">
        <v>93.10892201080496</v>
      </c>
      <c r="BM87" s="38">
        <v>325.70793809182931</v>
      </c>
      <c r="BN87" s="38">
        <v>346.83285085582884</v>
      </c>
      <c r="BO87" s="38">
        <v>0</v>
      </c>
      <c r="BP87" s="38">
        <v>265.68412029118645</v>
      </c>
      <c r="BQ87" s="38">
        <v>0</v>
      </c>
      <c r="BR87" s="38">
        <v>0</v>
      </c>
      <c r="BS87" s="38">
        <v>0</v>
      </c>
      <c r="BT87" s="38">
        <v>0</v>
      </c>
      <c r="BU87" s="38">
        <v>0</v>
      </c>
      <c r="BV87" s="38">
        <v>100.07916267488051</v>
      </c>
      <c r="BW87" s="38">
        <v>0</v>
      </c>
      <c r="BX87" s="38">
        <v>2377.0934385926766</v>
      </c>
      <c r="BY87" s="38">
        <v>537.59999999999945</v>
      </c>
      <c r="BZ87" s="38">
        <v>0</v>
      </c>
      <c r="CA87" s="38">
        <v>0</v>
      </c>
      <c r="CB87" s="38">
        <v>712.59613382189582</v>
      </c>
      <c r="CC87" s="38">
        <v>2914.6934385926761</v>
      </c>
      <c r="CD87" s="50">
        <v>0.24448407657100435</v>
      </c>
      <c r="CE87" s="38">
        <v>284.83502736057329</v>
      </c>
      <c r="CF87" s="38">
        <v>6.2554856216134382</v>
      </c>
      <c r="CG87" s="38">
        <v>0</v>
      </c>
      <c r="CH87" s="38">
        <v>6.2554856216134382</v>
      </c>
      <c r="CI87" s="38">
        <v>0.31277228585909489</v>
      </c>
      <c r="CJ87" s="38">
        <v>0</v>
      </c>
      <c r="CK87" s="38">
        <v>0.31277228585909489</v>
      </c>
      <c r="CL87" s="38"/>
      <c r="CM87" s="38">
        <v>0</v>
      </c>
      <c r="CN87" s="38"/>
      <c r="CO87" s="38">
        <v>0</v>
      </c>
      <c r="CP87" s="38">
        <v>0</v>
      </c>
      <c r="CQ87" s="38">
        <v>0</v>
      </c>
      <c r="CR87" s="38">
        <v>0</v>
      </c>
      <c r="CS87" s="38">
        <v>0</v>
      </c>
      <c r="CT87" s="38">
        <v>0</v>
      </c>
      <c r="CU87" s="38">
        <v>0</v>
      </c>
      <c r="CV87" s="38">
        <v>9999</v>
      </c>
      <c r="CW87" s="49">
        <v>9999</v>
      </c>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row>
    <row r="88" spans="1:131">
      <c r="A88" s="27" t="s">
        <v>6389</v>
      </c>
      <c r="B88" s="27"/>
      <c r="C88" s="38">
        <v>25.000000000000004</v>
      </c>
      <c r="D88" s="38">
        <v>799.10533088738805</v>
      </c>
      <c r="E88" s="38">
        <v>0</v>
      </c>
      <c r="F88" s="38">
        <v>4223.9999999999964</v>
      </c>
      <c r="G88" s="38">
        <v>0</v>
      </c>
      <c r="H88" s="38">
        <v>0</v>
      </c>
      <c r="I88" s="38"/>
      <c r="J88" s="38"/>
      <c r="K88" s="38"/>
      <c r="L88" s="38">
        <v>861.73982544876924</v>
      </c>
      <c r="M88" s="38">
        <v>0.45062000954964321</v>
      </c>
      <c r="N88" s="38">
        <v>0.44736763639836324</v>
      </c>
      <c r="O88" s="38">
        <v>0</v>
      </c>
      <c r="P88" s="38">
        <v>0</v>
      </c>
      <c r="Q88" s="38">
        <v>0</v>
      </c>
      <c r="R88" s="38">
        <v>732.77254158483288</v>
      </c>
      <c r="S88" s="38">
        <v>1693.3258895281301</v>
      </c>
      <c r="T88" s="38">
        <v>0</v>
      </c>
      <c r="U88" s="38">
        <v>1309.3341152469584</v>
      </c>
      <c r="V88" s="38">
        <v>253.4399999999998</v>
      </c>
      <c r="W88" s="38">
        <v>591.35999999999945</v>
      </c>
      <c r="X88" s="38">
        <v>0</v>
      </c>
      <c r="Y88" s="38">
        <v>0</v>
      </c>
      <c r="Z88" s="38">
        <v>0</v>
      </c>
      <c r="AA88" s="38">
        <v>0</v>
      </c>
      <c r="AB88" s="38">
        <v>0</v>
      </c>
      <c r="AC88" s="38">
        <v>0</v>
      </c>
      <c r="AD88" s="38">
        <v>0</v>
      </c>
      <c r="AE88" s="38">
        <v>0</v>
      </c>
      <c r="AF88" s="38">
        <v>0</v>
      </c>
      <c r="AG88" s="38">
        <v>0</v>
      </c>
      <c r="AH88" s="38">
        <v>986.21254158483271</v>
      </c>
      <c r="AI88" s="38">
        <v>2284.6858895281293</v>
      </c>
      <c r="AJ88" s="38">
        <v>0</v>
      </c>
      <c r="AK88" s="38">
        <v>1309.3341152469584</v>
      </c>
      <c r="AL88" s="38">
        <v>4580.2325463599209</v>
      </c>
      <c r="AM88" s="38">
        <v>453.90162296299985</v>
      </c>
      <c r="AN88" s="38">
        <v>159.22589767115471</v>
      </c>
      <c r="AO88" s="38">
        <v>0</v>
      </c>
      <c r="AP88" s="38">
        <v>0</v>
      </c>
      <c r="AQ88" s="38">
        <v>613.12752063415451</v>
      </c>
      <c r="AR88" s="38">
        <v>986.21254158483271</v>
      </c>
      <c r="AS88" s="50">
        <v>0.62169917211645409</v>
      </c>
      <c r="AT88" s="38">
        <v>453.90162296299985</v>
      </c>
      <c r="AU88" s="38">
        <v>188.47603741974862</v>
      </c>
      <c r="AV88" s="38">
        <v>0</v>
      </c>
      <c r="AW88" s="38">
        <v>0</v>
      </c>
      <c r="AX88" s="38">
        <v>642.37766038274845</v>
      </c>
      <c r="AY88" s="38">
        <v>2284.6858895281293</v>
      </c>
      <c r="AZ88" s="50">
        <v>0.28116672988925528</v>
      </c>
      <c r="BA88" s="38">
        <v>453.90162296299985</v>
      </c>
      <c r="BB88" s="38">
        <v>347.70193509090336</v>
      </c>
      <c r="BC88" s="38">
        <v>0</v>
      </c>
      <c r="BD88" s="38">
        <v>0</v>
      </c>
      <c r="BE88" s="38">
        <v>801.60355805390316</v>
      </c>
      <c r="BF88" s="38">
        <v>3270.8984311129625</v>
      </c>
      <c r="BG88" s="38">
        <v>249.60424060684804</v>
      </c>
      <c r="BH88" s="50">
        <v>0.24507136951395581</v>
      </c>
      <c r="BI88" s="38">
        <v>84.210155853092573</v>
      </c>
      <c r="BJ88" s="38">
        <v>195.08345992371034</v>
      </c>
      <c r="BK88" s="38">
        <v>0</v>
      </c>
      <c r="BL88" s="38">
        <v>111.80067709495164</v>
      </c>
      <c r="BM88" s="38">
        <v>391.09429287175459</v>
      </c>
      <c r="BN88" s="38">
        <v>453.90162296299985</v>
      </c>
      <c r="BO88" s="38">
        <v>0</v>
      </c>
      <c r="BP88" s="38">
        <v>347.70193509090336</v>
      </c>
      <c r="BQ88" s="38">
        <v>0</v>
      </c>
      <c r="BR88" s="38">
        <v>0</v>
      </c>
      <c r="BS88" s="38">
        <v>0</v>
      </c>
      <c r="BT88" s="38">
        <v>0</v>
      </c>
      <c r="BU88" s="38">
        <v>0</v>
      </c>
      <c r="BV88" s="38">
        <v>122.96545063144696</v>
      </c>
      <c r="BW88" s="38">
        <v>0</v>
      </c>
      <c r="BX88" s="38">
        <v>3735.4325463599216</v>
      </c>
      <c r="BY88" s="38">
        <v>844.79999999999927</v>
      </c>
      <c r="BZ88" s="38">
        <v>0</v>
      </c>
      <c r="CA88" s="38">
        <v>0</v>
      </c>
      <c r="CB88" s="38">
        <v>924.56900868535013</v>
      </c>
      <c r="CC88" s="38">
        <v>4580.2325463599209</v>
      </c>
      <c r="CD88" s="50">
        <v>0.20186071325573612</v>
      </c>
      <c r="CE88" s="38">
        <v>350.9052137073852</v>
      </c>
      <c r="CF88" s="38">
        <v>8.1865805648621173</v>
      </c>
      <c r="CG88" s="38">
        <v>0</v>
      </c>
      <c r="CH88" s="38">
        <v>8.1865805648621173</v>
      </c>
      <c r="CI88" s="38">
        <v>0.40932641708816547</v>
      </c>
      <c r="CJ88" s="38">
        <v>0</v>
      </c>
      <c r="CK88" s="38">
        <v>0.40932641708816547</v>
      </c>
      <c r="CL88" s="38"/>
      <c r="CM88" s="38">
        <v>0</v>
      </c>
      <c r="CN88" s="38"/>
      <c r="CO88" s="38">
        <v>0</v>
      </c>
      <c r="CP88" s="38">
        <v>0</v>
      </c>
      <c r="CQ88" s="38">
        <v>0</v>
      </c>
      <c r="CR88" s="38">
        <v>0</v>
      </c>
      <c r="CS88" s="38">
        <v>0</v>
      </c>
      <c r="CT88" s="38">
        <v>0</v>
      </c>
      <c r="CU88" s="38">
        <v>0</v>
      </c>
      <c r="CV88" s="38">
        <v>9999</v>
      </c>
      <c r="CW88" s="49">
        <v>9999</v>
      </c>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row>
    <row r="89" spans="1:131">
      <c r="A89" s="27" t="s">
        <v>173</v>
      </c>
      <c r="B89" s="27"/>
      <c r="C89" s="38">
        <v>25</v>
      </c>
      <c r="D89" s="38">
        <v>644.96005788003561</v>
      </c>
      <c r="E89" s="38">
        <v>0</v>
      </c>
      <c r="F89" s="38">
        <v>3514.5499559131654</v>
      </c>
      <c r="G89" s="38">
        <v>0</v>
      </c>
      <c r="H89" s="38">
        <v>0</v>
      </c>
      <c r="I89" s="38"/>
      <c r="J89" s="38"/>
      <c r="K89" s="38"/>
      <c r="L89" s="38">
        <v>694.72089398889955</v>
      </c>
      <c r="M89" s="38">
        <v>0.24269741788552934</v>
      </c>
      <c r="N89" s="38">
        <v>0.24094573675933006</v>
      </c>
      <c r="O89" s="38">
        <v>0</v>
      </c>
      <c r="P89" s="38">
        <v>0</v>
      </c>
      <c r="Q89" s="38">
        <v>0</v>
      </c>
      <c r="R89" s="38">
        <v>609.69832000979034</v>
      </c>
      <c r="S89" s="38">
        <v>1408.9200829516374</v>
      </c>
      <c r="T89" s="38">
        <v>0</v>
      </c>
      <c r="U89" s="38">
        <v>1089.4223856573876</v>
      </c>
      <c r="V89" s="38">
        <v>210.87299735478993</v>
      </c>
      <c r="W89" s="38">
        <v>492.03699382784316</v>
      </c>
      <c r="X89" s="38">
        <v>0</v>
      </c>
      <c r="Y89" s="38">
        <v>0</v>
      </c>
      <c r="Z89" s="38">
        <v>0</v>
      </c>
      <c r="AA89" s="38">
        <v>0</v>
      </c>
      <c r="AB89" s="38">
        <v>0</v>
      </c>
      <c r="AC89" s="38">
        <v>0</v>
      </c>
      <c r="AD89" s="38">
        <v>0</v>
      </c>
      <c r="AE89" s="38">
        <v>0</v>
      </c>
      <c r="AF89" s="38">
        <v>0</v>
      </c>
      <c r="AG89" s="38">
        <v>0</v>
      </c>
      <c r="AH89" s="38">
        <v>820.5713173645803</v>
      </c>
      <c r="AI89" s="38">
        <v>1900.9570767794805</v>
      </c>
      <c r="AJ89" s="38">
        <v>0</v>
      </c>
      <c r="AK89" s="38">
        <v>1089.4223856573876</v>
      </c>
      <c r="AL89" s="38">
        <v>3810.9507798014483</v>
      </c>
      <c r="AM89" s="38">
        <v>361.07505321334241</v>
      </c>
      <c r="AN89" s="38">
        <v>85.756764915778845</v>
      </c>
      <c r="AO89" s="38">
        <v>0</v>
      </c>
      <c r="AP89" s="38">
        <v>0</v>
      </c>
      <c r="AQ89" s="38">
        <v>446.83181812912125</v>
      </c>
      <c r="AR89" s="38">
        <v>820.5713173645803</v>
      </c>
      <c r="AS89" s="50">
        <v>0.54453745661523489</v>
      </c>
      <c r="AT89" s="38">
        <v>361.07505321334241</v>
      </c>
      <c r="AU89" s="38">
        <v>101.51046701362714</v>
      </c>
      <c r="AV89" s="38">
        <v>0</v>
      </c>
      <c r="AW89" s="38">
        <v>0</v>
      </c>
      <c r="AX89" s="38">
        <v>462.58552022696955</v>
      </c>
      <c r="AY89" s="38">
        <v>1900.9570767794805</v>
      </c>
      <c r="AZ89" s="50">
        <v>0.24334348517256474</v>
      </c>
      <c r="BA89" s="38">
        <v>361.07505321334241</v>
      </c>
      <c r="BB89" s="38">
        <v>187.26723192940597</v>
      </c>
      <c r="BC89" s="38">
        <v>0</v>
      </c>
      <c r="BD89" s="38">
        <v>0</v>
      </c>
      <c r="BE89" s="38">
        <v>548.34228514274844</v>
      </c>
      <c r="BF89" s="38">
        <v>2721.5283941440612</v>
      </c>
      <c r="BG89" s="38">
        <v>268.41768214991822</v>
      </c>
      <c r="BH89" s="50">
        <v>0.20148321300730201</v>
      </c>
      <c r="BI89" s="38">
        <v>86.911267997820374</v>
      </c>
      <c r="BJ89" s="38">
        <v>201.34092729801046</v>
      </c>
      <c r="BK89" s="38">
        <v>0</v>
      </c>
      <c r="BL89" s="38">
        <v>115.38677860053239</v>
      </c>
      <c r="BM89" s="38">
        <v>403.63897389636321</v>
      </c>
      <c r="BN89" s="38">
        <v>361.07505321334241</v>
      </c>
      <c r="BO89" s="38">
        <v>0</v>
      </c>
      <c r="BP89" s="38">
        <v>187.26723192940597</v>
      </c>
      <c r="BQ89" s="38">
        <v>0</v>
      </c>
      <c r="BR89" s="38">
        <v>0</v>
      </c>
      <c r="BS89" s="38">
        <v>0</v>
      </c>
      <c r="BT89" s="38">
        <v>0</v>
      </c>
      <c r="BU89" s="38">
        <v>0</v>
      </c>
      <c r="BV89" s="38">
        <v>77.007143475914731</v>
      </c>
      <c r="BW89" s="38">
        <v>0</v>
      </c>
      <c r="BX89" s="38">
        <v>3108.0407886188154</v>
      </c>
      <c r="BY89" s="38">
        <v>702.90999118263312</v>
      </c>
      <c r="BZ89" s="38">
        <v>0</v>
      </c>
      <c r="CA89" s="38">
        <v>0</v>
      </c>
      <c r="CB89" s="38">
        <v>625.34942861866307</v>
      </c>
      <c r="CC89" s="38">
        <v>3810.9507798014483</v>
      </c>
      <c r="CD89" s="50">
        <v>0.16409275919623501</v>
      </c>
      <c r="CE89" s="38">
        <v>375.64820626927155</v>
      </c>
      <c r="CF89" s="38">
        <v>6.599928699293045</v>
      </c>
      <c r="CG89" s="38">
        <v>0</v>
      </c>
      <c r="CH89" s="38">
        <v>6.599928699293045</v>
      </c>
      <c r="CI89" s="38">
        <v>0.32999242464472733</v>
      </c>
      <c r="CJ89" s="38">
        <v>0</v>
      </c>
      <c r="CK89" s="38">
        <v>0.32999242464472733</v>
      </c>
      <c r="CL89" s="38"/>
      <c r="CM89" s="38">
        <v>0</v>
      </c>
      <c r="CN89" s="38"/>
      <c r="CO89" s="38">
        <v>0</v>
      </c>
      <c r="CP89" s="38">
        <v>0</v>
      </c>
      <c r="CQ89" s="38">
        <v>0</v>
      </c>
      <c r="CR89" s="38">
        <v>0</v>
      </c>
      <c r="CS89" s="38">
        <v>0</v>
      </c>
      <c r="CT89" s="38">
        <v>0</v>
      </c>
      <c r="CU89" s="38">
        <v>0</v>
      </c>
      <c r="CV89" s="38">
        <v>9999</v>
      </c>
      <c r="CW89" s="49">
        <v>9999</v>
      </c>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row>
    <row r="90" spans="1:131">
      <c r="A90" s="27" t="s">
        <v>171</v>
      </c>
      <c r="B90" s="27"/>
      <c r="C90" s="38">
        <v>25</v>
      </c>
      <c r="D90" s="38">
        <v>590.79505315659674</v>
      </c>
      <c r="E90" s="38">
        <v>0</v>
      </c>
      <c r="F90" s="38">
        <v>3296.949955913165</v>
      </c>
      <c r="G90" s="38">
        <v>0</v>
      </c>
      <c r="H90" s="38">
        <v>0</v>
      </c>
      <c r="I90" s="38"/>
      <c r="J90" s="38"/>
      <c r="K90" s="38"/>
      <c r="L90" s="38">
        <v>636.37687710812145</v>
      </c>
      <c r="M90" s="38">
        <v>0.22231521494827203</v>
      </c>
      <c r="N90" s="38">
        <v>0.22071064342260585</v>
      </c>
      <c r="O90" s="38">
        <v>0</v>
      </c>
      <c r="P90" s="38">
        <v>0</v>
      </c>
      <c r="Q90" s="38">
        <v>0</v>
      </c>
      <c r="R90" s="38">
        <v>571.94943150390498</v>
      </c>
      <c r="S90" s="38">
        <v>1321.6881431880668</v>
      </c>
      <c r="T90" s="38">
        <v>0</v>
      </c>
      <c r="U90" s="38">
        <v>1021.9718403264836</v>
      </c>
      <c r="V90" s="38">
        <v>197.81699735478989</v>
      </c>
      <c r="W90" s="38">
        <v>461.57299382784311</v>
      </c>
      <c r="X90" s="38">
        <v>0</v>
      </c>
      <c r="Y90" s="38">
        <v>0</v>
      </c>
      <c r="Z90" s="38">
        <v>0</v>
      </c>
      <c r="AA90" s="38">
        <v>0</v>
      </c>
      <c r="AB90" s="38">
        <v>0</v>
      </c>
      <c r="AC90" s="38">
        <v>0</v>
      </c>
      <c r="AD90" s="38">
        <v>0</v>
      </c>
      <c r="AE90" s="38">
        <v>0</v>
      </c>
      <c r="AF90" s="38">
        <v>0</v>
      </c>
      <c r="AG90" s="38">
        <v>0</v>
      </c>
      <c r="AH90" s="38">
        <v>769.76642885869489</v>
      </c>
      <c r="AI90" s="38">
        <v>1783.2611370159098</v>
      </c>
      <c r="AJ90" s="38">
        <v>0</v>
      </c>
      <c r="AK90" s="38">
        <v>1021.9718403264836</v>
      </c>
      <c r="AL90" s="38">
        <v>3574.9994062010883</v>
      </c>
      <c r="AM90" s="38">
        <v>330.75126536963916</v>
      </c>
      <c r="AN90" s="38">
        <v>78.554744387565037</v>
      </c>
      <c r="AO90" s="38">
        <v>0</v>
      </c>
      <c r="AP90" s="38">
        <v>0</v>
      </c>
      <c r="AQ90" s="38">
        <v>409.30600975720421</v>
      </c>
      <c r="AR90" s="38">
        <v>769.76642885869489</v>
      </c>
      <c r="AS90" s="50">
        <v>0.53172754021511115</v>
      </c>
      <c r="AT90" s="38">
        <v>330.75126536963916</v>
      </c>
      <c r="AU90" s="38">
        <v>92.985419829551262</v>
      </c>
      <c r="AV90" s="38">
        <v>0</v>
      </c>
      <c r="AW90" s="38">
        <v>0</v>
      </c>
      <c r="AX90" s="38">
        <v>423.73668519919045</v>
      </c>
      <c r="AY90" s="38">
        <v>1783.2611370159098</v>
      </c>
      <c r="AZ90" s="50">
        <v>0.23761897593319783</v>
      </c>
      <c r="BA90" s="38">
        <v>330.75126536963916</v>
      </c>
      <c r="BB90" s="38">
        <v>171.54016421711628</v>
      </c>
      <c r="BC90" s="38">
        <v>0</v>
      </c>
      <c r="BD90" s="38">
        <v>0</v>
      </c>
      <c r="BE90" s="38">
        <v>502.2914295867555</v>
      </c>
      <c r="BF90" s="38">
        <v>2553.0275658746045</v>
      </c>
      <c r="BG90" s="38">
        <v>275.3620027739691</v>
      </c>
      <c r="BH90" s="50">
        <v>0.19674344151261947</v>
      </c>
      <c r="BI90" s="38">
        <v>89.005058507204936</v>
      </c>
      <c r="BJ90" s="38">
        <v>206.19145741267675</v>
      </c>
      <c r="BK90" s="38">
        <v>0</v>
      </c>
      <c r="BL90" s="38">
        <v>118.1665762896918</v>
      </c>
      <c r="BM90" s="38">
        <v>413.36309220957349</v>
      </c>
      <c r="BN90" s="38">
        <v>330.75126536963916</v>
      </c>
      <c r="BO90" s="38">
        <v>0</v>
      </c>
      <c r="BP90" s="38">
        <v>171.54016421711628</v>
      </c>
      <c r="BQ90" s="38">
        <v>0</v>
      </c>
      <c r="BR90" s="38">
        <v>0</v>
      </c>
      <c r="BS90" s="38">
        <v>0</v>
      </c>
      <c r="BT90" s="38">
        <v>0</v>
      </c>
      <c r="BU90" s="38">
        <v>0</v>
      </c>
      <c r="BV90" s="38">
        <v>70.64612728720337</v>
      </c>
      <c r="BW90" s="38">
        <v>0</v>
      </c>
      <c r="BX90" s="38">
        <v>2915.6094150184554</v>
      </c>
      <c r="BY90" s="38">
        <v>659.38999118263303</v>
      </c>
      <c r="BZ90" s="38">
        <v>0</v>
      </c>
      <c r="CA90" s="38">
        <v>0</v>
      </c>
      <c r="CB90" s="38">
        <v>572.9375568739589</v>
      </c>
      <c r="CC90" s="38">
        <v>3574.9994062010883</v>
      </c>
      <c r="CD90" s="50">
        <v>0.16026228029021722</v>
      </c>
      <c r="CE90" s="38">
        <v>385.3600457829516</v>
      </c>
      <c r="CF90" s="38">
        <v>6.0456538030357292</v>
      </c>
      <c r="CG90" s="38">
        <v>0</v>
      </c>
      <c r="CH90" s="38">
        <v>6.0456538030357292</v>
      </c>
      <c r="CI90" s="38">
        <v>0.30227901662635775</v>
      </c>
      <c r="CJ90" s="38">
        <v>0</v>
      </c>
      <c r="CK90" s="38">
        <v>0.30227901662635775</v>
      </c>
      <c r="CL90" s="38"/>
      <c r="CM90" s="38">
        <v>0</v>
      </c>
      <c r="CN90" s="38"/>
      <c r="CO90" s="38">
        <v>0</v>
      </c>
      <c r="CP90" s="38">
        <v>0</v>
      </c>
      <c r="CQ90" s="38">
        <v>0</v>
      </c>
      <c r="CR90" s="38">
        <v>0</v>
      </c>
      <c r="CS90" s="38">
        <v>0</v>
      </c>
      <c r="CT90" s="38">
        <v>0</v>
      </c>
      <c r="CU90" s="38">
        <v>0</v>
      </c>
      <c r="CV90" s="38">
        <v>9999</v>
      </c>
      <c r="CW90" s="49">
        <v>9999</v>
      </c>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row>
    <row r="91" spans="1:131">
      <c r="A91" s="27" t="s">
        <v>6390</v>
      </c>
      <c r="B91" s="27"/>
      <c r="C91" s="38">
        <v>25</v>
      </c>
      <c r="D91" s="38">
        <v>348.81230203688159</v>
      </c>
      <c r="E91" s="38">
        <v>0</v>
      </c>
      <c r="F91" s="38">
        <v>2687.9999999999995</v>
      </c>
      <c r="G91" s="38">
        <v>0</v>
      </c>
      <c r="H91" s="38">
        <v>0</v>
      </c>
      <c r="I91" s="38"/>
      <c r="J91" s="38"/>
      <c r="K91" s="38"/>
      <c r="L91" s="38">
        <v>375.72434346075732</v>
      </c>
      <c r="M91" s="38">
        <v>0.13125750036261122</v>
      </c>
      <c r="N91" s="38">
        <v>0.130310142586577</v>
      </c>
      <c r="O91" s="38">
        <v>0</v>
      </c>
      <c r="P91" s="38">
        <v>0</v>
      </c>
      <c r="Q91" s="38">
        <v>0</v>
      </c>
      <c r="R91" s="38">
        <v>466.30979919034849</v>
      </c>
      <c r="S91" s="38">
        <v>1077.5710206088108</v>
      </c>
      <c r="T91" s="38">
        <v>0</v>
      </c>
      <c r="U91" s="38">
        <v>833.2126187935196</v>
      </c>
      <c r="V91" s="38">
        <v>161.27999999999997</v>
      </c>
      <c r="W91" s="38">
        <v>376.31999999999994</v>
      </c>
      <c r="X91" s="38">
        <v>0</v>
      </c>
      <c r="Y91" s="38">
        <v>0</v>
      </c>
      <c r="Z91" s="38">
        <v>0</v>
      </c>
      <c r="AA91" s="38">
        <v>0</v>
      </c>
      <c r="AB91" s="38">
        <v>0</v>
      </c>
      <c r="AC91" s="38">
        <v>0</v>
      </c>
      <c r="AD91" s="38">
        <v>0</v>
      </c>
      <c r="AE91" s="38">
        <v>0</v>
      </c>
      <c r="AF91" s="38">
        <v>0</v>
      </c>
      <c r="AG91" s="38">
        <v>0</v>
      </c>
      <c r="AH91" s="38">
        <v>627.58979919034846</v>
      </c>
      <c r="AI91" s="38">
        <v>1453.8910206088108</v>
      </c>
      <c r="AJ91" s="38">
        <v>0</v>
      </c>
      <c r="AK91" s="38">
        <v>833.2126187935196</v>
      </c>
      <c r="AL91" s="38">
        <v>2914.6934385926788</v>
      </c>
      <c r="AM91" s="38">
        <v>195.27941146219325</v>
      </c>
      <c r="AN91" s="38">
        <v>46.379638893967609</v>
      </c>
      <c r="AO91" s="38">
        <v>0</v>
      </c>
      <c r="AP91" s="38">
        <v>0</v>
      </c>
      <c r="AQ91" s="38">
        <v>241.65905035616086</v>
      </c>
      <c r="AR91" s="38">
        <v>627.58979919034846</v>
      </c>
      <c r="AS91" s="50">
        <v>0.38505892012254567</v>
      </c>
      <c r="AT91" s="38">
        <v>195.27941146219325</v>
      </c>
      <c r="AU91" s="38">
        <v>54.899678278136427</v>
      </c>
      <c r="AV91" s="38">
        <v>0</v>
      </c>
      <c r="AW91" s="38">
        <v>0</v>
      </c>
      <c r="AX91" s="38">
        <v>250.17908974032969</v>
      </c>
      <c r="AY91" s="38">
        <v>1453.8910206088108</v>
      </c>
      <c r="AZ91" s="50">
        <v>0.17207554499894237</v>
      </c>
      <c r="BA91" s="38">
        <v>195.27941146219325</v>
      </c>
      <c r="BB91" s="38">
        <v>101.27931717210404</v>
      </c>
      <c r="BC91" s="38">
        <v>0</v>
      </c>
      <c r="BD91" s="38">
        <v>0</v>
      </c>
      <c r="BE91" s="38">
        <v>296.55872863429727</v>
      </c>
      <c r="BF91" s="38">
        <v>2081.4808197991592</v>
      </c>
      <c r="BG91" s="38">
        <v>387.80210838773621</v>
      </c>
      <c r="BH91" s="50">
        <v>0.14247487933273967</v>
      </c>
      <c r="BI91" s="38">
        <v>122.90701072884229</v>
      </c>
      <c r="BJ91" s="38">
        <v>284.7296108048065</v>
      </c>
      <c r="BK91" s="38">
        <v>0</v>
      </c>
      <c r="BL91" s="38">
        <v>163.17612620469245</v>
      </c>
      <c r="BM91" s="38">
        <v>570.81274773834127</v>
      </c>
      <c r="BN91" s="38">
        <v>195.27941146219325</v>
      </c>
      <c r="BO91" s="38">
        <v>0</v>
      </c>
      <c r="BP91" s="38">
        <v>101.27931717210404</v>
      </c>
      <c r="BQ91" s="38">
        <v>0</v>
      </c>
      <c r="BR91" s="38">
        <v>0</v>
      </c>
      <c r="BS91" s="38">
        <v>0</v>
      </c>
      <c r="BT91" s="38">
        <v>0</v>
      </c>
      <c r="BU91" s="38">
        <v>0</v>
      </c>
      <c r="BV91" s="38">
        <v>42.501918428301174</v>
      </c>
      <c r="BW91" s="38">
        <v>0</v>
      </c>
      <c r="BX91" s="38">
        <v>2377.0934385926789</v>
      </c>
      <c r="BY91" s="38">
        <v>537.59999999999991</v>
      </c>
      <c r="BZ91" s="38">
        <v>0</v>
      </c>
      <c r="CA91" s="38">
        <v>0</v>
      </c>
      <c r="CB91" s="38">
        <v>339.06064706259843</v>
      </c>
      <c r="CC91" s="38">
        <v>2914.6934385926788</v>
      </c>
      <c r="CD91" s="50">
        <v>0.11632806475397611</v>
      </c>
      <c r="CE91" s="38">
        <v>542.6546707757401</v>
      </c>
      <c r="CF91" s="38">
        <v>3.5694246407238639</v>
      </c>
      <c r="CG91" s="38">
        <v>0</v>
      </c>
      <c r="CH91" s="38">
        <v>3.5694246407238639</v>
      </c>
      <c r="CI91" s="38">
        <v>0.17846906314385977</v>
      </c>
      <c r="CJ91" s="38">
        <v>0</v>
      </c>
      <c r="CK91" s="38">
        <v>0.17846906314385977</v>
      </c>
      <c r="CL91" s="38"/>
      <c r="CM91" s="38">
        <v>0</v>
      </c>
      <c r="CN91" s="38"/>
      <c r="CO91" s="38">
        <v>0</v>
      </c>
      <c r="CP91" s="38">
        <v>0</v>
      </c>
      <c r="CQ91" s="38">
        <v>0</v>
      </c>
      <c r="CR91" s="38">
        <v>0</v>
      </c>
      <c r="CS91" s="38">
        <v>0</v>
      </c>
      <c r="CT91" s="38">
        <v>0</v>
      </c>
      <c r="CU91" s="38">
        <v>0</v>
      </c>
      <c r="CV91" s="38">
        <v>9999</v>
      </c>
      <c r="CW91" s="49">
        <v>9999</v>
      </c>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row>
    <row r="92" spans="1:131">
      <c r="A92" s="27" t="s">
        <v>6421</v>
      </c>
      <c r="B92" s="27"/>
      <c r="C92" s="38">
        <v>25.000000000000004</v>
      </c>
      <c r="D92" s="38">
        <v>341.22102955570085</v>
      </c>
      <c r="E92" s="38">
        <v>0</v>
      </c>
      <c r="F92" s="38">
        <v>2687.9999999999995</v>
      </c>
      <c r="G92" s="38">
        <v>0</v>
      </c>
      <c r="H92" s="38">
        <v>0</v>
      </c>
      <c r="I92" s="38"/>
      <c r="J92" s="38"/>
      <c r="K92" s="38"/>
      <c r="L92" s="38">
        <v>367.54737879417922</v>
      </c>
      <c r="M92" s="38">
        <v>0.12840091690889488</v>
      </c>
      <c r="N92" s="38">
        <v>0.12747417667121308</v>
      </c>
      <c r="O92" s="38">
        <v>0</v>
      </c>
      <c r="P92" s="38">
        <v>0</v>
      </c>
      <c r="Q92" s="38">
        <v>0</v>
      </c>
      <c r="R92" s="38">
        <v>466.30979919034849</v>
      </c>
      <c r="S92" s="38">
        <v>1077.5710206088108</v>
      </c>
      <c r="T92" s="38">
        <v>0</v>
      </c>
      <c r="U92" s="38">
        <v>833.2126187935196</v>
      </c>
      <c r="V92" s="38">
        <v>161.27999999999997</v>
      </c>
      <c r="W92" s="38">
        <v>376.31999999999994</v>
      </c>
      <c r="X92" s="38">
        <v>0</v>
      </c>
      <c r="Y92" s="38">
        <v>0</v>
      </c>
      <c r="Z92" s="38">
        <v>0</v>
      </c>
      <c r="AA92" s="38">
        <v>0</v>
      </c>
      <c r="AB92" s="38">
        <v>0</v>
      </c>
      <c r="AC92" s="38">
        <v>0</v>
      </c>
      <c r="AD92" s="38">
        <v>0</v>
      </c>
      <c r="AE92" s="38">
        <v>0</v>
      </c>
      <c r="AF92" s="38">
        <v>0</v>
      </c>
      <c r="AG92" s="38">
        <v>0</v>
      </c>
      <c r="AH92" s="38">
        <v>627.58979919034846</v>
      </c>
      <c r="AI92" s="38">
        <v>1453.8910206088108</v>
      </c>
      <c r="AJ92" s="38">
        <v>0</v>
      </c>
      <c r="AK92" s="38">
        <v>833.2126187935196</v>
      </c>
      <c r="AL92" s="38">
        <v>2914.6934385926788</v>
      </c>
      <c r="AM92" s="38">
        <v>191.02950624463753</v>
      </c>
      <c r="AN92" s="38">
        <v>45.370269458408977</v>
      </c>
      <c r="AO92" s="38">
        <v>0</v>
      </c>
      <c r="AP92" s="38">
        <v>0</v>
      </c>
      <c r="AQ92" s="38">
        <v>236.39977570304652</v>
      </c>
      <c r="AR92" s="38">
        <v>627.58979919034846</v>
      </c>
      <c r="AS92" s="50">
        <v>0.37667880518138613</v>
      </c>
      <c r="AT92" s="38">
        <v>191.02950624463753</v>
      </c>
      <c r="AU92" s="38">
        <v>53.704885507053412</v>
      </c>
      <c r="AV92" s="38">
        <v>0</v>
      </c>
      <c r="AW92" s="38">
        <v>0</v>
      </c>
      <c r="AX92" s="38">
        <v>244.73439175169094</v>
      </c>
      <c r="AY92" s="38">
        <v>1453.8910206088108</v>
      </c>
      <c r="AZ92" s="50">
        <v>0.16833063020721417</v>
      </c>
      <c r="BA92" s="38">
        <v>191.02950624463753</v>
      </c>
      <c r="BB92" s="38">
        <v>99.075154965462389</v>
      </c>
      <c r="BC92" s="38">
        <v>0</v>
      </c>
      <c r="BD92" s="38">
        <v>0</v>
      </c>
      <c r="BE92" s="38">
        <v>290.10466121009989</v>
      </c>
      <c r="BF92" s="38">
        <v>2081.4808197991592</v>
      </c>
      <c r="BG92" s="38">
        <v>396.87095350375722</v>
      </c>
      <c r="BH92" s="50">
        <v>0.13937416979806325</v>
      </c>
      <c r="BI92" s="38">
        <v>125.64136918706782</v>
      </c>
      <c r="BJ92" s="38">
        <v>291.06409746260204</v>
      </c>
      <c r="BK92" s="38">
        <v>0</v>
      </c>
      <c r="BL92" s="38">
        <v>166.80636680872638</v>
      </c>
      <c r="BM92" s="38">
        <v>583.51183345839627</v>
      </c>
      <c r="BN92" s="38">
        <v>191.02950624463753</v>
      </c>
      <c r="BO92" s="38">
        <v>0</v>
      </c>
      <c r="BP92" s="38">
        <v>99.075154965462389</v>
      </c>
      <c r="BQ92" s="38">
        <v>0</v>
      </c>
      <c r="BR92" s="38">
        <v>0</v>
      </c>
      <c r="BS92" s="38">
        <v>0</v>
      </c>
      <c r="BT92" s="38">
        <v>0</v>
      </c>
      <c r="BU92" s="38">
        <v>0</v>
      </c>
      <c r="BV92" s="38">
        <v>41.104577817506403</v>
      </c>
      <c r="BW92" s="38">
        <v>0</v>
      </c>
      <c r="BX92" s="38">
        <v>2377.0934385926789</v>
      </c>
      <c r="BY92" s="38">
        <v>537.59999999999991</v>
      </c>
      <c r="BZ92" s="38">
        <v>0</v>
      </c>
      <c r="CA92" s="38">
        <v>0</v>
      </c>
      <c r="CB92" s="38">
        <v>331.20923902760637</v>
      </c>
      <c r="CC92" s="38">
        <v>2914.6934385926788</v>
      </c>
      <c r="CD92" s="50">
        <v>0.11363433102162757</v>
      </c>
      <c r="CE92" s="38">
        <v>555.44832193884758</v>
      </c>
      <c r="CF92" s="38">
        <v>3.4917425323505462</v>
      </c>
      <c r="CG92" s="38">
        <v>0</v>
      </c>
      <c r="CH92" s="38">
        <v>3.4917425323505462</v>
      </c>
      <c r="CI92" s="38">
        <v>0.17458500492723517</v>
      </c>
      <c r="CJ92" s="38">
        <v>0</v>
      </c>
      <c r="CK92" s="38">
        <v>0.17458500492723517</v>
      </c>
      <c r="CL92" s="38"/>
      <c r="CM92" s="38">
        <v>0</v>
      </c>
      <c r="CN92" s="38"/>
      <c r="CO92" s="38">
        <v>0</v>
      </c>
      <c r="CP92" s="38">
        <v>0</v>
      </c>
      <c r="CQ92" s="38">
        <v>0</v>
      </c>
      <c r="CR92" s="38">
        <v>0</v>
      </c>
      <c r="CS92" s="38">
        <v>0</v>
      </c>
      <c r="CT92" s="38">
        <v>0</v>
      </c>
      <c r="CU92" s="38">
        <v>0</v>
      </c>
      <c r="CV92" s="38">
        <v>9999</v>
      </c>
      <c r="CW92" s="49">
        <v>9999</v>
      </c>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row>
    <row r="93" spans="1:131">
      <c r="A93" s="27" t="s">
        <v>5812</v>
      </c>
      <c r="B93" s="27"/>
      <c r="C93" s="38">
        <v>25</v>
      </c>
      <c r="D93" s="38">
        <v>408.16958662492357</v>
      </c>
      <c r="E93" s="38">
        <v>0</v>
      </c>
      <c r="F93" s="38">
        <v>3967.9999999999968</v>
      </c>
      <c r="G93" s="38">
        <v>0</v>
      </c>
      <c r="H93" s="38">
        <v>0</v>
      </c>
      <c r="I93" s="38"/>
      <c r="J93" s="38"/>
      <c r="K93" s="38"/>
      <c r="L93" s="38">
        <v>440.16223485965639</v>
      </c>
      <c r="M93" s="38">
        <v>0.23016913529853145</v>
      </c>
      <c r="N93" s="38">
        <v>0.22850787769781725</v>
      </c>
      <c r="O93" s="38">
        <v>0</v>
      </c>
      <c r="P93" s="38">
        <v>0</v>
      </c>
      <c r="Q93" s="38">
        <v>0</v>
      </c>
      <c r="R93" s="38">
        <v>688.36208451908544</v>
      </c>
      <c r="S93" s="38">
        <v>1590.7000780415769</v>
      </c>
      <c r="T93" s="38">
        <v>0</v>
      </c>
      <c r="U93" s="38">
        <v>1229.9805325047187</v>
      </c>
      <c r="V93" s="38">
        <v>238.07999999999981</v>
      </c>
      <c r="W93" s="38">
        <v>555.51999999999953</v>
      </c>
      <c r="X93" s="38">
        <v>0</v>
      </c>
      <c r="Y93" s="38">
        <v>0</v>
      </c>
      <c r="Z93" s="38">
        <v>0</v>
      </c>
      <c r="AA93" s="38">
        <v>0</v>
      </c>
      <c r="AB93" s="38">
        <v>0</v>
      </c>
      <c r="AC93" s="38">
        <v>0</v>
      </c>
      <c r="AD93" s="38">
        <v>0</v>
      </c>
      <c r="AE93" s="38">
        <v>0</v>
      </c>
      <c r="AF93" s="38">
        <v>0</v>
      </c>
      <c r="AG93" s="38">
        <v>0</v>
      </c>
      <c r="AH93" s="38">
        <v>926.44208451908526</v>
      </c>
      <c r="AI93" s="38">
        <v>2146.2200780415765</v>
      </c>
      <c r="AJ93" s="38">
        <v>0</v>
      </c>
      <c r="AK93" s="38">
        <v>1229.9805325047187</v>
      </c>
      <c r="AL93" s="38">
        <v>4302.6426950653804</v>
      </c>
      <c r="AM93" s="38">
        <v>231.84532833419195</v>
      </c>
      <c r="AN93" s="38">
        <v>81.329915244397654</v>
      </c>
      <c r="AO93" s="38">
        <v>0</v>
      </c>
      <c r="AP93" s="38">
        <v>0</v>
      </c>
      <c r="AQ93" s="38">
        <v>313.17524357858963</v>
      </c>
      <c r="AR93" s="38">
        <v>926.44208451908526</v>
      </c>
      <c r="AS93" s="50">
        <v>0.33804082177587869</v>
      </c>
      <c r="AT93" s="38">
        <v>231.84532833419195</v>
      </c>
      <c r="AU93" s="38">
        <v>96.270395539588264</v>
      </c>
      <c r="AV93" s="38">
        <v>0</v>
      </c>
      <c r="AW93" s="38">
        <v>0</v>
      </c>
      <c r="AX93" s="38">
        <v>328.11572387378021</v>
      </c>
      <c r="AY93" s="38">
        <v>2146.2200780415765</v>
      </c>
      <c r="AZ93" s="50">
        <v>0.15288074472455102</v>
      </c>
      <c r="BA93" s="38">
        <v>231.84532833419195</v>
      </c>
      <c r="BB93" s="38">
        <v>177.60031078398592</v>
      </c>
      <c r="BC93" s="38">
        <v>0</v>
      </c>
      <c r="BD93" s="38">
        <v>0</v>
      </c>
      <c r="BE93" s="38">
        <v>409.44563911817784</v>
      </c>
      <c r="BF93" s="38">
        <v>3072.6621625606617</v>
      </c>
      <c r="BG93" s="38">
        <v>483.96636851703289</v>
      </c>
      <c r="BH93" s="50">
        <v>0.13325436297785451</v>
      </c>
      <c r="BI93" s="38">
        <v>154.87296446219023</v>
      </c>
      <c r="BJ93" s="38">
        <v>358.78277922479754</v>
      </c>
      <c r="BK93" s="38">
        <v>0</v>
      </c>
      <c r="BL93" s="38">
        <v>205.6153692528687</v>
      </c>
      <c r="BM93" s="38">
        <v>719.27111293985649</v>
      </c>
      <c r="BN93" s="38">
        <v>231.84532833419195</v>
      </c>
      <c r="BO93" s="38">
        <v>0</v>
      </c>
      <c r="BP93" s="38">
        <v>177.60031078398592</v>
      </c>
      <c r="BQ93" s="38">
        <v>0</v>
      </c>
      <c r="BR93" s="38">
        <v>0</v>
      </c>
      <c r="BS93" s="38">
        <v>0</v>
      </c>
      <c r="BT93" s="38">
        <v>0</v>
      </c>
      <c r="BU93" s="38">
        <v>0</v>
      </c>
      <c r="BV93" s="38">
        <v>63.652375338069156</v>
      </c>
      <c r="BW93" s="38">
        <v>0</v>
      </c>
      <c r="BX93" s="38">
        <v>3509.0426950653809</v>
      </c>
      <c r="BY93" s="38">
        <v>793.59999999999945</v>
      </c>
      <c r="BZ93" s="38">
        <v>0</v>
      </c>
      <c r="CA93" s="38">
        <v>0</v>
      </c>
      <c r="CB93" s="38">
        <v>473.09801445624703</v>
      </c>
      <c r="CC93" s="38">
        <v>4302.6426950653804</v>
      </c>
      <c r="CD93" s="50">
        <v>0.10995521775462187</v>
      </c>
      <c r="CE93" s="38">
        <v>678.94099483691605</v>
      </c>
      <c r="CF93" s="38">
        <v>4.1815679058488211</v>
      </c>
      <c r="CG93" s="38">
        <v>0</v>
      </c>
      <c r="CH93" s="38">
        <v>4.1815679058488211</v>
      </c>
      <c r="CI93" s="38">
        <v>0.20907706155833677</v>
      </c>
      <c r="CJ93" s="38">
        <v>0</v>
      </c>
      <c r="CK93" s="38">
        <v>0.20907706155833677</v>
      </c>
      <c r="CL93" s="38"/>
      <c r="CM93" s="38">
        <v>0</v>
      </c>
      <c r="CN93" s="38"/>
      <c r="CO93" s="38">
        <v>0</v>
      </c>
      <c r="CP93" s="38">
        <v>0</v>
      </c>
      <c r="CQ93" s="38">
        <v>0</v>
      </c>
      <c r="CR93" s="38">
        <v>0</v>
      </c>
      <c r="CS93" s="38">
        <v>0</v>
      </c>
      <c r="CT93" s="38">
        <v>0</v>
      </c>
      <c r="CU93" s="38">
        <v>0</v>
      </c>
      <c r="CV93" s="38">
        <v>9999</v>
      </c>
      <c r="CW93" s="49">
        <v>9999</v>
      </c>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row>
    <row r="94" spans="1:131">
      <c r="A94" s="27" t="s">
        <v>6422</v>
      </c>
      <c r="B94" s="27"/>
      <c r="C94" s="38">
        <v>25</v>
      </c>
      <c r="D94" s="38">
        <v>245.51686019655438</v>
      </c>
      <c r="E94" s="38">
        <v>0</v>
      </c>
      <c r="F94" s="38">
        <v>2687.9999999999973</v>
      </c>
      <c r="G94" s="38">
        <v>0</v>
      </c>
      <c r="H94" s="38">
        <v>0</v>
      </c>
      <c r="I94" s="38"/>
      <c r="J94" s="38"/>
      <c r="K94" s="38"/>
      <c r="L94" s="38">
        <v>264.76066179606534</v>
      </c>
      <c r="M94" s="38">
        <v>0.13844834417949925</v>
      </c>
      <c r="N94" s="38">
        <v>0.13744908611748247</v>
      </c>
      <c r="O94" s="38">
        <v>0</v>
      </c>
      <c r="P94" s="38">
        <v>0</v>
      </c>
      <c r="Q94" s="38">
        <v>0</v>
      </c>
      <c r="R94" s="38">
        <v>466.30979919034803</v>
      </c>
      <c r="S94" s="38">
        <v>1077.5710206088099</v>
      </c>
      <c r="T94" s="38">
        <v>0</v>
      </c>
      <c r="U94" s="38">
        <v>833.21261879351891</v>
      </c>
      <c r="V94" s="38">
        <v>161.27999999999983</v>
      </c>
      <c r="W94" s="38">
        <v>376.3199999999996</v>
      </c>
      <c r="X94" s="38">
        <v>0</v>
      </c>
      <c r="Y94" s="38">
        <v>0</v>
      </c>
      <c r="Z94" s="38">
        <v>0</v>
      </c>
      <c r="AA94" s="38">
        <v>0</v>
      </c>
      <c r="AB94" s="38">
        <v>0</v>
      </c>
      <c r="AC94" s="38">
        <v>0</v>
      </c>
      <c r="AD94" s="38">
        <v>0</v>
      </c>
      <c r="AE94" s="38">
        <v>0</v>
      </c>
      <c r="AF94" s="38">
        <v>0</v>
      </c>
      <c r="AG94" s="38">
        <v>0</v>
      </c>
      <c r="AH94" s="38">
        <v>627.58979919034789</v>
      </c>
      <c r="AI94" s="38">
        <v>1453.8910206088094</v>
      </c>
      <c r="AJ94" s="38">
        <v>0</v>
      </c>
      <c r="AK94" s="38">
        <v>833.21261879351891</v>
      </c>
      <c r="AL94" s="38">
        <v>2914.6934385926761</v>
      </c>
      <c r="AM94" s="38">
        <v>139.45658601006187</v>
      </c>
      <c r="AN94" s="38">
        <v>48.920512662314856</v>
      </c>
      <c r="AO94" s="38">
        <v>0</v>
      </c>
      <c r="AP94" s="38">
        <v>0</v>
      </c>
      <c r="AQ94" s="38">
        <v>188.37709867237672</v>
      </c>
      <c r="AR94" s="38">
        <v>627.58979919034789</v>
      </c>
      <c r="AS94" s="50">
        <v>0.30015959296247574</v>
      </c>
      <c r="AT94" s="38">
        <v>139.45658601006187</v>
      </c>
      <c r="AU94" s="38">
        <v>57.907316020778772</v>
      </c>
      <c r="AV94" s="38">
        <v>0</v>
      </c>
      <c r="AW94" s="38">
        <v>0</v>
      </c>
      <c r="AX94" s="38">
        <v>197.36390203084065</v>
      </c>
      <c r="AY94" s="38">
        <v>1453.8910206088094</v>
      </c>
      <c r="AZ94" s="50">
        <v>0.13574875918017262</v>
      </c>
      <c r="BA94" s="38">
        <v>139.45658601006187</v>
      </c>
      <c r="BB94" s="38">
        <v>106.82782868309363</v>
      </c>
      <c r="BC94" s="38">
        <v>0</v>
      </c>
      <c r="BD94" s="38">
        <v>0</v>
      </c>
      <c r="BE94" s="38">
        <v>246.2844146931555</v>
      </c>
      <c r="BF94" s="38">
        <v>2081.4808197991574</v>
      </c>
      <c r="BG94" s="38">
        <v>548.79158554868684</v>
      </c>
      <c r="BH94" s="50">
        <v>0.11832173150503474</v>
      </c>
      <c r="BI94" s="38">
        <v>174.41849404496679</v>
      </c>
      <c r="BJ94" s="38">
        <v>404.06246667367498</v>
      </c>
      <c r="BK94" s="38">
        <v>0</v>
      </c>
      <c r="BL94" s="38">
        <v>231.56477427886091</v>
      </c>
      <c r="BM94" s="38">
        <v>810.04573499750268</v>
      </c>
      <c r="BN94" s="38">
        <v>139.45658601006187</v>
      </c>
      <c r="BO94" s="38">
        <v>0</v>
      </c>
      <c r="BP94" s="38">
        <v>106.82782868309363</v>
      </c>
      <c r="BQ94" s="38">
        <v>0</v>
      </c>
      <c r="BR94" s="38">
        <v>0</v>
      </c>
      <c r="BS94" s="38">
        <v>0</v>
      </c>
      <c r="BT94" s="38">
        <v>0</v>
      </c>
      <c r="BU94" s="38">
        <v>0</v>
      </c>
      <c r="BV94" s="38">
        <v>41.144080185250381</v>
      </c>
      <c r="BW94" s="38">
        <v>0</v>
      </c>
      <c r="BX94" s="38">
        <v>2377.0934385926766</v>
      </c>
      <c r="BY94" s="38">
        <v>537.59999999999945</v>
      </c>
      <c r="BZ94" s="38">
        <v>0</v>
      </c>
      <c r="CA94" s="38">
        <v>0</v>
      </c>
      <c r="CB94" s="38">
        <v>287.4284948784059</v>
      </c>
      <c r="CC94" s="38">
        <v>2914.6934385926761</v>
      </c>
      <c r="CD94" s="50">
        <v>9.86136281341434E-2</v>
      </c>
      <c r="CE94" s="38">
        <v>768.92167985978085</v>
      </c>
      <c r="CF94" s="38">
        <v>2.5152423320703994</v>
      </c>
      <c r="CG94" s="38">
        <v>0</v>
      </c>
      <c r="CH94" s="38">
        <v>2.5152423320703994</v>
      </c>
      <c r="CI94" s="38">
        <v>0.12576131435313101</v>
      </c>
      <c r="CJ94" s="38">
        <v>0</v>
      </c>
      <c r="CK94" s="38">
        <v>0.12576131435313101</v>
      </c>
      <c r="CL94" s="38"/>
      <c r="CM94" s="38">
        <v>0</v>
      </c>
      <c r="CN94" s="38"/>
      <c r="CO94" s="38">
        <v>0</v>
      </c>
      <c r="CP94" s="38">
        <v>0</v>
      </c>
      <c r="CQ94" s="38">
        <v>0</v>
      </c>
      <c r="CR94" s="38">
        <v>0</v>
      </c>
      <c r="CS94" s="38">
        <v>0</v>
      </c>
      <c r="CT94" s="38">
        <v>0</v>
      </c>
      <c r="CU94" s="38">
        <v>0</v>
      </c>
      <c r="CV94" s="38">
        <v>9999</v>
      </c>
      <c r="CW94" s="49">
        <v>9999</v>
      </c>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row>
    <row r="95" spans="1:131">
      <c r="A95" s="27" t="s">
        <v>6388</v>
      </c>
      <c r="B95" s="27"/>
      <c r="C95" s="38">
        <v>25</v>
      </c>
      <c r="D95" s="38">
        <v>338.94203757324567</v>
      </c>
      <c r="E95" s="38">
        <v>0</v>
      </c>
      <c r="F95" s="38">
        <v>4223.9999999999964</v>
      </c>
      <c r="G95" s="38">
        <v>0</v>
      </c>
      <c r="H95" s="38">
        <v>0</v>
      </c>
      <c r="I95" s="38"/>
      <c r="J95" s="38"/>
      <c r="K95" s="38"/>
      <c r="L95" s="38">
        <v>365.50857691222126</v>
      </c>
      <c r="M95" s="38">
        <v>0.19113132938110153</v>
      </c>
      <c r="N95" s="38">
        <v>0.18975182915724595</v>
      </c>
      <c r="O95" s="38">
        <v>0</v>
      </c>
      <c r="P95" s="38">
        <v>0</v>
      </c>
      <c r="Q95" s="38">
        <v>0</v>
      </c>
      <c r="R95" s="38">
        <v>732.77254158483288</v>
      </c>
      <c r="S95" s="38">
        <v>1693.3258895281301</v>
      </c>
      <c r="T95" s="38">
        <v>0</v>
      </c>
      <c r="U95" s="38">
        <v>1309.3341152469584</v>
      </c>
      <c r="V95" s="38">
        <v>253.4399999999998</v>
      </c>
      <c r="W95" s="38">
        <v>591.35999999999945</v>
      </c>
      <c r="X95" s="38">
        <v>0</v>
      </c>
      <c r="Y95" s="38">
        <v>0</v>
      </c>
      <c r="Z95" s="38">
        <v>0</v>
      </c>
      <c r="AA95" s="38">
        <v>0</v>
      </c>
      <c r="AB95" s="38">
        <v>0</v>
      </c>
      <c r="AC95" s="38">
        <v>0</v>
      </c>
      <c r="AD95" s="38">
        <v>0</v>
      </c>
      <c r="AE95" s="38">
        <v>0</v>
      </c>
      <c r="AF95" s="38">
        <v>0</v>
      </c>
      <c r="AG95" s="38">
        <v>0</v>
      </c>
      <c r="AH95" s="38">
        <v>986.21254158483271</v>
      </c>
      <c r="AI95" s="38">
        <v>2284.6858895281293</v>
      </c>
      <c r="AJ95" s="38">
        <v>0</v>
      </c>
      <c r="AK95" s="38">
        <v>1309.3341152469584</v>
      </c>
      <c r="AL95" s="38">
        <v>4580.2325463599209</v>
      </c>
      <c r="AM95" s="38">
        <v>192.5232319174236</v>
      </c>
      <c r="AN95" s="38">
        <v>67.535965666953672</v>
      </c>
      <c r="AO95" s="38">
        <v>0</v>
      </c>
      <c r="AP95" s="38">
        <v>0</v>
      </c>
      <c r="AQ95" s="38">
        <v>260.05919758437727</v>
      </c>
      <c r="AR95" s="38">
        <v>986.21254158483271</v>
      </c>
      <c r="AS95" s="50">
        <v>0.26369487977354761</v>
      </c>
      <c r="AT95" s="38">
        <v>192.5232319174236</v>
      </c>
      <c r="AU95" s="38">
        <v>79.942467766847329</v>
      </c>
      <c r="AV95" s="38">
        <v>0</v>
      </c>
      <c r="AW95" s="38">
        <v>0</v>
      </c>
      <c r="AX95" s="38">
        <v>272.46569968427093</v>
      </c>
      <c r="AY95" s="38">
        <v>2284.6858895281293</v>
      </c>
      <c r="AZ95" s="50">
        <v>0.11925740029871021</v>
      </c>
      <c r="BA95" s="38">
        <v>192.5232319174236</v>
      </c>
      <c r="BB95" s="38">
        <v>147.478433433801</v>
      </c>
      <c r="BC95" s="38">
        <v>0</v>
      </c>
      <c r="BD95" s="38">
        <v>0</v>
      </c>
      <c r="BE95" s="38">
        <v>340.00166535122457</v>
      </c>
      <c r="BF95" s="38">
        <v>3270.8984311129625</v>
      </c>
      <c r="BG95" s="38">
        <v>628.78609411091497</v>
      </c>
      <c r="BH95" s="50">
        <v>0.10394748492252476</v>
      </c>
      <c r="BI95" s="38">
        <v>198.53773506191908</v>
      </c>
      <c r="BJ95" s="38">
        <v>459.93773421895065</v>
      </c>
      <c r="BK95" s="38">
        <v>0</v>
      </c>
      <c r="BL95" s="38">
        <v>263.58641643584502</v>
      </c>
      <c r="BM95" s="38">
        <v>922.06188571671487</v>
      </c>
      <c r="BN95" s="38">
        <v>192.5232319174236</v>
      </c>
      <c r="BO95" s="38">
        <v>0</v>
      </c>
      <c r="BP95" s="38">
        <v>147.478433433801</v>
      </c>
      <c r="BQ95" s="38">
        <v>0</v>
      </c>
      <c r="BR95" s="38">
        <v>0</v>
      </c>
      <c r="BS95" s="38">
        <v>0</v>
      </c>
      <c r="BT95" s="38">
        <v>0</v>
      </c>
      <c r="BU95" s="38">
        <v>0</v>
      </c>
      <c r="BV95" s="38">
        <v>52.823898672475352</v>
      </c>
      <c r="BW95" s="38">
        <v>0</v>
      </c>
      <c r="BX95" s="38">
        <v>3735.4325463599216</v>
      </c>
      <c r="BY95" s="38">
        <v>844.79999999999927</v>
      </c>
      <c r="BZ95" s="38">
        <v>0</v>
      </c>
      <c r="CA95" s="38">
        <v>0</v>
      </c>
      <c r="CB95" s="38">
        <v>392.82556402369994</v>
      </c>
      <c r="CC95" s="38">
        <v>4580.2325463599209</v>
      </c>
      <c r="CD95" s="50">
        <v>8.5765419123946626E-2</v>
      </c>
      <c r="CE95" s="38">
        <v>881.73835537497496</v>
      </c>
      <c r="CF95" s="38">
        <v>3.4723536311922429</v>
      </c>
      <c r="CG95" s="38">
        <v>0</v>
      </c>
      <c r="CH95" s="38">
        <v>3.4723536311922429</v>
      </c>
      <c r="CI95" s="38">
        <v>0.17361657403330508</v>
      </c>
      <c r="CJ95" s="38">
        <v>0</v>
      </c>
      <c r="CK95" s="38">
        <v>0.17361657403330508</v>
      </c>
      <c r="CL95" s="38"/>
      <c r="CM95" s="38">
        <v>0</v>
      </c>
      <c r="CN95" s="38"/>
      <c r="CO95" s="38">
        <v>0</v>
      </c>
      <c r="CP95" s="38">
        <v>0</v>
      </c>
      <c r="CQ95" s="38">
        <v>0</v>
      </c>
      <c r="CR95" s="38">
        <v>0</v>
      </c>
      <c r="CS95" s="38">
        <v>0</v>
      </c>
      <c r="CT95" s="38">
        <v>0</v>
      </c>
      <c r="CU95" s="38">
        <v>0</v>
      </c>
      <c r="CV95" s="38">
        <v>9999</v>
      </c>
      <c r="CW95" s="49">
        <v>9999</v>
      </c>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row>
    <row r="96" spans="1:131">
      <c r="A96" s="27" t="s">
        <v>172</v>
      </c>
      <c r="B96" s="27"/>
      <c r="C96" s="38">
        <v>25</v>
      </c>
      <c r="D96" s="38">
        <v>242.79261621400425</v>
      </c>
      <c r="E96" s="38">
        <v>0</v>
      </c>
      <c r="F96" s="38">
        <v>3296.949955913165</v>
      </c>
      <c r="G96" s="38">
        <v>0</v>
      </c>
      <c r="H96" s="38">
        <v>0</v>
      </c>
      <c r="I96" s="38"/>
      <c r="J96" s="38"/>
      <c r="K96" s="38"/>
      <c r="L96" s="38">
        <v>261.52488255554965</v>
      </c>
      <c r="M96" s="38">
        <v>9.1362465499795931E-2</v>
      </c>
      <c r="N96" s="38">
        <v>9.0703052194729336E-2</v>
      </c>
      <c r="O96" s="38">
        <v>0</v>
      </c>
      <c r="P96" s="38">
        <v>0</v>
      </c>
      <c r="Q96" s="38">
        <v>0</v>
      </c>
      <c r="R96" s="38">
        <v>571.94943150390498</v>
      </c>
      <c r="S96" s="38">
        <v>1321.6881431880668</v>
      </c>
      <c r="T96" s="38">
        <v>0</v>
      </c>
      <c r="U96" s="38">
        <v>1021.9718403264836</v>
      </c>
      <c r="V96" s="38">
        <v>197.81699735478989</v>
      </c>
      <c r="W96" s="38">
        <v>461.57299382784311</v>
      </c>
      <c r="X96" s="38">
        <v>0</v>
      </c>
      <c r="Y96" s="38">
        <v>0</v>
      </c>
      <c r="Z96" s="38">
        <v>0</v>
      </c>
      <c r="AA96" s="38">
        <v>0</v>
      </c>
      <c r="AB96" s="38">
        <v>0</v>
      </c>
      <c r="AC96" s="38">
        <v>0</v>
      </c>
      <c r="AD96" s="38">
        <v>0</v>
      </c>
      <c r="AE96" s="38">
        <v>0</v>
      </c>
      <c r="AF96" s="38">
        <v>0</v>
      </c>
      <c r="AG96" s="38">
        <v>0</v>
      </c>
      <c r="AH96" s="38">
        <v>769.76642885869489</v>
      </c>
      <c r="AI96" s="38">
        <v>1783.2611370159098</v>
      </c>
      <c r="AJ96" s="38">
        <v>0</v>
      </c>
      <c r="AK96" s="38">
        <v>1021.9718403264836</v>
      </c>
      <c r="AL96" s="38">
        <v>3574.9994062010883</v>
      </c>
      <c r="AM96" s="38">
        <v>135.92524955333639</v>
      </c>
      <c r="AN96" s="38">
        <v>32.282788767400028</v>
      </c>
      <c r="AO96" s="38">
        <v>0</v>
      </c>
      <c r="AP96" s="38">
        <v>0</v>
      </c>
      <c r="AQ96" s="38">
        <v>168.20803832073642</v>
      </c>
      <c r="AR96" s="38">
        <v>769.76642885869489</v>
      </c>
      <c r="AS96" s="50">
        <v>0.21851828296816275</v>
      </c>
      <c r="AT96" s="38">
        <v>135.92524955333639</v>
      </c>
      <c r="AU96" s="38">
        <v>38.213206474141273</v>
      </c>
      <c r="AV96" s="38">
        <v>0</v>
      </c>
      <c r="AW96" s="38">
        <v>0</v>
      </c>
      <c r="AX96" s="38">
        <v>174.13845602747767</v>
      </c>
      <c r="AY96" s="38">
        <v>1783.2611370159098</v>
      </c>
      <c r="AZ96" s="50">
        <v>9.7651685674527242E-2</v>
      </c>
      <c r="BA96" s="38">
        <v>135.92524955333639</v>
      </c>
      <c r="BB96" s="38">
        <v>70.495995241541294</v>
      </c>
      <c r="BC96" s="38">
        <v>0</v>
      </c>
      <c r="BD96" s="38">
        <v>0</v>
      </c>
      <c r="BE96" s="38">
        <v>206.42124479487771</v>
      </c>
      <c r="BF96" s="38">
        <v>2553.0275658746045</v>
      </c>
      <c r="BG96" s="38">
        <v>698.47662841206227</v>
      </c>
      <c r="BH96" s="50">
        <v>8.0853511945595799E-2</v>
      </c>
      <c r="BI96" s="38">
        <v>216.57886097170825</v>
      </c>
      <c r="BJ96" s="38">
        <v>501.73228058626654</v>
      </c>
      <c r="BK96" s="38">
        <v>0</v>
      </c>
      <c r="BL96" s="38">
        <v>287.5385166526936</v>
      </c>
      <c r="BM96" s="38">
        <v>1005.8496582106685</v>
      </c>
      <c r="BN96" s="38">
        <v>135.92524955333639</v>
      </c>
      <c r="BO96" s="38">
        <v>0</v>
      </c>
      <c r="BP96" s="38">
        <v>70.495995241541294</v>
      </c>
      <c r="BQ96" s="38">
        <v>0</v>
      </c>
      <c r="BR96" s="38">
        <v>0</v>
      </c>
      <c r="BS96" s="38">
        <v>0</v>
      </c>
      <c r="BT96" s="38">
        <v>0</v>
      </c>
      <c r="BU96" s="38">
        <v>0</v>
      </c>
      <c r="BV96" s="38">
        <v>32.307973801607787</v>
      </c>
      <c r="BW96" s="38">
        <v>0</v>
      </c>
      <c r="BX96" s="38">
        <v>2915.6094150184554</v>
      </c>
      <c r="BY96" s="38">
        <v>659.38999118263303</v>
      </c>
      <c r="BZ96" s="38">
        <v>0</v>
      </c>
      <c r="CA96" s="38">
        <v>0</v>
      </c>
      <c r="CB96" s="38">
        <v>238.72921859648545</v>
      </c>
      <c r="CC96" s="38">
        <v>3574.9994062010883</v>
      </c>
      <c r="CD96" s="50">
        <v>6.6777414894780909E-2</v>
      </c>
      <c r="CE96" s="38">
        <v>976.92508358126088</v>
      </c>
      <c r="CF96" s="38">
        <v>2.4845165776534026</v>
      </c>
      <c r="CG96" s="38">
        <v>0</v>
      </c>
      <c r="CH96" s="38">
        <v>2.4845165776534026</v>
      </c>
      <c r="CI96" s="38">
        <v>0.1242243192138861</v>
      </c>
      <c r="CJ96" s="38">
        <v>0</v>
      </c>
      <c r="CK96" s="38">
        <v>0.1242243192138861</v>
      </c>
      <c r="CL96" s="38"/>
      <c r="CM96" s="38">
        <v>0</v>
      </c>
      <c r="CN96" s="38"/>
      <c r="CO96" s="38">
        <v>0</v>
      </c>
      <c r="CP96" s="38">
        <v>0</v>
      </c>
      <c r="CQ96" s="38">
        <v>0</v>
      </c>
      <c r="CR96" s="38">
        <v>0</v>
      </c>
      <c r="CS96" s="38">
        <v>0</v>
      </c>
      <c r="CT96" s="38">
        <v>0</v>
      </c>
      <c r="CU96" s="38">
        <v>0</v>
      </c>
      <c r="CV96" s="38">
        <v>9999</v>
      </c>
      <c r="CW96" s="49">
        <v>9999</v>
      </c>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row>
    <row r="97" spans="1:131">
      <c r="A97" s="27" t="s">
        <v>6392</v>
      </c>
      <c r="B97" s="27"/>
      <c r="C97" s="38">
        <v>25</v>
      </c>
      <c r="D97" s="38">
        <v>239.94581862607487</v>
      </c>
      <c r="E97" s="38">
        <v>0</v>
      </c>
      <c r="F97" s="38">
        <v>4223.9999999999991</v>
      </c>
      <c r="G97" s="38">
        <v>0</v>
      </c>
      <c r="H97" s="38">
        <v>0</v>
      </c>
      <c r="I97" s="38"/>
      <c r="J97" s="38"/>
      <c r="K97" s="38"/>
      <c r="L97" s="38">
        <v>258.45844496592201</v>
      </c>
      <c r="M97" s="38">
        <v>9.0291220210429929E-2</v>
      </c>
      <c r="N97" s="38">
        <v>8.9639538673468896E-2</v>
      </c>
      <c r="O97" s="38">
        <v>0</v>
      </c>
      <c r="P97" s="38">
        <v>0</v>
      </c>
      <c r="Q97" s="38">
        <v>0</v>
      </c>
      <c r="R97" s="38">
        <v>732.77254158483333</v>
      </c>
      <c r="S97" s="38">
        <v>1693.325889528131</v>
      </c>
      <c r="T97" s="38">
        <v>0</v>
      </c>
      <c r="U97" s="38">
        <v>1309.3341152469591</v>
      </c>
      <c r="V97" s="38">
        <v>253.43999999999994</v>
      </c>
      <c r="W97" s="38">
        <v>591.3599999999999</v>
      </c>
      <c r="X97" s="38">
        <v>0</v>
      </c>
      <c r="Y97" s="38">
        <v>0</v>
      </c>
      <c r="Z97" s="38">
        <v>0</v>
      </c>
      <c r="AA97" s="38">
        <v>0</v>
      </c>
      <c r="AB97" s="38">
        <v>0</v>
      </c>
      <c r="AC97" s="38">
        <v>0</v>
      </c>
      <c r="AD97" s="38">
        <v>0</v>
      </c>
      <c r="AE97" s="38">
        <v>0</v>
      </c>
      <c r="AF97" s="38">
        <v>0</v>
      </c>
      <c r="AG97" s="38">
        <v>0</v>
      </c>
      <c r="AH97" s="38">
        <v>986.21254158483328</v>
      </c>
      <c r="AI97" s="38">
        <v>2284.6858895281312</v>
      </c>
      <c r="AJ97" s="38">
        <v>0</v>
      </c>
      <c r="AK97" s="38">
        <v>1309.3341152469591</v>
      </c>
      <c r="AL97" s="38">
        <v>4580.2325463599236</v>
      </c>
      <c r="AM97" s="38">
        <v>134.33149567975886</v>
      </c>
      <c r="AN97" s="38">
        <v>31.904265867372196</v>
      </c>
      <c r="AO97" s="38">
        <v>0</v>
      </c>
      <c r="AP97" s="38">
        <v>0</v>
      </c>
      <c r="AQ97" s="38">
        <v>166.23576154713106</v>
      </c>
      <c r="AR97" s="38">
        <v>986.21254158483328</v>
      </c>
      <c r="AS97" s="50">
        <v>0.16855977239955997</v>
      </c>
      <c r="AT97" s="38">
        <v>134.33149567975886</v>
      </c>
      <c r="AU97" s="38">
        <v>37.765148103528603</v>
      </c>
      <c r="AV97" s="38">
        <v>0</v>
      </c>
      <c r="AW97" s="38">
        <v>0</v>
      </c>
      <c r="AX97" s="38">
        <v>172.09664378328745</v>
      </c>
      <c r="AY97" s="38">
        <v>2284.6858895281312</v>
      </c>
      <c r="AZ97" s="50">
        <v>7.5326172657735252E-2</v>
      </c>
      <c r="BA97" s="38">
        <v>134.33149567975886</v>
      </c>
      <c r="BB97" s="38">
        <v>69.669413970900791</v>
      </c>
      <c r="BC97" s="38">
        <v>0</v>
      </c>
      <c r="BD97" s="38">
        <v>0</v>
      </c>
      <c r="BE97" s="38">
        <v>204.00090965065965</v>
      </c>
      <c r="BF97" s="38">
        <v>3270.8984311129639</v>
      </c>
      <c r="BG97" s="38">
        <v>911.37294552386152</v>
      </c>
      <c r="BH97" s="50">
        <v>6.2368463572635549E-2</v>
      </c>
      <c r="BI97" s="38">
        <v>280.76948700757583</v>
      </c>
      <c r="BJ97" s="38">
        <v>650.43797166219838</v>
      </c>
      <c r="BK97" s="38">
        <v>0</v>
      </c>
      <c r="BL97" s="38">
        <v>372.76048758074364</v>
      </c>
      <c r="BM97" s="38">
        <v>1303.967946250518</v>
      </c>
      <c r="BN97" s="38">
        <v>134.33149567975886</v>
      </c>
      <c r="BO97" s="38">
        <v>0</v>
      </c>
      <c r="BP97" s="38">
        <v>69.669413970900791</v>
      </c>
      <c r="BQ97" s="38">
        <v>0</v>
      </c>
      <c r="BR97" s="38">
        <v>0</v>
      </c>
      <c r="BS97" s="38">
        <v>0</v>
      </c>
      <c r="BT97" s="38">
        <v>0</v>
      </c>
      <c r="BU97" s="38">
        <v>0</v>
      </c>
      <c r="BV97" s="38">
        <v>23.576903259756602</v>
      </c>
      <c r="BW97" s="38">
        <v>0</v>
      </c>
      <c r="BX97" s="38">
        <v>3735.4325463599234</v>
      </c>
      <c r="BY97" s="38">
        <v>844.79999999999984</v>
      </c>
      <c r="BZ97" s="38">
        <v>0</v>
      </c>
      <c r="CA97" s="38">
        <v>0</v>
      </c>
      <c r="CB97" s="38">
        <v>227.57781291041624</v>
      </c>
      <c r="CC97" s="38">
        <v>4580.2325463599236</v>
      </c>
      <c r="CD97" s="50">
        <v>4.9686955980276712E-2</v>
      </c>
      <c r="CE97" s="38">
        <v>1277.4212136241763</v>
      </c>
      <c r="CF97" s="38">
        <v>2.4553850665278776</v>
      </c>
      <c r="CG97" s="38">
        <v>0</v>
      </c>
      <c r="CH97" s="38">
        <v>2.4553850665278776</v>
      </c>
      <c r="CI97" s="38">
        <v>0.122767761358813</v>
      </c>
      <c r="CJ97" s="38">
        <v>0</v>
      </c>
      <c r="CK97" s="38">
        <v>0.122767761358813</v>
      </c>
      <c r="CL97" s="38"/>
      <c r="CM97" s="38">
        <v>0</v>
      </c>
      <c r="CN97" s="38"/>
      <c r="CO97" s="38">
        <v>0</v>
      </c>
      <c r="CP97" s="38">
        <v>0</v>
      </c>
      <c r="CQ97" s="38">
        <v>0</v>
      </c>
      <c r="CR97" s="38">
        <v>0</v>
      </c>
      <c r="CS97" s="38">
        <v>0</v>
      </c>
      <c r="CT97" s="38">
        <v>0</v>
      </c>
      <c r="CU97" s="38">
        <v>0</v>
      </c>
      <c r="CV97" s="38">
        <v>9999</v>
      </c>
      <c r="CW97" s="49">
        <v>9999</v>
      </c>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row>
    <row r="98" spans="1:131">
      <c r="A98" s="27" t="s">
        <v>6423</v>
      </c>
      <c r="B98" s="27"/>
      <c r="C98" s="38">
        <v>25</v>
      </c>
      <c r="D98" s="38">
        <v>114.50995816092487</v>
      </c>
      <c r="E98" s="38">
        <v>0</v>
      </c>
      <c r="F98" s="38">
        <v>2687.9999999999995</v>
      </c>
      <c r="G98" s="38">
        <v>0</v>
      </c>
      <c r="H98" s="38">
        <v>0</v>
      </c>
      <c r="I98" s="38"/>
      <c r="J98" s="38"/>
      <c r="K98" s="38"/>
      <c r="L98" s="38">
        <v>123.3447862890545</v>
      </c>
      <c r="M98" s="38">
        <v>4.3089910496450806E-2</v>
      </c>
      <c r="N98" s="38">
        <v>4.2778906845881065E-2</v>
      </c>
      <c r="O98" s="38">
        <v>0</v>
      </c>
      <c r="P98" s="38">
        <v>0</v>
      </c>
      <c r="Q98" s="38">
        <v>0</v>
      </c>
      <c r="R98" s="38">
        <v>466.30979919034849</v>
      </c>
      <c r="S98" s="38">
        <v>1077.5710206088108</v>
      </c>
      <c r="T98" s="38">
        <v>0</v>
      </c>
      <c r="U98" s="38">
        <v>833.2126187935196</v>
      </c>
      <c r="V98" s="38">
        <v>161.27999999999997</v>
      </c>
      <c r="W98" s="38">
        <v>376.31999999999994</v>
      </c>
      <c r="X98" s="38">
        <v>0</v>
      </c>
      <c r="Y98" s="38">
        <v>0</v>
      </c>
      <c r="Z98" s="38">
        <v>0</v>
      </c>
      <c r="AA98" s="38">
        <v>0</v>
      </c>
      <c r="AB98" s="38">
        <v>0</v>
      </c>
      <c r="AC98" s="38">
        <v>0</v>
      </c>
      <c r="AD98" s="38">
        <v>0</v>
      </c>
      <c r="AE98" s="38">
        <v>0</v>
      </c>
      <c r="AF98" s="38">
        <v>0</v>
      </c>
      <c r="AG98" s="38">
        <v>0</v>
      </c>
      <c r="AH98" s="38">
        <v>627.58979919034846</v>
      </c>
      <c r="AI98" s="38">
        <v>1453.8910206088108</v>
      </c>
      <c r="AJ98" s="38">
        <v>0</v>
      </c>
      <c r="AK98" s="38">
        <v>833.2126187935196</v>
      </c>
      <c r="AL98" s="38">
        <v>2914.6934385926788</v>
      </c>
      <c r="AM98" s="38">
        <v>64.107364062696973</v>
      </c>
      <c r="AN98" s="38">
        <v>15.225754591377592</v>
      </c>
      <c r="AO98" s="38">
        <v>0</v>
      </c>
      <c r="AP98" s="38">
        <v>0</v>
      </c>
      <c r="AQ98" s="38">
        <v>79.333118654074568</v>
      </c>
      <c r="AR98" s="38">
        <v>627.58979919034846</v>
      </c>
      <c r="AS98" s="50">
        <v>0.12640919077464605</v>
      </c>
      <c r="AT98" s="38">
        <v>64.107364062696973</v>
      </c>
      <c r="AU98" s="38">
        <v>18.022758446211373</v>
      </c>
      <c r="AV98" s="38">
        <v>0</v>
      </c>
      <c r="AW98" s="38">
        <v>0</v>
      </c>
      <c r="AX98" s="38">
        <v>82.130122508908343</v>
      </c>
      <c r="AY98" s="38">
        <v>1453.8910206088108</v>
      </c>
      <c r="AZ98" s="50">
        <v>5.6489875337779237E-2</v>
      </c>
      <c r="BA98" s="38">
        <v>64.107364062696973</v>
      </c>
      <c r="BB98" s="38">
        <v>33.248513037588964</v>
      </c>
      <c r="BC98" s="38">
        <v>0</v>
      </c>
      <c r="BD98" s="38">
        <v>0</v>
      </c>
      <c r="BE98" s="38">
        <v>97.355877100285937</v>
      </c>
      <c r="BF98" s="38">
        <v>2081.4808197991592</v>
      </c>
      <c r="BG98" s="38">
        <v>1221.8799249282536</v>
      </c>
      <c r="BH98" s="50">
        <v>4.6772411340153378E-2</v>
      </c>
      <c r="BI98" s="38">
        <v>374.3908218755123</v>
      </c>
      <c r="BJ98" s="38">
        <v>867.32361619865378</v>
      </c>
      <c r="BK98" s="38">
        <v>0</v>
      </c>
      <c r="BL98" s="38">
        <v>497.05581185289452</v>
      </c>
      <c r="BM98" s="38">
        <v>1738.7702499270606</v>
      </c>
      <c r="BN98" s="38">
        <v>64.107364062696973</v>
      </c>
      <c r="BO98" s="38">
        <v>0</v>
      </c>
      <c r="BP98" s="38">
        <v>33.248513037588964</v>
      </c>
      <c r="BQ98" s="38">
        <v>0</v>
      </c>
      <c r="BR98" s="38">
        <v>0</v>
      </c>
      <c r="BS98" s="38">
        <v>0</v>
      </c>
      <c r="BT98" s="38">
        <v>0</v>
      </c>
      <c r="BU98" s="38">
        <v>0</v>
      </c>
      <c r="BV98" s="38">
        <v>11.767895140230259</v>
      </c>
      <c r="BW98" s="38">
        <v>0</v>
      </c>
      <c r="BX98" s="38">
        <v>2377.0934385926789</v>
      </c>
      <c r="BY98" s="38">
        <v>537.59999999999991</v>
      </c>
      <c r="BZ98" s="38">
        <v>0</v>
      </c>
      <c r="CA98" s="38">
        <v>0</v>
      </c>
      <c r="CB98" s="38">
        <v>109.12377224051619</v>
      </c>
      <c r="CC98" s="38">
        <v>2914.6934385926788</v>
      </c>
      <c r="CD98" s="50">
        <v>3.7439193705807068E-2</v>
      </c>
      <c r="CE98" s="38">
        <v>1711.9155590488463</v>
      </c>
      <c r="CF98" s="38">
        <v>1.171789710056288</v>
      </c>
      <c r="CG98" s="38">
        <v>0</v>
      </c>
      <c r="CH98" s="38">
        <v>1.171789710056288</v>
      </c>
      <c r="CI98" s="38">
        <v>5.8588773487300884E-2</v>
      </c>
      <c r="CJ98" s="38">
        <v>0</v>
      </c>
      <c r="CK98" s="38">
        <v>5.8588773487300884E-2</v>
      </c>
      <c r="CL98" s="38"/>
      <c r="CM98" s="38">
        <v>0</v>
      </c>
      <c r="CN98" s="38"/>
      <c r="CO98" s="38">
        <v>0</v>
      </c>
      <c r="CP98" s="38">
        <v>0</v>
      </c>
      <c r="CQ98" s="38">
        <v>0</v>
      </c>
      <c r="CR98" s="38">
        <v>0</v>
      </c>
      <c r="CS98" s="38">
        <v>0</v>
      </c>
      <c r="CT98" s="38">
        <v>0</v>
      </c>
      <c r="CU98" s="38">
        <v>0</v>
      </c>
      <c r="CV98" s="38">
        <v>9999</v>
      </c>
      <c r="CW98" s="49">
        <v>9999</v>
      </c>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row>
    <row r="99" spans="1:131">
      <c r="A99" s="27" t="s">
        <v>5813</v>
      </c>
      <c r="B99" s="27"/>
      <c r="C99" s="38">
        <v>25</v>
      </c>
      <c r="D99" s="38">
        <v>164.0275009491188</v>
      </c>
      <c r="E99" s="38">
        <v>0</v>
      </c>
      <c r="F99" s="38">
        <v>3967.9999999999995</v>
      </c>
      <c r="G99" s="38">
        <v>0</v>
      </c>
      <c r="H99" s="38">
        <v>0</v>
      </c>
      <c r="I99" s="38"/>
      <c r="J99" s="38"/>
      <c r="K99" s="38"/>
      <c r="L99" s="38">
        <v>176.68277392664916</v>
      </c>
      <c r="M99" s="38">
        <v>6.1723281087232761E-2</v>
      </c>
      <c r="N99" s="38">
        <v>6.1277790123754131E-2</v>
      </c>
      <c r="O99" s="38">
        <v>0</v>
      </c>
      <c r="P99" s="38">
        <v>0</v>
      </c>
      <c r="Q99" s="38">
        <v>0</v>
      </c>
      <c r="R99" s="38">
        <v>688.3620845190859</v>
      </c>
      <c r="S99" s="38">
        <v>1590.7000780415779</v>
      </c>
      <c r="T99" s="38">
        <v>0</v>
      </c>
      <c r="U99" s="38">
        <v>1229.9805325047193</v>
      </c>
      <c r="V99" s="38">
        <v>238.07999999999998</v>
      </c>
      <c r="W99" s="38">
        <v>555.52</v>
      </c>
      <c r="X99" s="38">
        <v>0</v>
      </c>
      <c r="Y99" s="38">
        <v>0</v>
      </c>
      <c r="Z99" s="38">
        <v>0</v>
      </c>
      <c r="AA99" s="38">
        <v>0</v>
      </c>
      <c r="AB99" s="38">
        <v>0</v>
      </c>
      <c r="AC99" s="38">
        <v>0</v>
      </c>
      <c r="AD99" s="38">
        <v>0</v>
      </c>
      <c r="AE99" s="38">
        <v>0</v>
      </c>
      <c r="AF99" s="38">
        <v>0</v>
      </c>
      <c r="AG99" s="38">
        <v>0</v>
      </c>
      <c r="AH99" s="38">
        <v>926.44208451908594</v>
      </c>
      <c r="AI99" s="38">
        <v>2146.2200780415778</v>
      </c>
      <c r="AJ99" s="38">
        <v>0</v>
      </c>
      <c r="AK99" s="38">
        <v>1229.9805325047193</v>
      </c>
      <c r="AL99" s="38">
        <v>4302.6426950653822</v>
      </c>
      <c r="AM99" s="38">
        <v>91.829312389250092</v>
      </c>
      <c r="AN99" s="38">
        <v>21.809827859499293</v>
      </c>
      <c r="AO99" s="38">
        <v>0</v>
      </c>
      <c r="AP99" s="38">
        <v>0</v>
      </c>
      <c r="AQ99" s="38">
        <v>113.63914024874938</v>
      </c>
      <c r="AR99" s="38">
        <v>926.44208451908594</v>
      </c>
      <c r="AS99" s="50">
        <v>0.12266189343906933</v>
      </c>
      <c r="AT99" s="38">
        <v>91.829312389250092</v>
      </c>
      <c r="AU99" s="38">
        <v>25.816340129887951</v>
      </c>
      <c r="AV99" s="38">
        <v>0</v>
      </c>
      <c r="AW99" s="38">
        <v>0</v>
      </c>
      <c r="AX99" s="38">
        <v>117.64565251913804</v>
      </c>
      <c r="AY99" s="38">
        <v>2146.2200780415778</v>
      </c>
      <c r="AZ99" s="50">
        <v>5.4815279067974003E-2</v>
      </c>
      <c r="BA99" s="38">
        <v>91.829312389250092</v>
      </c>
      <c r="BB99" s="38">
        <v>47.626167989387241</v>
      </c>
      <c r="BC99" s="38">
        <v>0</v>
      </c>
      <c r="BD99" s="38">
        <v>0</v>
      </c>
      <c r="BE99" s="38">
        <v>139.45548037863733</v>
      </c>
      <c r="BF99" s="38">
        <v>3072.6621625606635</v>
      </c>
      <c r="BG99" s="38">
        <v>1259.8140630283938</v>
      </c>
      <c r="BH99" s="50">
        <v>4.538588136302605E-2</v>
      </c>
      <c r="BI99" s="38">
        <v>385.82838972925947</v>
      </c>
      <c r="BJ99" s="38">
        <v>893.82018644504717</v>
      </c>
      <c r="BK99" s="38">
        <v>0</v>
      </c>
      <c r="BL99" s="38">
        <v>512.24077164087032</v>
      </c>
      <c r="BM99" s="38">
        <v>1791.8893478151765</v>
      </c>
      <c r="BN99" s="38">
        <v>91.829312389250092</v>
      </c>
      <c r="BO99" s="38">
        <v>0</v>
      </c>
      <c r="BP99" s="38">
        <v>47.626167989387241</v>
      </c>
      <c r="BQ99" s="38">
        <v>0</v>
      </c>
      <c r="BR99" s="38">
        <v>0</v>
      </c>
      <c r="BS99" s="38">
        <v>0</v>
      </c>
      <c r="BT99" s="38">
        <v>0</v>
      </c>
      <c r="BU99" s="38">
        <v>0</v>
      </c>
      <c r="BV99" s="38">
        <v>20.128688579498863</v>
      </c>
      <c r="BW99" s="38">
        <v>0</v>
      </c>
      <c r="BX99" s="38">
        <v>3509.0426950653828</v>
      </c>
      <c r="BY99" s="38">
        <v>793.59999999999991</v>
      </c>
      <c r="BZ99" s="38">
        <v>0</v>
      </c>
      <c r="CA99" s="38">
        <v>0</v>
      </c>
      <c r="CB99" s="38">
        <v>159.58416895813619</v>
      </c>
      <c r="CC99" s="38">
        <v>4302.6426950653822</v>
      </c>
      <c r="CD99" s="50">
        <v>3.7089802771947622E-2</v>
      </c>
      <c r="CE99" s="38">
        <v>1763.6719906342573</v>
      </c>
      <c r="CF99" s="38">
        <v>1.6785067505510027</v>
      </c>
      <c r="CG99" s="38">
        <v>0</v>
      </c>
      <c r="CH99" s="38">
        <v>1.6785067505510027</v>
      </c>
      <c r="CI99" s="38">
        <v>8.3924317615158353E-2</v>
      </c>
      <c r="CJ99" s="38">
        <v>0</v>
      </c>
      <c r="CK99" s="38">
        <v>8.3924317615158353E-2</v>
      </c>
      <c r="CL99" s="38"/>
      <c r="CM99" s="38">
        <v>0</v>
      </c>
      <c r="CN99" s="38"/>
      <c r="CO99" s="38">
        <v>0</v>
      </c>
      <c r="CP99" s="38">
        <v>0</v>
      </c>
      <c r="CQ99" s="38">
        <v>0</v>
      </c>
      <c r="CR99" s="38">
        <v>0</v>
      </c>
      <c r="CS99" s="38">
        <v>0</v>
      </c>
      <c r="CT99" s="38">
        <v>0</v>
      </c>
      <c r="CU99" s="38">
        <v>0</v>
      </c>
      <c r="CV99" s="38">
        <v>9999</v>
      </c>
      <c r="CW99" s="49">
        <v>9999</v>
      </c>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row>
    <row r="100" spans="1:131">
      <c r="A100" s="27" t="s">
        <v>6391</v>
      </c>
      <c r="B100" s="27"/>
      <c r="C100" s="38">
        <v>25</v>
      </c>
      <c r="D100" s="38">
        <v>126.48013579032794</v>
      </c>
      <c r="E100" s="38">
        <v>0</v>
      </c>
      <c r="F100" s="38">
        <v>4223.9999999999991</v>
      </c>
      <c r="G100" s="38">
        <v>0</v>
      </c>
      <c r="H100" s="38">
        <v>0</v>
      </c>
      <c r="I100" s="38"/>
      <c r="J100" s="38"/>
      <c r="K100" s="38"/>
      <c r="L100" s="38">
        <v>136.2385033530833</v>
      </c>
      <c r="M100" s="38">
        <v>4.7594268815687395E-2</v>
      </c>
      <c r="N100" s="38">
        <v>4.7250754726719968E-2</v>
      </c>
      <c r="O100" s="38">
        <v>0</v>
      </c>
      <c r="P100" s="38">
        <v>0</v>
      </c>
      <c r="Q100" s="38">
        <v>0</v>
      </c>
      <c r="R100" s="38">
        <v>732.77254158483333</v>
      </c>
      <c r="S100" s="38">
        <v>1693.325889528131</v>
      </c>
      <c r="T100" s="38">
        <v>0</v>
      </c>
      <c r="U100" s="38">
        <v>1309.3341152469591</v>
      </c>
      <c r="V100" s="38">
        <v>253.43999999999994</v>
      </c>
      <c r="W100" s="38">
        <v>591.3599999999999</v>
      </c>
      <c r="X100" s="38">
        <v>0</v>
      </c>
      <c r="Y100" s="38">
        <v>0</v>
      </c>
      <c r="Z100" s="38">
        <v>0</v>
      </c>
      <c r="AA100" s="38">
        <v>0</v>
      </c>
      <c r="AB100" s="38">
        <v>0</v>
      </c>
      <c r="AC100" s="38">
        <v>0</v>
      </c>
      <c r="AD100" s="38">
        <v>0</v>
      </c>
      <c r="AE100" s="38">
        <v>0</v>
      </c>
      <c r="AF100" s="38">
        <v>0</v>
      </c>
      <c r="AG100" s="38">
        <v>0</v>
      </c>
      <c r="AH100" s="38">
        <v>986.21254158483328</v>
      </c>
      <c r="AI100" s="38">
        <v>2284.6858895281312</v>
      </c>
      <c r="AJ100" s="38">
        <v>0</v>
      </c>
      <c r="AK100" s="38">
        <v>1309.3341152469591</v>
      </c>
      <c r="AL100" s="38">
        <v>4580.2325463599236</v>
      </c>
      <c r="AM100" s="38">
        <v>70.808759709919798</v>
      </c>
      <c r="AN100" s="38">
        <v>16.817362779238067</v>
      </c>
      <c r="AO100" s="38">
        <v>0</v>
      </c>
      <c r="AP100" s="38">
        <v>0</v>
      </c>
      <c r="AQ100" s="38">
        <v>87.626122489157865</v>
      </c>
      <c r="AR100" s="38">
        <v>986.21254158483328</v>
      </c>
      <c r="AS100" s="50">
        <v>8.8851154081191874E-2</v>
      </c>
      <c r="AT100" s="38">
        <v>70.808759709919798</v>
      </c>
      <c r="AU100" s="38">
        <v>19.906748480246613</v>
      </c>
      <c r="AV100" s="38">
        <v>0</v>
      </c>
      <c r="AW100" s="38">
        <v>0</v>
      </c>
      <c r="AX100" s="38">
        <v>90.715508190166418</v>
      </c>
      <c r="AY100" s="38">
        <v>2284.6858895281312</v>
      </c>
      <c r="AZ100" s="50">
        <v>3.9705899443753467E-2</v>
      </c>
      <c r="BA100" s="38">
        <v>70.808759709919798</v>
      </c>
      <c r="BB100" s="38">
        <v>36.72411125948468</v>
      </c>
      <c r="BC100" s="38">
        <v>0</v>
      </c>
      <c r="BD100" s="38">
        <v>0</v>
      </c>
      <c r="BE100" s="38">
        <v>107.53287096940448</v>
      </c>
      <c r="BF100" s="38">
        <v>3270.8984311129639</v>
      </c>
      <c r="BG100" s="38">
        <v>1746.7617557862425</v>
      </c>
      <c r="BH100" s="50">
        <v>3.2875637453779048E-2</v>
      </c>
      <c r="BI100" s="38">
        <v>532.64857745675886</v>
      </c>
      <c r="BJ100" s="38">
        <v>1233.9476914753966</v>
      </c>
      <c r="BK100" s="38">
        <v>0</v>
      </c>
      <c r="BL100" s="38">
        <v>707.1649613998602</v>
      </c>
      <c r="BM100" s="38">
        <v>2473.7612303320157</v>
      </c>
      <c r="BN100" s="38">
        <v>70.808759709919798</v>
      </c>
      <c r="BO100" s="38">
        <v>0</v>
      </c>
      <c r="BP100" s="38">
        <v>36.72411125948468</v>
      </c>
      <c r="BQ100" s="38">
        <v>0</v>
      </c>
      <c r="BR100" s="38">
        <v>0</v>
      </c>
      <c r="BS100" s="38">
        <v>0</v>
      </c>
      <c r="BT100" s="38">
        <v>0</v>
      </c>
      <c r="BU100" s="38">
        <v>0</v>
      </c>
      <c r="BV100" s="38">
        <v>12.852456351038571</v>
      </c>
      <c r="BW100" s="38">
        <v>0</v>
      </c>
      <c r="BX100" s="38">
        <v>3735.4325463599234</v>
      </c>
      <c r="BY100" s="38">
        <v>844.79999999999984</v>
      </c>
      <c r="BZ100" s="38">
        <v>0</v>
      </c>
      <c r="CA100" s="38">
        <v>0</v>
      </c>
      <c r="CB100" s="38">
        <v>120.38532732044305</v>
      </c>
      <c r="CC100" s="38">
        <v>4580.2325463599236</v>
      </c>
      <c r="CD100" s="50">
        <v>2.6283671429765641E-2</v>
      </c>
      <c r="CE100" s="38">
        <v>2446.9851682769763</v>
      </c>
      <c r="CF100" s="38">
        <v>1.2942815107603658</v>
      </c>
      <c r="CG100" s="38">
        <v>0</v>
      </c>
      <c r="CH100" s="38">
        <v>1.2942815107603658</v>
      </c>
      <c r="CI100" s="38">
        <v>6.4713289092714565E-2</v>
      </c>
      <c r="CJ100" s="38">
        <v>0</v>
      </c>
      <c r="CK100" s="38">
        <v>6.4713289092714565E-2</v>
      </c>
      <c r="CL100" s="38"/>
      <c r="CM100" s="38">
        <v>0</v>
      </c>
      <c r="CN100" s="38"/>
      <c r="CO100" s="38">
        <v>0</v>
      </c>
      <c r="CP100" s="38">
        <v>0</v>
      </c>
      <c r="CQ100" s="38">
        <v>0</v>
      </c>
      <c r="CR100" s="38">
        <v>0</v>
      </c>
      <c r="CS100" s="38">
        <v>0</v>
      </c>
      <c r="CT100" s="38">
        <v>0</v>
      </c>
      <c r="CU100" s="38">
        <v>0</v>
      </c>
      <c r="CV100" s="38">
        <v>9999</v>
      </c>
      <c r="CW100" s="49">
        <v>9999</v>
      </c>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row>
    <row r="101" spans="1:131">
      <c r="A101" s="27"/>
      <c r="B101" s="27"/>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row>
    <row r="102" spans="1:131">
      <c r="A102" s="27"/>
      <c r="B102" s="27"/>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row>
    <row r="103" spans="1:131" ht="13.5" thickBot="1">
      <c r="A103" s="36" t="s">
        <v>6027</v>
      </c>
      <c r="B103" s="37"/>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row>
    <row r="104" spans="1:131" ht="13.5" thickBot="1">
      <c r="A104" s="286" t="s">
        <v>6028</v>
      </c>
      <c r="B104" s="287"/>
      <c r="C104" s="288"/>
      <c r="D104" s="288"/>
      <c r="E104" s="288"/>
      <c r="F104" s="288"/>
      <c r="G104" s="288"/>
      <c r="H104" s="288"/>
      <c r="I104" s="288"/>
      <c r="J104" s="288"/>
      <c r="K104" s="288"/>
      <c r="L104" s="44"/>
      <c r="M104" s="289"/>
      <c r="N104" s="290" t="s">
        <v>6029</v>
      </c>
      <c r="O104" s="288"/>
      <c r="P104" s="288"/>
      <c r="Q104" s="288"/>
      <c r="R104" s="288"/>
      <c r="S104" s="288"/>
      <c r="T104" s="288"/>
      <c r="U104" s="288"/>
      <c r="V104" s="288"/>
      <c r="W104" s="288"/>
      <c r="X104" s="288"/>
      <c r="Y104" s="44"/>
      <c r="Z104" s="289"/>
      <c r="AA104" s="290" t="s">
        <v>6030</v>
      </c>
      <c r="AB104" s="288"/>
      <c r="AC104" s="288"/>
      <c r="AD104" s="288"/>
      <c r="AE104" s="288"/>
      <c r="AF104" s="288"/>
      <c r="AG104" s="288"/>
      <c r="AH104" s="288"/>
      <c r="AI104" s="288"/>
      <c r="AJ104" s="288"/>
      <c r="AK104" s="288"/>
      <c r="AL104" s="44"/>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row>
    <row r="105" spans="1:131" ht="191.25">
      <c r="A105" s="45"/>
      <c r="B105" s="46" t="s">
        <v>6031</v>
      </c>
      <c r="C105" s="47" t="s">
        <v>6032</v>
      </c>
      <c r="D105" s="47" t="s">
        <v>33</v>
      </c>
      <c r="E105" s="47" t="s">
        <v>34</v>
      </c>
      <c r="F105" s="47" t="s">
        <v>35</v>
      </c>
      <c r="G105" s="47" t="s">
        <v>36</v>
      </c>
      <c r="H105" s="47" t="s">
        <v>37</v>
      </c>
      <c r="I105" s="47" t="s">
        <v>38</v>
      </c>
      <c r="J105" s="47" t="s">
        <v>39</v>
      </c>
      <c r="K105" s="47" t="s">
        <v>40</v>
      </c>
      <c r="L105" s="47" t="s">
        <v>41</v>
      </c>
      <c r="M105" s="47" t="s">
        <v>42</v>
      </c>
      <c r="N105" s="47" t="s">
        <v>43</v>
      </c>
      <c r="O105" s="47" t="s">
        <v>44</v>
      </c>
      <c r="P105" s="47" t="s">
        <v>45</v>
      </c>
      <c r="Q105" s="47" t="s">
        <v>46</v>
      </c>
      <c r="R105" s="47" t="s">
        <v>47</v>
      </c>
      <c r="S105" s="47" t="s">
        <v>48</v>
      </c>
      <c r="T105" s="47" t="s">
        <v>49</v>
      </c>
      <c r="U105" s="47" t="s">
        <v>50</v>
      </c>
      <c r="V105" s="47" t="s">
        <v>51</v>
      </c>
      <c r="W105" s="47" t="s">
        <v>52</v>
      </c>
      <c r="X105" s="47" t="s">
        <v>53</v>
      </c>
      <c r="Y105" s="47" t="s">
        <v>54</v>
      </c>
      <c r="Z105" s="47"/>
      <c r="AA105" s="47" t="s">
        <v>43</v>
      </c>
      <c r="AB105" s="47" t="s">
        <v>44</v>
      </c>
      <c r="AC105" s="47" t="s">
        <v>45</v>
      </c>
      <c r="AD105" s="47" t="s">
        <v>46</v>
      </c>
      <c r="AE105" s="47" t="s">
        <v>47</v>
      </c>
      <c r="AF105" s="47" t="s">
        <v>48</v>
      </c>
      <c r="AG105" s="47" t="s">
        <v>49</v>
      </c>
      <c r="AH105" s="47" t="s">
        <v>50</v>
      </c>
      <c r="AI105" s="47" t="s">
        <v>51</v>
      </c>
      <c r="AJ105" s="47" t="s">
        <v>52</v>
      </c>
      <c r="AK105" s="47" t="s">
        <v>53</v>
      </c>
      <c r="AL105" s="47" t="s">
        <v>54</v>
      </c>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row>
    <row r="106" spans="1:131">
      <c r="A106" s="27"/>
      <c r="B106" s="291" t="s">
        <v>6033</v>
      </c>
      <c r="C106" s="292">
        <v>0</v>
      </c>
      <c r="D106" s="292">
        <v>0</v>
      </c>
      <c r="E106" s="292">
        <v>0</v>
      </c>
      <c r="F106" s="292">
        <v>0</v>
      </c>
      <c r="G106" s="292">
        <v>0</v>
      </c>
      <c r="H106" s="292">
        <v>0</v>
      </c>
      <c r="I106" s="292">
        <v>0</v>
      </c>
      <c r="J106" s="292">
        <v>0</v>
      </c>
      <c r="K106" s="292">
        <v>0</v>
      </c>
      <c r="L106" s="50">
        <v>0</v>
      </c>
      <c r="M106" s="293">
        <v>0</v>
      </c>
      <c r="N106" s="293">
        <v>0</v>
      </c>
      <c r="O106" s="293">
        <v>0</v>
      </c>
      <c r="P106" s="293">
        <v>0</v>
      </c>
      <c r="Q106" s="293">
        <v>0</v>
      </c>
      <c r="R106" s="293">
        <v>0</v>
      </c>
      <c r="S106" s="293">
        <v>0</v>
      </c>
      <c r="T106" s="293">
        <v>0</v>
      </c>
      <c r="U106" s="293">
        <v>0</v>
      </c>
      <c r="V106" s="293">
        <v>0</v>
      </c>
      <c r="W106" s="293">
        <v>0</v>
      </c>
      <c r="X106" s="293">
        <v>0</v>
      </c>
      <c r="Y106" s="293">
        <v>0</v>
      </c>
      <c r="Z106" s="293"/>
      <c r="AA106" s="293">
        <v>0</v>
      </c>
      <c r="AB106" s="293">
        <v>0</v>
      </c>
      <c r="AC106" s="293">
        <v>0</v>
      </c>
      <c r="AD106" s="293">
        <v>0</v>
      </c>
      <c r="AE106" s="293">
        <v>0</v>
      </c>
      <c r="AF106" s="293">
        <v>0</v>
      </c>
      <c r="AG106" s="293">
        <v>0</v>
      </c>
      <c r="AH106" s="293">
        <v>0</v>
      </c>
      <c r="AI106" s="293">
        <v>0</v>
      </c>
      <c r="AJ106" s="293">
        <v>0</v>
      </c>
      <c r="AK106" s="293">
        <v>0</v>
      </c>
      <c r="AL106" s="293">
        <v>0</v>
      </c>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row>
    <row r="107" spans="1:131">
      <c r="A107" s="27"/>
      <c r="B107" s="291" t="s">
        <v>6034</v>
      </c>
      <c r="C107" s="292">
        <v>0</v>
      </c>
      <c r="D107" s="292">
        <v>0</v>
      </c>
      <c r="E107" s="292">
        <v>0</v>
      </c>
      <c r="F107" s="292">
        <v>0</v>
      </c>
      <c r="G107" s="292">
        <v>0</v>
      </c>
      <c r="H107" s="292">
        <v>0</v>
      </c>
      <c r="I107" s="292">
        <v>0</v>
      </c>
      <c r="J107" s="292">
        <v>0</v>
      </c>
      <c r="K107" s="292">
        <v>0</v>
      </c>
      <c r="L107" s="50">
        <v>0</v>
      </c>
      <c r="M107" s="293">
        <v>0</v>
      </c>
      <c r="N107" s="293">
        <v>0</v>
      </c>
      <c r="O107" s="293">
        <v>0</v>
      </c>
      <c r="P107" s="293">
        <v>0</v>
      </c>
      <c r="Q107" s="293">
        <v>0</v>
      </c>
      <c r="R107" s="293">
        <v>0</v>
      </c>
      <c r="S107" s="293">
        <v>0</v>
      </c>
      <c r="T107" s="293">
        <v>0</v>
      </c>
      <c r="U107" s="293">
        <v>0</v>
      </c>
      <c r="V107" s="293">
        <v>0</v>
      </c>
      <c r="W107" s="293">
        <v>0</v>
      </c>
      <c r="X107" s="293">
        <v>0</v>
      </c>
      <c r="Y107" s="293">
        <v>0</v>
      </c>
      <c r="Z107" s="293"/>
      <c r="AA107" s="293">
        <v>0</v>
      </c>
      <c r="AB107" s="293">
        <v>0</v>
      </c>
      <c r="AC107" s="293">
        <v>0</v>
      </c>
      <c r="AD107" s="293">
        <v>0</v>
      </c>
      <c r="AE107" s="293">
        <v>0</v>
      </c>
      <c r="AF107" s="293">
        <v>0</v>
      </c>
      <c r="AG107" s="293">
        <v>0</v>
      </c>
      <c r="AH107" s="293">
        <v>0</v>
      </c>
      <c r="AI107" s="293">
        <v>0</v>
      </c>
      <c r="AJ107" s="293">
        <v>0</v>
      </c>
      <c r="AK107" s="293">
        <v>0</v>
      </c>
      <c r="AL107" s="293">
        <v>0</v>
      </c>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row>
    <row r="108" spans="1:131">
      <c r="A108" s="27"/>
      <c r="B108" s="291" t="s">
        <v>6035</v>
      </c>
      <c r="C108" s="292"/>
      <c r="D108" s="292"/>
      <c r="E108" s="292"/>
      <c r="F108" s="292"/>
      <c r="G108" s="292"/>
      <c r="H108" s="292"/>
      <c r="I108" s="292"/>
      <c r="J108" s="292"/>
      <c r="K108" s="292"/>
      <c r="L108" s="50"/>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c r="AH108" s="293"/>
      <c r="AI108" s="293"/>
      <c r="AJ108" s="293"/>
      <c r="AK108" s="293"/>
      <c r="AL108" s="293"/>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row>
    <row r="109" spans="1:131">
      <c r="A109" s="27"/>
      <c r="B109" s="27" t="s">
        <v>87</v>
      </c>
      <c r="C109" s="293">
        <v>0</v>
      </c>
      <c r="D109" s="293">
        <v>0</v>
      </c>
      <c r="E109" s="293">
        <v>0</v>
      </c>
      <c r="F109" s="293">
        <v>0</v>
      </c>
      <c r="G109" s="293">
        <v>0</v>
      </c>
      <c r="H109" s="293">
        <v>0</v>
      </c>
      <c r="I109" s="293">
        <v>0</v>
      </c>
      <c r="J109" s="293">
        <v>0</v>
      </c>
      <c r="K109" s="293">
        <v>0</v>
      </c>
      <c r="L109" s="50">
        <v>0</v>
      </c>
      <c r="M109" s="293">
        <v>0</v>
      </c>
      <c r="N109" s="293">
        <v>0</v>
      </c>
      <c r="O109" s="293">
        <v>0</v>
      </c>
      <c r="P109" s="293">
        <v>0</v>
      </c>
      <c r="Q109" s="293">
        <v>0</v>
      </c>
      <c r="R109" s="293">
        <v>0</v>
      </c>
      <c r="S109" s="293">
        <v>0</v>
      </c>
      <c r="T109" s="293">
        <v>0</v>
      </c>
      <c r="U109" s="293">
        <v>0</v>
      </c>
      <c r="V109" s="293">
        <v>0</v>
      </c>
      <c r="W109" s="293">
        <v>0</v>
      </c>
      <c r="X109" s="293">
        <v>0</v>
      </c>
      <c r="Y109" s="293">
        <v>0</v>
      </c>
      <c r="Z109" s="293"/>
      <c r="AA109" s="293">
        <v>0</v>
      </c>
      <c r="AB109" s="293">
        <v>0</v>
      </c>
      <c r="AC109" s="293">
        <v>0</v>
      </c>
      <c r="AD109" s="293">
        <v>0</v>
      </c>
      <c r="AE109" s="293">
        <v>0</v>
      </c>
      <c r="AF109" s="293">
        <v>0</v>
      </c>
      <c r="AG109" s="293">
        <v>0</v>
      </c>
      <c r="AH109" s="293">
        <v>0</v>
      </c>
      <c r="AI109" s="293">
        <v>0</v>
      </c>
      <c r="AJ109" s="293">
        <v>0</v>
      </c>
      <c r="AK109" s="293">
        <v>0</v>
      </c>
      <c r="AL109" s="293">
        <v>0</v>
      </c>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row>
    <row r="110" spans="1:131">
      <c r="A110" s="27"/>
      <c r="B110" s="27" t="s">
        <v>6036</v>
      </c>
      <c r="C110" s="293">
        <v>0</v>
      </c>
      <c r="D110" s="293">
        <v>0</v>
      </c>
      <c r="E110" s="293">
        <v>0</v>
      </c>
      <c r="F110" s="293">
        <v>0</v>
      </c>
      <c r="G110" s="293">
        <v>0</v>
      </c>
      <c r="H110" s="293">
        <v>0</v>
      </c>
      <c r="I110" s="293">
        <v>0</v>
      </c>
      <c r="J110" s="293">
        <v>0</v>
      </c>
      <c r="K110" s="293">
        <v>0</v>
      </c>
      <c r="L110" s="294">
        <v>0</v>
      </c>
      <c r="M110" s="293">
        <v>0</v>
      </c>
      <c r="N110" s="293">
        <v>0</v>
      </c>
      <c r="O110" s="293">
        <v>0</v>
      </c>
      <c r="P110" s="293">
        <v>0</v>
      </c>
      <c r="Q110" s="293">
        <v>0</v>
      </c>
      <c r="R110" s="293">
        <v>0</v>
      </c>
      <c r="S110" s="293">
        <v>0</v>
      </c>
      <c r="T110" s="293">
        <v>0</v>
      </c>
      <c r="U110" s="293">
        <v>0</v>
      </c>
      <c r="V110" s="293">
        <v>0</v>
      </c>
      <c r="W110" s="293">
        <v>0</v>
      </c>
      <c r="X110" s="293">
        <v>0</v>
      </c>
      <c r="Y110" s="293">
        <v>0</v>
      </c>
      <c r="Z110" s="293"/>
      <c r="AA110" s="293">
        <v>0</v>
      </c>
      <c r="AB110" s="293">
        <v>0</v>
      </c>
      <c r="AC110" s="293">
        <v>0</v>
      </c>
      <c r="AD110" s="293">
        <v>0</v>
      </c>
      <c r="AE110" s="293">
        <v>0</v>
      </c>
      <c r="AF110" s="293">
        <v>0</v>
      </c>
      <c r="AG110" s="293">
        <v>0</v>
      </c>
      <c r="AH110" s="293">
        <v>0</v>
      </c>
      <c r="AI110" s="293">
        <v>0</v>
      </c>
      <c r="AJ110" s="293">
        <v>0</v>
      </c>
      <c r="AK110" s="293">
        <v>0</v>
      </c>
      <c r="AL110" s="293">
        <v>0</v>
      </c>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row>
    <row r="111" spans="1:131">
      <c r="A111" s="27"/>
      <c r="B111" s="27" t="s">
        <v>92</v>
      </c>
      <c r="C111" s="293">
        <v>0</v>
      </c>
      <c r="D111" s="293">
        <v>0</v>
      </c>
      <c r="E111" s="293">
        <v>0</v>
      </c>
      <c r="F111" s="293">
        <v>0</v>
      </c>
      <c r="G111" s="293">
        <v>0</v>
      </c>
      <c r="H111" s="293">
        <v>0</v>
      </c>
      <c r="I111" s="293">
        <v>0</v>
      </c>
      <c r="J111" s="293">
        <v>0</v>
      </c>
      <c r="K111" s="293">
        <v>0</v>
      </c>
      <c r="L111" s="294">
        <v>0</v>
      </c>
      <c r="M111" s="293">
        <v>0</v>
      </c>
      <c r="N111" s="293">
        <v>0</v>
      </c>
      <c r="O111" s="293">
        <v>0</v>
      </c>
      <c r="P111" s="293">
        <v>0</v>
      </c>
      <c r="Q111" s="293">
        <v>0</v>
      </c>
      <c r="R111" s="293">
        <v>0</v>
      </c>
      <c r="S111" s="293">
        <v>0</v>
      </c>
      <c r="T111" s="293">
        <v>0</v>
      </c>
      <c r="U111" s="293">
        <v>0</v>
      </c>
      <c r="V111" s="293">
        <v>0</v>
      </c>
      <c r="W111" s="293">
        <v>0</v>
      </c>
      <c r="X111" s="293">
        <v>0</v>
      </c>
      <c r="Y111" s="293">
        <v>0</v>
      </c>
      <c r="Z111" s="293"/>
      <c r="AA111" s="293">
        <v>0</v>
      </c>
      <c r="AB111" s="293">
        <v>0</v>
      </c>
      <c r="AC111" s="293">
        <v>0</v>
      </c>
      <c r="AD111" s="293">
        <v>0</v>
      </c>
      <c r="AE111" s="293">
        <v>0</v>
      </c>
      <c r="AF111" s="293">
        <v>0</v>
      </c>
      <c r="AG111" s="293">
        <v>0</v>
      </c>
      <c r="AH111" s="293">
        <v>0</v>
      </c>
      <c r="AI111" s="293">
        <v>0</v>
      </c>
      <c r="AJ111" s="293">
        <v>0</v>
      </c>
      <c r="AK111" s="293">
        <v>0</v>
      </c>
      <c r="AL111" s="293">
        <v>0</v>
      </c>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row>
    <row r="112" spans="1:131">
      <c r="A112" s="27"/>
      <c r="B112" s="27" t="s">
        <v>95</v>
      </c>
      <c r="C112" s="293">
        <v>0</v>
      </c>
      <c r="D112" s="293">
        <v>0</v>
      </c>
      <c r="E112" s="293">
        <v>0</v>
      </c>
      <c r="F112" s="293">
        <v>0</v>
      </c>
      <c r="G112" s="293">
        <v>0</v>
      </c>
      <c r="H112" s="293">
        <v>0</v>
      </c>
      <c r="I112" s="293">
        <v>0</v>
      </c>
      <c r="J112" s="293">
        <v>0</v>
      </c>
      <c r="K112" s="293">
        <v>0</v>
      </c>
      <c r="L112" s="294">
        <v>0</v>
      </c>
      <c r="M112" s="293">
        <v>0</v>
      </c>
      <c r="N112" s="293">
        <v>0</v>
      </c>
      <c r="O112" s="293">
        <v>0</v>
      </c>
      <c r="P112" s="293">
        <v>0</v>
      </c>
      <c r="Q112" s="293">
        <v>0</v>
      </c>
      <c r="R112" s="293">
        <v>0</v>
      </c>
      <c r="S112" s="293">
        <v>0</v>
      </c>
      <c r="T112" s="293">
        <v>0</v>
      </c>
      <c r="U112" s="293">
        <v>0</v>
      </c>
      <c r="V112" s="293">
        <v>0</v>
      </c>
      <c r="W112" s="293">
        <v>0</v>
      </c>
      <c r="X112" s="293">
        <v>0</v>
      </c>
      <c r="Y112" s="293">
        <v>0</v>
      </c>
      <c r="Z112" s="293"/>
      <c r="AA112" s="293">
        <v>0</v>
      </c>
      <c r="AB112" s="293">
        <v>0</v>
      </c>
      <c r="AC112" s="293">
        <v>0</v>
      </c>
      <c r="AD112" s="293">
        <v>0</v>
      </c>
      <c r="AE112" s="293">
        <v>0</v>
      </c>
      <c r="AF112" s="293">
        <v>0</v>
      </c>
      <c r="AG112" s="293">
        <v>0</v>
      </c>
      <c r="AH112" s="293">
        <v>0</v>
      </c>
      <c r="AI112" s="293">
        <v>0</v>
      </c>
      <c r="AJ112" s="293">
        <v>0</v>
      </c>
      <c r="AK112" s="293">
        <v>0</v>
      </c>
      <c r="AL112" s="293">
        <v>0</v>
      </c>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row>
    <row r="113" spans="1:131">
      <c r="A113" s="27"/>
      <c r="B113" s="27" t="s">
        <v>98</v>
      </c>
      <c r="C113" s="293">
        <v>0</v>
      </c>
      <c r="D113" s="293">
        <v>0</v>
      </c>
      <c r="E113" s="293">
        <v>0</v>
      </c>
      <c r="F113" s="293">
        <v>0</v>
      </c>
      <c r="G113" s="293">
        <v>0</v>
      </c>
      <c r="H113" s="293">
        <v>0</v>
      </c>
      <c r="I113" s="293">
        <v>0</v>
      </c>
      <c r="J113" s="293">
        <v>0</v>
      </c>
      <c r="K113" s="293">
        <v>0</v>
      </c>
      <c r="L113" s="294">
        <v>0</v>
      </c>
      <c r="M113" s="293">
        <v>0</v>
      </c>
      <c r="N113" s="293">
        <v>0</v>
      </c>
      <c r="O113" s="293">
        <v>0</v>
      </c>
      <c r="P113" s="293">
        <v>0</v>
      </c>
      <c r="Q113" s="293">
        <v>0</v>
      </c>
      <c r="R113" s="293">
        <v>0</v>
      </c>
      <c r="S113" s="293">
        <v>0</v>
      </c>
      <c r="T113" s="293">
        <v>0</v>
      </c>
      <c r="U113" s="293">
        <v>0</v>
      </c>
      <c r="V113" s="293">
        <v>0</v>
      </c>
      <c r="W113" s="293">
        <v>0</v>
      </c>
      <c r="X113" s="293">
        <v>0</v>
      </c>
      <c r="Y113" s="293">
        <v>0</v>
      </c>
      <c r="Z113" s="293"/>
      <c r="AA113" s="293">
        <v>0</v>
      </c>
      <c r="AB113" s="293">
        <v>0</v>
      </c>
      <c r="AC113" s="293">
        <v>0</v>
      </c>
      <c r="AD113" s="293">
        <v>0</v>
      </c>
      <c r="AE113" s="293">
        <v>0</v>
      </c>
      <c r="AF113" s="293">
        <v>0</v>
      </c>
      <c r="AG113" s="293">
        <v>0</v>
      </c>
      <c r="AH113" s="293">
        <v>0</v>
      </c>
      <c r="AI113" s="293">
        <v>0</v>
      </c>
      <c r="AJ113" s="293">
        <v>0</v>
      </c>
      <c r="AK113" s="293">
        <v>0</v>
      </c>
      <c r="AL113" s="293">
        <v>0</v>
      </c>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row>
    <row r="114" spans="1:131">
      <c r="A114" s="27"/>
      <c r="B114" s="27" t="s">
        <v>101</v>
      </c>
      <c r="C114" s="293">
        <v>0</v>
      </c>
      <c r="D114" s="293">
        <v>0</v>
      </c>
      <c r="E114" s="293">
        <v>0</v>
      </c>
      <c r="F114" s="293">
        <v>0</v>
      </c>
      <c r="G114" s="293">
        <v>0</v>
      </c>
      <c r="H114" s="293">
        <v>0</v>
      </c>
      <c r="I114" s="293">
        <v>0</v>
      </c>
      <c r="J114" s="293">
        <v>0</v>
      </c>
      <c r="K114" s="293">
        <v>0</v>
      </c>
      <c r="L114" s="294">
        <v>0</v>
      </c>
      <c r="M114" s="293">
        <v>0</v>
      </c>
      <c r="N114" s="293">
        <v>0</v>
      </c>
      <c r="O114" s="293">
        <v>0</v>
      </c>
      <c r="P114" s="293">
        <v>0</v>
      </c>
      <c r="Q114" s="293">
        <v>0</v>
      </c>
      <c r="R114" s="293">
        <v>0</v>
      </c>
      <c r="S114" s="293">
        <v>0</v>
      </c>
      <c r="T114" s="293">
        <v>0</v>
      </c>
      <c r="U114" s="293">
        <v>0</v>
      </c>
      <c r="V114" s="293">
        <v>0</v>
      </c>
      <c r="W114" s="293">
        <v>0</v>
      </c>
      <c r="X114" s="293">
        <v>0</v>
      </c>
      <c r="Y114" s="293">
        <v>0</v>
      </c>
      <c r="Z114" s="293"/>
      <c r="AA114" s="293">
        <v>0</v>
      </c>
      <c r="AB114" s="293">
        <v>0</v>
      </c>
      <c r="AC114" s="293">
        <v>0</v>
      </c>
      <c r="AD114" s="293">
        <v>0</v>
      </c>
      <c r="AE114" s="293">
        <v>0</v>
      </c>
      <c r="AF114" s="293">
        <v>0</v>
      </c>
      <c r="AG114" s="293">
        <v>0</v>
      </c>
      <c r="AH114" s="293">
        <v>0</v>
      </c>
      <c r="AI114" s="293">
        <v>0</v>
      </c>
      <c r="AJ114" s="293">
        <v>0</v>
      </c>
      <c r="AK114" s="293">
        <v>0</v>
      </c>
      <c r="AL114" s="293">
        <v>0</v>
      </c>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row>
    <row r="115" spans="1:131">
      <c r="A115" s="27"/>
      <c r="B115" s="27" t="s">
        <v>104</v>
      </c>
      <c r="C115" s="293">
        <v>0</v>
      </c>
      <c r="D115" s="293">
        <v>0</v>
      </c>
      <c r="E115" s="293">
        <v>0</v>
      </c>
      <c r="F115" s="293">
        <v>0</v>
      </c>
      <c r="G115" s="293">
        <v>0</v>
      </c>
      <c r="H115" s="293">
        <v>0</v>
      </c>
      <c r="I115" s="293">
        <v>0</v>
      </c>
      <c r="J115" s="293">
        <v>0</v>
      </c>
      <c r="K115" s="293">
        <v>0</v>
      </c>
      <c r="L115" s="294">
        <v>0</v>
      </c>
      <c r="M115" s="293">
        <v>0</v>
      </c>
      <c r="N115" s="293">
        <v>0</v>
      </c>
      <c r="O115" s="293">
        <v>0</v>
      </c>
      <c r="P115" s="293">
        <v>0</v>
      </c>
      <c r="Q115" s="293">
        <v>0</v>
      </c>
      <c r="R115" s="293">
        <v>0</v>
      </c>
      <c r="S115" s="293">
        <v>0</v>
      </c>
      <c r="T115" s="293">
        <v>0</v>
      </c>
      <c r="U115" s="293">
        <v>0</v>
      </c>
      <c r="V115" s="293">
        <v>0</v>
      </c>
      <c r="W115" s="293">
        <v>0</v>
      </c>
      <c r="X115" s="293">
        <v>0</v>
      </c>
      <c r="Y115" s="293">
        <v>0</v>
      </c>
      <c r="Z115" s="293"/>
      <c r="AA115" s="293">
        <v>0</v>
      </c>
      <c r="AB115" s="293">
        <v>0</v>
      </c>
      <c r="AC115" s="293">
        <v>0</v>
      </c>
      <c r="AD115" s="293">
        <v>0</v>
      </c>
      <c r="AE115" s="293">
        <v>0</v>
      </c>
      <c r="AF115" s="293">
        <v>0</v>
      </c>
      <c r="AG115" s="293">
        <v>0</v>
      </c>
      <c r="AH115" s="293">
        <v>0</v>
      </c>
      <c r="AI115" s="293">
        <v>0</v>
      </c>
      <c r="AJ115" s="293">
        <v>0</v>
      </c>
      <c r="AK115" s="293">
        <v>0</v>
      </c>
      <c r="AL115" s="293">
        <v>0</v>
      </c>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row>
    <row r="116" spans="1:131">
      <c r="A116" s="27"/>
      <c r="B116" s="27" t="s">
        <v>107</v>
      </c>
      <c r="C116" s="293">
        <v>0</v>
      </c>
      <c r="D116" s="293">
        <v>0</v>
      </c>
      <c r="E116" s="293">
        <v>0</v>
      </c>
      <c r="F116" s="293">
        <v>0</v>
      </c>
      <c r="G116" s="293">
        <v>0</v>
      </c>
      <c r="H116" s="293">
        <v>0</v>
      </c>
      <c r="I116" s="293">
        <v>0</v>
      </c>
      <c r="J116" s="293">
        <v>0</v>
      </c>
      <c r="K116" s="293">
        <v>0</v>
      </c>
      <c r="L116" s="294">
        <v>0</v>
      </c>
      <c r="M116" s="293">
        <v>0</v>
      </c>
      <c r="N116" s="293">
        <v>0</v>
      </c>
      <c r="O116" s="293">
        <v>0</v>
      </c>
      <c r="P116" s="293">
        <v>0</v>
      </c>
      <c r="Q116" s="293">
        <v>0</v>
      </c>
      <c r="R116" s="293">
        <v>0</v>
      </c>
      <c r="S116" s="293">
        <v>0</v>
      </c>
      <c r="T116" s="293">
        <v>0</v>
      </c>
      <c r="U116" s="293">
        <v>0</v>
      </c>
      <c r="V116" s="293">
        <v>0</v>
      </c>
      <c r="W116" s="293">
        <v>0</v>
      </c>
      <c r="X116" s="293">
        <v>0</v>
      </c>
      <c r="Y116" s="293">
        <v>0</v>
      </c>
      <c r="Z116" s="293"/>
      <c r="AA116" s="293">
        <v>0</v>
      </c>
      <c r="AB116" s="293">
        <v>0</v>
      </c>
      <c r="AC116" s="293">
        <v>0</v>
      </c>
      <c r="AD116" s="293">
        <v>0</v>
      </c>
      <c r="AE116" s="293">
        <v>0</v>
      </c>
      <c r="AF116" s="293">
        <v>0</v>
      </c>
      <c r="AG116" s="293">
        <v>0</v>
      </c>
      <c r="AH116" s="293">
        <v>0</v>
      </c>
      <c r="AI116" s="293">
        <v>0</v>
      </c>
      <c r="AJ116" s="293">
        <v>0</v>
      </c>
      <c r="AK116" s="293">
        <v>0</v>
      </c>
      <c r="AL116" s="293">
        <v>0</v>
      </c>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row>
    <row r="117" spans="1:131">
      <c r="A117" s="27"/>
      <c r="B117" s="27" t="s">
        <v>110</v>
      </c>
      <c r="C117" s="293">
        <v>0</v>
      </c>
      <c r="D117" s="293">
        <v>0</v>
      </c>
      <c r="E117" s="293">
        <v>0</v>
      </c>
      <c r="F117" s="293">
        <v>0</v>
      </c>
      <c r="G117" s="293">
        <v>0</v>
      </c>
      <c r="H117" s="293">
        <v>0</v>
      </c>
      <c r="I117" s="293">
        <v>0</v>
      </c>
      <c r="J117" s="293">
        <v>0</v>
      </c>
      <c r="K117" s="293">
        <v>0</v>
      </c>
      <c r="L117" s="294">
        <v>0</v>
      </c>
      <c r="M117" s="293">
        <v>0</v>
      </c>
      <c r="N117" s="293">
        <v>0</v>
      </c>
      <c r="O117" s="293">
        <v>0</v>
      </c>
      <c r="P117" s="293">
        <v>0</v>
      </c>
      <c r="Q117" s="293">
        <v>0</v>
      </c>
      <c r="R117" s="293">
        <v>0</v>
      </c>
      <c r="S117" s="293">
        <v>0</v>
      </c>
      <c r="T117" s="293">
        <v>0</v>
      </c>
      <c r="U117" s="293">
        <v>0</v>
      </c>
      <c r="V117" s="293">
        <v>0</v>
      </c>
      <c r="W117" s="293">
        <v>0</v>
      </c>
      <c r="X117" s="293">
        <v>0</v>
      </c>
      <c r="Y117" s="293">
        <v>0</v>
      </c>
      <c r="Z117" s="293"/>
      <c r="AA117" s="293">
        <v>0</v>
      </c>
      <c r="AB117" s="293">
        <v>0</v>
      </c>
      <c r="AC117" s="293">
        <v>0</v>
      </c>
      <c r="AD117" s="293">
        <v>0</v>
      </c>
      <c r="AE117" s="293">
        <v>0</v>
      </c>
      <c r="AF117" s="293">
        <v>0</v>
      </c>
      <c r="AG117" s="293">
        <v>0</v>
      </c>
      <c r="AH117" s="293">
        <v>0</v>
      </c>
      <c r="AI117" s="293">
        <v>0</v>
      </c>
      <c r="AJ117" s="293">
        <v>0</v>
      </c>
      <c r="AK117" s="293">
        <v>0</v>
      </c>
      <c r="AL117" s="293">
        <v>0</v>
      </c>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row>
    <row r="118" spans="1:131">
      <c r="A118" s="27"/>
      <c r="B118" s="27" t="s">
        <v>113</v>
      </c>
      <c r="C118" s="293">
        <v>0</v>
      </c>
      <c r="D118" s="293">
        <v>0</v>
      </c>
      <c r="E118" s="293">
        <v>0</v>
      </c>
      <c r="F118" s="293">
        <v>0</v>
      </c>
      <c r="G118" s="293">
        <v>0</v>
      </c>
      <c r="H118" s="293">
        <v>0</v>
      </c>
      <c r="I118" s="293">
        <v>0</v>
      </c>
      <c r="J118" s="293">
        <v>0</v>
      </c>
      <c r="K118" s="293">
        <v>0</v>
      </c>
      <c r="L118" s="294">
        <v>0</v>
      </c>
      <c r="M118" s="293">
        <v>0</v>
      </c>
      <c r="N118" s="293">
        <v>0</v>
      </c>
      <c r="O118" s="293">
        <v>0</v>
      </c>
      <c r="P118" s="293">
        <v>0</v>
      </c>
      <c r="Q118" s="293">
        <v>0</v>
      </c>
      <c r="R118" s="293">
        <v>0</v>
      </c>
      <c r="S118" s="293">
        <v>0</v>
      </c>
      <c r="T118" s="293">
        <v>0</v>
      </c>
      <c r="U118" s="293">
        <v>0</v>
      </c>
      <c r="V118" s="293">
        <v>0</v>
      </c>
      <c r="W118" s="293">
        <v>0</v>
      </c>
      <c r="X118" s="293">
        <v>0</v>
      </c>
      <c r="Y118" s="293">
        <v>0</v>
      </c>
      <c r="Z118" s="293"/>
      <c r="AA118" s="293">
        <v>0</v>
      </c>
      <c r="AB118" s="293">
        <v>0</v>
      </c>
      <c r="AC118" s="293">
        <v>0</v>
      </c>
      <c r="AD118" s="293">
        <v>0</v>
      </c>
      <c r="AE118" s="293">
        <v>0</v>
      </c>
      <c r="AF118" s="293">
        <v>0</v>
      </c>
      <c r="AG118" s="293">
        <v>0</v>
      </c>
      <c r="AH118" s="293">
        <v>0</v>
      </c>
      <c r="AI118" s="293">
        <v>0</v>
      </c>
      <c r="AJ118" s="293">
        <v>0</v>
      </c>
      <c r="AK118" s="293">
        <v>0</v>
      </c>
      <c r="AL118" s="293">
        <v>0</v>
      </c>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row>
    <row r="119" spans="1:131">
      <c r="A119" s="27"/>
      <c r="B119" s="27" t="s">
        <v>116</v>
      </c>
      <c r="C119" s="293">
        <v>0</v>
      </c>
      <c r="D119" s="293">
        <v>0</v>
      </c>
      <c r="E119" s="293">
        <v>0</v>
      </c>
      <c r="F119" s="293">
        <v>0</v>
      </c>
      <c r="G119" s="293">
        <v>0</v>
      </c>
      <c r="H119" s="293">
        <v>0</v>
      </c>
      <c r="I119" s="293">
        <v>0</v>
      </c>
      <c r="J119" s="293">
        <v>0</v>
      </c>
      <c r="K119" s="293">
        <v>0</v>
      </c>
      <c r="L119" s="294">
        <v>0</v>
      </c>
      <c r="M119" s="293">
        <v>0</v>
      </c>
      <c r="N119" s="293">
        <v>0</v>
      </c>
      <c r="O119" s="293">
        <v>0</v>
      </c>
      <c r="P119" s="293">
        <v>0</v>
      </c>
      <c r="Q119" s="293">
        <v>0</v>
      </c>
      <c r="R119" s="293">
        <v>0</v>
      </c>
      <c r="S119" s="293">
        <v>0</v>
      </c>
      <c r="T119" s="293">
        <v>0</v>
      </c>
      <c r="U119" s="293">
        <v>0</v>
      </c>
      <c r="V119" s="293">
        <v>0</v>
      </c>
      <c r="W119" s="293">
        <v>0</v>
      </c>
      <c r="X119" s="293">
        <v>0</v>
      </c>
      <c r="Y119" s="293">
        <v>0</v>
      </c>
      <c r="Z119" s="293"/>
      <c r="AA119" s="293">
        <v>0</v>
      </c>
      <c r="AB119" s="293">
        <v>0</v>
      </c>
      <c r="AC119" s="293">
        <v>0</v>
      </c>
      <c r="AD119" s="293">
        <v>0</v>
      </c>
      <c r="AE119" s="293">
        <v>0</v>
      </c>
      <c r="AF119" s="293">
        <v>0</v>
      </c>
      <c r="AG119" s="293">
        <v>0</v>
      </c>
      <c r="AH119" s="293">
        <v>0</v>
      </c>
      <c r="AI119" s="293">
        <v>0</v>
      </c>
      <c r="AJ119" s="293">
        <v>0</v>
      </c>
      <c r="AK119" s="293">
        <v>0</v>
      </c>
      <c r="AL119" s="293">
        <v>0</v>
      </c>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row>
    <row r="120" spans="1:131">
      <c r="A120" s="27"/>
      <c r="B120" s="27" t="s">
        <v>119</v>
      </c>
      <c r="C120" s="38">
        <v>1790.7788990860683</v>
      </c>
      <c r="D120" s="38">
        <v>3296.9499559131623</v>
      </c>
      <c r="E120" s="38">
        <v>659.38999118263246</v>
      </c>
      <c r="F120" s="38">
        <v>3956.3399470957947</v>
      </c>
      <c r="G120" s="38">
        <v>3574.9994062010855</v>
      </c>
      <c r="H120" s="38">
        <v>1914.2734528245696</v>
      </c>
      <c r="I120" s="38">
        <v>19353.331644820464</v>
      </c>
      <c r="J120" s="38">
        <v>75.212596273959946</v>
      </c>
      <c r="K120" s="38">
        <v>106.99546691295355</v>
      </c>
      <c r="L120" s="50">
        <v>0.53546119462401276</v>
      </c>
      <c r="M120" s="38">
        <v>17.012508065979748</v>
      </c>
      <c r="N120" s="48">
        <v>199.48406880366878</v>
      </c>
      <c r="O120" s="48">
        <v>145.54353791823829</v>
      </c>
      <c r="P120" s="48">
        <v>131.88486323397285</v>
      </c>
      <c r="Q120" s="48">
        <v>105.71950053262697</v>
      </c>
      <c r="R120" s="48">
        <v>43.557606159124269</v>
      </c>
      <c r="S120" s="48">
        <v>12.166806139183265</v>
      </c>
      <c r="T120" s="48">
        <v>2.9627173547969274</v>
      </c>
      <c r="U120" s="48">
        <v>2.4905946045941922</v>
      </c>
      <c r="V120" s="48">
        <v>23.633595494357742</v>
      </c>
      <c r="W120" s="48">
        <v>81.175078959256169</v>
      </c>
      <c r="X120" s="48">
        <v>128.40109780144567</v>
      </c>
      <c r="Y120" s="48">
        <v>232.47940821816286</v>
      </c>
      <c r="Z120" s="48"/>
      <c r="AA120" s="48">
        <v>126.8007917935247</v>
      </c>
      <c r="AB120" s="48">
        <v>94.996712057489532</v>
      </c>
      <c r="AC120" s="48">
        <v>73.585410242158389</v>
      </c>
      <c r="AD120" s="48">
        <v>63.106772438144112</v>
      </c>
      <c r="AE120" s="48">
        <v>24.79204230368903</v>
      </c>
      <c r="AF120" s="48">
        <v>6.1547012701641526</v>
      </c>
      <c r="AG120" s="48">
        <v>1.6576990126323854</v>
      </c>
      <c r="AH120" s="48">
        <v>1.1084442663843979</v>
      </c>
      <c r="AI120" s="48">
        <v>13.57166180760742</v>
      </c>
      <c r="AJ120" s="48">
        <v>41.851700216981023</v>
      </c>
      <c r="AK120" s="48">
        <v>84.009887301798415</v>
      </c>
      <c r="AL120" s="48">
        <v>149.64420115606697</v>
      </c>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row>
    <row r="121" spans="1:131">
      <c r="A121" s="27"/>
      <c r="B121" s="27" t="s">
        <v>122</v>
      </c>
      <c r="C121" s="38">
        <v>1855.5407675899996</v>
      </c>
      <c r="D121" s="38">
        <v>3514.5499559131631</v>
      </c>
      <c r="E121" s="38">
        <v>702.90999118263267</v>
      </c>
      <c r="F121" s="38">
        <v>4217.4599470957955</v>
      </c>
      <c r="G121" s="38">
        <v>3810.9507798014456</v>
      </c>
      <c r="H121" s="38">
        <v>1984.4398544922949</v>
      </c>
      <c r="I121" s="38">
        <v>19910.610309329797</v>
      </c>
      <c r="J121" s="38">
        <v>78.233245721999893</v>
      </c>
      <c r="K121" s="38">
        <v>111.18806127875146</v>
      </c>
      <c r="L121" s="50">
        <v>0.52072041051017881</v>
      </c>
      <c r="M121" s="38">
        <v>17.627749741461496</v>
      </c>
      <c r="N121" s="48">
        <v>206.69822630747097</v>
      </c>
      <c r="O121" s="48">
        <v>150.80698583415258</v>
      </c>
      <c r="P121" s="48">
        <v>136.65435776776286</v>
      </c>
      <c r="Q121" s="48">
        <v>109.54274883831644</v>
      </c>
      <c r="R121" s="48">
        <v>45.132826843186869</v>
      </c>
      <c r="S121" s="48">
        <v>12.606807470280442</v>
      </c>
      <c r="T121" s="48">
        <v>3.0698612974933681</v>
      </c>
      <c r="U121" s="48">
        <v>2.5806646631377941</v>
      </c>
      <c r="V121" s="48">
        <v>24.488282694693766</v>
      </c>
      <c r="W121" s="48">
        <v>84.110700878879257</v>
      </c>
      <c r="X121" s="48">
        <v>133.04460516900593</v>
      </c>
      <c r="Y121" s="48">
        <v>240.88681176339125</v>
      </c>
      <c r="Z121" s="48"/>
      <c r="AA121" s="48">
        <v>131.38642556915025</v>
      </c>
      <c r="AB121" s="48">
        <v>98.43218060009562</v>
      </c>
      <c r="AC121" s="48">
        <v>76.246558787264988</v>
      </c>
      <c r="AD121" s="48">
        <v>65.388970704179286</v>
      </c>
      <c r="AE121" s="48">
        <v>25.688623665260142</v>
      </c>
      <c r="AF121" s="48">
        <v>6.3772803694280382</v>
      </c>
      <c r="AG121" s="48">
        <v>1.717648169689119</v>
      </c>
      <c r="AH121" s="48">
        <v>1.14853013173615</v>
      </c>
      <c r="AI121" s="48">
        <v>14.062468449238422</v>
      </c>
      <c r="AJ121" s="48">
        <v>43.365228384808624</v>
      </c>
      <c r="AK121" s="48">
        <v>87.048027452570679</v>
      </c>
      <c r="AL121" s="48">
        <v>155.0559457788068</v>
      </c>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row>
    <row r="122" spans="1:131">
      <c r="A122" s="27"/>
      <c r="B122" s="27" t="s">
        <v>125</v>
      </c>
      <c r="C122" s="293">
        <v>0</v>
      </c>
      <c r="D122" s="293">
        <v>0</v>
      </c>
      <c r="E122" s="293">
        <v>0</v>
      </c>
      <c r="F122" s="293">
        <v>0</v>
      </c>
      <c r="G122" s="293">
        <v>0</v>
      </c>
      <c r="H122" s="293">
        <v>0</v>
      </c>
      <c r="I122" s="293">
        <v>0</v>
      </c>
      <c r="J122" s="293">
        <v>0</v>
      </c>
      <c r="K122" s="293">
        <v>0</v>
      </c>
      <c r="L122" s="294">
        <v>0</v>
      </c>
      <c r="M122" s="293">
        <v>0</v>
      </c>
      <c r="N122" s="293">
        <v>0</v>
      </c>
      <c r="O122" s="293">
        <v>0</v>
      </c>
      <c r="P122" s="293">
        <v>0</v>
      </c>
      <c r="Q122" s="293">
        <v>0</v>
      </c>
      <c r="R122" s="293">
        <v>0</v>
      </c>
      <c r="S122" s="293">
        <v>0</v>
      </c>
      <c r="T122" s="293">
        <v>0</v>
      </c>
      <c r="U122" s="293">
        <v>0</v>
      </c>
      <c r="V122" s="293">
        <v>0</v>
      </c>
      <c r="W122" s="293">
        <v>0</v>
      </c>
      <c r="X122" s="293">
        <v>0</v>
      </c>
      <c r="Y122" s="293">
        <v>0</v>
      </c>
      <c r="Z122" s="293"/>
      <c r="AA122" s="293">
        <v>0</v>
      </c>
      <c r="AB122" s="293">
        <v>0</v>
      </c>
      <c r="AC122" s="293">
        <v>0</v>
      </c>
      <c r="AD122" s="293">
        <v>0</v>
      </c>
      <c r="AE122" s="293">
        <v>0</v>
      </c>
      <c r="AF122" s="293">
        <v>0</v>
      </c>
      <c r="AG122" s="293">
        <v>0</v>
      </c>
      <c r="AH122" s="293">
        <v>0</v>
      </c>
      <c r="AI122" s="293">
        <v>0</v>
      </c>
      <c r="AJ122" s="293">
        <v>0</v>
      </c>
      <c r="AK122" s="293">
        <v>0</v>
      </c>
      <c r="AL122" s="293">
        <v>0</v>
      </c>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row>
    <row r="123" spans="1:131">
      <c r="A123" s="27"/>
      <c r="B123" s="27" t="s">
        <v>128</v>
      </c>
      <c r="C123" s="293">
        <v>0</v>
      </c>
      <c r="D123" s="293">
        <v>0</v>
      </c>
      <c r="E123" s="293">
        <v>0</v>
      </c>
      <c r="F123" s="293">
        <v>0</v>
      </c>
      <c r="G123" s="293">
        <v>0</v>
      </c>
      <c r="H123" s="293">
        <v>0</v>
      </c>
      <c r="I123" s="293">
        <v>0</v>
      </c>
      <c r="J123" s="293">
        <v>0</v>
      </c>
      <c r="K123" s="293">
        <v>0</v>
      </c>
      <c r="L123" s="294">
        <v>0</v>
      </c>
      <c r="M123" s="293">
        <v>0</v>
      </c>
      <c r="N123" s="293">
        <v>0</v>
      </c>
      <c r="O123" s="293">
        <v>0</v>
      </c>
      <c r="P123" s="293">
        <v>0</v>
      </c>
      <c r="Q123" s="293">
        <v>0</v>
      </c>
      <c r="R123" s="293">
        <v>0</v>
      </c>
      <c r="S123" s="293">
        <v>0</v>
      </c>
      <c r="T123" s="293">
        <v>0</v>
      </c>
      <c r="U123" s="293">
        <v>0</v>
      </c>
      <c r="V123" s="293">
        <v>0</v>
      </c>
      <c r="W123" s="293">
        <v>0</v>
      </c>
      <c r="X123" s="293">
        <v>0</v>
      </c>
      <c r="Y123" s="293">
        <v>0</v>
      </c>
      <c r="Z123" s="293"/>
      <c r="AA123" s="293">
        <v>0</v>
      </c>
      <c r="AB123" s="293">
        <v>0</v>
      </c>
      <c r="AC123" s="293">
        <v>0</v>
      </c>
      <c r="AD123" s="293">
        <v>0</v>
      </c>
      <c r="AE123" s="293">
        <v>0</v>
      </c>
      <c r="AF123" s="293">
        <v>0</v>
      </c>
      <c r="AG123" s="293">
        <v>0</v>
      </c>
      <c r="AH123" s="293">
        <v>0</v>
      </c>
      <c r="AI123" s="293">
        <v>0</v>
      </c>
      <c r="AJ123" s="293">
        <v>0</v>
      </c>
      <c r="AK123" s="293">
        <v>0</v>
      </c>
      <c r="AL123" s="293">
        <v>0</v>
      </c>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row>
    <row r="124" spans="1:131">
      <c r="A124" s="27"/>
      <c r="B124" s="27" t="s">
        <v>131</v>
      </c>
      <c r="C124" s="293">
        <v>0</v>
      </c>
      <c r="D124" s="293">
        <v>0</v>
      </c>
      <c r="E124" s="293">
        <v>0</v>
      </c>
      <c r="F124" s="293">
        <v>0</v>
      </c>
      <c r="G124" s="293">
        <v>0</v>
      </c>
      <c r="H124" s="293">
        <v>0</v>
      </c>
      <c r="I124" s="293">
        <v>0</v>
      </c>
      <c r="J124" s="293">
        <v>0</v>
      </c>
      <c r="K124" s="293">
        <v>0</v>
      </c>
      <c r="L124" s="294">
        <v>0</v>
      </c>
      <c r="M124" s="293">
        <v>0</v>
      </c>
      <c r="N124" s="293">
        <v>0</v>
      </c>
      <c r="O124" s="293">
        <v>0</v>
      </c>
      <c r="P124" s="293">
        <v>0</v>
      </c>
      <c r="Q124" s="293">
        <v>0</v>
      </c>
      <c r="R124" s="293">
        <v>0</v>
      </c>
      <c r="S124" s="293">
        <v>0</v>
      </c>
      <c r="T124" s="293">
        <v>0</v>
      </c>
      <c r="U124" s="293">
        <v>0</v>
      </c>
      <c r="V124" s="293">
        <v>0</v>
      </c>
      <c r="W124" s="293">
        <v>0</v>
      </c>
      <c r="X124" s="293">
        <v>0</v>
      </c>
      <c r="Y124" s="293">
        <v>0</v>
      </c>
      <c r="Z124" s="293"/>
      <c r="AA124" s="293">
        <v>0</v>
      </c>
      <c r="AB124" s="293">
        <v>0</v>
      </c>
      <c r="AC124" s="293">
        <v>0</v>
      </c>
      <c r="AD124" s="293">
        <v>0</v>
      </c>
      <c r="AE124" s="293">
        <v>0</v>
      </c>
      <c r="AF124" s="293">
        <v>0</v>
      </c>
      <c r="AG124" s="293">
        <v>0</v>
      </c>
      <c r="AH124" s="293">
        <v>0</v>
      </c>
      <c r="AI124" s="293">
        <v>0</v>
      </c>
      <c r="AJ124" s="293">
        <v>0</v>
      </c>
      <c r="AK124" s="293">
        <v>0</v>
      </c>
      <c r="AL124" s="293">
        <v>0</v>
      </c>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row>
    <row r="125" spans="1:131">
      <c r="A125" s="27"/>
      <c r="B125" s="27" t="s">
        <v>134</v>
      </c>
      <c r="C125" s="38">
        <v>1623.7407839406073</v>
      </c>
      <c r="D125" s="38">
        <v>3514.5499559131654</v>
      </c>
      <c r="E125" s="38">
        <v>702.90999118263312</v>
      </c>
      <c r="F125" s="38">
        <v>4217.4599470957983</v>
      </c>
      <c r="G125" s="38">
        <v>3810.9507798014483</v>
      </c>
      <c r="H125" s="38">
        <v>1318.0051553858339</v>
      </c>
      <c r="I125" s="38">
        <v>22752.984652450876</v>
      </c>
      <c r="J125" s="38">
        <v>103.49479211683391</v>
      </c>
      <c r="K125" s="38">
        <v>151.2142697308571</v>
      </c>
      <c r="L125" s="50">
        <v>0.34584680609664087</v>
      </c>
      <c r="M125" s="38">
        <v>15.425724910345707</v>
      </c>
      <c r="N125" s="48">
        <v>138.85203456423986</v>
      </c>
      <c r="O125" s="48">
        <v>101.39380588372711</v>
      </c>
      <c r="P125" s="48">
        <v>82.138717967918708</v>
      </c>
      <c r="Q125" s="48">
        <v>71.212501698107857</v>
      </c>
      <c r="R125" s="48">
        <v>26.130169602375368</v>
      </c>
      <c r="S125" s="48">
        <v>16.894072866013701</v>
      </c>
      <c r="T125" s="48">
        <v>49.119247011007275</v>
      </c>
      <c r="U125" s="48">
        <v>48.989922768169762</v>
      </c>
      <c r="V125" s="48">
        <v>28.488767323940966</v>
      </c>
      <c r="W125" s="48">
        <v>64.715496968657845</v>
      </c>
      <c r="X125" s="48">
        <v>100.48597774631028</v>
      </c>
      <c r="Y125" s="48">
        <v>175.34662282278254</v>
      </c>
      <c r="Z125" s="48"/>
      <c r="AA125" s="48">
        <v>131.74783450081617</v>
      </c>
      <c r="AB125" s="48">
        <v>93.31513850601614</v>
      </c>
      <c r="AC125" s="48">
        <v>68.908337229521962</v>
      </c>
      <c r="AD125" s="48">
        <v>64.271529672339099</v>
      </c>
      <c r="AE125" s="48">
        <v>25.408270881664375</v>
      </c>
      <c r="AF125" s="48">
        <v>7.849139283972506</v>
      </c>
      <c r="AG125" s="48">
        <v>24.178120558254221</v>
      </c>
      <c r="AH125" s="48">
        <v>17.30957478571657</v>
      </c>
      <c r="AI125" s="48">
        <v>16.368420591427178</v>
      </c>
      <c r="AJ125" s="48">
        <v>39.757521607554821</v>
      </c>
      <c r="AK125" s="48">
        <v>79.124264420196198</v>
      </c>
      <c r="AL125" s="48">
        <v>151.73529467987703</v>
      </c>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row>
    <row r="126" spans="1:131">
      <c r="A126" s="27"/>
      <c r="B126" s="27" t="s">
        <v>137</v>
      </c>
      <c r="C126" s="293">
        <v>0</v>
      </c>
      <c r="D126" s="293">
        <v>0</v>
      </c>
      <c r="E126" s="293">
        <v>0</v>
      </c>
      <c r="F126" s="293">
        <v>0</v>
      </c>
      <c r="G126" s="293">
        <v>0</v>
      </c>
      <c r="H126" s="293">
        <v>0</v>
      </c>
      <c r="I126" s="293">
        <v>0</v>
      </c>
      <c r="J126" s="293">
        <v>0</v>
      </c>
      <c r="K126" s="293">
        <v>0</v>
      </c>
      <c r="L126" s="294">
        <v>0</v>
      </c>
      <c r="M126" s="293">
        <v>0</v>
      </c>
      <c r="N126" s="293">
        <v>0</v>
      </c>
      <c r="O126" s="293">
        <v>0</v>
      </c>
      <c r="P126" s="293">
        <v>0</v>
      </c>
      <c r="Q126" s="293">
        <v>0</v>
      </c>
      <c r="R126" s="293">
        <v>0</v>
      </c>
      <c r="S126" s="293">
        <v>0</v>
      </c>
      <c r="T126" s="293">
        <v>0</v>
      </c>
      <c r="U126" s="293">
        <v>0</v>
      </c>
      <c r="V126" s="293">
        <v>0</v>
      </c>
      <c r="W126" s="293">
        <v>0</v>
      </c>
      <c r="X126" s="293">
        <v>0</v>
      </c>
      <c r="Y126" s="293">
        <v>0</v>
      </c>
      <c r="Z126" s="293"/>
      <c r="AA126" s="293">
        <v>0</v>
      </c>
      <c r="AB126" s="293">
        <v>0</v>
      </c>
      <c r="AC126" s="293">
        <v>0</v>
      </c>
      <c r="AD126" s="293">
        <v>0</v>
      </c>
      <c r="AE126" s="293">
        <v>0</v>
      </c>
      <c r="AF126" s="293">
        <v>0</v>
      </c>
      <c r="AG126" s="293">
        <v>0</v>
      </c>
      <c r="AH126" s="293">
        <v>0</v>
      </c>
      <c r="AI126" s="293">
        <v>0</v>
      </c>
      <c r="AJ126" s="293">
        <v>0</v>
      </c>
      <c r="AK126" s="293">
        <v>0</v>
      </c>
      <c r="AL126" s="293">
        <v>0</v>
      </c>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row>
    <row r="127" spans="1:131">
      <c r="A127" s="27"/>
      <c r="B127" s="27" t="s">
        <v>140</v>
      </c>
      <c r="C127" s="38">
        <v>997.78419810830133</v>
      </c>
      <c r="D127" s="38">
        <v>2687.9999999999973</v>
      </c>
      <c r="E127" s="38">
        <v>537.59999999999945</v>
      </c>
      <c r="F127" s="38">
        <v>3225.5999999999967</v>
      </c>
      <c r="G127" s="38">
        <v>2914.6934385926761</v>
      </c>
      <c r="H127" s="38">
        <v>1065.2646628758225</v>
      </c>
      <c r="I127" s="38">
        <v>28319.005305526982</v>
      </c>
      <c r="J127" s="38">
        <v>123.80975047932414</v>
      </c>
      <c r="K127" s="38">
        <v>175.14390543938447</v>
      </c>
      <c r="L127" s="50">
        <v>0.36548085941764513</v>
      </c>
      <c r="M127" s="38">
        <v>9.4790103496795748</v>
      </c>
      <c r="N127" s="48">
        <v>111.1483119039608</v>
      </c>
      <c r="O127" s="48">
        <v>81.093786812938603</v>
      </c>
      <c r="P127" s="48">
        <v>73.483461622030191</v>
      </c>
      <c r="Q127" s="48">
        <v>58.904673892009882</v>
      </c>
      <c r="R127" s="48">
        <v>24.269378623558477</v>
      </c>
      <c r="S127" s="48">
        <v>6.7790875318665824</v>
      </c>
      <c r="T127" s="48">
        <v>1.6507635652766988</v>
      </c>
      <c r="U127" s="48">
        <v>1.3877067356702422</v>
      </c>
      <c r="V127" s="48">
        <v>13.168140489475547</v>
      </c>
      <c r="W127" s="48">
        <v>45.229040339416386</v>
      </c>
      <c r="X127" s="48">
        <v>71.542381067492968</v>
      </c>
      <c r="Y127" s="48">
        <v>129.53261847346764</v>
      </c>
      <c r="Z127" s="48"/>
      <c r="AA127" s="48">
        <v>70.650724343340016</v>
      </c>
      <c r="AB127" s="48">
        <v>52.930162518433711</v>
      </c>
      <c r="AC127" s="48">
        <v>41.000237152902464</v>
      </c>
      <c r="AD127" s="48">
        <v>35.161761379102757</v>
      </c>
      <c r="AE127" s="48">
        <v>13.81360259609834</v>
      </c>
      <c r="AF127" s="48">
        <v>3.429269618142698</v>
      </c>
      <c r="AG127" s="48">
        <v>0.92363489477593619</v>
      </c>
      <c r="AH127" s="48">
        <v>0.61760174527773726</v>
      </c>
      <c r="AI127" s="48">
        <v>7.561843452930809</v>
      </c>
      <c r="AJ127" s="48">
        <v>23.31888384533752</v>
      </c>
      <c r="AK127" s="48">
        <v>46.808535703304017</v>
      </c>
      <c r="AL127" s="48">
        <v>83.378589801491373</v>
      </c>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row>
    <row r="128" spans="1:131">
      <c r="A128" s="27"/>
      <c r="B128" s="27" t="s">
        <v>143</v>
      </c>
      <c r="C128" s="293">
        <v>0</v>
      </c>
      <c r="D128" s="293">
        <v>0</v>
      </c>
      <c r="E128" s="293">
        <v>0</v>
      </c>
      <c r="F128" s="293">
        <v>0</v>
      </c>
      <c r="G128" s="293">
        <v>0</v>
      </c>
      <c r="H128" s="293">
        <v>0</v>
      </c>
      <c r="I128" s="293">
        <v>0</v>
      </c>
      <c r="J128" s="293">
        <v>0</v>
      </c>
      <c r="K128" s="293">
        <v>0</v>
      </c>
      <c r="L128" s="294">
        <v>0</v>
      </c>
      <c r="M128" s="293">
        <v>0</v>
      </c>
      <c r="N128" s="293">
        <v>0</v>
      </c>
      <c r="O128" s="293">
        <v>0</v>
      </c>
      <c r="P128" s="293">
        <v>0</v>
      </c>
      <c r="Q128" s="293">
        <v>0</v>
      </c>
      <c r="R128" s="293">
        <v>0</v>
      </c>
      <c r="S128" s="293">
        <v>0</v>
      </c>
      <c r="T128" s="293">
        <v>0</v>
      </c>
      <c r="U128" s="293">
        <v>0</v>
      </c>
      <c r="V128" s="293">
        <v>0</v>
      </c>
      <c r="W128" s="293">
        <v>0</v>
      </c>
      <c r="X128" s="293">
        <v>0</v>
      </c>
      <c r="Y128" s="293">
        <v>0</v>
      </c>
      <c r="Z128" s="293"/>
      <c r="AA128" s="293">
        <v>0</v>
      </c>
      <c r="AB128" s="293">
        <v>0</v>
      </c>
      <c r="AC128" s="293">
        <v>0</v>
      </c>
      <c r="AD128" s="293">
        <v>0</v>
      </c>
      <c r="AE128" s="293">
        <v>0</v>
      </c>
      <c r="AF128" s="293">
        <v>0</v>
      </c>
      <c r="AG128" s="293">
        <v>0</v>
      </c>
      <c r="AH128" s="293">
        <v>0</v>
      </c>
      <c r="AI128" s="293">
        <v>0</v>
      </c>
      <c r="AJ128" s="293">
        <v>0</v>
      </c>
      <c r="AK128" s="293">
        <v>0</v>
      </c>
      <c r="AL128" s="293">
        <v>0</v>
      </c>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row>
    <row r="129" spans="1:131">
      <c r="A129" s="27"/>
      <c r="B129" s="27" t="s">
        <v>146</v>
      </c>
      <c r="C129" s="293">
        <v>0</v>
      </c>
      <c r="D129" s="293">
        <v>0</v>
      </c>
      <c r="E129" s="293">
        <v>0</v>
      </c>
      <c r="F129" s="293">
        <v>0</v>
      </c>
      <c r="G129" s="293">
        <v>0</v>
      </c>
      <c r="H129" s="293">
        <v>0</v>
      </c>
      <c r="I129" s="293">
        <v>0</v>
      </c>
      <c r="J129" s="293">
        <v>0</v>
      </c>
      <c r="K129" s="293">
        <v>0</v>
      </c>
      <c r="L129" s="294">
        <v>0</v>
      </c>
      <c r="M129" s="293">
        <v>0</v>
      </c>
      <c r="N129" s="293">
        <v>0</v>
      </c>
      <c r="O129" s="293">
        <v>0</v>
      </c>
      <c r="P129" s="293">
        <v>0</v>
      </c>
      <c r="Q129" s="293">
        <v>0</v>
      </c>
      <c r="R129" s="293">
        <v>0</v>
      </c>
      <c r="S129" s="293">
        <v>0</v>
      </c>
      <c r="T129" s="293">
        <v>0</v>
      </c>
      <c r="U129" s="293">
        <v>0</v>
      </c>
      <c r="V129" s="293">
        <v>0</v>
      </c>
      <c r="W129" s="293">
        <v>0</v>
      </c>
      <c r="X129" s="293">
        <v>0</v>
      </c>
      <c r="Y129" s="293">
        <v>0</v>
      </c>
      <c r="Z129" s="293"/>
      <c r="AA129" s="293">
        <v>0</v>
      </c>
      <c r="AB129" s="293">
        <v>0</v>
      </c>
      <c r="AC129" s="293">
        <v>0</v>
      </c>
      <c r="AD129" s="293">
        <v>0</v>
      </c>
      <c r="AE129" s="293">
        <v>0</v>
      </c>
      <c r="AF129" s="293">
        <v>0</v>
      </c>
      <c r="AG129" s="293">
        <v>0</v>
      </c>
      <c r="AH129" s="293">
        <v>0</v>
      </c>
      <c r="AI129" s="293">
        <v>0</v>
      </c>
      <c r="AJ129" s="293">
        <v>0</v>
      </c>
      <c r="AK129" s="293">
        <v>0</v>
      </c>
      <c r="AL129" s="293">
        <v>0</v>
      </c>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row>
    <row r="130" spans="1:131" s="27" customFormat="1">
      <c r="B130" s="27" t="s">
        <v>6037</v>
      </c>
      <c r="C130" s="38">
        <v>7457.1516836244227</v>
      </c>
      <c r="D130" s="38">
        <v>55191.949779565803</v>
      </c>
      <c r="E130" s="38">
        <v>11038.389955913164</v>
      </c>
      <c r="F130" s="38">
        <v>66230.339735478963</v>
      </c>
      <c r="G130" s="38">
        <v>59846.582546739999</v>
      </c>
      <c r="H130" s="38">
        <v>7507.8056167352452</v>
      </c>
      <c r="I130" s="38">
        <v>77801.525394319207</v>
      </c>
      <c r="J130" s="38">
        <v>396.02774566360074</v>
      </c>
      <c r="K130" s="38">
        <v>554.98958283700438</v>
      </c>
      <c r="L130" s="50">
        <v>0.17202046868588305</v>
      </c>
      <c r="M130" s="38">
        <v>70.843559139625398</v>
      </c>
      <c r="N130" s="48">
        <v>752.25359243065145</v>
      </c>
      <c r="O130" s="48">
        <v>549.00718058053349</v>
      </c>
      <c r="P130" s="48">
        <v>479.30650091068065</v>
      </c>
      <c r="Q130" s="48">
        <v>394.23655296743499</v>
      </c>
      <c r="R130" s="48">
        <v>156.43823124962509</v>
      </c>
      <c r="S130" s="48">
        <v>61.606308814751017</v>
      </c>
      <c r="T130" s="48">
        <v>99.001638736308692</v>
      </c>
      <c r="U130" s="48">
        <v>97.593246907532077</v>
      </c>
      <c r="V130" s="48">
        <v>111.59129738086368</v>
      </c>
      <c r="W130" s="48">
        <v>321.44019357893046</v>
      </c>
      <c r="X130" s="48">
        <v>504.93926942288084</v>
      </c>
      <c r="Y130" s="48">
        <v>901.92810030774251</v>
      </c>
      <c r="Z130" s="48"/>
      <c r="AA130" s="48">
        <v>559.33201615663518</v>
      </c>
      <c r="AB130" s="48">
        <v>408.98475410026822</v>
      </c>
      <c r="AC130" s="48">
        <v>310.50538346445074</v>
      </c>
      <c r="AD130" s="48">
        <v>275.94945123919302</v>
      </c>
      <c r="AE130" s="48">
        <v>108.70523189861653</v>
      </c>
      <c r="AF130" s="48">
        <v>29.863452026621292</v>
      </c>
      <c r="AG130" s="48">
        <v>49.224652497147829</v>
      </c>
      <c r="AH130" s="48">
        <v>35.047232320528359</v>
      </c>
      <c r="AI130" s="48">
        <v>64.097798372884299</v>
      </c>
      <c r="AJ130" s="48">
        <v>177.65616106379872</v>
      </c>
      <c r="AK130" s="48">
        <v>355.34054483412388</v>
      </c>
      <c r="AL130" s="48">
        <v>653.10289236222025</v>
      </c>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row>
    <row r="131" spans="1:131" s="27" customFormat="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row>
    <row r="132" spans="1:131" s="27" customFormat="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row>
    <row r="133" spans="1:131" ht="13.5" thickBot="1">
      <c r="A133" s="36" t="s">
        <v>29</v>
      </c>
      <c r="B133" s="37"/>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row>
    <row r="134" spans="1:131" ht="13.5" thickBot="1">
      <c r="A134" s="39"/>
      <c r="B134" s="40"/>
      <c r="C134" s="41"/>
      <c r="D134" s="41"/>
      <c r="E134" s="41"/>
      <c r="F134" s="41"/>
      <c r="G134" s="41"/>
      <c r="H134" s="41"/>
      <c r="I134" s="41"/>
      <c r="J134" s="41"/>
      <c r="K134" s="41"/>
      <c r="L134" s="41"/>
      <c r="M134" s="41"/>
      <c r="N134" s="41"/>
      <c r="O134" s="42" t="s">
        <v>5852</v>
      </c>
      <c r="P134" s="43"/>
      <c r="Q134" s="43"/>
      <c r="R134" s="43"/>
      <c r="S134" s="43"/>
      <c r="T134" s="43"/>
      <c r="U134" s="43"/>
      <c r="V134" s="43"/>
      <c r="W134" s="43"/>
      <c r="X134" s="43"/>
      <c r="Y134" s="43"/>
      <c r="Z134" s="44"/>
      <c r="AA134" s="41"/>
      <c r="AB134" s="42" t="s">
        <v>5853</v>
      </c>
      <c r="AC134" s="43"/>
      <c r="AD134" s="43"/>
      <c r="AE134" s="43"/>
      <c r="AF134" s="43"/>
      <c r="AG134" s="43"/>
      <c r="AH134" s="43"/>
      <c r="AI134" s="43"/>
      <c r="AJ134" s="43"/>
      <c r="AK134" s="43"/>
      <c r="AL134" s="43"/>
      <c r="AM134" s="44"/>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row>
    <row r="135" spans="1:131" ht="191.25">
      <c r="A135" s="45" t="s">
        <v>30</v>
      </c>
      <c r="B135" s="46" t="s">
        <v>31</v>
      </c>
      <c r="C135" s="47" t="s">
        <v>32</v>
      </c>
      <c r="D135" s="47" t="s">
        <v>33</v>
      </c>
      <c r="E135" s="47" t="s">
        <v>34</v>
      </c>
      <c r="F135" s="47" t="s">
        <v>35</v>
      </c>
      <c r="G135" s="47" t="s">
        <v>36</v>
      </c>
      <c r="H135" s="47" t="s">
        <v>37</v>
      </c>
      <c r="I135" s="47" t="s">
        <v>38</v>
      </c>
      <c r="J135" s="47" t="s">
        <v>39</v>
      </c>
      <c r="K135" s="47" t="s">
        <v>40</v>
      </c>
      <c r="L135" s="47" t="s">
        <v>41</v>
      </c>
      <c r="M135" s="47" t="s">
        <v>42</v>
      </c>
      <c r="N135" s="47" t="s">
        <v>5854</v>
      </c>
      <c r="O135" s="47" t="s">
        <v>43</v>
      </c>
      <c r="P135" s="47" t="s">
        <v>44</v>
      </c>
      <c r="Q135" s="47" t="s">
        <v>45</v>
      </c>
      <c r="R135" s="47" t="s">
        <v>46</v>
      </c>
      <c r="S135" s="47" t="s">
        <v>47</v>
      </c>
      <c r="T135" s="47" t="s">
        <v>48</v>
      </c>
      <c r="U135" s="47" t="s">
        <v>49</v>
      </c>
      <c r="V135" s="47" t="s">
        <v>50</v>
      </c>
      <c r="W135" s="47" t="s">
        <v>51</v>
      </c>
      <c r="X135" s="47" t="s">
        <v>52</v>
      </c>
      <c r="Y135" s="47" t="s">
        <v>53</v>
      </c>
      <c r="Z135" s="47" t="s">
        <v>54</v>
      </c>
      <c r="AA135" s="47"/>
      <c r="AB135" s="47" t="s">
        <v>43</v>
      </c>
      <c r="AC135" s="47" t="s">
        <v>44</v>
      </c>
      <c r="AD135" s="47" t="s">
        <v>45</v>
      </c>
      <c r="AE135" s="47" t="s">
        <v>46</v>
      </c>
      <c r="AF135" s="47" t="s">
        <v>47</v>
      </c>
      <c r="AG135" s="47" t="s">
        <v>48</v>
      </c>
      <c r="AH135" s="47" t="s">
        <v>49</v>
      </c>
      <c r="AI135" s="47" t="s">
        <v>50</v>
      </c>
      <c r="AJ135" s="47" t="s">
        <v>51</v>
      </c>
      <c r="AK135" s="47" t="s">
        <v>52</v>
      </c>
      <c r="AL135" s="47" t="s">
        <v>53</v>
      </c>
      <c r="AM135" s="47" t="s">
        <v>54</v>
      </c>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row>
    <row r="136" spans="1:131">
      <c r="A136" s="27" t="s">
        <v>167</v>
      </c>
      <c r="B136" s="27"/>
      <c r="C136" s="48">
        <v>1790.7788990860683</v>
      </c>
      <c r="D136" s="48">
        <v>3296.9499559131623</v>
      </c>
      <c r="E136" s="48">
        <v>659.38999118263246</v>
      </c>
      <c r="F136" s="48">
        <v>3956.3399470957947</v>
      </c>
      <c r="G136" s="48">
        <v>3574.9994062010855</v>
      </c>
      <c r="H136" s="48">
        <v>1914.2734528245696</v>
      </c>
      <c r="I136" s="48">
        <v>19353.331644820464</v>
      </c>
      <c r="J136" s="48">
        <v>75.212596273959946</v>
      </c>
      <c r="K136" s="48">
        <v>106.99546691295355</v>
      </c>
      <c r="L136" s="50">
        <v>0.53546119462401276</v>
      </c>
      <c r="M136" s="48">
        <v>17.012508065979748</v>
      </c>
      <c r="N136" s="48">
        <v>0.93643206542905433</v>
      </c>
      <c r="O136" s="48">
        <v>199.48406880366878</v>
      </c>
      <c r="P136" s="48">
        <v>145.54353791823829</v>
      </c>
      <c r="Q136" s="48">
        <v>131.88486323397285</v>
      </c>
      <c r="R136" s="48">
        <v>105.71950053262697</v>
      </c>
      <c r="S136" s="48">
        <v>43.557606159124269</v>
      </c>
      <c r="T136" s="48">
        <v>12.166806139183265</v>
      </c>
      <c r="U136" s="48">
        <v>2.9627173547969274</v>
      </c>
      <c r="V136" s="48">
        <v>2.4905946045941922</v>
      </c>
      <c r="W136" s="48">
        <v>23.633595494357742</v>
      </c>
      <c r="X136" s="48">
        <v>81.175078959256169</v>
      </c>
      <c r="Y136" s="48">
        <v>128.40109780144567</v>
      </c>
      <c r="Z136" s="48">
        <v>232.47940821816286</v>
      </c>
      <c r="AA136" s="48"/>
      <c r="AB136" s="48">
        <v>126.8007917935247</v>
      </c>
      <c r="AC136" s="48">
        <v>94.996712057489532</v>
      </c>
      <c r="AD136" s="48">
        <v>73.585410242158389</v>
      </c>
      <c r="AE136" s="48">
        <v>63.106772438144112</v>
      </c>
      <c r="AF136" s="48">
        <v>24.79204230368903</v>
      </c>
      <c r="AG136" s="48">
        <v>6.1547012701641526</v>
      </c>
      <c r="AH136" s="48">
        <v>1.6576990126323854</v>
      </c>
      <c r="AI136" s="48">
        <v>1.1084442663843979</v>
      </c>
      <c r="AJ136" s="48">
        <v>13.57166180760742</v>
      </c>
      <c r="AK136" s="48">
        <v>41.851700216981023</v>
      </c>
      <c r="AL136" s="48">
        <v>84.009887301798415</v>
      </c>
      <c r="AM136" s="38">
        <v>149.64420115606697</v>
      </c>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row>
    <row r="137" spans="1:131">
      <c r="A137" s="27" t="s">
        <v>169</v>
      </c>
      <c r="B137" s="27"/>
      <c r="C137" s="48">
        <v>1855.5407675899996</v>
      </c>
      <c r="D137" s="48">
        <v>3514.5499559131631</v>
      </c>
      <c r="E137" s="48">
        <v>702.90999118263267</v>
      </c>
      <c r="F137" s="48">
        <v>4217.4599470957955</v>
      </c>
      <c r="G137" s="48">
        <v>3810.9507798014456</v>
      </c>
      <c r="H137" s="48">
        <v>1984.4398544922949</v>
      </c>
      <c r="I137" s="48">
        <v>19910.610309329797</v>
      </c>
      <c r="J137" s="48">
        <v>78.233245721999893</v>
      </c>
      <c r="K137" s="48">
        <v>111.18806127875146</v>
      </c>
      <c r="L137" s="50">
        <v>0.52072041051017881</v>
      </c>
      <c r="M137" s="48">
        <v>17.627749741461496</v>
      </c>
      <c r="N137" s="48">
        <v>0.9702972680596702</v>
      </c>
      <c r="O137" s="48">
        <v>206.69822630747097</v>
      </c>
      <c r="P137" s="48">
        <v>150.80698583415258</v>
      </c>
      <c r="Q137" s="48">
        <v>136.65435776776286</v>
      </c>
      <c r="R137" s="48">
        <v>109.54274883831644</v>
      </c>
      <c r="S137" s="48">
        <v>45.132826843186869</v>
      </c>
      <c r="T137" s="48">
        <v>12.606807470280442</v>
      </c>
      <c r="U137" s="48">
        <v>3.0698612974933681</v>
      </c>
      <c r="V137" s="48">
        <v>2.5806646631377941</v>
      </c>
      <c r="W137" s="48">
        <v>24.488282694693766</v>
      </c>
      <c r="X137" s="48">
        <v>84.110700878879257</v>
      </c>
      <c r="Y137" s="48">
        <v>133.04460516900593</v>
      </c>
      <c r="Z137" s="48">
        <v>240.88681176339125</v>
      </c>
      <c r="AA137" s="48"/>
      <c r="AB137" s="48">
        <v>131.38642556915025</v>
      </c>
      <c r="AC137" s="48">
        <v>98.43218060009562</v>
      </c>
      <c r="AD137" s="48">
        <v>76.246558787264988</v>
      </c>
      <c r="AE137" s="48">
        <v>65.388970704179286</v>
      </c>
      <c r="AF137" s="48">
        <v>25.688623665260142</v>
      </c>
      <c r="AG137" s="48">
        <v>6.3772803694280382</v>
      </c>
      <c r="AH137" s="48">
        <v>1.717648169689119</v>
      </c>
      <c r="AI137" s="48">
        <v>1.14853013173615</v>
      </c>
      <c r="AJ137" s="48">
        <v>14.062468449238422</v>
      </c>
      <c r="AK137" s="48">
        <v>43.365228384808624</v>
      </c>
      <c r="AL137" s="48">
        <v>87.048027452570679</v>
      </c>
      <c r="AM137" s="38">
        <v>155.0559457788068</v>
      </c>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row>
    <row r="138" spans="1:131">
      <c r="A138" s="27" t="s">
        <v>6420</v>
      </c>
      <c r="B138" s="27"/>
      <c r="C138" s="48">
        <v>997.78419810830133</v>
      </c>
      <c r="D138" s="48">
        <v>2687.9999999999973</v>
      </c>
      <c r="E138" s="48">
        <v>537.59999999999945</v>
      </c>
      <c r="F138" s="48">
        <v>3225.5999999999967</v>
      </c>
      <c r="G138" s="48">
        <v>2914.6934385926761</v>
      </c>
      <c r="H138" s="48">
        <v>1065.2646628758225</v>
      </c>
      <c r="I138" s="48">
        <v>28319.005305526982</v>
      </c>
      <c r="J138" s="48">
        <v>123.80975047932414</v>
      </c>
      <c r="K138" s="48">
        <v>175.14390543938447</v>
      </c>
      <c r="L138" s="50">
        <v>0.36548085941764513</v>
      </c>
      <c r="M138" s="48">
        <v>9.4790103496795748</v>
      </c>
      <c r="N138" s="48">
        <v>0.52176017819055298</v>
      </c>
      <c r="O138" s="48">
        <v>111.1483119039608</v>
      </c>
      <c r="P138" s="48">
        <v>81.093786812938603</v>
      </c>
      <c r="Q138" s="48">
        <v>73.483461622030191</v>
      </c>
      <c r="R138" s="48">
        <v>58.904673892009882</v>
      </c>
      <c r="S138" s="48">
        <v>24.269378623558477</v>
      </c>
      <c r="T138" s="48">
        <v>6.7790875318665824</v>
      </c>
      <c r="U138" s="48">
        <v>1.6507635652766988</v>
      </c>
      <c r="V138" s="48">
        <v>1.3877067356702422</v>
      </c>
      <c r="W138" s="48">
        <v>13.168140489475547</v>
      </c>
      <c r="X138" s="48">
        <v>45.229040339416386</v>
      </c>
      <c r="Y138" s="48">
        <v>71.542381067492968</v>
      </c>
      <c r="Z138" s="48">
        <v>129.53261847346764</v>
      </c>
      <c r="AA138" s="48"/>
      <c r="AB138" s="48">
        <v>70.650724343340016</v>
      </c>
      <c r="AC138" s="48">
        <v>52.930162518433711</v>
      </c>
      <c r="AD138" s="48">
        <v>41.000237152902464</v>
      </c>
      <c r="AE138" s="48">
        <v>35.161761379102757</v>
      </c>
      <c r="AF138" s="48">
        <v>13.81360259609834</v>
      </c>
      <c r="AG138" s="48">
        <v>3.429269618142698</v>
      </c>
      <c r="AH138" s="48">
        <v>0.92363489477593619</v>
      </c>
      <c r="AI138" s="48">
        <v>0.61760174527773726</v>
      </c>
      <c r="AJ138" s="48">
        <v>7.561843452930809</v>
      </c>
      <c r="AK138" s="48">
        <v>23.31888384533752</v>
      </c>
      <c r="AL138" s="48">
        <v>46.808535703304017</v>
      </c>
      <c r="AM138" s="38">
        <v>83.378589801491373</v>
      </c>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row>
    <row r="139" spans="1:131">
      <c r="A139" s="27" t="s">
        <v>174</v>
      </c>
      <c r="B139" s="27"/>
      <c r="C139" s="48">
        <v>1623.7407839406073</v>
      </c>
      <c r="D139" s="48">
        <v>3514.5499559131654</v>
      </c>
      <c r="E139" s="48">
        <v>702.90999118263312</v>
      </c>
      <c r="F139" s="48">
        <v>4217.4599470957983</v>
      </c>
      <c r="G139" s="48">
        <v>3810.9507798014483</v>
      </c>
      <c r="H139" s="48">
        <v>1318.0051553858339</v>
      </c>
      <c r="I139" s="48">
        <v>22752.984652450876</v>
      </c>
      <c r="J139" s="48">
        <v>103.49479211683391</v>
      </c>
      <c r="K139" s="48">
        <v>151.2142697308571</v>
      </c>
      <c r="L139" s="50">
        <v>0.34584680609664087</v>
      </c>
      <c r="M139" s="48">
        <v>15.425724910345707</v>
      </c>
      <c r="N139" s="48">
        <v>0.56724606815137368</v>
      </c>
      <c r="O139" s="48">
        <v>138.85203456423986</v>
      </c>
      <c r="P139" s="48">
        <v>101.39380588372711</v>
      </c>
      <c r="Q139" s="48">
        <v>82.138717967918708</v>
      </c>
      <c r="R139" s="48">
        <v>71.212501698107857</v>
      </c>
      <c r="S139" s="48">
        <v>26.130169602375368</v>
      </c>
      <c r="T139" s="48">
        <v>16.894072866013701</v>
      </c>
      <c r="U139" s="48">
        <v>49.119247011007275</v>
      </c>
      <c r="V139" s="48">
        <v>48.989922768169762</v>
      </c>
      <c r="W139" s="48">
        <v>28.488767323940966</v>
      </c>
      <c r="X139" s="48">
        <v>64.715496968657845</v>
      </c>
      <c r="Y139" s="48">
        <v>100.48597774631028</v>
      </c>
      <c r="Z139" s="48">
        <v>175.34662282278254</v>
      </c>
      <c r="AA139" s="48"/>
      <c r="AB139" s="48">
        <v>131.74783450081617</v>
      </c>
      <c r="AC139" s="48">
        <v>93.31513850601614</v>
      </c>
      <c r="AD139" s="48">
        <v>68.908337229521962</v>
      </c>
      <c r="AE139" s="48">
        <v>64.271529672339099</v>
      </c>
      <c r="AF139" s="48">
        <v>25.408270881664375</v>
      </c>
      <c r="AG139" s="48">
        <v>7.849139283972506</v>
      </c>
      <c r="AH139" s="48">
        <v>24.178120558254221</v>
      </c>
      <c r="AI139" s="48">
        <v>17.30957478571657</v>
      </c>
      <c r="AJ139" s="48">
        <v>16.368420591427178</v>
      </c>
      <c r="AK139" s="48">
        <v>39.757521607554821</v>
      </c>
      <c r="AL139" s="48">
        <v>79.124264420196198</v>
      </c>
      <c r="AM139" s="38">
        <v>151.73529467987703</v>
      </c>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row>
    <row r="140" spans="1:131">
      <c r="A140" s="27" t="s">
        <v>168</v>
      </c>
      <c r="B140" s="27"/>
      <c r="C140" s="48">
        <v>889.23061579983505</v>
      </c>
      <c r="D140" s="48">
        <v>3296.9499559131623</v>
      </c>
      <c r="E140" s="48">
        <v>659.38999118263246</v>
      </c>
      <c r="F140" s="48">
        <v>3956.3399470957947</v>
      </c>
      <c r="G140" s="48">
        <v>3574.9994062010855</v>
      </c>
      <c r="H140" s="48">
        <v>966.40251106837707</v>
      </c>
      <c r="I140" s="48">
        <v>38974.7466188912</v>
      </c>
      <c r="J140" s="48">
        <v>181.56767513450552</v>
      </c>
      <c r="K140" s="48">
        <v>254.61277586775591</v>
      </c>
      <c r="L140" s="50">
        <v>0.27032242561833286</v>
      </c>
      <c r="M140" s="48">
        <v>8.4477447391922666</v>
      </c>
      <c r="N140" s="48">
        <v>0.46499546237738415</v>
      </c>
      <c r="O140" s="48">
        <v>99.055970245725717</v>
      </c>
      <c r="P140" s="48">
        <v>72.271216683853382</v>
      </c>
      <c r="Q140" s="48">
        <v>65.488854156185909</v>
      </c>
      <c r="R140" s="48">
        <v>52.496160530290346</v>
      </c>
      <c r="S140" s="48">
        <v>21.629000077794185</v>
      </c>
      <c r="T140" s="48">
        <v>6.041559078557782</v>
      </c>
      <c r="U140" s="48">
        <v>1.4711693214564221</v>
      </c>
      <c r="V140" s="48">
        <v>1.2367316674779494</v>
      </c>
      <c r="W140" s="48">
        <v>11.735517257734834</v>
      </c>
      <c r="X140" s="48">
        <v>40.308362739464194</v>
      </c>
      <c r="Y140" s="48">
        <v>63.75895278061725</v>
      </c>
      <c r="Z140" s="48">
        <v>115.44016262204262</v>
      </c>
      <c r="AA140" s="48"/>
      <c r="AB140" s="48">
        <v>62.964303537420335</v>
      </c>
      <c r="AC140" s="48">
        <v>47.171644028725538</v>
      </c>
      <c r="AD140" s="48">
        <v>36.539630714273386</v>
      </c>
      <c r="AE140" s="48">
        <v>31.336349867060765</v>
      </c>
      <c r="AF140" s="48">
        <v>12.310756540573569</v>
      </c>
      <c r="AG140" s="48">
        <v>3.0561834313131784</v>
      </c>
      <c r="AH140" s="48">
        <v>0.82314835994894509</v>
      </c>
      <c r="AI140" s="48">
        <v>0.5504099797467078</v>
      </c>
      <c r="AJ140" s="48">
        <v>6.7391553433899487</v>
      </c>
      <c r="AK140" s="48">
        <v>20.781914046010577</v>
      </c>
      <c r="AL140" s="48">
        <v>41.716017458536356</v>
      </c>
      <c r="AM140" s="38">
        <v>74.307445331635151</v>
      </c>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row>
    <row r="141" spans="1:131">
      <c r="A141" s="27" t="s">
        <v>170</v>
      </c>
      <c r="B141" s="27"/>
      <c r="C141" s="48">
        <v>946.66291413598583</v>
      </c>
      <c r="D141" s="48">
        <v>3514.5499559131631</v>
      </c>
      <c r="E141" s="48">
        <v>702.90999118263267</v>
      </c>
      <c r="F141" s="48">
        <v>4217.4599470957955</v>
      </c>
      <c r="G141" s="48">
        <v>3810.9507798014456</v>
      </c>
      <c r="H141" s="48">
        <v>1026.9287181924453</v>
      </c>
      <c r="I141" s="48">
        <v>39026.509420492752</v>
      </c>
      <c r="J141" s="48">
        <v>181.84824801131637</v>
      </c>
      <c r="K141" s="48">
        <v>255.15259403647889</v>
      </c>
      <c r="L141" s="50">
        <v>0.26946785133917406</v>
      </c>
      <c r="M141" s="48">
        <v>8.9933550538939908</v>
      </c>
      <c r="N141" s="48">
        <v>0.49502789451108137</v>
      </c>
      <c r="O141" s="48">
        <v>105.45364924377991</v>
      </c>
      <c r="P141" s="48">
        <v>76.938962040293049</v>
      </c>
      <c r="Q141" s="48">
        <v>69.718550415808807</v>
      </c>
      <c r="R141" s="48">
        <v>55.886704107522249</v>
      </c>
      <c r="S141" s="48">
        <v>23.025941617040651</v>
      </c>
      <c r="T141" s="48">
        <v>6.4317622691025802</v>
      </c>
      <c r="U141" s="48">
        <v>1.5661870073880737</v>
      </c>
      <c r="V141" s="48">
        <v>1.3166078445082141</v>
      </c>
      <c r="W141" s="48">
        <v>12.493473311316089</v>
      </c>
      <c r="X141" s="48">
        <v>42.911739043835382</v>
      </c>
      <c r="Y141" s="48">
        <v>67.876920754991659</v>
      </c>
      <c r="Z141" s="48">
        <v>122.89603935624552</v>
      </c>
      <c r="AA141" s="48"/>
      <c r="AB141" s="48">
        <v>67.030947893829989</v>
      </c>
      <c r="AC141" s="48">
        <v>50.21829568997952</v>
      </c>
      <c r="AD141" s="48">
        <v>38.89959778579324</v>
      </c>
      <c r="AE141" s="48">
        <v>33.360255209897218</v>
      </c>
      <c r="AF141" s="48">
        <v>13.105865289439562</v>
      </c>
      <c r="AG141" s="48">
        <v>3.2535716402642403</v>
      </c>
      <c r="AH141" s="48">
        <v>0.87631263628346867</v>
      </c>
      <c r="AI141" s="48">
        <v>0.58595903710296426</v>
      </c>
      <c r="AJ141" s="48">
        <v>7.1744138391482188</v>
      </c>
      <c r="AK141" s="48">
        <v>22.124145258341429</v>
      </c>
      <c r="AL141" s="48">
        <v>44.410309262603114</v>
      </c>
      <c r="AM141" s="38">
        <v>79.106703581470668</v>
      </c>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row>
    <row r="142" spans="1:131">
      <c r="A142" s="27" t="s">
        <v>6387</v>
      </c>
      <c r="B142" s="27"/>
      <c r="C142" s="48">
        <v>658.46797022967348</v>
      </c>
      <c r="D142" s="48">
        <v>2687.9999999999973</v>
      </c>
      <c r="E142" s="48">
        <v>537.59999999999945</v>
      </c>
      <c r="F142" s="48">
        <v>3225.5999999999967</v>
      </c>
      <c r="G142" s="48">
        <v>2914.6934385926761</v>
      </c>
      <c r="H142" s="48">
        <v>712.59613382189582</v>
      </c>
      <c r="I142" s="48">
        <v>42912.119157662593</v>
      </c>
      <c r="J142" s="48">
        <v>202.90964091106946</v>
      </c>
      <c r="K142" s="48">
        <v>284.83502736057329</v>
      </c>
      <c r="L142" s="50">
        <v>0.24448407657100435</v>
      </c>
      <c r="M142" s="48">
        <v>6.2554856216134382</v>
      </c>
      <c r="N142" s="48">
        <v>0.34432532218005246</v>
      </c>
      <c r="O142" s="48">
        <v>73.350132696641282</v>
      </c>
      <c r="P142" s="48">
        <v>53.516242592526673</v>
      </c>
      <c r="Q142" s="48">
        <v>48.493958825409628</v>
      </c>
      <c r="R142" s="48">
        <v>38.872975868177249</v>
      </c>
      <c r="S142" s="48">
        <v>16.016096978973618</v>
      </c>
      <c r="T142" s="48">
        <v>4.4737248952032065</v>
      </c>
      <c r="U142" s="48">
        <v>1.0893888039293891</v>
      </c>
      <c r="V142" s="48">
        <v>0.91578964594070378</v>
      </c>
      <c r="W142" s="48">
        <v>8.6900541782913656</v>
      </c>
      <c r="X142" s="48">
        <v>29.848011668449924</v>
      </c>
      <c r="Y142" s="48">
        <v>47.212981059654631</v>
      </c>
      <c r="Z142" s="48">
        <v>85.482492633643673</v>
      </c>
      <c r="AA142" s="48"/>
      <c r="AB142" s="48">
        <v>46.624549819304491</v>
      </c>
      <c r="AC142" s="48">
        <v>34.930215114167197</v>
      </c>
      <c r="AD142" s="48">
        <v>27.057296545877538</v>
      </c>
      <c r="AE142" s="48">
        <v>23.204309798545097</v>
      </c>
      <c r="AF142" s="48">
        <v>9.1160141443981306</v>
      </c>
      <c r="AG142" s="48">
        <v>2.2630787389796039</v>
      </c>
      <c r="AH142" s="48">
        <v>0.60953460232128809</v>
      </c>
      <c r="AI142" s="48">
        <v>0.40757407102091098</v>
      </c>
      <c r="AJ142" s="48">
        <v>4.9902892018995875</v>
      </c>
      <c r="AK142" s="48">
        <v>15.388836727192073</v>
      </c>
      <c r="AL142" s="48">
        <v>30.890368430781994</v>
      </c>
      <c r="AM142" s="38">
        <v>55.02405318834424</v>
      </c>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row>
    <row r="143" spans="1:131">
      <c r="A143" s="27" t="s">
        <v>6389</v>
      </c>
      <c r="B143" s="27"/>
      <c r="C143" s="48">
        <v>861.73982544876924</v>
      </c>
      <c r="D143" s="48">
        <v>4223.9999999999964</v>
      </c>
      <c r="E143" s="48">
        <v>844.79999999999927</v>
      </c>
      <c r="F143" s="48">
        <v>5068.7999999999956</v>
      </c>
      <c r="G143" s="48">
        <v>4580.2325463599209</v>
      </c>
      <c r="H143" s="48">
        <v>924.56900868535013</v>
      </c>
      <c r="I143" s="48">
        <v>51526.791136612868</v>
      </c>
      <c r="J143" s="48">
        <v>249.60424060684804</v>
      </c>
      <c r="K143" s="48">
        <v>350.9052137073852</v>
      </c>
      <c r="L143" s="50">
        <v>0.20186071325573612</v>
      </c>
      <c r="M143" s="48">
        <v>8.1865805648621173</v>
      </c>
      <c r="N143" s="48">
        <v>0.45062000954964321</v>
      </c>
      <c r="O143" s="48">
        <v>95.99362976546989</v>
      </c>
      <c r="P143" s="48">
        <v>70.036933663261237</v>
      </c>
      <c r="Q143" s="48">
        <v>63.464249595849346</v>
      </c>
      <c r="R143" s="48">
        <v>50.873228393528464</v>
      </c>
      <c r="S143" s="48">
        <v>20.960334046646569</v>
      </c>
      <c r="T143" s="48">
        <v>5.8547827450947016</v>
      </c>
      <c r="U143" s="48">
        <v>1.4256877482081816</v>
      </c>
      <c r="V143" s="48">
        <v>1.1984977938493637</v>
      </c>
      <c r="W143" s="48">
        <v>11.37271076090328</v>
      </c>
      <c r="X143" s="48">
        <v>39.062219467093151</v>
      </c>
      <c r="Y143" s="48">
        <v>61.787828560699474</v>
      </c>
      <c r="Z143" s="48">
        <v>111.87130067290582</v>
      </c>
      <c r="AA143" s="48"/>
      <c r="AB143" s="48">
        <v>61.017746100696037</v>
      </c>
      <c r="AC143" s="48">
        <v>45.71332067203096</v>
      </c>
      <c r="AD143" s="48">
        <v>35.409998749714973</v>
      </c>
      <c r="AE143" s="48">
        <v>30.367578651521633</v>
      </c>
      <c r="AF143" s="48">
        <v>11.930166375202901</v>
      </c>
      <c r="AG143" s="48">
        <v>2.9617007442668477</v>
      </c>
      <c r="AH143" s="48">
        <v>0.79770051932233099</v>
      </c>
      <c r="AI143" s="48">
        <v>0.53339391541929915</v>
      </c>
      <c r="AJ143" s="48">
        <v>6.5308126442108856</v>
      </c>
      <c r="AK143" s="48">
        <v>20.139435894694486</v>
      </c>
      <c r="AL143" s="48">
        <v>40.426356182982424</v>
      </c>
      <c r="AM143" s="38">
        <v>72.010211785196958</v>
      </c>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row>
    <row r="144" spans="1:131">
      <c r="A144" s="27" t="s">
        <v>173</v>
      </c>
      <c r="B144" s="27"/>
      <c r="C144" s="48">
        <v>694.72089398889955</v>
      </c>
      <c r="D144" s="48">
        <v>3514.5499559131654</v>
      </c>
      <c r="E144" s="48">
        <v>702.90999118263312</v>
      </c>
      <c r="F144" s="48">
        <v>4217.4599470957983</v>
      </c>
      <c r="G144" s="48">
        <v>3810.9507798014483</v>
      </c>
      <c r="H144" s="48">
        <v>625.34942861866307</v>
      </c>
      <c r="I144" s="48">
        <v>53179.55664818325</v>
      </c>
      <c r="J144" s="48">
        <v>268.41768214991822</v>
      </c>
      <c r="K144" s="48">
        <v>375.64820626927155</v>
      </c>
      <c r="L144" s="50">
        <v>0.16409275919623501</v>
      </c>
      <c r="M144" s="48">
        <v>6.599928699293045</v>
      </c>
      <c r="N144" s="48">
        <v>0.24269741788552934</v>
      </c>
      <c r="O144" s="48">
        <v>59.408133698866742</v>
      </c>
      <c r="P144" s="48">
        <v>43.381552132681044</v>
      </c>
      <c r="Q144" s="48">
        <v>35.143222454072337</v>
      </c>
      <c r="R144" s="48">
        <v>30.468417947125435</v>
      </c>
      <c r="S144" s="48">
        <v>11.179847772369424</v>
      </c>
      <c r="T144" s="48">
        <v>7.228164446363964</v>
      </c>
      <c r="U144" s="48">
        <v>21.015772673230295</v>
      </c>
      <c r="V144" s="48">
        <v>20.960441025169779</v>
      </c>
      <c r="W144" s="48">
        <v>12.188978745670253</v>
      </c>
      <c r="X144" s="48">
        <v>27.688660871036173</v>
      </c>
      <c r="Y144" s="48">
        <v>42.993135963393293</v>
      </c>
      <c r="Z144" s="48">
        <v>75.022419692965997</v>
      </c>
      <c r="AA144" s="48"/>
      <c r="AB144" s="48">
        <v>56.368586827869244</v>
      </c>
      <c r="AC144" s="48">
        <v>39.925077381051224</v>
      </c>
      <c r="AD144" s="48">
        <v>29.482576355077324</v>
      </c>
      <c r="AE144" s="48">
        <v>27.498708533784498</v>
      </c>
      <c r="AF144" s="48">
        <v>10.870981893294402</v>
      </c>
      <c r="AG144" s="48">
        <v>3.3582706761673773</v>
      </c>
      <c r="AH144" s="48">
        <v>10.344659501892613</v>
      </c>
      <c r="AI144" s="48">
        <v>7.4059378126333915</v>
      </c>
      <c r="AJ144" s="48">
        <v>7.0032630201388981</v>
      </c>
      <c r="AK144" s="48">
        <v>17.010338858984877</v>
      </c>
      <c r="AL144" s="48">
        <v>33.853482192403582</v>
      </c>
      <c r="AM144" s="38">
        <v>64.920263512657499</v>
      </c>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row>
    <row r="145" spans="1:131">
      <c r="A145" s="27" t="s">
        <v>171</v>
      </c>
      <c r="B145" s="27"/>
      <c r="C145" s="48">
        <v>636.37687710812145</v>
      </c>
      <c r="D145" s="48">
        <v>3296.949955913165</v>
      </c>
      <c r="E145" s="48">
        <v>659.38999118263303</v>
      </c>
      <c r="F145" s="48">
        <v>3956.3399470957979</v>
      </c>
      <c r="G145" s="48">
        <v>3574.9994062010883</v>
      </c>
      <c r="H145" s="48">
        <v>572.9375568739589</v>
      </c>
      <c r="I145" s="48">
        <v>54460.712171147636</v>
      </c>
      <c r="J145" s="48">
        <v>275.3620027739691</v>
      </c>
      <c r="K145" s="48">
        <v>385.3600457829516</v>
      </c>
      <c r="L145" s="50">
        <v>0.16026228029021722</v>
      </c>
      <c r="M145" s="48">
        <v>6.0456538030357292</v>
      </c>
      <c r="N145" s="48">
        <v>0.22231521494827203</v>
      </c>
      <c r="O145" s="48">
        <v>54.418922656888803</v>
      </c>
      <c r="P145" s="48">
        <v>39.738284697019409</v>
      </c>
      <c r="Q145" s="48">
        <v>32.191826027325313</v>
      </c>
      <c r="R145" s="48">
        <v>27.909620728819672</v>
      </c>
      <c r="S145" s="48">
        <v>10.24094233163847</v>
      </c>
      <c r="T145" s="48">
        <v>6.6211290856534255</v>
      </c>
      <c r="U145" s="48">
        <v>19.250827058064825</v>
      </c>
      <c r="V145" s="48">
        <v>19.200142269824443</v>
      </c>
      <c r="W145" s="48">
        <v>11.165324515820368</v>
      </c>
      <c r="X145" s="48">
        <v>25.363313078499957</v>
      </c>
      <c r="Y145" s="48">
        <v>39.382488475877416</v>
      </c>
      <c r="Z145" s="48">
        <v>68.721890431680862</v>
      </c>
      <c r="AA145" s="48"/>
      <c r="AB145" s="48">
        <v>51.634642865787455</v>
      </c>
      <c r="AC145" s="48">
        <v>36.572091442609526</v>
      </c>
      <c r="AD145" s="48">
        <v>27.006572038188381</v>
      </c>
      <c r="AE145" s="48">
        <v>25.189313309347277</v>
      </c>
      <c r="AF145" s="48">
        <v>9.9580156120425585</v>
      </c>
      <c r="AG145" s="48">
        <v>3.0762365489144514</v>
      </c>
      <c r="AH145" s="48">
        <v>9.4758948025341283</v>
      </c>
      <c r="AI145" s="48">
        <v>6.7839726975821959</v>
      </c>
      <c r="AJ145" s="48">
        <v>6.4151153202454188</v>
      </c>
      <c r="AK145" s="48">
        <v>15.581777394771555</v>
      </c>
      <c r="AL145" s="48">
        <v>31.010400670605744</v>
      </c>
      <c r="AM145" s="38">
        <v>59.46813304837989</v>
      </c>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row>
    <row r="146" spans="1:131">
      <c r="A146" s="27" t="s">
        <v>6390</v>
      </c>
      <c r="B146" s="27"/>
      <c r="C146" s="48">
        <v>375.72434346075732</v>
      </c>
      <c r="D146" s="48">
        <v>2687.9999999999995</v>
      </c>
      <c r="E146" s="48">
        <v>537.59999999999991</v>
      </c>
      <c r="F146" s="48">
        <v>3225.5999999999995</v>
      </c>
      <c r="G146" s="48">
        <v>2914.6934385926788</v>
      </c>
      <c r="H146" s="48">
        <v>339.06064706259843</v>
      </c>
      <c r="I146" s="48">
        <v>75204.75181281734</v>
      </c>
      <c r="J146" s="48">
        <v>387.80210838773621</v>
      </c>
      <c r="K146" s="48">
        <v>542.6546707757401</v>
      </c>
      <c r="L146" s="50">
        <v>0.11632806475397611</v>
      </c>
      <c r="M146" s="48">
        <v>3.5694246407238639</v>
      </c>
      <c r="N146" s="48">
        <v>0.13125750036261122</v>
      </c>
      <c r="O146" s="48">
        <v>32.129567749249603</v>
      </c>
      <c r="P146" s="48">
        <v>23.461947574043513</v>
      </c>
      <c r="Q146" s="48">
        <v>19.006430205138834</v>
      </c>
      <c r="R146" s="48">
        <v>16.478166165036306</v>
      </c>
      <c r="S146" s="48">
        <v>6.0463720043690383</v>
      </c>
      <c r="T146" s="48">
        <v>3.9091919712434655</v>
      </c>
      <c r="U146" s="48">
        <v>11.36591321535256</v>
      </c>
      <c r="V146" s="48">
        <v>11.335988324191201</v>
      </c>
      <c r="W146" s="48">
        <v>6.5921380460845285</v>
      </c>
      <c r="X146" s="48">
        <v>14.974796378074464</v>
      </c>
      <c r="Y146" s="48">
        <v>23.251881328076376</v>
      </c>
      <c r="Z146" s="48">
        <v>40.574207034612996</v>
      </c>
      <c r="AA146" s="48"/>
      <c r="AB146" s="48">
        <v>30.485696429982813</v>
      </c>
      <c r="AC146" s="48">
        <v>21.592590083889274</v>
      </c>
      <c r="AD146" s="48">
        <v>15.94499566716655</v>
      </c>
      <c r="AE146" s="48">
        <v>14.872064881411198</v>
      </c>
      <c r="AF146" s="48">
        <v>5.8793287634977665</v>
      </c>
      <c r="AG146" s="48">
        <v>1.8162460002054617</v>
      </c>
      <c r="AH146" s="48">
        <v>5.5946790046245392</v>
      </c>
      <c r="AI146" s="48">
        <v>4.0053367423369011</v>
      </c>
      <c r="AJ146" s="48">
        <v>3.7875590371501504</v>
      </c>
      <c r="AK146" s="48">
        <v>9.1996634261862589</v>
      </c>
      <c r="AL146" s="48">
        <v>18.308902871150025</v>
      </c>
      <c r="AM146" s="38">
        <v>35.110680557683558</v>
      </c>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row>
    <row r="147" spans="1:131">
      <c r="A147" s="27" t="s">
        <v>6421</v>
      </c>
      <c r="B147" s="27"/>
      <c r="C147" s="48">
        <v>367.54737879417922</v>
      </c>
      <c r="D147" s="48">
        <v>2687.9999999999995</v>
      </c>
      <c r="E147" s="48">
        <v>537.59999999999991</v>
      </c>
      <c r="F147" s="48">
        <v>3225.5999999999995</v>
      </c>
      <c r="G147" s="48">
        <v>2914.6934385926788</v>
      </c>
      <c r="H147" s="48">
        <v>331.20923902760637</v>
      </c>
      <c r="I147" s="48">
        <v>76877.860189619401</v>
      </c>
      <c r="J147" s="48">
        <v>396.87095350375722</v>
      </c>
      <c r="K147" s="48">
        <v>555.44832193884758</v>
      </c>
      <c r="L147" s="50">
        <v>0.11363433102162757</v>
      </c>
      <c r="M147" s="48">
        <v>3.4917425323505462</v>
      </c>
      <c r="N147" s="48">
        <v>0.12840091690889488</v>
      </c>
      <c r="O147" s="48">
        <v>31.43032548611027</v>
      </c>
      <c r="P147" s="48">
        <v>22.951340476949472</v>
      </c>
      <c r="Q147" s="48">
        <v>18.59278943117755</v>
      </c>
      <c r="R147" s="48">
        <v>16.119548511305339</v>
      </c>
      <c r="S147" s="48">
        <v>5.9147835909452047</v>
      </c>
      <c r="T147" s="48">
        <v>3.8241154379283775</v>
      </c>
      <c r="U147" s="48">
        <v>11.118554553655841</v>
      </c>
      <c r="V147" s="48">
        <v>11.089280923936379</v>
      </c>
      <c r="W147" s="48">
        <v>6.4486720162192892</v>
      </c>
      <c r="X147" s="48">
        <v>14.648896864231796</v>
      </c>
      <c r="Y147" s="48">
        <v>22.745845945061578</v>
      </c>
      <c r="Z147" s="48">
        <v>39.691182383507027</v>
      </c>
      <c r="AA147" s="48"/>
      <c r="AB147" s="48">
        <v>29.822230069917083</v>
      </c>
      <c r="AC147" s="48">
        <v>21.122666190884164</v>
      </c>
      <c r="AD147" s="48">
        <v>15.597981510515879</v>
      </c>
      <c r="AE147" s="48">
        <v>14.548401133850328</v>
      </c>
      <c r="AF147" s="48">
        <v>5.7513757458159649</v>
      </c>
      <c r="AG147" s="48">
        <v>1.7767186721843402</v>
      </c>
      <c r="AH147" s="48">
        <v>5.4729208770561053</v>
      </c>
      <c r="AI147" s="48">
        <v>3.9181677909770678</v>
      </c>
      <c r="AJ147" s="48">
        <v>3.7051296259118818</v>
      </c>
      <c r="AK147" s="48">
        <v>8.99944929556208</v>
      </c>
      <c r="AL147" s="48">
        <v>17.910442525242626</v>
      </c>
      <c r="AM147" s="38">
        <v>34.34655973523364</v>
      </c>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row>
    <row r="148" spans="1:131">
      <c r="A148" s="27" t="s">
        <v>5812</v>
      </c>
      <c r="B148" s="27"/>
      <c r="C148" s="48">
        <v>440.16223485965639</v>
      </c>
      <c r="D148" s="48">
        <v>3967.9999999999968</v>
      </c>
      <c r="E148" s="48">
        <v>793.59999999999945</v>
      </c>
      <c r="F148" s="48">
        <v>4761.5999999999967</v>
      </c>
      <c r="G148" s="48">
        <v>4302.6426950653804</v>
      </c>
      <c r="H148" s="48">
        <v>473.09801445624703</v>
      </c>
      <c r="I148" s="48">
        <v>94764.186239874747</v>
      </c>
      <c r="J148" s="48">
        <v>483.96636851703289</v>
      </c>
      <c r="K148" s="48">
        <v>678.94099483691605</v>
      </c>
      <c r="L148" s="50">
        <v>0.10995521775462187</v>
      </c>
      <c r="M148" s="48">
        <v>4.1815679058488211</v>
      </c>
      <c r="N148" s="48">
        <v>0.23016913529853145</v>
      </c>
      <c r="O148" s="48">
        <v>49.031934421570497</v>
      </c>
      <c r="P148" s="48">
        <v>35.773689846450395</v>
      </c>
      <c r="Q148" s="48">
        <v>32.416473175360764</v>
      </c>
      <c r="R148" s="48">
        <v>25.98519093922561</v>
      </c>
      <c r="S148" s="48">
        <v>10.706186722393028</v>
      </c>
      <c r="T148" s="48">
        <v>2.9905247286866223</v>
      </c>
      <c r="U148" s="48">
        <v>0.72821736553320227</v>
      </c>
      <c r="V148" s="48">
        <v>0.61217255119940583</v>
      </c>
      <c r="W148" s="48">
        <v>5.8089897171977114</v>
      </c>
      <c r="X148" s="48">
        <v>19.952325877778836</v>
      </c>
      <c r="Y148" s="48">
        <v>31.560185456485716</v>
      </c>
      <c r="Z148" s="48">
        <v>57.141982146640657</v>
      </c>
      <c r="AA148" s="48"/>
      <c r="AB148" s="48">
        <v>31.166840265035603</v>
      </c>
      <c r="AC148" s="48">
        <v>23.349596706150486</v>
      </c>
      <c r="AD148" s="48">
        <v>18.086832853448971</v>
      </c>
      <c r="AE148" s="48">
        <v>15.511249325826599</v>
      </c>
      <c r="AF148" s="48">
        <v>6.0937286857110928</v>
      </c>
      <c r="AG148" s="48">
        <v>1.5127870153884453</v>
      </c>
      <c r="AH148" s="48">
        <v>0.40745203246324813</v>
      </c>
      <c r="AI148" s="48">
        <v>0.27244865670358764</v>
      </c>
      <c r="AJ148" s="48">
        <v>3.3358294511090372</v>
      </c>
      <c r="AK148" s="48">
        <v>10.286885728653738</v>
      </c>
      <c r="AL148" s="48">
        <v>20.649104009400226</v>
      </c>
      <c r="AM148" s="38">
        <v>36.781607181242912</v>
      </c>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row>
    <row r="149" spans="1:131">
      <c r="A149" s="27" t="s">
        <v>6422</v>
      </c>
      <c r="B149" s="27"/>
      <c r="C149" s="48">
        <v>264.76066179606534</v>
      </c>
      <c r="D149" s="48">
        <v>2687.9999999999973</v>
      </c>
      <c r="E149" s="48">
        <v>537.59999999999945</v>
      </c>
      <c r="F149" s="48">
        <v>3225.5999999999967</v>
      </c>
      <c r="G149" s="48">
        <v>2914.6934385926761</v>
      </c>
      <c r="H149" s="48">
        <v>287.4284948784059</v>
      </c>
      <c r="I149" s="48">
        <v>106723.77009604489</v>
      </c>
      <c r="J149" s="48">
        <v>548.79158554868684</v>
      </c>
      <c r="K149" s="48">
        <v>768.92167985978085</v>
      </c>
      <c r="L149" s="50">
        <v>9.86136281341434E-2</v>
      </c>
      <c r="M149" s="48">
        <v>2.5152423320703994</v>
      </c>
      <c r="N149" s="48">
        <v>0.13844834417949925</v>
      </c>
      <c r="O149" s="48">
        <v>29.493051376239588</v>
      </c>
      <c r="P149" s="48">
        <v>21.518124565260173</v>
      </c>
      <c r="Q149" s="48">
        <v>19.498735264599514</v>
      </c>
      <c r="R149" s="48">
        <v>15.630274033300704</v>
      </c>
      <c r="S149" s="48">
        <v>6.4398461690763114</v>
      </c>
      <c r="T149" s="48">
        <v>1.7988215334671365</v>
      </c>
      <c r="U149" s="48">
        <v>0.43802783692115765</v>
      </c>
      <c r="V149" s="48">
        <v>0.36822606973680638</v>
      </c>
      <c r="W149" s="48">
        <v>3.4941479302107457</v>
      </c>
      <c r="X149" s="48">
        <v>12.001463518231668</v>
      </c>
      <c r="Y149" s="48">
        <v>18.983672214700455</v>
      </c>
      <c r="Z149" s="48">
        <v>34.371301786731713</v>
      </c>
      <c r="AA149" s="48"/>
      <c r="AB149" s="48">
        <v>18.747072331850813</v>
      </c>
      <c r="AC149" s="48">
        <v>14.04494567454827</v>
      </c>
      <c r="AD149" s="48">
        <v>10.879356420936055</v>
      </c>
      <c r="AE149" s="48">
        <v>9.3301249210965285</v>
      </c>
      <c r="AF149" s="48">
        <v>3.6654204106105444</v>
      </c>
      <c r="AG149" s="48">
        <v>0.90995196686613788</v>
      </c>
      <c r="AH149" s="48">
        <v>0.24508524635130871</v>
      </c>
      <c r="AI149" s="48">
        <v>0.16387977191475858</v>
      </c>
      <c r="AJ149" s="48">
        <v>2.0065247383070859</v>
      </c>
      <c r="AK149" s="48">
        <v>6.187633689671852</v>
      </c>
      <c r="AL149" s="48">
        <v>12.420580436137914</v>
      </c>
      <c r="AM149" s="38">
        <v>22.124393889298112</v>
      </c>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row>
    <row r="150" spans="1:131">
      <c r="A150" s="27" t="s">
        <v>6388</v>
      </c>
      <c r="B150" s="27"/>
      <c r="C150" s="48">
        <v>365.50857691222126</v>
      </c>
      <c r="D150" s="48">
        <v>4223.9999999999964</v>
      </c>
      <c r="E150" s="48">
        <v>844.79999999999927</v>
      </c>
      <c r="F150" s="48">
        <v>5068.7999999999956</v>
      </c>
      <c r="G150" s="48">
        <v>4580.2325463599209</v>
      </c>
      <c r="H150" s="48">
        <v>392.82556402369994</v>
      </c>
      <c r="I150" s="48">
        <v>121481.93176507454</v>
      </c>
      <c r="J150" s="48">
        <v>628.78609411091497</v>
      </c>
      <c r="K150" s="48">
        <v>881.73835537497496</v>
      </c>
      <c r="L150" s="50">
        <v>8.5765419123946626E-2</v>
      </c>
      <c r="M150" s="48">
        <v>3.4723536311922429</v>
      </c>
      <c r="N150" s="48">
        <v>0.19113132938110153</v>
      </c>
      <c r="O150" s="48">
        <v>40.715879633326111</v>
      </c>
      <c r="P150" s="48">
        <v>29.706297885470235</v>
      </c>
      <c r="Q150" s="48">
        <v>26.918481506295386</v>
      </c>
      <c r="R150" s="48">
        <v>21.577976047892957</v>
      </c>
      <c r="S150" s="48">
        <v>8.8903653315603055</v>
      </c>
      <c r="T150" s="48">
        <v>2.4833171754309444</v>
      </c>
      <c r="U150" s="48">
        <v>0.60470815503668673</v>
      </c>
      <c r="V150" s="48">
        <v>0.50834510617423079</v>
      </c>
      <c r="W150" s="48">
        <v>4.8237567802872627</v>
      </c>
      <c r="X150" s="48">
        <v>16.568314271670957</v>
      </c>
      <c r="Y150" s="48">
        <v>26.2074243533499</v>
      </c>
      <c r="Z150" s="48">
        <v>47.450423780726091</v>
      </c>
      <c r="AA150" s="48"/>
      <c r="AB150" s="48">
        <v>25.880792421357739</v>
      </c>
      <c r="AC150" s="48">
        <v>19.389391428050459</v>
      </c>
      <c r="AD150" s="48">
        <v>15.019217946358337</v>
      </c>
      <c r="AE150" s="48">
        <v>12.880465924163673</v>
      </c>
      <c r="AF150" s="48">
        <v>5.0602026334985535</v>
      </c>
      <c r="AG150" s="48">
        <v>1.2562109726251693</v>
      </c>
      <c r="AH150" s="48">
        <v>0.33834618409077905</v>
      </c>
      <c r="AI150" s="48">
        <v>0.2262400381194129</v>
      </c>
      <c r="AJ150" s="48">
        <v>2.7700565358259328</v>
      </c>
      <c r="AK150" s="48">
        <v>8.542179827712177</v>
      </c>
      <c r="AL150" s="48">
        <v>17.14691543992814</v>
      </c>
      <c r="AM150" s="38">
        <v>30.543267533269834</v>
      </c>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row>
    <row r="151" spans="1:131">
      <c r="A151" s="27" t="s">
        <v>172</v>
      </c>
      <c r="B151" s="27"/>
      <c r="C151" s="48">
        <v>261.52488255554965</v>
      </c>
      <c r="D151" s="48">
        <v>3296.949955913165</v>
      </c>
      <c r="E151" s="48">
        <v>659.38999118263303</v>
      </c>
      <c r="F151" s="48">
        <v>3956.3399470957979</v>
      </c>
      <c r="G151" s="48">
        <v>3574.9994062010883</v>
      </c>
      <c r="H151" s="48">
        <v>238.72921859648545</v>
      </c>
      <c r="I151" s="48">
        <v>132520.99608226644</v>
      </c>
      <c r="J151" s="48">
        <v>698.47662841206227</v>
      </c>
      <c r="K151" s="48">
        <v>976.92508358126088</v>
      </c>
      <c r="L151" s="50">
        <v>6.6777414894780909E-2</v>
      </c>
      <c r="M151" s="48">
        <v>2.4845165776534026</v>
      </c>
      <c r="N151" s="48">
        <v>9.1362465499795931E-2</v>
      </c>
      <c r="O151" s="48">
        <v>22.363952664836315</v>
      </c>
      <c r="P151" s="48">
        <v>16.330810581260774</v>
      </c>
      <c r="Q151" s="48">
        <v>13.229524553599619</v>
      </c>
      <c r="R151" s="48">
        <v>11.4697132247223</v>
      </c>
      <c r="S151" s="48">
        <v>4.2086086671009992</v>
      </c>
      <c r="T151" s="48">
        <v>2.7210133944204355</v>
      </c>
      <c r="U151" s="48">
        <v>7.9113029818684311</v>
      </c>
      <c r="V151" s="48">
        <v>7.8904736058041163</v>
      </c>
      <c r="W151" s="48">
        <v>4.5884919577277579</v>
      </c>
      <c r="X151" s="48">
        <v>10.423284868892804</v>
      </c>
      <c r="Y151" s="48">
        <v>16.184592878677499</v>
      </c>
      <c r="Z151" s="48">
        <v>28.241887740819244</v>
      </c>
      <c r="AA151" s="48"/>
      <c r="AB151" s="48">
        <v>21.219727487016325</v>
      </c>
      <c r="AC151" s="48">
        <v>15.02963458195269</v>
      </c>
      <c r="AD151" s="48">
        <v>11.098597127870207</v>
      </c>
      <c r="AE151" s="48">
        <v>10.35177807656695</v>
      </c>
      <c r="AF151" s="48">
        <v>4.0923373508797223</v>
      </c>
      <c r="AG151" s="48">
        <v>1.264207470616902</v>
      </c>
      <c r="AH151" s="48">
        <v>3.8942054063985641</v>
      </c>
      <c r="AI151" s="48">
        <v>2.7879354621707972</v>
      </c>
      <c r="AJ151" s="48">
        <v>2.6363501583079119</v>
      </c>
      <c r="AK151" s="48">
        <v>6.4034735543698842</v>
      </c>
      <c r="AL151" s="48">
        <v>12.744007026519924</v>
      </c>
      <c r="AM151" s="38">
        <v>24.438971733149529</v>
      </c>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row>
    <row r="152" spans="1:131">
      <c r="A152" s="27" t="s">
        <v>6392</v>
      </c>
      <c r="B152" s="27"/>
      <c r="C152" s="48">
        <v>258.45844496592201</v>
      </c>
      <c r="D152" s="48">
        <v>4223.9999999999991</v>
      </c>
      <c r="E152" s="48">
        <v>844.79999999999984</v>
      </c>
      <c r="F152" s="48">
        <v>5068.7999999999993</v>
      </c>
      <c r="G152" s="48">
        <v>4580.2325463599236</v>
      </c>
      <c r="H152" s="48">
        <v>227.57781291041624</v>
      </c>
      <c r="I152" s="48">
        <v>171798.17051771912</v>
      </c>
      <c r="J152" s="48">
        <v>911.37294552386152</v>
      </c>
      <c r="K152" s="48">
        <v>1277.4212136241763</v>
      </c>
      <c r="L152" s="50">
        <v>4.9686955980276712E-2</v>
      </c>
      <c r="M152" s="48">
        <v>2.4553850665278776</v>
      </c>
      <c r="N152" s="48">
        <v>9.0291220210429929E-2</v>
      </c>
      <c r="O152" s="48">
        <v>22.101730330831288</v>
      </c>
      <c r="P152" s="48">
        <v>16.139328184074991</v>
      </c>
      <c r="Q152" s="48">
        <v>13.07440542693127</v>
      </c>
      <c r="R152" s="48">
        <v>11.335228278468412</v>
      </c>
      <c r="S152" s="48">
        <v>4.1592617916116668</v>
      </c>
      <c r="T152" s="48">
        <v>2.6891089053599777</v>
      </c>
      <c r="U152" s="48">
        <v>7.8185411895315902</v>
      </c>
      <c r="V152" s="48">
        <v>7.7979560425483028</v>
      </c>
      <c r="W152" s="48">
        <v>4.5346908659104548</v>
      </c>
      <c r="X152" s="48">
        <v>10.301069528551027</v>
      </c>
      <c r="Y152" s="48">
        <v>15.99482491667314</v>
      </c>
      <c r="Z152" s="48">
        <v>27.910745306782985</v>
      </c>
      <c r="AA152" s="48"/>
      <c r="AB152" s="48">
        <v>20.970921448478023</v>
      </c>
      <c r="AC152" s="48">
        <v>14.853408763628586</v>
      </c>
      <c r="AD152" s="48">
        <v>10.968463600641472</v>
      </c>
      <c r="AE152" s="48">
        <v>10.230401169317117</v>
      </c>
      <c r="AF152" s="48">
        <v>4.0443537825111973</v>
      </c>
      <c r="AG152" s="48">
        <v>1.2493843560011664</v>
      </c>
      <c r="AH152" s="48">
        <v>3.8485449792788797</v>
      </c>
      <c r="AI152" s="48">
        <v>2.7552462969368143</v>
      </c>
      <c r="AJ152" s="48">
        <v>2.6054383645777723</v>
      </c>
      <c r="AK152" s="48">
        <v>6.3283913984410489</v>
      </c>
      <c r="AL152" s="48">
        <v>12.59458070116712</v>
      </c>
      <c r="AM152" s="38">
        <v>24.152419337667776</v>
      </c>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row>
    <row r="153" spans="1:131">
      <c r="A153" s="27" t="s">
        <v>6423</v>
      </c>
      <c r="B153" s="27"/>
      <c r="C153" s="48">
        <v>123.3447862890545</v>
      </c>
      <c r="D153" s="48">
        <v>2687.9999999999995</v>
      </c>
      <c r="E153" s="48">
        <v>537.59999999999991</v>
      </c>
      <c r="F153" s="48">
        <v>3225.5999999999995</v>
      </c>
      <c r="G153" s="48">
        <v>2914.6934385926788</v>
      </c>
      <c r="H153" s="48">
        <v>109.12377224051619</v>
      </c>
      <c r="I153" s="48">
        <v>229083.50527100821</v>
      </c>
      <c r="J153" s="48">
        <v>1221.8799249282536</v>
      </c>
      <c r="K153" s="48">
        <v>1711.9155590488463</v>
      </c>
      <c r="L153" s="50">
        <v>3.7439193705807068E-2</v>
      </c>
      <c r="M153" s="48">
        <v>1.171789710056288</v>
      </c>
      <c r="N153" s="48">
        <v>4.3089910496450806E-2</v>
      </c>
      <c r="O153" s="48">
        <v>10.547665426966962</v>
      </c>
      <c r="P153" s="48">
        <v>7.7022129649356961</v>
      </c>
      <c r="Q153" s="48">
        <v>6.2395320201432085</v>
      </c>
      <c r="R153" s="48">
        <v>5.4095400509342202</v>
      </c>
      <c r="S153" s="48">
        <v>1.9849351677180194</v>
      </c>
      <c r="T153" s="48">
        <v>1.2833303368491327</v>
      </c>
      <c r="U153" s="48">
        <v>3.7312624559127783</v>
      </c>
      <c r="V153" s="48">
        <v>3.721438553444754</v>
      </c>
      <c r="W153" s="48">
        <v>2.1641021473157926</v>
      </c>
      <c r="X153" s="48">
        <v>4.9160058194861662</v>
      </c>
      <c r="Y153" s="48">
        <v>7.6332513001771636</v>
      </c>
      <c r="Z153" s="48">
        <v>13.319916536243548</v>
      </c>
      <c r="AA153" s="48"/>
      <c r="AB153" s="48">
        <v>10.008006605039055</v>
      </c>
      <c r="AC153" s="48">
        <v>7.0885303432638835</v>
      </c>
      <c r="AD153" s="48">
        <v>5.2345080034772193</v>
      </c>
      <c r="AE153" s="48">
        <v>4.8822805772397615</v>
      </c>
      <c r="AF153" s="48">
        <v>1.9300973239506511</v>
      </c>
      <c r="AG153" s="48">
        <v>0.59624689920335439</v>
      </c>
      <c r="AH153" s="48">
        <v>1.8366509867981153</v>
      </c>
      <c r="AI153" s="48">
        <v>1.3148932537847196</v>
      </c>
      <c r="AJ153" s="48">
        <v>1.2434000301693431</v>
      </c>
      <c r="AK153" s="48">
        <v>3.0201144508825055</v>
      </c>
      <c r="AL153" s="48">
        <v>6.0105440361623144</v>
      </c>
      <c r="AM153" s="38">
        <v>11.526320998956148</v>
      </c>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row>
    <row r="154" spans="1:131">
      <c r="A154" s="27" t="s">
        <v>5813</v>
      </c>
      <c r="B154" s="27"/>
      <c r="C154" s="48">
        <v>176.68277392664916</v>
      </c>
      <c r="D154" s="48">
        <v>3967.9999999999995</v>
      </c>
      <c r="E154" s="48">
        <v>793.59999999999991</v>
      </c>
      <c r="F154" s="48">
        <v>4761.5999999999995</v>
      </c>
      <c r="G154" s="48">
        <v>4302.6426950653822</v>
      </c>
      <c r="H154" s="48">
        <v>159.58416895813619</v>
      </c>
      <c r="I154" s="48">
        <v>236081.96245162419</v>
      </c>
      <c r="J154" s="48">
        <v>1259.8140630283938</v>
      </c>
      <c r="K154" s="48">
        <v>1763.6719906342573</v>
      </c>
      <c r="L154" s="50">
        <v>3.7089802771947622E-2</v>
      </c>
      <c r="M154" s="48">
        <v>1.6785067505510027</v>
      </c>
      <c r="N154" s="48">
        <v>6.1723281087232761E-2</v>
      </c>
      <c r="O154" s="48">
        <v>15.108792533147469</v>
      </c>
      <c r="P154" s="48">
        <v>11.032881023682151</v>
      </c>
      <c r="Q154" s="48">
        <v>8.937692937742586</v>
      </c>
      <c r="R154" s="48">
        <v>7.7487875298315663</v>
      </c>
      <c r="S154" s="48">
        <v>2.8432807096938428</v>
      </c>
      <c r="T154" s="48">
        <v>1.8382808921275557</v>
      </c>
      <c r="U154" s="48">
        <v>5.3447723312285014</v>
      </c>
      <c r="V154" s="48">
        <v>5.3307002784806228</v>
      </c>
      <c r="W154" s="48">
        <v>3.0999248687522551</v>
      </c>
      <c r="X154" s="48">
        <v>7.0418342838658141</v>
      </c>
      <c r="Y154" s="48">
        <v>10.934098265280157</v>
      </c>
      <c r="Z154" s="48">
        <v>19.079848227875953</v>
      </c>
      <c r="AA154" s="48"/>
      <c r="AB154" s="48">
        <v>14.335769039403971</v>
      </c>
      <c r="AC154" s="48">
        <v>10.153823617449683</v>
      </c>
      <c r="AD154" s="48">
        <v>7.4980663716766385</v>
      </c>
      <c r="AE154" s="48">
        <v>6.9935252346492627</v>
      </c>
      <c r="AF154" s="48">
        <v>2.7647293363891845</v>
      </c>
      <c r="AG154" s="48">
        <v>0.85408195405629561</v>
      </c>
      <c r="AH154" s="48">
        <v>2.630873998371869</v>
      </c>
      <c r="AI154" s="48">
        <v>1.8834925616692848</v>
      </c>
      <c r="AJ154" s="48">
        <v>1.7810835223790376</v>
      </c>
      <c r="AK154" s="48">
        <v>4.3261025845664891</v>
      </c>
      <c r="AL154" s="48">
        <v>8.6096836766879452</v>
      </c>
      <c r="AM154" s="38">
        <v>16.510648147641042</v>
      </c>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row>
    <row r="155" spans="1:131">
      <c r="A155" s="27" t="s">
        <v>6391</v>
      </c>
      <c r="B155" s="27"/>
      <c r="C155" s="48">
        <v>136.2385033530833</v>
      </c>
      <c r="D155" s="48">
        <v>4223.9999999999991</v>
      </c>
      <c r="E155" s="48">
        <v>844.79999999999984</v>
      </c>
      <c r="F155" s="48">
        <v>5068.7999999999993</v>
      </c>
      <c r="G155" s="48">
        <v>4580.2325463599236</v>
      </c>
      <c r="H155" s="48">
        <v>120.38532732044305</v>
      </c>
      <c r="I155" s="48">
        <v>325918.78879440937</v>
      </c>
      <c r="J155" s="48">
        <v>1746.7617557862425</v>
      </c>
      <c r="K155" s="48">
        <v>2446.9851682769763</v>
      </c>
      <c r="L155" s="50">
        <v>2.6283671429765641E-2</v>
      </c>
      <c r="M155" s="48">
        <v>1.2942815107603658</v>
      </c>
      <c r="N155" s="48">
        <v>4.7594268815687395E-2</v>
      </c>
      <c r="O155" s="48">
        <v>11.650254501000802</v>
      </c>
      <c r="P155" s="48">
        <v>8.5073556687711474</v>
      </c>
      <c r="Q155" s="48">
        <v>6.8917749150406129</v>
      </c>
      <c r="R155" s="48">
        <v>5.9750206112541608</v>
      </c>
      <c r="S155" s="48">
        <v>2.1924282706937697</v>
      </c>
      <c r="T155" s="48">
        <v>1.4174819192617072</v>
      </c>
      <c r="U155" s="48">
        <v>4.1213060389907756</v>
      </c>
      <c r="V155" s="48">
        <v>4.1104552052458141</v>
      </c>
      <c r="W155" s="48">
        <v>2.3903242814217007</v>
      </c>
      <c r="X155" s="48">
        <v>5.4298952997681429</v>
      </c>
      <c r="Y155" s="48">
        <v>8.4311851691650919</v>
      </c>
      <c r="Z155" s="48">
        <v>14.71229995431789</v>
      </c>
      <c r="AA155" s="48"/>
      <c r="AB155" s="48">
        <v>11.05418301364625</v>
      </c>
      <c r="AC155" s="48">
        <v>7.8295223818867443</v>
      </c>
      <c r="AD155" s="48">
        <v>5.781691773434579</v>
      </c>
      <c r="AE155" s="48">
        <v>5.3926446249151105</v>
      </c>
      <c r="AF155" s="48">
        <v>2.1318580108007548</v>
      </c>
      <c r="AG155" s="48">
        <v>0.65857493956832258</v>
      </c>
      <c r="AH155" s="48">
        <v>2.0286433594116442</v>
      </c>
      <c r="AI155" s="48">
        <v>1.4523442324095444</v>
      </c>
      <c r="AJ155" s="48">
        <v>1.3733775401131993</v>
      </c>
      <c r="AK155" s="48">
        <v>3.3358189277576606</v>
      </c>
      <c r="AL155" s="48">
        <v>6.6388499138144752</v>
      </c>
      <c r="AM155" s="38">
        <v>12.731212800393422</v>
      </c>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row>
    <row r="156" spans="1:131">
      <c r="A156" s="27"/>
      <c r="B156" s="27"/>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row>
  </sheetData>
  <mergeCells count="3">
    <mergeCell ref="I6:N6"/>
    <mergeCell ref="O6:P6"/>
    <mergeCell ref="R6:T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dimension ref="A2:V108"/>
  <sheetViews>
    <sheetView workbookViewId="0">
      <selection activeCell="A6" sqref="A6"/>
    </sheetView>
  </sheetViews>
  <sheetFormatPr defaultRowHeight="12.75"/>
  <cols>
    <col min="3" max="3" width="15.7109375" customWidth="1"/>
    <col min="4" max="4" width="7.7109375" customWidth="1"/>
    <col min="5" max="5" width="32.5703125" customWidth="1"/>
    <col min="6" max="6" width="88.28515625" customWidth="1"/>
    <col min="7" max="7" width="43.85546875" customWidth="1"/>
    <col min="8" max="8" width="11" customWidth="1"/>
    <col min="20" max="20" width="11" customWidth="1"/>
  </cols>
  <sheetData>
    <row r="2" spans="1:22">
      <c r="A2" t="s">
        <v>20</v>
      </c>
      <c r="B2" t="s">
        <v>21</v>
      </c>
    </row>
    <row r="3" spans="1:22">
      <c r="A3" s="26" t="s">
        <v>67</v>
      </c>
      <c r="B3" s="26"/>
      <c r="C3" s="26"/>
      <c r="D3" s="26"/>
      <c r="E3" s="26"/>
      <c r="H3">
        <v>3</v>
      </c>
      <c r="I3">
        <v>4</v>
      </c>
      <c r="J3">
        <v>5</v>
      </c>
      <c r="K3">
        <v>6</v>
      </c>
      <c r="L3">
        <v>7</v>
      </c>
      <c r="M3">
        <v>8</v>
      </c>
      <c r="N3">
        <v>9</v>
      </c>
      <c r="O3">
        <v>10</v>
      </c>
      <c r="P3">
        <v>11</v>
      </c>
      <c r="Q3">
        <v>12</v>
      </c>
      <c r="R3">
        <v>13</v>
      </c>
      <c r="S3">
        <v>14</v>
      </c>
      <c r="T3">
        <v>15</v>
      </c>
      <c r="U3">
        <v>16</v>
      </c>
      <c r="V3">
        <v>17</v>
      </c>
    </row>
    <row r="4" spans="1:22">
      <c r="F4" s="12" t="s">
        <v>2</v>
      </c>
      <c r="G4" s="13"/>
      <c r="H4" s="13"/>
      <c r="I4" s="13"/>
      <c r="J4" s="13"/>
      <c r="K4" s="13"/>
      <c r="L4" s="14"/>
      <c r="M4" s="28"/>
      <c r="N4" s="393" t="s">
        <v>3</v>
      </c>
      <c r="O4" s="394"/>
      <c r="P4" s="394"/>
      <c r="Q4" s="394"/>
      <c r="R4" s="394"/>
      <c r="S4" s="395"/>
      <c r="T4" s="396" t="s">
        <v>4</v>
      </c>
      <c r="U4" s="397"/>
    </row>
    <row r="5" spans="1:22" ht="25.5">
      <c r="A5" s="27" t="s">
        <v>22</v>
      </c>
      <c r="B5" s="27" t="s">
        <v>165</v>
      </c>
      <c r="C5" t="s">
        <v>179</v>
      </c>
      <c r="D5" t="s">
        <v>180</v>
      </c>
      <c r="E5" t="s">
        <v>181</v>
      </c>
      <c r="F5" s="29" t="s">
        <v>5</v>
      </c>
      <c r="G5" s="29" t="s">
        <v>6</v>
      </c>
      <c r="H5" s="29" t="s">
        <v>7</v>
      </c>
      <c r="I5" s="29" t="s">
        <v>8</v>
      </c>
      <c r="J5" s="29" t="s">
        <v>9</v>
      </c>
      <c r="K5" s="29" t="s">
        <v>10</v>
      </c>
      <c r="L5" s="29" t="s">
        <v>11</v>
      </c>
      <c r="M5" s="29" t="s">
        <v>12</v>
      </c>
      <c r="N5" s="29" t="s">
        <v>13</v>
      </c>
      <c r="O5" s="29" t="s">
        <v>14</v>
      </c>
      <c r="P5" s="29" t="s">
        <v>15</v>
      </c>
      <c r="Q5" s="29" t="s">
        <v>16</v>
      </c>
      <c r="R5" s="29" t="s">
        <v>17</v>
      </c>
      <c r="S5" s="29" t="s">
        <v>18</v>
      </c>
      <c r="T5" s="30" t="s">
        <v>19</v>
      </c>
      <c r="U5" s="29" t="s">
        <v>11</v>
      </c>
    </row>
    <row r="6" spans="1:22">
      <c r="A6" t="s">
        <v>75</v>
      </c>
      <c r="B6" t="s">
        <v>64</v>
      </c>
      <c r="C6" t="s">
        <v>27</v>
      </c>
      <c r="D6" t="s">
        <v>56</v>
      </c>
      <c r="E6" t="str">
        <f t="shared" ref="E6:E14" si="0">B6&amp;D6&amp;G6</f>
        <v>Electric FAFHZ1Attic R0 - R30</v>
      </c>
      <c r="F6" s="31" t="str">
        <f>Composite!B5</f>
        <v>Manuf Homes Wx - Attic R0 - R30 + HZ1 + Electric FAF</v>
      </c>
      <c r="G6" s="31" t="str">
        <f>LEFT(Composite!C5,FIND(" + ",Composite!C5)-1)</f>
        <v>Attic R0 - R30</v>
      </c>
      <c r="H6" s="31">
        <f>VLOOKUP($F6,Composite!$B$5:$Q$817,H$3,FALSE)*VLOOKUP($C6,[2]!ExistingSat,MATCH($A6,[2]SATS!$C$10:$F$10,0)+1,FALSE)</f>
        <v>393.02617705466326</v>
      </c>
      <c r="I6">
        <f>VLOOKUP($F6,Composite!$B$5:$Q$817,I$3,FALSE)</f>
        <v>25</v>
      </c>
      <c r="J6" s="31">
        <f>VLOOKUP($F6,Composite!$B$5:$Q$817,J$3,FALSE)*VLOOKUP($C6,[2]!ExistingSat,MATCH($A6,[2]SATS!$C$10:$F$10,0)+1,FALSE)</f>
        <v>2688</v>
      </c>
      <c r="K6" s="31">
        <f>VLOOKUP($F6,Composite!$B$5:$Q$817,K$3,FALSE)*VLOOKUP($C6,[2]!ExistingSat,MATCH($A6,[2]SATS!$C$10:$F$10,0)+1,FALSE)</f>
        <v>0</v>
      </c>
      <c r="L6" t="str">
        <f>VLOOKUP($F6,Composite!$B$5:$Q$817,L$3,FALSE)</f>
        <v>ResSHWX</v>
      </c>
      <c r="M6" s="31">
        <f>VLOOKUP($F6,Composite!$B$5:$Q$817,M$3,FALSE)*VLOOKUP($C6,[2]!ExistingSat,MATCH($A6,[2]SATS!$C$10:$F$10,0)+1,FALSE)</f>
        <v>2.7586414003918303</v>
      </c>
      <c r="N6" s="31">
        <f>VLOOKUP($F6,Composite!$B$5:$Q$817,N$3,FALSE)*VLOOKUP($C6,[2]!ExistingSat,MATCH($A6,[2]SATS!$C$10:$F$10,0)+1,FALSE)</f>
        <v>0</v>
      </c>
      <c r="O6">
        <f>VLOOKUP($F6,Composite!$B$5:$Q$817,O$3,FALSE)</f>
        <v>0</v>
      </c>
      <c r="P6" s="31">
        <f>VLOOKUP($F6,Composite!$B$5:$Q$817,P$3,FALSE)*VLOOKUP($C6,[2]!ExistingSat,MATCH($A6,[2]SATS!$C$10:$F$10,0)+1,FALSE)</f>
        <v>0</v>
      </c>
      <c r="Q6">
        <f>VLOOKUP($F6,Composite!$B$5:$Q$817,Q$3,FALSE)</f>
        <v>0</v>
      </c>
      <c r="R6" s="31">
        <f>VLOOKUP($F6,Composite!$B$5:$Q$817,R$3,FALSE)*VLOOKUP($C6,[2]!ExistingSat,MATCH($A6,[2]SATS!$C$10:$F$10,0)+1,FALSE)</f>
        <v>0</v>
      </c>
      <c r="S6">
        <f>VLOOKUP($F6,Composite!$B$5:$Q$817,S$3,FALSE)</f>
        <v>0</v>
      </c>
      <c r="T6" s="31">
        <f>VLOOKUP($F6,Composite!$B$5:$Q$817,T$3,FALSE)*VLOOKUP($C6,[2]!ExistingSat,MATCH($A6,[2]SATS!$C$10:$F$10,0)+1,FALSE)</f>
        <v>0</v>
      </c>
    </row>
    <row r="7" spans="1:22">
      <c r="A7" t="s">
        <v>75</v>
      </c>
      <c r="B7" t="s">
        <v>64</v>
      </c>
      <c r="C7" t="s">
        <v>27</v>
      </c>
      <c r="D7" t="s">
        <v>56</v>
      </c>
      <c r="E7" t="str">
        <f t="shared" si="0"/>
        <v>Electric FAFHZ1Attic R0 - R22</v>
      </c>
      <c r="F7" s="31" t="str">
        <f>Composite!B6</f>
        <v>Manuf Homes Wx - Attic R0 - R22 + HZ1 + Electric FAF</v>
      </c>
      <c r="G7" s="31" t="str">
        <f>LEFT(Composite!C6,FIND(" + ",Composite!C6)-1)</f>
        <v>Attic R0 - R22</v>
      </c>
      <c r="H7" s="31">
        <f>VLOOKUP($F7,Composite!$B$5:$Q$817,H$3,FALSE)*VLOOKUP($C7,[2]!ExistingSat,MATCH($A7,[2]SATS!$C$10:$F$10,0)+1,FALSE)</f>
        <v>773.69374190890903</v>
      </c>
      <c r="I7">
        <f>VLOOKUP($F7,Composite!$B$5:$Q$817,I$3,FALSE)</f>
        <v>25</v>
      </c>
      <c r="J7" s="31">
        <f>VLOOKUP($F7,Composite!$B$5:$Q$817,J$3,FALSE)*VLOOKUP($C7,[2]!ExistingSat,MATCH($A7,[2]SATS!$C$10:$F$10,0)+1,FALSE)</f>
        <v>2688</v>
      </c>
      <c r="K7" s="31">
        <f>VLOOKUP($F7,Composite!$B$5:$Q$817,K$3,FALSE)*VLOOKUP($C7,[2]!ExistingSat,MATCH($A7,[2]SATS!$C$10:$F$10,0)+1,FALSE)</f>
        <v>0</v>
      </c>
      <c r="L7" t="str">
        <f>VLOOKUP($F7,Composite!$B$5:$Q$817,L$3,FALSE)</f>
        <v>ResSHWX</v>
      </c>
      <c r="M7" s="31">
        <f>VLOOKUP($F7,Composite!$B$5:$Q$817,M$3,FALSE)*VLOOKUP($C7,[2]!ExistingSat,MATCH($A7,[2]SATS!$C$10:$F$10,0)+1,FALSE)</f>
        <v>5.4305379953283284</v>
      </c>
      <c r="N7" s="31">
        <f>VLOOKUP($F7,Composite!$B$5:$Q$817,N$3,FALSE)*VLOOKUP($C7,[2]!ExistingSat,MATCH($A7,[2]SATS!$C$10:$F$10,0)+1,FALSE)</f>
        <v>0</v>
      </c>
      <c r="O7">
        <f>VLOOKUP($F7,Composite!$B$5:$Q$817,O$3,FALSE)</f>
        <v>0</v>
      </c>
      <c r="P7" s="31">
        <f>VLOOKUP($F7,Composite!$B$5:$Q$817,P$3,FALSE)*VLOOKUP($C7,[2]!ExistingSat,MATCH($A7,[2]SATS!$C$10:$F$10,0)+1,FALSE)</f>
        <v>0</v>
      </c>
      <c r="Q7">
        <f>VLOOKUP($F7,Composite!$B$5:$Q$817,Q$3,FALSE)</f>
        <v>0</v>
      </c>
      <c r="R7" s="31">
        <f>VLOOKUP($F7,Composite!$B$5:$Q$817,R$3,FALSE)*VLOOKUP($C7,[2]!ExistingSat,MATCH($A7,[2]SATS!$C$10:$F$10,0)+1,FALSE)</f>
        <v>0</v>
      </c>
      <c r="S7">
        <f>VLOOKUP($F7,Composite!$B$5:$Q$817,S$3,FALSE)</f>
        <v>0</v>
      </c>
      <c r="T7" s="31">
        <f>VLOOKUP($F7,Composite!$B$5:$Q$817,T$3,FALSE)*VLOOKUP($C7,[2]!ExistingSat,MATCH($A7,[2]SATS!$C$10:$F$10,0)+1,FALSE)</f>
        <v>0</v>
      </c>
    </row>
    <row r="8" spans="1:22">
      <c r="A8" t="s">
        <v>75</v>
      </c>
      <c r="B8" t="s">
        <v>64</v>
      </c>
      <c r="C8" t="s">
        <v>27</v>
      </c>
      <c r="D8" t="s">
        <v>56</v>
      </c>
      <c r="E8" t="str">
        <f t="shared" si="0"/>
        <v>Electric FAFHZ1Attic R11 - R30</v>
      </c>
      <c r="F8" s="31" t="str">
        <f>Composite!B7</f>
        <v>Manuf Homes Wx - Attic R11 - R30 + HZ1 + Electric FAF</v>
      </c>
      <c r="G8" s="31" t="str">
        <f>LEFT(Composite!C7,FIND(" + ",Composite!C7)-1)</f>
        <v>Attic R11 - R30</v>
      </c>
      <c r="H8" s="31">
        <f>VLOOKUP($F8,Composite!$B$5:$Q$817,H$3,FALSE)*VLOOKUP($C8,[2]!ExistingSat,MATCH($A8,[2]SATS!$C$10:$F$10,0)+1,FALSE)</f>
        <v>146.9594831905317</v>
      </c>
      <c r="I8">
        <f>VLOOKUP($F8,Composite!$B$5:$Q$817,I$3,FALSE)</f>
        <v>25</v>
      </c>
      <c r="J8" s="31">
        <f>VLOOKUP($F8,Composite!$B$5:$Q$817,J$3,FALSE)*VLOOKUP($C8,[2]!ExistingSat,MATCH($A8,[2]SATS!$C$10:$F$10,0)+1,FALSE)</f>
        <v>2688</v>
      </c>
      <c r="K8" s="31">
        <f>VLOOKUP($F8,Composite!$B$5:$Q$817,K$3,FALSE)*VLOOKUP($C8,[2]!ExistingSat,MATCH($A8,[2]SATS!$C$10:$F$10,0)+1,FALSE)</f>
        <v>0</v>
      </c>
      <c r="L8" t="str">
        <f>VLOOKUP($F8,Composite!$B$5:$Q$817,L$3,FALSE)</f>
        <v>ResSHWX</v>
      </c>
      <c r="M8" s="31">
        <f>VLOOKUP($F8,Composite!$B$5:$Q$817,M$3,FALSE)*VLOOKUP($C8,[2]!ExistingSat,MATCH($A8,[2]SATS!$C$10:$F$10,0)+1,FALSE)</f>
        <v>1.031505121485083</v>
      </c>
      <c r="N8" s="31">
        <f>VLOOKUP($F8,Composite!$B$5:$Q$817,N$3,FALSE)*VLOOKUP($C8,[2]!ExistingSat,MATCH($A8,[2]SATS!$C$10:$F$10,0)+1,FALSE)</f>
        <v>0</v>
      </c>
      <c r="O8">
        <f>VLOOKUP($F8,Composite!$B$5:$Q$817,O$3,FALSE)</f>
        <v>0</v>
      </c>
      <c r="P8" s="31">
        <f>VLOOKUP($F8,Composite!$B$5:$Q$817,P$3,FALSE)*VLOOKUP($C8,[2]!ExistingSat,MATCH($A8,[2]SATS!$C$10:$F$10,0)+1,FALSE)</f>
        <v>0</v>
      </c>
      <c r="Q8">
        <f>VLOOKUP($F8,Composite!$B$5:$Q$817,Q$3,FALSE)</f>
        <v>0</v>
      </c>
      <c r="R8" s="31">
        <f>VLOOKUP($F8,Composite!$B$5:$Q$817,R$3,FALSE)*VLOOKUP($C8,[2]!ExistingSat,MATCH($A8,[2]SATS!$C$10:$F$10,0)+1,FALSE)</f>
        <v>0</v>
      </c>
      <c r="S8">
        <f>VLOOKUP($F8,Composite!$B$5:$Q$817,S$3,FALSE)</f>
        <v>0</v>
      </c>
      <c r="T8" s="31">
        <f>VLOOKUP($F8,Composite!$B$5:$Q$817,T$3,FALSE)*VLOOKUP($C8,[2]!ExistingSat,MATCH($A8,[2]SATS!$C$10:$F$10,0)+1,FALSE)</f>
        <v>0</v>
      </c>
    </row>
    <row r="9" spans="1:22">
      <c r="A9" t="s">
        <v>75</v>
      </c>
      <c r="B9" t="s">
        <v>64</v>
      </c>
      <c r="C9" t="s">
        <v>25</v>
      </c>
      <c r="D9" t="s">
        <v>56</v>
      </c>
      <c r="E9" t="str">
        <f t="shared" si="0"/>
        <v>Electric FAFHZ1Floor R0 - R22</v>
      </c>
      <c r="F9" s="31" t="str">
        <f>Composite!B8</f>
        <v>Manuf Homes Wx - Floor R0 - R22 + HZ1 + Electric FAF</v>
      </c>
      <c r="G9" s="31" t="str">
        <f>LEFT(Composite!C8,FIND(" + ",Composite!C8)-1)</f>
        <v>Floor R0 - R22</v>
      </c>
      <c r="H9" s="31">
        <f>VLOOKUP($F9,Composite!$B$5:$Q$817,H$3,FALSE)*VLOOKUP($C9,[2]!ExistingSat,MATCH($A9,[2]SATS!$C$10:$F$10,0)+1,FALSE)</f>
        <v>612.4680815402063</v>
      </c>
      <c r="I9">
        <f>VLOOKUP($F9,Composite!$B$5:$Q$817,I$3,FALSE)</f>
        <v>25</v>
      </c>
      <c r="J9" s="31">
        <f>VLOOKUP($F9,Composite!$B$5:$Q$817,J$3,FALSE)*VLOOKUP($C9,[2]!ExistingSat,MATCH($A9,[2]SATS!$C$10:$F$10,0)+1,FALSE)</f>
        <v>4224</v>
      </c>
      <c r="K9" s="31">
        <f>VLOOKUP($F9,Composite!$B$5:$Q$817,K$3,FALSE)*VLOOKUP($C9,[2]!ExistingSat,MATCH($A9,[2]SATS!$C$10:$F$10,0)+1,FALSE)</f>
        <v>0</v>
      </c>
      <c r="L9" t="str">
        <f>VLOOKUP($F9,Composite!$B$5:$Q$817,L$3,FALSE)</f>
        <v>ResSHWX</v>
      </c>
      <c r="M9" s="31">
        <f>VLOOKUP($F9,Composite!$B$5:$Q$817,M$3,FALSE)*VLOOKUP($C9,[2]!ExistingSat,MATCH($A9,[2]SATS!$C$10:$F$10,0)+1,FALSE)</f>
        <v>4.298898915123357</v>
      </c>
      <c r="N9" s="31">
        <f>VLOOKUP($F9,Composite!$B$5:$Q$817,N$3,FALSE)*VLOOKUP($C9,[2]!ExistingSat,MATCH($A9,[2]SATS!$C$10:$F$10,0)+1,FALSE)</f>
        <v>0</v>
      </c>
      <c r="O9">
        <f>VLOOKUP($F9,Composite!$B$5:$Q$817,O$3,FALSE)</f>
        <v>0</v>
      </c>
      <c r="P9" s="31">
        <f>VLOOKUP($F9,Composite!$B$5:$Q$817,P$3,FALSE)*VLOOKUP($C9,[2]!ExistingSat,MATCH($A9,[2]SATS!$C$10:$F$10,0)+1,FALSE)</f>
        <v>0</v>
      </c>
      <c r="Q9">
        <f>VLOOKUP($F9,Composite!$B$5:$Q$817,Q$3,FALSE)</f>
        <v>0</v>
      </c>
      <c r="R9" s="31">
        <f>VLOOKUP($F9,Composite!$B$5:$Q$817,R$3,FALSE)*VLOOKUP($C9,[2]!ExistingSat,MATCH($A9,[2]SATS!$C$10:$F$10,0)+1,FALSE)</f>
        <v>0</v>
      </c>
      <c r="S9">
        <f>VLOOKUP($F9,Composite!$B$5:$Q$817,S$3,FALSE)</f>
        <v>0</v>
      </c>
      <c r="T9" s="31">
        <f>VLOOKUP($F9,Composite!$B$5:$Q$817,T$3,FALSE)*VLOOKUP($C9,[2]!ExistingSat,MATCH($A9,[2]SATS!$C$10:$F$10,0)+1,FALSE)</f>
        <v>0</v>
      </c>
    </row>
    <row r="10" spans="1:22">
      <c r="A10" t="s">
        <v>75</v>
      </c>
      <c r="B10" t="s">
        <v>64</v>
      </c>
      <c r="C10" t="s">
        <v>25</v>
      </c>
      <c r="D10" t="s">
        <v>56</v>
      </c>
      <c r="E10" t="str">
        <f t="shared" si="0"/>
        <v>Electric FAFHZ1Floor R11 - R22</v>
      </c>
      <c r="F10" s="31" t="str">
        <f>Composite!B9</f>
        <v>Manuf Homes Wx - Floor R11 - R22 + HZ1 + Electric FAF</v>
      </c>
      <c r="G10" s="31" t="str">
        <f>LEFT(Composite!C9,FIND(" + ",Composite!C9)-1)</f>
        <v>Floor R11 - R22</v>
      </c>
      <c r="H10" s="31">
        <f>VLOOKUP($F10,Composite!$B$5:$Q$817,H$3,FALSE)*VLOOKUP($C10,[2]!ExistingSat,MATCH($A10,[2]SATS!$C$10:$F$10,0)+1,FALSE)</f>
        <v>251.59741604458549</v>
      </c>
      <c r="I10">
        <f>VLOOKUP($F10,Composite!$B$5:$Q$817,I$3,FALSE)</f>
        <v>25</v>
      </c>
      <c r="J10" s="31">
        <f>VLOOKUP($F10,Composite!$B$5:$Q$817,J$3,FALSE)*VLOOKUP($C10,[2]!ExistingSat,MATCH($A10,[2]SATS!$C$10:$F$10,0)+1,FALSE)</f>
        <v>4224</v>
      </c>
      <c r="K10" s="31">
        <f>VLOOKUP($F10,Composite!$B$5:$Q$817,K$3,FALSE)*VLOOKUP($C10,[2]!ExistingSat,MATCH($A10,[2]SATS!$C$10:$F$10,0)+1,FALSE)</f>
        <v>0</v>
      </c>
      <c r="L10" t="str">
        <f>VLOOKUP($F10,Composite!$B$5:$Q$817,L$3,FALSE)</f>
        <v>ResSHWX</v>
      </c>
      <c r="M10" s="31">
        <f>VLOOKUP($F10,Composite!$B$5:$Q$817,M$3,FALSE)*VLOOKUP($C10,[2]!ExistingSat,MATCH($A10,[2]SATS!$C$10:$F$10,0)+1,FALSE)</f>
        <v>1.7659562865087939</v>
      </c>
      <c r="N10" s="31">
        <f>VLOOKUP($F10,Composite!$B$5:$Q$817,N$3,FALSE)*VLOOKUP($C10,[2]!ExistingSat,MATCH($A10,[2]SATS!$C$10:$F$10,0)+1,FALSE)</f>
        <v>0</v>
      </c>
      <c r="O10">
        <f>VLOOKUP($F10,Composite!$B$5:$Q$817,O$3,FALSE)</f>
        <v>0</v>
      </c>
      <c r="P10" s="31">
        <f>VLOOKUP($F10,Composite!$B$5:$Q$817,P$3,FALSE)*VLOOKUP($C10,[2]!ExistingSat,MATCH($A10,[2]SATS!$C$10:$F$10,0)+1,FALSE)</f>
        <v>0</v>
      </c>
      <c r="Q10">
        <f>VLOOKUP($F10,Composite!$B$5:$Q$817,Q$3,FALSE)</f>
        <v>0</v>
      </c>
      <c r="R10" s="31">
        <f>VLOOKUP($F10,Composite!$B$5:$Q$817,R$3,FALSE)*VLOOKUP($C10,[2]!ExistingSat,MATCH($A10,[2]SATS!$C$10:$F$10,0)+1,FALSE)</f>
        <v>0</v>
      </c>
      <c r="S10">
        <f>VLOOKUP($F10,Composite!$B$5:$Q$817,S$3,FALSE)</f>
        <v>0</v>
      </c>
      <c r="T10" s="31">
        <f>VLOOKUP($F10,Composite!$B$5:$Q$817,T$3,FALSE)*VLOOKUP($C10,[2]!ExistingSat,MATCH($A10,[2]SATS!$C$10:$F$10,0)+1,FALSE)</f>
        <v>0</v>
      </c>
    </row>
    <row r="11" spans="1:22">
      <c r="A11" t="s">
        <v>75</v>
      </c>
      <c r="B11" t="s">
        <v>64</v>
      </c>
      <c r="C11" t="s">
        <v>26</v>
      </c>
      <c r="D11" t="s">
        <v>56</v>
      </c>
      <c r="E11" t="str">
        <f t="shared" si="0"/>
        <v>Electric FAFHZ1WINDOW CL30 Prime Window Replacement of Double Pane Base</v>
      </c>
      <c r="F11" s="31" t="str">
        <f>Composite!B10</f>
        <v>Manuf Homes Wx - WINDOW CL30 Prime Window Replacement of Double Pane Base + HZ1 + Electric FAF</v>
      </c>
      <c r="G11" s="31" t="str">
        <f>LEFT(Composite!C10,FIND(" + ",Composite!C10)-1)</f>
        <v>WINDOW CL30 Prime Window Replacement of Double Pane Base</v>
      </c>
      <c r="H11" s="31">
        <f>VLOOKUP($F11,Composite!$B$5:$Q$817,H$3,FALSE)*VLOOKUP($C11,[2]!ExistingSat,MATCH($A11,[2]SATS!$C$10:$F$10,0)+1,FALSE)</f>
        <v>480.84937063444056</v>
      </c>
      <c r="I11">
        <f>VLOOKUP($F11,Composite!$B$5:$Q$817,I$3,FALSE)</f>
        <v>25</v>
      </c>
      <c r="J11" s="31">
        <f>VLOOKUP($F11,Composite!$B$5:$Q$817,J$3,FALSE)*VLOOKUP($C11,[2]!ExistingSat,MATCH($A11,[2]SATS!$C$10:$F$10,0)+1,FALSE)</f>
        <v>3296.9499559131655</v>
      </c>
      <c r="K11" s="31">
        <f>VLOOKUP($F11,Composite!$B$5:$Q$817,K$3,FALSE)*VLOOKUP($C11,[2]!ExistingSat,MATCH($A11,[2]SATS!$C$10:$F$10,0)+1,FALSE)</f>
        <v>0</v>
      </c>
      <c r="L11" t="str">
        <f>VLOOKUP($F11,Composite!$B$5:$Q$817,L$3,FALSE)</f>
        <v>ResSHWX</v>
      </c>
      <c r="M11" s="31">
        <f>VLOOKUP($F11,Composite!$B$5:$Q$817,M$3,FALSE)*VLOOKUP($C11,[2]!ExistingSat,MATCH($A11,[2]SATS!$C$10:$F$10,0)+1,FALSE)</f>
        <v>3.3750703098843</v>
      </c>
      <c r="N11" s="31">
        <f>VLOOKUP($F11,Composite!$B$5:$Q$817,N$3,FALSE)*VLOOKUP($C11,[2]!ExistingSat,MATCH($A11,[2]SATS!$C$10:$F$10,0)+1,FALSE)</f>
        <v>0</v>
      </c>
      <c r="O11">
        <f>VLOOKUP($F11,Composite!$B$5:$Q$817,O$3,FALSE)</f>
        <v>0</v>
      </c>
      <c r="P11" s="31">
        <f>VLOOKUP($F11,Composite!$B$5:$Q$817,P$3,FALSE)*VLOOKUP($C11,[2]!ExistingSat,MATCH($A11,[2]SATS!$C$10:$F$10,0)+1,FALSE)</f>
        <v>0</v>
      </c>
      <c r="Q11">
        <f>VLOOKUP($F11,Composite!$B$5:$Q$817,Q$3,FALSE)</f>
        <v>0</v>
      </c>
      <c r="R11" s="31">
        <f>VLOOKUP($F11,Composite!$B$5:$Q$817,R$3,FALSE)*VLOOKUP($C11,[2]!ExistingSat,MATCH($A11,[2]SATS!$C$10:$F$10,0)+1,FALSE)</f>
        <v>0</v>
      </c>
      <c r="S11">
        <f>VLOOKUP($F11,Composite!$B$5:$Q$817,S$3,FALSE)</f>
        <v>0</v>
      </c>
      <c r="T11" s="31">
        <f>VLOOKUP($F11,Composite!$B$5:$Q$817,T$3,FALSE)*VLOOKUP($C11,[2]!ExistingSat,MATCH($A11,[2]SATS!$C$10:$F$10,0)+1,FALSE)</f>
        <v>0</v>
      </c>
    </row>
    <row r="12" spans="1:22">
      <c r="A12" t="s">
        <v>75</v>
      </c>
      <c r="B12" t="s">
        <v>64</v>
      </c>
      <c r="C12" t="s">
        <v>26</v>
      </c>
      <c r="D12" t="s">
        <v>56</v>
      </c>
      <c r="E12" t="str">
        <f t="shared" si="0"/>
        <v>Electric FAFHZ1WINDOW CL30 Prime Window Replacement of Single Pane Base</v>
      </c>
      <c r="F12" s="31" t="str">
        <f>Composite!B11</f>
        <v>Manuf Homes Wx - WINDOW CL30 Prime Window Replacement of Single Pane Base + HZ1 + Electric FAF</v>
      </c>
      <c r="G12" s="31" t="str">
        <f>LEFT(Composite!C11,FIND(" + ",Composite!C11)-1)</f>
        <v>WINDOW CL30 Prime Window Replacement of Single Pane Base</v>
      </c>
      <c r="H12" s="31">
        <f>VLOOKUP($F12,Composite!$B$5:$Q$817,H$3,FALSE)*VLOOKUP($C12,[2]!ExistingSat,MATCH($A12,[2]SATS!$C$10:$F$10,0)+1,FALSE)</f>
        <v>1359.3897397357716</v>
      </c>
      <c r="I12">
        <f>VLOOKUP($F12,Composite!$B$5:$Q$817,I$3,FALSE)</f>
        <v>25</v>
      </c>
      <c r="J12" s="31">
        <f>VLOOKUP($F12,Composite!$B$5:$Q$817,J$3,FALSE)*VLOOKUP($C12,[2]!ExistingSat,MATCH($A12,[2]SATS!$C$10:$F$10,0)+1,FALSE)</f>
        <v>3296.9499559131655</v>
      </c>
      <c r="K12" s="31">
        <f>VLOOKUP($F12,Composite!$B$5:$Q$817,K$3,FALSE)*VLOOKUP($C12,[2]!ExistingSat,MATCH($A12,[2]SATS!$C$10:$F$10,0)+1,FALSE)</f>
        <v>0</v>
      </c>
      <c r="L12" t="str">
        <f>VLOOKUP($F12,Composite!$B$5:$Q$817,L$3,FALSE)</f>
        <v>ResSHWX</v>
      </c>
      <c r="M12" s="31">
        <f>VLOOKUP($F12,Composite!$B$5:$Q$817,M$3,FALSE)*VLOOKUP($C12,[2]!ExistingSat,MATCH($A12,[2]SATS!$C$10:$F$10,0)+1,FALSE)</f>
        <v>9.5415242908397992</v>
      </c>
      <c r="N12" s="31">
        <f>VLOOKUP($F12,Composite!$B$5:$Q$817,N$3,FALSE)*VLOOKUP($C12,[2]!ExistingSat,MATCH($A12,[2]SATS!$C$10:$F$10,0)+1,FALSE)</f>
        <v>0</v>
      </c>
      <c r="O12">
        <f>VLOOKUP($F12,Composite!$B$5:$Q$817,O$3,FALSE)</f>
        <v>0</v>
      </c>
      <c r="P12" s="31">
        <f>VLOOKUP($F12,Composite!$B$5:$Q$817,P$3,FALSE)*VLOOKUP($C12,[2]!ExistingSat,MATCH($A12,[2]SATS!$C$10:$F$10,0)+1,FALSE)</f>
        <v>0</v>
      </c>
      <c r="Q12">
        <f>VLOOKUP($F12,Composite!$B$5:$Q$817,Q$3,FALSE)</f>
        <v>0</v>
      </c>
      <c r="R12" s="31">
        <f>VLOOKUP($F12,Composite!$B$5:$Q$817,R$3,FALSE)*VLOOKUP($C12,[2]!ExistingSat,MATCH($A12,[2]SATS!$C$10:$F$10,0)+1,FALSE)</f>
        <v>0</v>
      </c>
      <c r="S12">
        <f>VLOOKUP($F12,Composite!$B$5:$Q$817,S$3,FALSE)</f>
        <v>0</v>
      </c>
      <c r="T12" s="31">
        <f>VLOOKUP($F12,Composite!$B$5:$Q$817,T$3,FALSE)*VLOOKUP($C12,[2]!ExistingSat,MATCH($A12,[2]SATS!$C$10:$F$10,0)+1,FALSE)</f>
        <v>0</v>
      </c>
    </row>
    <row r="13" spans="1:22">
      <c r="A13" t="s">
        <v>75</v>
      </c>
      <c r="B13" t="s">
        <v>64</v>
      </c>
      <c r="C13" t="s">
        <v>26</v>
      </c>
      <c r="D13" t="s">
        <v>56</v>
      </c>
      <c r="E13" t="str">
        <f t="shared" si="0"/>
        <v>Electric FAFHZ1WINDOW CL22 Prime Window Replacement of Double Pane Base</v>
      </c>
      <c r="F13" s="31" t="str">
        <f>Composite!B12</f>
        <v>Manuf Homes Wx - WINDOW CL22 Prime Window Replacement of Double Pane Base + HZ1 + Electric FAF</v>
      </c>
      <c r="G13" s="31" t="str">
        <f>LEFT(Composite!C12,FIND(" + ",Composite!C12)-1)</f>
        <v>WINDOW CL22 Prime Window Replacement of Double Pane Base</v>
      </c>
      <c r="H13" s="31">
        <f>VLOOKUP($F13,Composite!$B$5:$Q$817,H$3,FALSE)*VLOOKUP($C13,[2]!ExistingSat,MATCH($A13,[2]SATS!$C$10:$F$10,0)+1,FALSE)</f>
        <v>535.0644853368683</v>
      </c>
      <c r="I13">
        <f>VLOOKUP($F13,Composite!$B$5:$Q$817,I$3,FALSE)</f>
        <v>25</v>
      </c>
      <c r="J13" s="31">
        <f>VLOOKUP($F13,Composite!$B$5:$Q$817,J$3,FALSE)*VLOOKUP($C13,[2]!ExistingSat,MATCH($A13,[2]SATS!$C$10:$F$10,0)+1,FALSE)</f>
        <v>3514.5499559131658</v>
      </c>
      <c r="K13" s="31">
        <f>VLOOKUP($F13,Composite!$B$5:$Q$817,K$3,FALSE)*VLOOKUP($C13,[2]!ExistingSat,MATCH($A13,[2]SATS!$C$10:$F$10,0)+1,FALSE)</f>
        <v>0</v>
      </c>
      <c r="L13" t="str">
        <f>VLOOKUP($F13,Composite!$B$5:$Q$817,L$3,FALSE)</f>
        <v>ResSHWX</v>
      </c>
      <c r="M13" s="31">
        <f>VLOOKUP($F13,Composite!$B$5:$Q$817,M$3,FALSE)*VLOOKUP($C13,[2]!ExistingSat,MATCH($A13,[2]SATS!$C$10:$F$10,0)+1,FALSE)</f>
        <v>3.7556049120981037</v>
      </c>
      <c r="N13" s="31">
        <f>VLOOKUP($F13,Composite!$B$5:$Q$817,N$3,FALSE)*VLOOKUP($C13,[2]!ExistingSat,MATCH($A13,[2]SATS!$C$10:$F$10,0)+1,FALSE)</f>
        <v>0</v>
      </c>
      <c r="O13">
        <f>VLOOKUP($F13,Composite!$B$5:$Q$817,O$3,FALSE)</f>
        <v>0</v>
      </c>
      <c r="P13" s="31">
        <f>VLOOKUP($F13,Composite!$B$5:$Q$817,P$3,FALSE)*VLOOKUP($C13,[2]!ExistingSat,MATCH($A13,[2]SATS!$C$10:$F$10,0)+1,FALSE)</f>
        <v>0</v>
      </c>
      <c r="Q13">
        <f>VLOOKUP($F13,Composite!$B$5:$Q$817,Q$3,FALSE)</f>
        <v>0</v>
      </c>
      <c r="R13" s="31">
        <f>VLOOKUP($F13,Composite!$B$5:$Q$817,R$3,FALSE)*VLOOKUP($C13,[2]!ExistingSat,MATCH($A13,[2]SATS!$C$10:$F$10,0)+1,FALSE)</f>
        <v>0</v>
      </c>
      <c r="S13">
        <f>VLOOKUP($F13,Composite!$B$5:$Q$817,S$3,FALSE)</f>
        <v>0</v>
      </c>
      <c r="T13" s="31">
        <f>VLOOKUP($F13,Composite!$B$5:$Q$817,T$3,FALSE)*VLOOKUP($C13,[2]!ExistingSat,MATCH($A13,[2]SATS!$C$10:$F$10,0)+1,FALSE)</f>
        <v>0</v>
      </c>
    </row>
    <row r="14" spans="1:22">
      <c r="A14" t="s">
        <v>75</v>
      </c>
      <c r="B14" t="s">
        <v>64</v>
      </c>
      <c r="C14" t="s">
        <v>26</v>
      </c>
      <c r="D14" t="s">
        <v>56</v>
      </c>
      <c r="E14" t="str">
        <f t="shared" si="0"/>
        <v>Electric FAFHZ1WINDOW CL22 Prime Window Replacement of Single Pane Base</v>
      </c>
      <c r="F14" s="31" t="str">
        <f>Composite!B13</f>
        <v>Manuf Homes Wx - WINDOW CL22 Prime Window Replacement of Single Pane Base + HZ1 + Electric FAF</v>
      </c>
      <c r="G14" s="31" t="str">
        <f>LEFT(Composite!C13,FIND(" + ",Composite!C13)-1)</f>
        <v>WINDOW CL22 Prime Window Replacement of Single Pane Base</v>
      </c>
      <c r="H14" s="31">
        <f>VLOOKUP($F14,Composite!$B$5:$Q$817,H$3,FALSE)*VLOOKUP($C14,[2]!ExistingSat,MATCH($A14,[2]SATS!$C$10:$F$10,0)+1,FALSE)</f>
        <v>1397.0536626046558</v>
      </c>
      <c r="I14">
        <f>VLOOKUP($F14,Composite!$B$5:$Q$817,I$3,FALSE)</f>
        <v>25</v>
      </c>
      <c r="J14" s="31">
        <f>VLOOKUP($F14,Composite!$B$5:$Q$817,J$3,FALSE)*VLOOKUP($C14,[2]!ExistingSat,MATCH($A14,[2]SATS!$C$10:$F$10,0)+1,FALSE)</f>
        <v>3514.5499559131658</v>
      </c>
      <c r="K14" s="31">
        <f>VLOOKUP($F14,Composite!$B$5:$Q$817,K$3,FALSE)*VLOOKUP($C14,[2]!ExistingSat,MATCH($A14,[2]SATS!$C$10:$F$10,0)+1,FALSE)</f>
        <v>0</v>
      </c>
      <c r="L14" t="str">
        <f>VLOOKUP($F14,Composite!$B$5:$Q$817,L$3,FALSE)</f>
        <v>ResSHWX</v>
      </c>
      <c r="M14" s="31">
        <f>VLOOKUP($F14,Composite!$B$5:$Q$817,M$3,FALSE)*VLOOKUP($C14,[2]!ExistingSat,MATCH($A14,[2]SATS!$C$10:$F$10,0)+1,FALSE)</f>
        <v>9.8058864707482822</v>
      </c>
      <c r="N14" s="31">
        <f>VLOOKUP($F14,Composite!$B$5:$Q$817,N$3,FALSE)*VLOOKUP($C14,[2]!ExistingSat,MATCH($A14,[2]SATS!$C$10:$F$10,0)+1,FALSE)</f>
        <v>0</v>
      </c>
      <c r="O14">
        <f>VLOOKUP($F14,Composite!$B$5:$Q$817,O$3,FALSE)</f>
        <v>0</v>
      </c>
      <c r="P14" s="31">
        <f>VLOOKUP($F14,Composite!$B$5:$Q$817,P$3,FALSE)*VLOOKUP($C14,[2]!ExistingSat,MATCH($A14,[2]SATS!$C$10:$F$10,0)+1,FALSE)</f>
        <v>0</v>
      </c>
      <c r="Q14">
        <f>VLOOKUP($F14,Composite!$B$5:$Q$817,Q$3,FALSE)</f>
        <v>0</v>
      </c>
      <c r="R14" s="31">
        <f>VLOOKUP($F14,Composite!$B$5:$Q$817,R$3,FALSE)*VLOOKUP($C14,[2]!ExistingSat,MATCH($A14,[2]SATS!$C$10:$F$10,0)+1,FALSE)</f>
        <v>0</v>
      </c>
      <c r="S14">
        <f>VLOOKUP($F14,Composite!$B$5:$Q$817,S$3,FALSE)</f>
        <v>0</v>
      </c>
      <c r="T14" s="31">
        <f>VLOOKUP($F14,Composite!$B$5:$Q$817,T$3,FALSE)*VLOOKUP($C14,[2]!ExistingSat,MATCH($A14,[2]SATS!$C$10:$F$10,0)+1,FALSE)</f>
        <v>0</v>
      </c>
    </row>
    <row r="15" spans="1:22">
      <c r="A15" t="s">
        <v>75</v>
      </c>
      <c r="B15" t="s">
        <v>64</v>
      </c>
      <c r="C15" t="s">
        <v>5810</v>
      </c>
      <c r="D15" t="s">
        <v>56</v>
      </c>
      <c r="E15" t="str">
        <f t="shared" ref="E15:E53" si="1">B15&amp;D15&amp;G15</f>
        <v>Electric FAFHZ1Infiltration</v>
      </c>
      <c r="F15" s="31" t="str">
        <f>Composite!B14</f>
        <v>Manuf Homes Wx - Infiltration + HZ1 + Electric FAF</v>
      </c>
      <c r="G15" s="31" t="str">
        <f>LEFT(Composite!C14,FIND(" + ",Composite!C14)-1)</f>
        <v>Infiltration</v>
      </c>
      <c r="H15" s="31">
        <f>VLOOKUP($F15,Composite!$B$5:$Q$817,H$3,FALSE)*VLOOKUP($C15,[2]!ExistingSat,MATCH($A15,[2]SATS!$C$10:$F$10,0)+1,FALSE)</f>
        <v>302.50239399378916</v>
      </c>
      <c r="I15">
        <f>VLOOKUP($F15,Composite!$B$5:$Q$817,I$3,FALSE)</f>
        <v>25</v>
      </c>
      <c r="J15" s="31">
        <f>VLOOKUP($F15,Composite!$B$5:$Q$817,J$3,FALSE)*VLOOKUP($C15,[2]!ExistingSat,MATCH($A15,[2]SATS!$C$10:$F$10,0)+1,FALSE)</f>
        <v>3968</v>
      </c>
      <c r="K15" s="31">
        <f>VLOOKUP($F15,Composite!$B$5:$Q$817,K$3,FALSE)*VLOOKUP($C15,[2]!ExistingSat,MATCH($A15,[2]SATS!$C$10:$F$10,0)+1,FALSE)</f>
        <v>0</v>
      </c>
      <c r="L15" t="str">
        <f>VLOOKUP($F15,Composite!$B$5:$Q$817,L$3,FALSE)</f>
        <v>ResSHWX</v>
      </c>
      <c r="M15" s="31">
        <f>VLOOKUP($F15,Composite!$B$5:$Q$817,M$3,FALSE)*VLOOKUP($C15,[2]!ExistingSat,MATCH($A15,[2]SATS!$C$10:$F$10,0)+1,FALSE)</f>
        <v>2.1232571174841706</v>
      </c>
      <c r="N15" s="31">
        <f>VLOOKUP($F15,Composite!$B$5:$Q$817,N$3,FALSE)*VLOOKUP($C15,[2]!ExistingSat,MATCH($A15,[2]SATS!$C$10:$F$10,0)+1,FALSE)</f>
        <v>0</v>
      </c>
      <c r="O15">
        <f>VLOOKUP($F15,Composite!$B$5:$Q$817,O$3,FALSE)</f>
        <v>0</v>
      </c>
      <c r="P15" s="31">
        <f>VLOOKUP($F15,Composite!$B$5:$Q$817,P$3,FALSE)*VLOOKUP($C15,[2]!ExistingSat,MATCH($A15,[2]SATS!$C$10:$F$10,0)+1,FALSE)</f>
        <v>0</v>
      </c>
      <c r="Q15">
        <f>VLOOKUP($F15,Composite!$B$5:$Q$817,Q$3,FALSE)</f>
        <v>0</v>
      </c>
      <c r="R15" s="31">
        <f>VLOOKUP($F15,Composite!$B$5:$Q$817,R$3,FALSE)*VLOOKUP($C15,[2]!ExistingSat,MATCH($A15,[2]SATS!$C$10:$F$10,0)+1,FALSE)</f>
        <v>0</v>
      </c>
      <c r="S15">
        <f>VLOOKUP($F15,Composite!$B$5:$Q$817,S$3,FALSE)</f>
        <v>0</v>
      </c>
      <c r="T15" s="31">
        <f>VLOOKUP($F15,Composite!$B$5:$Q$817,T$3,FALSE)*VLOOKUP($C15,[2]!ExistingSat,MATCH($A15,[2]SATS!$C$10:$F$10,0)+1,FALSE)</f>
        <v>0</v>
      </c>
    </row>
    <row r="16" spans="1:22">
      <c r="A16" t="s">
        <v>75</v>
      </c>
      <c r="B16" t="s">
        <v>64</v>
      </c>
      <c r="C16" t="s">
        <v>27</v>
      </c>
      <c r="D16" t="s">
        <v>57</v>
      </c>
      <c r="E16" t="str">
        <f t="shared" si="1"/>
        <v>Electric FAFHZ2Attic R0 - R30</v>
      </c>
      <c r="F16" s="31" t="str">
        <f>Composite!B15</f>
        <v>Manuf Homes Wx - Attic R0 - R30 + HZ2 + Electric FAF</v>
      </c>
      <c r="G16" s="31" t="str">
        <f>LEFT(Composite!C15,FIND(" + ",Composite!C15)-1)</f>
        <v>Attic R0 - R30</v>
      </c>
      <c r="H16" s="31">
        <f>VLOOKUP($F16,Composite!$B$5:$Q$817,H$3,FALSE)*VLOOKUP($C16,[2]!ExistingSat,MATCH($A16,[2]SATS!$C$10:$F$10,0)+1,FALSE)</f>
        <v>991.268654257859</v>
      </c>
      <c r="I16">
        <f>VLOOKUP($F16,Composite!$B$5:$Q$817,I$3,FALSE)</f>
        <v>25</v>
      </c>
      <c r="J16" s="31">
        <f>VLOOKUP($F16,Composite!$B$5:$Q$817,J$3,FALSE)*VLOOKUP($C16,[2]!ExistingSat,MATCH($A16,[2]SATS!$C$10:$F$10,0)+1,FALSE)</f>
        <v>2688</v>
      </c>
      <c r="K16" s="31">
        <f>VLOOKUP($F16,Composite!$B$5:$Q$817,K$3,FALSE)*VLOOKUP($C16,[2]!ExistingSat,MATCH($A16,[2]SATS!$C$10:$F$10,0)+1,FALSE)</f>
        <v>0</v>
      </c>
      <c r="L16" t="str">
        <f>VLOOKUP($F16,Composite!$B$5:$Q$817,L$3,FALSE)</f>
        <v>ResSHWX</v>
      </c>
      <c r="M16" s="31">
        <f>VLOOKUP($F16,Composite!$B$5:$Q$817,M$3,FALSE)*VLOOKUP($C16,[2]!ExistingSat,MATCH($A16,[2]SATS!$C$10:$F$10,0)+1,FALSE)</f>
        <v>15.787014650701005</v>
      </c>
      <c r="N16" s="31">
        <f>VLOOKUP($F16,Composite!$B$5:$Q$817,N$3,FALSE)*VLOOKUP($C16,[2]!ExistingSat,MATCH($A16,[2]SATS!$C$10:$F$10,0)+1,FALSE)</f>
        <v>0</v>
      </c>
      <c r="O16">
        <f>VLOOKUP($F16,Composite!$B$5:$Q$817,O$3,FALSE)</f>
        <v>0</v>
      </c>
      <c r="P16" s="31">
        <f>VLOOKUP($F16,Composite!$B$5:$Q$817,P$3,FALSE)*VLOOKUP($C16,[2]!ExistingSat,MATCH($A16,[2]SATS!$C$10:$F$10,0)+1,FALSE)</f>
        <v>0</v>
      </c>
      <c r="Q16">
        <f>VLOOKUP($F16,Composite!$B$5:$Q$817,Q$3,FALSE)</f>
        <v>0</v>
      </c>
      <c r="R16" s="31">
        <f>VLOOKUP($F16,Composite!$B$5:$Q$817,R$3,FALSE)*VLOOKUP($C16,[2]!ExistingSat,MATCH($A16,[2]SATS!$C$10:$F$10,0)+1,FALSE)</f>
        <v>0</v>
      </c>
      <c r="S16">
        <f>VLOOKUP($F16,Composite!$B$5:$Q$817,S$3,FALSE)</f>
        <v>0</v>
      </c>
      <c r="T16" s="31">
        <f>VLOOKUP($F16,Composite!$B$5:$Q$817,T$3,FALSE)*VLOOKUP($C16,[2]!ExistingSat,MATCH($A16,[2]SATS!$C$10:$F$10,0)+1,FALSE)</f>
        <v>0</v>
      </c>
    </row>
    <row r="17" spans="1:20">
      <c r="A17" t="s">
        <v>75</v>
      </c>
      <c r="B17" t="s">
        <v>64</v>
      </c>
      <c r="C17" t="s">
        <v>27</v>
      </c>
      <c r="D17" t="s">
        <v>57</v>
      </c>
      <c r="E17" t="str">
        <f t="shared" si="1"/>
        <v>Electric FAFHZ2Attic R0 - R22</v>
      </c>
      <c r="F17" s="31" t="str">
        <f>Composite!B16</f>
        <v>Manuf Homes Wx - Attic R0 - R22 + HZ2 + Electric FAF</v>
      </c>
      <c r="G17" s="31" t="str">
        <f>LEFT(Composite!C16,FIND(" + ",Composite!C16)-1)</f>
        <v>Attic R0 - R22</v>
      </c>
      <c r="H17" s="31">
        <f>VLOOKUP($F17,Composite!$B$5:$Q$817,H$3,FALSE)*VLOOKUP($C17,[2]!ExistingSat,MATCH($A17,[2]SATS!$C$10:$F$10,0)+1,FALSE)</f>
        <v>1194.3809060359779</v>
      </c>
      <c r="I17">
        <f>VLOOKUP($F17,Composite!$B$5:$Q$817,I$3,FALSE)</f>
        <v>25</v>
      </c>
      <c r="J17" s="31">
        <f>VLOOKUP($F17,Composite!$B$5:$Q$817,J$3,FALSE)*VLOOKUP($C17,[2]!ExistingSat,MATCH($A17,[2]SATS!$C$10:$F$10,0)+1,FALSE)</f>
        <v>2688</v>
      </c>
      <c r="K17" s="31">
        <f>VLOOKUP($F17,Composite!$B$5:$Q$817,K$3,FALSE)*VLOOKUP($C17,[2]!ExistingSat,MATCH($A17,[2]SATS!$C$10:$F$10,0)+1,FALSE)</f>
        <v>0</v>
      </c>
      <c r="L17" t="str">
        <f>VLOOKUP($F17,Composite!$B$5:$Q$817,L$3,FALSE)</f>
        <v>ResSHWX</v>
      </c>
      <c r="M17" s="31">
        <f>VLOOKUP($F17,Composite!$B$5:$Q$817,M$3,FALSE)*VLOOKUP($C17,[2]!ExistingSat,MATCH($A17,[2]SATS!$C$10:$F$10,0)+1,FALSE)</f>
        <v>19.021794728518248</v>
      </c>
      <c r="N17" s="31">
        <f>VLOOKUP($F17,Composite!$B$5:$Q$817,N$3,FALSE)*VLOOKUP($C17,[2]!ExistingSat,MATCH($A17,[2]SATS!$C$10:$F$10,0)+1,FALSE)</f>
        <v>0</v>
      </c>
      <c r="O17">
        <f>VLOOKUP($F17,Composite!$B$5:$Q$817,O$3,FALSE)</f>
        <v>0</v>
      </c>
      <c r="P17" s="31">
        <f>VLOOKUP($F17,Composite!$B$5:$Q$817,P$3,FALSE)*VLOOKUP($C17,[2]!ExistingSat,MATCH($A17,[2]SATS!$C$10:$F$10,0)+1,FALSE)</f>
        <v>0</v>
      </c>
      <c r="Q17">
        <f>VLOOKUP($F17,Composite!$B$5:$Q$817,Q$3,FALSE)</f>
        <v>0</v>
      </c>
      <c r="R17" s="31">
        <f>VLOOKUP($F17,Composite!$B$5:$Q$817,R$3,FALSE)*VLOOKUP($C17,[2]!ExistingSat,MATCH($A17,[2]SATS!$C$10:$F$10,0)+1,FALSE)</f>
        <v>0</v>
      </c>
      <c r="S17">
        <f>VLOOKUP($F17,Composite!$B$5:$Q$817,S$3,FALSE)</f>
        <v>0</v>
      </c>
      <c r="T17" s="31">
        <f>VLOOKUP($F17,Composite!$B$5:$Q$817,T$3,FALSE)*VLOOKUP($C17,[2]!ExistingSat,MATCH($A17,[2]SATS!$C$10:$F$10,0)+1,FALSE)</f>
        <v>0</v>
      </c>
    </row>
    <row r="18" spans="1:20">
      <c r="A18" t="s">
        <v>75</v>
      </c>
      <c r="B18" t="s">
        <v>64</v>
      </c>
      <c r="C18" t="s">
        <v>27</v>
      </c>
      <c r="D18" t="s">
        <v>57</v>
      </c>
      <c r="E18" t="str">
        <f t="shared" si="1"/>
        <v>Electric FAFHZ2Attic R11 - R30</v>
      </c>
      <c r="F18" s="31" t="str">
        <f>Composite!B17</f>
        <v>Manuf Homes Wx - Attic R11 - R30 + HZ2 + Electric FAF</v>
      </c>
      <c r="G18" s="31" t="str">
        <f>LEFT(Composite!C17,FIND(" + ",Composite!C17)-1)</f>
        <v>Attic R11 - R30</v>
      </c>
      <c r="H18" s="31">
        <f>VLOOKUP($F18,Composite!$B$5:$Q$817,H$3,FALSE)*VLOOKUP($C18,[2]!ExistingSat,MATCH($A18,[2]SATS!$C$10:$F$10,0)+1,FALSE)</f>
        <v>428.39904563963944</v>
      </c>
      <c r="I18">
        <f>VLOOKUP($F18,Composite!$B$5:$Q$817,I$3,FALSE)</f>
        <v>25</v>
      </c>
      <c r="J18" s="31">
        <f>VLOOKUP($F18,Composite!$B$5:$Q$817,J$3,FALSE)*VLOOKUP($C18,[2]!ExistingSat,MATCH($A18,[2]SATS!$C$10:$F$10,0)+1,FALSE)</f>
        <v>2688</v>
      </c>
      <c r="K18" s="31">
        <f>VLOOKUP($F18,Composite!$B$5:$Q$817,K$3,FALSE)*VLOOKUP($C18,[2]!ExistingSat,MATCH($A18,[2]SATS!$C$10:$F$10,0)+1,FALSE)</f>
        <v>0</v>
      </c>
      <c r="L18" t="str">
        <f>VLOOKUP($F18,Composite!$B$5:$Q$817,L$3,FALSE)</f>
        <v>ResSHWX</v>
      </c>
      <c r="M18" s="31">
        <f>VLOOKUP($F18,Composite!$B$5:$Q$817,M$3,FALSE)*VLOOKUP($C18,[2]!ExistingSat,MATCH($A18,[2]SATS!$C$10:$F$10,0)+1,FALSE)</f>
        <v>6.8227134801541105</v>
      </c>
      <c r="N18" s="31">
        <f>VLOOKUP($F18,Composite!$B$5:$Q$817,N$3,FALSE)*VLOOKUP($C18,[2]!ExistingSat,MATCH($A18,[2]SATS!$C$10:$F$10,0)+1,FALSE)</f>
        <v>0</v>
      </c>
      <c r="O18">
        <f>VLOOKUP($F18,Composite!$B$5:$Q$817,O$3,FALSE)</f>
        <v>0</v>
      </c>
      <c r="P18" s="31">
        <f>VLOOKUP($F18,Composite!$B$5:$Q$817,P$3,FALSE)*VLOOKUP($C18,[2]!ExistingSat,MATCH($A18,[2]SATS!$C$10:$F$10,0)+1,FALSE)</f>
        <v>0</v>
      </c>
      <c r="Q18">
        <f>VLOOKUP($F18,Composite!$B$5:$Q$817,Q$3,FALSE)</f>
        <v>0</v>
      </c>
      <c r="R18" s="31">
        <f>VLOOKUP($F18,Composite!$B$5:$Q$817,R$3,FALSE)*VLOOKUP($C18,[2]!ExistingSat,MATCH($A18,[2]SATS!$C$10:$F$10,0)+1,FALSE)</f>
        <v>0</v>
      </c>
      <c r="S18">
        <f>VLOOKUP($F18,Composite!$B$5:$Q$817,S$3,FALSE)</f>
        <v>0</v>
      </c>
      <c r="T18" s="31">
        <f>VLOOKUP($F18,Composite!$B$5:$Q$817,T$3,FALSE)*VLOOKUP($C18,[2]!ExistingSat,MATCH($A18,[2]SATS!$C$10:$F$10,0)+1,FALSE)</f>
        <v>0</v>
      </c>
    </row>
    <row r="19" spans="1:20">
      <c r="A19" t="s">
        <v>75</v>
      </c>
      <c r="B19" t="s">
        <v>64</v>
      </c>
      <c r="C19" t="s">
        <v>25</v>
      </c>
      <c r="D19" t="s">
        <v>57</v>
      </c>
      <c r="E19" t="str">
        <f t="shared" si="1"/>
        <v>Electric FAFHZ2Floor R0 - R22</v>
      </c>
      <c r="F19" s="31" t="str">
        <f>Composite!B18</f>
        <v>Manuf Homes Wx - Floor R0 - R22 + HZ2 + Electric FAF</v>
      </c>
      <c r="G19" s="31" t="str">
        <f>LEFT(Composite!C18,FIND(" + ",Composite!C18)-1)</f>
        <v>Floor R0 - R22</v>
      </c>
      <c r="H19" s="31">
        <f>VLOOKUP($F19,Composite!$B$5:$Q$817,H$3,FALSE)*VLOOKUP($C19,[2]!ExistingSat,MATCH($A19,[2]SATS!$C$10:$F$10,0)+1,FALSE)</f>
        <v>1125.029043928062</v>
      </c>
      <c r="I19">
        <f>VLOOKUP($F19,Composite!$B$5:$Q$817,I$3,FALSE)</f>
        <v>25</v>
      </c>
      <c r="J19" s="31">
        <f>VLOOKUP($F19,Composite!$B$5:$Q$817,J$3,FALSE)*VLOOKUP($C19,[2]!ExistingSat,MATCH($A19,[2]SATS!$C$10:$F$10,0)+1,FALSE)</f>
        <v>4224</v>
      </c>
      <c r="K19" s="31">
        <f>VLOOKUP($F19,Composite!$B$5:$Q$817,K$3,FALSE)*VLOOKUP($C19,[2]!ExistingSat,MATCH($A19,[2]SATS!$C$10:$F$10,0)+1,FALSE)</f>
        <v>0</v>
      </c>
      <c r="L19" t="str">
        <f>VLOOKUP($F19,Composite!$B$5:$Q$817,L$3,FALSE)</f>
        <v>ResSHWX</v>
      </c>
      <c r="M19" s="31">
        <f>VLOOKUP($F19,Composite!$B$5:$Q$817,M$3,FALSE)*VLOOKUP($C19,[2]!ExistingSat,MATCH($A19,[2]SATS!$C$10:$F$10,0)+1,FALSE)</f>
        <v>17.917292070789443</v>
      </c>
      <c r="N19" s="31">
        <f>VLOOKUP($F19,Composite!$B$5:$Q$817,N$3,FALSE)*VLOOKUP($C19,[2]!ExistingSat,MATCH($A19,[2]SATS!$C$10:$F$10,0)+1,FALSE)</f>
        <v>0</v>
      </c>
      <c r="O19">
        <f>VLOOKUP($F19,Composite!$B$5:$Q$817,O$3,FALSE)</f>
        <v>0</v>
      </c>
      <c r="P19" s="31">
        <f>VLOOKUP($F19,Composite!$B$5:$Q$817,P$3,FALSE)*VLOOKUP($C19,[2]!ExistingSat,MATCH($A19,[2]SATS!$C$10:$F$10,0)+1,FALSE)</f>
        <v>0</v>
      </c>
      <c r="Q19">
        <f>VLOOKUP($F19,Composite!$B$5:$Q$817,Q$3,FALSE)</f>
        <v>0</v>
      </c>
      <c r="R19" s="31">
        <f>VLOOKUP($F19,Composite!$B$5:$Q$817,R$3,FALSE)*VLOOKUP($C19,[2]!ExistingSat,MATCH($A19,[2]SATS!$C$10:$F$10,0)+1,FALSE)</f>
        <v>0</v>
      </c>
      <c r="S19">
        <f>VLOOKUP($F19,Composite!$B$5:$Q$817,S$3,FALSE)</f>
        <v>0</v>
      </c>
      <c r="T19" s="31">
        <f>VLOOKUP($F19,Composite!$B$5:$Q$817,T$3,FALSE)*VLOOKUP($C19,[2]!ExistingSat,MATCH($A19,[2]SATS!$C$10:$F$10,0)+1,FALSE)</f>
        <v>0</v>
      </c>
    </row>
    <row r="20" spans="1:20">
      <c r="A20" t="s">
        <v>75</v>
      </c>
      <c r="B20" t="s">
        <v>64</v>
      </c>
      <c r="C20" t="s">
        <v>25</v>
      </c>
      <c r="D20" t="s">
        <v>57</v>
      </c>
      <c r="E20" t="str">
        <f t="shared" si="1"/>
        <v>Electric FAFHZ2Floor R11 - R22</v>
      </c>
      <c r="F20" s="31" t="str">
        <f>Composite!B19</f>
        <v>Manuf Homes Wx - Floor R11 - R22 + HZ2 + Electric FAF</v>
      </c>
      <c r="G20" s="31" t="str">
        <f>LEFT(Composite!C19,FIND(" + ",Composite!C19)-1)</f>
        <v>Floor R11 - R22</v>
      </c>
      <c r="H20" s="31">
        <f>VLOOKUP($F20,Composite!$B$5:$Q$817,H$3,FALSE)*VLOOKUP($C20,[2]!ExistingSat,MATCH($A20,[2]SATS!$C$10:$F$10,0)+1,FALSE)</f>
        <v>484.91581476152919</v>
      </c>
      <c r="I20">
        <f>VLOOKUP($F20,Composite!$B$5:$Q$817,I$3,FALSE)</f>
        <v>25</v>
      </c>
      <c r="J20" s="31">
        <f>VLOOKUP($F20,Composite!$B$5:$Q$817,J$3,FALSE)*VLOOKUP($C20,[2]!ExistingSat,MATCH($A20,[2]SATS!$C$10:$F$10,0)+1,FALSE)</f>
        <v>4224</v>
      </c>
      <c r="K20" s="31">
        <f>VLOOKUP($F20,Composite!$B$5:$Q$817,K$3,FALSE)*VLOOKUP($C20,[2]!ExistingSat,MATCH($A20,[2]SATS!$C$10:$F$10,0)+1,FALSE)</f>
        <v>0</v>
      </c>
      <c r="L20" t="str">
        <f>VLOOKUP($F20,Composite!$B$5:$Q$817,L$3,FALSE)</f>
        <v>ResSHWX</v>
      </c>
      <c r="M20" s="31">
        <f>VLOOKUP($F20,Composite!$B$5:$Q$817,M$3,FALSE)*VLOOKUP($C20,[2]!ExistingSat,MATCH($A20,[2]SATS!$C$10:$F$10,0)+1,FALSE)</f>
        <v>7.7228035398015127</v>
      </c>
      <c r="N20" s="31">
        <f>VLOOKUP($F20,Composite!$B$5:$Q$817,N$3,FALSE)*VLOOKUP($C20,[2]!ExistingSat,MATCH($A20,[2]SATS!$C$10:$F$10,0)+1,FALSE)</f>
        <v>0</v>
      </c>
      <c r="O20">
        <f>VLOOKUP($F20,Composite!$B$5:$Q$817,O$3,FALSE)</f>
        <v>0</v>
      </c>
      <c r="P20" s="31">
        <f>VLOOKUP($F20,Composite!$B$5:$Q$817,P$3,FALSE)*VLOOKUP($C20,[2]!ExistingSat,MATCH($A20,[2]SATS!$C$10:$F$10,0)+1,FALSE)</f>
        <v>0</v>
      </c>
      <c r="Q20">
        <f>VLOOKUP($F20,Composite!$B$5:$Q$817,Q$3,FALSE)</f>
        <v>0</v>
      </c>
      <c r="R20" s="31">
        <f>VLOOKUP($F20,Composite!$B$5:$Q$817,R$3,FALSE)*VLOOKUP($C20,[2]!ExistingSat,MATCH($A20,[2]SATS!$C$10:$F$10,0)+1,FALSE)</f>
        <v>0</v>
      </c>
      <c r="S20">
        <f>VLOOKUP($F20,Composite!$B$5:$Q$817,S$3,FALSE)</f>
        <v>0</v>
      </c>
      <c r="T20" s="31">
        <f>VLOOKUP($F20,Composite!$B$5:$Q$817,T$3,FALSE)*VLOOKUP($C20,[2]!ExistingSat,MATCH($A20,[2]SATS!$C$10:$F$10,0)+1,FALSE)</f>
        <v>0</v>
      </c>
    </row>
    <row r="21" spans="1:20">
      <c r="A21" t="s">
        <v>75</v>
      </c>
      <c r="B21" t="s">
        <v>64</v>
      </c>
      <c r="C21" t="s">
        <v>26</v>
      </c>
      <c r="D21" t="s">
        <v>57</v>
      </c>
      <c r="E21" t="str">
        <f t="shared" si="1"/>
        <v>Electric FAFHZ2WINDOW CL30 Prime Window Replacement of Double Pane Base</v>
      </c>
      <c r="F21" s="31" t="str">
        <f>Composite!B20</f>
        <v>Manuf Homes Wx - WINDOW CL30 Prime Window Replacement of Double Pane Base + HZ2 + Electric FAF</v>
      </c>
      <c r="G21" s="31" t="str">
        <f>LEFT(Composite!C20,FIND(" + ",Composite!C20)-1)</f>
        <v>WINDOW CL30 Prime Window Replacement of Double Pane Base</v>
      </c>
      <c r="H21" s="31">
        <f>VLOOKUP($F21,Composite!$B$5:$Q$817,H$3,FALSE)*VLOOKUP($C21,[2]!ExistingSat,MATCH($A21,[2]SATS!$C$10:$F$10,0)+1,FALSE)</f>
        <v>1401.2211461631332</v>
      </c>
      <c r="I21">
        <f>VLOOKUP($F21,Composite!$B$5:$Q$817,I$3,FALSE)</f>
        <v>25</v>
      </c>
      <c r="J21" s="31">
        <f>VLOOKUP($F21,Composite!$B$5:$Q$817,J$3,FALSE)*VLOOKUP($C21,[2]!ExistingSat,MATCH($A21,[2]SATS!$C$10:$F$10,0)+1,FALSE)</f>
        <v>3296.9499559131655</v>
      </c>
      <c r="K21" s="31">
        <f>VLOOKUP($F21,Composite!$B$5:$Q$817,K$3,FALSE)*VLOOKUP($C21,[2]!ExistingSat,MATCH($A21,[2]SATS!$C$10:$F$10,0)+1,FALSE)</f>
        <v>0</v>
      </c>
      <c r="L21" t="str">
        <f>VLOOKUP($F21,Composite!$B$5:$Q$817,L$3,FALSE)</f>
        <v>ResSHWX</v>
      </c>
      <c r="M21" s="31">
        <f>VLOOKUP($F21,Composite!$B$5:$Q$817,M$3,FALSE)*VLOOKUP($C21,[2]!ExistingSat,MATCH($A21,[2]SATS!$C$10:$F$10,0)+1,FALSE)</f>
        <v>22.315947012276936</v>
      </c>
      <c r="N21" s="31">
        <f>VLOOKUP($F21,Composite!$B$5:$Q$817,N$3,FALSE)*VLOOKUP($C21,[2]!ExistingSat,MATCH($A21,[2]SATS!$C$10:$F$10,0)+1,FALSE)</f>
        <v>0</v>
      </c>
      <c r="O21">
        <f>VLOOKUP($F21,Composite!$B$5:$Q$817,O$3,FALSE)</f>
        <v>0</v>
      </c>
      <c r="P21" s="31">
        <f>VLOOKUP($F21,Composite!$B$5:$Q$817,P$3,FALSE)*VLOOKUP($C21,[2]!ExistingSat,MATCH($A21,[2]SATS!$C$10:$F$10,0)+1,FALSE)</f>
        <v>0</v>
      </c>
      <c r="Q21">
        <f>VLOOKUP($F21,Composite!$B$5:$Q$817,Q$3,FALSE)</f>
        <v>0</v>
      </c>
      <c r="R21" s="31">
        <f>VLOOKUP($F21,Composite!$B$5:$Q$817,R$3,FALSE)*VLOOKUP($C21,[2]!ExistingSat,MATCH($A21,[2]SATS!$C$10:$F$10,0)+1,FALSE)</f>
        <v>0</v>
      </c>
      <c r="S21">
        <f>VLOOKUP($F21,Composite!$B$5:$Q$817,S$3,FALSE)</f>
        <v>0</v>
      </c>
      <c r="T21" s="31">
        <f>VLOOKUP($F21,Composite!$B$5:$Q$817,T$3,FALSE)*VLOOKUP($C21,[2]!ExistingSat,MATCH($A21,[2]SATS!$C$10:$F$10,0)+1,FALSE)</f>
        <v>0</v>
      </c>
    </row>
    <row r="22" spans="1:20">
      <c r="A22" t="s">
        <v>75</v>
      </c>
      <c r="B22" t="s">
        <v>64</v>
      </c>
      <c r="C22" t="s">
        <v>26</v>
      </c>
      <c r="D22" t="s">
        <v>57</v>
      </c>
      <c r="E22" t="str">
        <f t="shared" si="1"/>
        <v>Electric FAFHZ2WINDOW CL30 Prime Window Replacement of Single Pane Base</v>
      </c>
      <c r="F22" s="31" t="str">
        <f>Composite!B21</f>
        <v>Manuf Homes Wx - WINDOW CL30 Prime Window Replacement of Single Pane Base + HZ2 + Electric FAF</v>
      </c>
      <c r="G22" s="31" t="str">
        <f>LEFT(Composite!C21,FIND(" + ",Composite!C21)-1)</f>
        <v>WINDOW CL30 Prime Window Replacement of Single Pane Base</v>
      </c>
      <c r="H22" s="31">
        <f>VLOOKUP($F22,Composite!$B$5:$Q$817,H$3,FALSE)*VLOOKUP($C22,[2]!ExistingSat,MATCH($A22,[2]SATS!$C$10:$F$10,0)+1,FALSE)</f>
        <v>2188.8598692409137</v>
      </c>
      <c r="I22">
        <f>VLOOKUP($F22,Composite!$B$5:$Q$817,I$3,FALSE)</f>
        <v>25</v>
      </c>
      <c r="J22" s="31">
        <f>VLOOKUP($F22,Composite!$B$5:$Q$817,J$3,FALSE)*VLOOKUP($C22,[2]!ExistingSat,MATCH($A22,[2]SATS!$C$10:$F$10,0)+1,FALSE)</f>
        <v>3296.9499559131655</v>
      </c>
      <c r="K22" s="31">
        <f>VLOOKUP($F22,Composite!$B$5:$Q$817,K$3,FALSE)*VLOOKUP($C22,[2]!ExistingSat,MATCH($A22,[2]SATS!$C$10:$F$10,0)+1,FALSE)</f>
        <v>0</v>
      </c>
      <c r="L22" t="str">
        <f>VLOOKUP($F22,Composite!$B$5:$Q$817,L$3,FALSE)</f>
        <v>ResSHWX</v>
      </c>
      <c r="M22" s="31">
        <f>VLOOKUP($F22,Composite!$B$5:$Q$817,M$3,FALSE)*VLOOKUP($C22,[2]!ExistingSat,MATCH($A22,[2]SATS!$C$10:$F$10,0)+1,FALSE)</f>
        <v>34.859936986415427</v>
      </c>
      <c r="N22" s="31">
        <f>VLOOKUP($F22,Composite!$B$5:$Q$817,N$3,FALSE)*VLOOKUP($C22,[2]!ExistingSat,MATCH($A22,[2]SATS!$C$10:$F$10,0)+1,FALSE)</f>
        <v>0</v>
      </c>
      <c r="O22">
        <f>VLOOKUP($F22,Composite!$B$5:$Q$817,O$3,FALSE)</f>
        <v>0</v>
      </c>
      <c r="P22" s="31">
        <f>VLOOKUP($F22,Composite!$B$5:$Q$817,P$3,FALSE)*VLOOKUP($C22,[2]!ExistingSat,MATCH($A22,[2]SATS!$C$10:$F$10,0)+1,FALSE)</f>
        <v>0</v>
      </c>
      <c r="Q22">
        <f>VLOOKUP($F22,Composite!$B$5:$Q$817,Q$3,FALSE)</f>
        <v>0</v>
      </c>
      <c r="R22" s="31">
        <f>VLOOKUP($F22,Composite!$B$5:$Q$817,R$3,FALSE)*VLOOKUP($C22,[2]!ExistingSat,MATCH($A22,[2]SATS!$C$10:$F$10,0)+1,FALSE)</f>
        <v>0</v>
      </c>
      <c r="S22">
        <f>VLOOKUP($F22,Composite!$B$5:$Q$817,S$3,FALSE)</f>
        <v>0</v>
      </c>
      <c r="T22" s="31">
        <f>VLOOKUP($F22,Composite!$B$5:$Q$817,T$3,FALSE)*VLOOKUP($C22,[2]!ExistingSat,MATCH($A22,[2]SATS!$C$10:$F$10,0)+1,FALSE)</f>
        <v>0</v>
      </c>
    </row>
    <row r="23" spans="1:20">
      <c r="A23" t="s">
        <v>75</v>
      </c>
      <c r="B23" t="s">
        <v>64</v>
      </c>
      <c r="C23" t="s">
        <v>26</v>
      </c>
      <c r="D23" t="s">
        <v>57</v>
      </c>
      <c r="E23" t="str">
        <f t="shared" si="1"/>
        <v>Electric FAFHZ2WINDOW CL22 Prime Window Replacement of Double Pane Base</v>
      </c>
      <c r="F23" s="31" t="str">
        <f>Composite!B22</f>
        <v>Manuf Homes Wx - WINDOW CL22 Prime Window Replacement of Double Pane Base + HZ2 + Electric FAF</v>
      </c>
      <c r="G23" s="31" t="str">
        <f>LEFT(Composite!C22,FIND(" + ",Composite!C22)-1)</f>
        <v>WINDOW CL22 Prime Window Replacement of Double Pane Base</v>
      </c>
      <c r="H23" s="31">
        <f>VLOOKUP($F23,Composite!$B$5:$Q$817,H$3,FALSE)*VLOOKUP($C23,[2]!ExistingSat,MATCH($A23,[2]SATS!$C$10:$F$10,0)+1,FALSE)</f>
        <v>1444.5126450549585</v>
      </c>
      <c r="I23">
        <f>VLOOKUP($F23,Composite!$B$5:$Q$817,I$3,FALSE)</f>
        <v>25</v>
      </c>
      <c r="J23" s="31">
        <f>VLOOKUP($F23,Composite!$B$5:$Q$817,J$3,FALSE)*VLOOKUP($C23,[2]!ExistingSat,MATCH($A23,[2]SATS!$C$10:$F$10,0)+1,FALSE)</f>
        <v>3514.5499559131658</v>
      </c>
      <c r="K23" s="31">
        <f>VLOOKUP($F23,Composite!$B$5:$Q$817,K$3,FALSE)*VLOOKUP($C23,[2]!ExistingSat,MATCH($A23,[2]SATS!$C$10:$F$10,0)+1,FALSE)</f>
        <v>0</v>
      </c>
      <c r="L23" t="str">
        <f>VLOOKUP($F23,Composite!$B$5:$Q$817,L$3,FALSE)</f>
        <v>ResSHWX</v>
      </c>
      <c r="M23" s="31">
        <f>VLOOKUP($F23,Composite!$B$5:$Q$817,M$3,FALSE)*VLOOKUP($C23,[2]!ExistingSat,MATCH($A23,[2]SATS!$C$10:$F$10,0)+1,FALSE)</f>
        <v>23.005410483476609</v>
      </c>
      <c r="N23" s="31">
        <f>VLOOKUP($F23,Composite!$B$5:$Q$817,N$3,FALSE)*VLOOKUP($C23,[2]!ExistingSat,MATCH($A23,[2]SATS!$C$10:$F$10,0)+1,FALSE)</f>
        <v>0</v>
      </c>
      <c r="O23">
        <f>VLOOKUP($F23,Composite!$B$5:$Q$817,O$3,FALSE)</f>
        <v>0</v>
      </c>
      <c r="P23" s="31">
        <f>VLOOKUP($F23,Composite!$B$5:$Q$817,P$3,FALSE)*VLOOKUP($C23,[2]!ExistingSat,MATCH($A23,[2]SATS!$C$10:$F$10,0)+1,FALSE)</f>
        <v>0</v>
      </c>
      <c r="Q23">
        <f>VLOOKUP($F23,Composite!$B$5:$Q$817,Q$3,FALSE)</f>
        <v>0</v>
      </c>
      <c r="R23" s="31">
        <f>VLOOKUP($F23,Composite!$B$5:$Q$817,R$3,FALSE)*VLOOKUP($C23,[2]!ExistingSat,MATCH($A23,[2]SATS!$C$10:$F$10,0)+1,FALSE)</f>
        <v>0</v>
      </c>
      <c r="S23">
        <f>VLOOKUP($F23,Composite!$B$5:$Q$817,S$3,FALSE)</f>
        <v>0</v>
      </c>
      <c r="T23" s="31">
        <f>VLOOKUP($F23,Composite!$B$5:$Q$817,T$3,FALSE)*VLOOKUP($C23,[2]!ExistingSat,MATCH($A23,[2]SATS!$C$10:$F$10,0)+1,FALSE)</f>
        <v>0</v>
      </c>
    </row>
    <row r="24" spans="1:20">
      <c r="A24" t="s">
        <v>75</v>
      </c>
      <c r="B24" t="s">
        <v>64</v>
      </c>
      <c r="C24" t="s">
        <v>26</v>
      </c>
      <c r="D24" t="s">
        <v>57</v>
      </c>
      <c r="E24" t="str">
        <f t="shared" si="1"/>
        <v>Electric FAFHZ2WINDOW CL22 Prime Window Replacement of Single Pane Base</v>
      </c>
      <c r="F24" s="31" t="str">
        <f>Composite!B23</f>
        <v>Manuf Homes Wx - WINDOW CL22 Prime Window Replacement of Single Pane Base + HZ2 + Electric FAF</v>
      </c>
      <c r="G24" s="31" t="str">
        <f>LEFT(Composite!C23,FIND(" + ",Composite!C23)-1)</f>
        <v>WINDOW CL22 Prime Window Replacement of Single Pane Base</v>
      </c>
      <c r="H24" s="31">
        <f>VLOOKUP($F24,Composite!$B$5:$Q$817,H$3,FALSE)*VLOOKUP($C24,[2]!ExistingSat,MATCH($A24,[2]SATS!$C$10:$F$10,0)+1,FALSE)</f>
        <v>2285.4464385904421</v>
      </c>
      <c r="I24">
        <f>VLOOKUP($F24,Composite!$B$5:$Q$817,I$3,FALSE)</f>
        <v>25</v>
      </c>
      <c r="J24" s="31">
        <f>VLOOKUP($F24,Composite!$B$5:$Q$817,J$3,FALSE)*VLOOKUP($C24,[2]!ExistingSat,MATCH($A24,[2]SATS!$C$10:$F$10,0)+1,FALSE)</f>
        <v>3514.5499559131658</v>
      </c>
      <c r="K24" s="31">
        <f>VLOOKUP($F24,Composite!$B$5:$Q$817,K$3,FALSE)*VLOOKUP($C24,[2]!ExistingSat,MATCH($A24,[2]SATS!$C$10:$F$10,0)+1,FALSE)</f>
        <v>0</v>
      </c>
      <c r="L24" t="str">
        <f>VLOOKUP($F24,Composite!$B$5:$Q$817,L$3,FALSE)</f>
        <v>ResSHWX</v>
      </c>
      <c r="M24" s="31">
        <f>VLOOKUP($F24,Composite!$B$5:$Q$817,M$3,FALSE)*VLOOKUP($C24,[2]!ExistingSat,MATCH($A24,[2]SATS!$C$10:$F$10,0)+1,FALSE)</f>
        <v>36.398181516626622</v>
      </c>
      <c r="N24" s="31">
        <f>VLOOKUP($F24,Composite!$B$5:$Q$817,N$3,FALSE)*VLOOKUP($C24,[2]!ExistingSat,MATCH($A24,[2]SATS!$C$10:$F$10,0)+1,FALSE)</f>
        <v>0</v>
      </c>
      <c r="O24">
        <f>VLOOKUP($F24,Composite!$B$5:$Q$817,O$3,FALSE)</f>
        <v>0</v>
      </c>
      <c r="P24" s="31">
        <f>VLOOKUP($F24,Composite!$B$5:$Q$817,P$3,FALSE)*VLOOKUP($C24,[2]!ExistingSat,MATCH($A24,[2]SATS!$C$10:$F$10,0)+1,FALSE)</f>
        <v>0</v>
      </c>
      <c r="Q24">
        <f>VLOOKUP($F24,Composite!$B$5:$Q$817,Q$3,FALSE)</f>
        <v>0</v>
      </c>
      <c r="R24" s="31">
        <f>VLOOKUP($F24,Composite!$B$5:$Q$817,R$3,FALSE)*VLOOKUP($C24,[2]!ExistingSat,MATCH($A24,[2]SATS!$C$10:$F$10,0)+1,FALSE)</f>
        <v>0</v>
      </c>
      <c r="S24">
        <f>VLOOKUP($F24,Composite!$B$5:$Q$817,S$3,FALSE)</f>
        <v>0</v>
      </c>
      <c r="T24" s="31">
        <f>VLOOKUP($F24,Composite!$B$5:$Q$817,T$3,FALSE)*VLOOKUP($C24,[2]!ExistingSat,MATCH($A24,[2]SATS!$C$10:$F$10,0)+1,FALSE)</f>
        <v>0</v>
      </c>
    </row>
    <row r="25" spans="1:20">
      <c r="A25" t="s">
        <v>75</v>
      </c>
      <c r="B25" t="s">
        <v>64</v>
      </c>
      <c r="C25" t="s">
        <v>5810</v>
      </c>
      <c r="D25" t="s">
        <v>57</v>
      </c>
      <c r="E25" t="str">
        <f t="shared" si="1"/>
        <v>Electric FAFHZ2Infiltration</v>
      </c>
      <c r="F25" s="31" t="str">
        <f>Composite!B24</f>
        <v>Manuf Homes Wx - Infiltration + HZ2 + Electric FAF</v>
      </c>
      <c r="G25" s="31" t="str">
        <f>LEFT(Composite!C24,FIND(" + ",Composite!C24)-1)</f>
        <v>Infiltration</v>
      </c>
      <c r="H25" s="31">
        <f>VLOOKUP($F25,Composite!$B$5:$Q$817,H$3,FALSE)*VLOOKUP($C25,[2]!ExistingSat,MATCH($A25,[2]SATS!$C$10:$F$10,0)+1,FALSE)</f>
        <v>608.65547286209676</v>
      </c>
      <c r="I25">
        <f>VLOOKUP($F25,Composite!$B$5:$Q$817,I$3,FALSE)</f>
        <v>25</v>
      </c>
      <c r="J25" s="31">
        <f>VLOOKUP($F25,Composite!$B$5:$Q$817,J$3,FALSE)*VLOOKUP($C25,[2]!ExistingSat,MATCH($A25,[2]SATS!$C$10:$F$10,0)+1,FALSE)</f>
        <v>3968</v>
      </c>
      <c r="K25" s="31">
        <f>VLOOKUP($F25,Composite!$B$5:$Q$817,K$3,FALSE)*VLOOKUP($C25,[2]!ExistingSat,MATCH($A25,[2]SATS!$C$10:$F$10,0)+1,FALSE)</f>
        <v>0</v>
      </c>
      <c r="L25" t="str">
        <f>VLOOKUP($F25,Composite!$B$5:$Q$817,L$3,FALSE)</f>
        <v>ResSHWX</v>
      </c>
      <c r="M25" s="31">
        <f>VLOOKUP($F25,Composite!$B$5:$Q$817,M$3,FALSE)*VLOOKUP($C25,[2]!ExistingSat,MATCH($A25,[2]SATS!$C$10:$F$10,0)+1,FALSE)</f>
        <v>9.6934900806453985</v>
      </c>
      <c r="N25" s="31">
        <f>VLOOKUP($F25,Composite!$B$5:$Q$817,N$3,FALSE)*VLOOKUP($C25,[2]!ExistingSat,MATCH($A25,[2]SATS!$C$10:$F$10,0)+1,FALSE)</f>
        <v>0</v>
      </c>
      <c r="O25">
        <f>VLOOKUP($F25,Composite!$B$5:$Q$817,O$3,FALSE)</f>
        <v>0</v>
      </c>
      <c r="P25" s="31">
        <f>VLOOKUP($F25,Composite!$B$5:$Q$817,P$3,FALSE)*VLOOKUP($C25,[2]!ExistingSat,MATCH($A25,[2]SATS!$C$10:$F$10,0)+1,FALSE)</f>
        <v>0</v>
      </c>
      <c r="Q25">
        <f>VLOOKUP($F25,Composite!$B$5:$Q$817,Q$3,FALSE)</f>
        <v>0</v>
      </c>
      <c r="R25" s="31">
        <f>VLOOKUP($F25,Composite!$B$5:$Q$817,R$3,FALSE)*VLOOKUP($C25,[2]!ExistingSat,MATCH($A25,[2]SATS!$C$10:$F$10,0)+1,FALSE)</f>
        <v>0</v>
      </c>
      <c r="S25">
        <f>VLOOKUP($F25,Composite!$B$5:$Q$817,S$3,FALSE)</f>
        <v>0</v>
      </c>
      <c r="T25" s="31">
        <f>VLOOKUP($F25,Composite!$B$5:$Q$817,T$3,FALSE)*VLOOKUP($C25,[2]!ExistingSat,MATCH($A25,[2]SATS!$C$10:$F$10,0)+1,FALSE)</f>
        <v>0</v>
      </c>
    </row>
    <row r="26" spans="1:20">
      <c r="A26" t="s">
        <v>75</v>
      </c>
      <c r="B26" t="s">
        <v>64</v>
      </c>
      <c r="C26" t="s">
        <v>27</v>
      </c>
      <c r="D26" t="s">
        <v>58</v>
      </c>
      <c r="E26" t="str">
        <f t="shared" si="1"/>
        <v>Electric FAFHZ3Attic R0 - R30</v>
      </c>
      <c r="F26" s="31" t="str">
        <f>Composite!B25</f>
        <v>Manuf Homes Wx - Attic R0 - R30 + HZ3 + Electric FAF</v>
      </c>
      <c r="G26" s="31" t="str">
        <f>LEFT(Composite!C25,FIND(" + ",Composite!C25)-1)</f>
        <v>Attic R0 - R30</v>
      </c>
      <c r="H26" s="31">
        <f>VLOOKUP($F26,Composite!$B$5:$Q$817,H$3,FALSE)*VLOOKUP($C26,[2]!ExistingSat,MATCH($A26,[2]SATS!$C$10:$F$10,0)+1,FALSE)</f>
        <v>1398.142735586795</v>
      </c>
      <c r="I26">
        <f>VLOOKUP($F26,Composite!$B$5:$Q$817,I$3,FALSE)</f>
        <v>25</v>
      </c>
      <c r="J26" s="31">
        <f>VLOOKUP($F26,Composite!$B$5:$Q$817,J$3,FALSE)*VLOOKUP($C26,[2]!ExistingSat,MATCH($A26,[2]SATS!$C$10:$F$10,0)+1,FALSE)</f>
        <v>2688</v>
      </c>
      <c r="K26" s="31">
        <f>VLOOKUP($F26,Composite!$B$5:$Q$817,K$3,FALSE)*VLOOKUP($C26,[2]!ExistingSat,MATCH($A26,[2]SATS!$C$10:$F$10,0)+1,FALSE)</f>
        <v>0</v>
      </c>
      <c r="L26" t="str">
        <f>VLOOKUP($F26,Composite!$B$5:$Q$817,L$3,FALSE)</f>
        <v>ResSHWX</v>
      </c>
      <c r="M26" s="31">
        <f>VLOOKUP($F26,Composite!$B$5:$Q$817,M$3,FALSE)*VLOOKUP($C26,[2]!ExistingSat,MATCH($A26,[2]SATS!$C$10:$F$10,0)+1,FALSE)</f>
        <v>22.266920027855733</v>
      </c>
      <c r="N26" s="31">
        <f>VLOOKUP($F26,Composite!$B$5:$Q$817,N$3,FALSE)*VLOOKUP($C26,[2]!ExistingSat,MATCH($A26,[2]SATS!$C$10:$F$10,0)+1,FALSE)</f>
        <v>0</v>
      </c>
      <c r="O26">
        <f>VLOOKUP($F26,Composite!$B$5:$Q$817,O$3,FALSE)</f>
        <v>0</v>
      </c>
      <c r="P26" s="31">
        <f>VLOOKUP($F26,Composite!$B$5:$Q$817,P$3,FALSE)*VLOOKUP($C26,[2]!ExistingSat,MATCH($A26,[2]SATS!$C$10:$F$10,0)+1,FALSE)</f>
        <v>0</v>
      </c>
      <c r="Q26">
        <f>VLOOKUP($F26,Composite!$B$5:$Q$817,Q$3,FALSE)</f>
        <v>0</v>
      </c>
      <c r="R26" s="31">
        <f>VLOOKUP($F26,Composite!$B$5:$Q$817,R$3,FALSE)*VLOOKUP($C26,[2]!ExistingSat,MATCH($A26,[2]SATS!$C$10:$F$10,0)+1,FALSE)</f>
        <v>0</v>
      </c>
      <c r="S26">
        <f>VLOOKUP($F26,Composite!$B$5:$Q$817,S$3,FALSE)</f>
        <v>0</v>
      </c>
      <c r="T26" s="31">
        <f>VLOOKUP($F26,Composite!$B$5:$Q$817,T$3,FALSE)*VLOOKUP($C26,[2]!ExistingSat,MATCH($A26,[2]SATS!$C$10:$F$10,0)+1,FALSE)</f>
        <v>0</v>
      </c>
    </row>
    <row r="27" spans="1:20">
      <c r="A27" t="s">
        <v>75</v>
      </c>
      <c r="B27" t="s">
        <v>64</v>
      </c>
      <c r="C27" t="s">
        <v>27</v>
      </c>
      <c r="D27" t="s">
        <v>58</v>
      </c>
      <c r="E27" t="str">
        <f t="shared" si="1"/>
        <v>Electric FAFHZ3Attic R0 - R22</v>
      </c>
      <c r="F27" s="31" t="str">
        <f>Composite!B26</f>
        <v>Manuf Homes Wx - Attic R0 - R22 + HZ3 + Electric FAF</v>
      </c>
      <c r="G27" s="31" t="str">
        <f>LEFT(Composite!C26,FIND(" + ",Composite!C26)-1)</f>
        <v>Attic R0 - R22</v>
      </c>
      <c r="H27" s="31">
        <f>VLOOKUP($F27,Composite!$B$5:$Q$817,H$3,FALSE)*VLOOKUP($C27,[2]!ExistingSat,MATCH($A27,[2]SATS!$C$10:$F$10,0)+1,FALSE)</f>
        <v>1454.789913724806</v>
      </c>
      <c r="I27">
        <f>VLOOKUP($F27,Composite!$B$5:$Q$817,I$3,FALSE)</f>
        <v>25</v>
      </c>
      <c r="J27" s="31">
        <f>VLOOKUP($F27,Composite!$B$5:$Q$817,J$3,FALSE)*VLOOKUP($C27,[2]!ExistingSat,MATCH($A27,[2]SATS!$C$10:$F$10,0)+1,FALSE)</f>
        <v>2688</v>
      </c>
      <c r="K27" s="31">
        <f>VLOOKUP($F27,Composite!$B$5:$Q$817,K$3,FALSE)*VLOOKUP($C27,[2]!ExistingSat,MATCH($A27,[2]SATS!$C$10:$F$10,0)+1,FALSE)</f>
        <v>0</v>
      </c>
      <c r="L27" t="str">
        <f>VLOOKUP($F27,Composite!$B$5:$Q$817,L$3,FALSE)</f>
        <v>ResSHWX</v>
      </c>
      <c r="M27" s="31">
        <f>VLOOKUP($F27,Composite!$B$5:$Q$817,M$3,FALSE)*VLOOKUP($C27,[2]!ExistingSat,MATCH($A27,[2]SATS!$C$10:$F$10,0)+1,FALSE)</f>
        <v>23.169086990711207</v>
      </c>
      <c r="N27" s="31">
        <f>VLOOKUP($F27,Composite!$B$5:$Q$817,N$3,FALSE)*VLOOKUP($C27,[2]!ExistingSat,MATCH($A27,[2]SATS!$C$10:$F$10,0)+1,FALSE)</f>
        <v>0</v>
      </c>
      <c r="O27">
        <f>VLOOKUP($F27,Composite!$B$5:$Q$817,O$3,FALSE)</f>
        <v>0</v>
      </c>
      <c r="P27" s="31">
        <f>VLOOKUP($F27,Composite!$B$5:$Q$817,P$3,FALSE)*VLOOKUP($C27,[2]!ExistingSat,MATCH($A27,[2]SATS!$C$10:$F$10,0)+1,FALSE)</f>
        <v>0</v>
      </c>
      <c r="Q27">
        <f>VLOOKUP($F27,Composite!$B$5:$Q$817,Q$3,FALSE)</f>
        <v>0</v>
      </c>
      <c r="R27" s="31">
        <f>VLOOKUP($F27,Composite!$B$5:$Q$817,R$3,FALSE)*VLOOKUP($C27,[2]!ExistingSat,MATCH($A27,[2]SATS!$C$10:$F$10,0)+1,FALSE)</f>
        <v>0</v>
      </c>
      <c r="S27">
        <f>VLOOKUP($F27,Composite!$B$5:$Q$817,S$3,FALSE)</f>
        <v>0</v>
      </c>
      <c r="T27" s="31">
        <f>VLOOKUP($F27,Composite!$B$5:$Q$817,T$3,FALSE)*VLOOKUP($C27,[2]!ExistingSat,MATCH($A27,[2]SATS!$C$10:$F$10,0)+1,FALSE)</f>
        <v>0</v>
      </c>
    </row>
    <row r="28" spans="1:20">
      <c r="A28" t="s">
        <v>75</v>
      </c>
      <c r="B28" t="s">
        <v>64</v>
      </c>
      <c r="C28" t="s">
        <v>27</v>
      </c>
      <c r="D28" t="s">
        <v>58</v>
      </c>
      <c r="E28" t="str">
        <f t="shared" si="1"/>
        <v>Electric FAFHZ3Attic R11 - R30</v>
      </c>
      <c r="F28" s="31" t="str">
        <f>Composite!B27</f>
        <v>Manuf Homes Wx - Attic R11 - R30 + HZ3 + Electric FAF</v>
      </c>
      <c r="G28" s="31" t="str">
        <f>LEFT(Composite!C27,FIND(" + ",Composite!C27)-1)</f>
        <v>Attic R11 - R30</v>
      </c>
      <c r="H28" s="31">
        <f>VLOOKUP($F28,Composite!$B$5:$Q$817,H$3,FALSE)*VLOOKUP($C28,[2]!ExistingSat,MATCH($A28,[2]SATS!$C$10:$F$10,0)+1,FALSE)</f>
        <v>551.77969356794472</v>
      </c>
      <c r="I28">
        <f>VLOOKUP($F28,Composite!$B$5:$Q$817,I$3,FALSE)</f>
        <v>25</v>
      </c>
      <c r="J28" s="31">
        <f>VLOOKUP($F28,Composite!$B$5:$Q$817,J$3,FALSE)*VLOOKUP($C28,[2]!ExistingSat,MATCH($A28,[2]SATS!$C$10:$F$10,0)+1,FALSE)</f>
        <v>2688</v>
      </c>
      <c r="K28" s="31">
        <f>VLOOKUP($F28,Composite!$B$5:$Q$817,K$3,FALSE)*VLOOKUP($C28,[2]!ExistingSat,MATCH($A28,[2]SATS!$C$10:$F$10,0)+1,FALSE)</f>
        <v>0</v>
      </c>
      <c r="L28" t="str">
        <f>VLOOKUP($F28,Composite!$B$5:$Q$817,L$3,FALSE)</f>
        <v>ResSHWX</v>
      </c>
      <c r="M28" s="31">
        <f>VLOOKUP($F28,Composite!$B$5:$Q$817,M$3,FALSE)*VLOOKUP($C28,[2]!ExistingSat,MATCH($A28,[2]SATS!$C$10:$F$10,0)+1,FALSE)</f>
        <v>8.7876823996196638</v>
      </c>
      <c r="N28" s="31">
        <f>VLOOKUP($F28,Composite!$B$5:$Q$817,N$3,FALSE)*VLOOKUP($C28,[2]!ExistingSat,MATCH($A28,[2]SATS!$C$10:$F$10,0)+1,FALSE)</f>
        <v>0</v>
      </c>
      <c r="O28">
        <f>VLOOKUP($F28,Composite!$B$5:$Q$817,O$3,FALSE)</f>
        <v>0</v>
      </c>
      <c r="P28" s="31">
        <f>VLOOKUP($F28,Composite!$B$5:$Q$817,P$3,FALSE)*VLOOKUP($C28,[2]!ExistingSat,MATCH($A28,[2]SATS!$C$10:$F$10,0)+1,FALSE)</f>
        <v>0</v>
      </c>
      <c r="Q28">
        <f>VLOOKUP($F28,Composite!$B$5:$Q$817,Q$3,FALSE)</f>
        <v>0</v>
      </c>
      <c r="R28" s="31">
        <f>VLOOKUP($F28,Composite!$B$5:$Q$817,R$3,FALSE)*VLOOKUP($C28,[2]!ExistingSat,MATCH($A28,[2]SATS!$C$10:$F$10,0)+1,FALSE)</f>
        <v>0</v>
      </c>
      <c r="S28">
        <f>VLOOKUP($F28,Composite!$B$5:$Q$817,S$3,FALSE)</f>
        <v>0</v>
      </c>
      <c r="T28" s="31">
        <f>VLOOKUP($F28,Composite!$B$5:$Q$817,T$3,FALSE)*VLOOKUP($C28,[2]!ExistingSat,MATCH($A28,[2]SATS!$C$10:$F$10,0)+1,FALSE)</f>
        <v>0</v>
      </c>
    </row>
    <row r="29" spans="1:20">
      <c r="A29" t="s">
        <v>75</v>
      </c>
      <c r="B29" t="s">
        <v>64</v>
      </c>
      <c r="C29" t="s">
        <v>25</v>
      </c>
      <c r="D29" t="s">
        <v>58</v>
      </c>
      <c r="E29" t="str">
        <f t="shared" si="1"/>
        <v>Electric FAFHZ3Floor R0 - R22</v>
      </c>
      <c r="F29" s="31" t="str">
        <f>Composite!B28</f>
        <v>Manuf Homes Wx - Floor R0 - R22 + HZ3 + Electric FAF</v>
      </c>
      <c r="G29" s="31" t="str">
        <f>LEFT(Composite!C28,FIND(" + ",Composite!C28)-1)</f>
        <v>Floor R0 - R22</v>
      </c>
      <c r="H29" s="31">
        <f>VLOOKUP($F29,Composite!$B$5:$Q$817,H$3,FALSE)*VLOOKUP($C29,[2]!ExistingSat,MATCH($A29,[2]SATS!$C$10:$F$10,0)+1,FALSE)</f>
        <v>1477.5281862368454</v>
      </c>
      <c r="I29">
        <f>VLOOKUP($F29,Composite!$B$5:$Q$817,I$3,FALSE)</f>
        <v>25</v>
      </c>
      <c r="J29" s="31">
        <f>VLOOKUP($F29,Composite!$B$5:$Q$817,J$3,FALSE)*VLOOKUP($C29,[2]!ExistingSat,MATCH($A29,[2]SATS!$C$10:$F$10,0)+1,FALSE)</f>
        <v>4224</v>
      </c>
      <c r="K29" s="31">
        <f>VLOOKUP($F29,Composite!$B$5:$Q$817,K$3,FALSE)*VLOOKUP($C29,[2]!ExistingSat,MATCH($A29,[2]SATS!$C$10:$F$10,0)+1,FALSE)</f>
        <v>0</v>
      </c>
      <c r="L29" t="str">
        <f>VLOOKUP($F29,Composite!$B$5:$Q$817,L$3,FALSE)</f>
        <v>ResSHWX</v>
      </c>
      <c r="M29" s="31">
        <f>VLOOKUP($F29,Composite!$B$5:$Q$817,M$3,FALSE)*VLOOKUP($C29,[2]!ExistingSat,MATCH($A29,[2]SATS!$C$10:$F$10,0)+1,FALSE)</f>
        <v>23.531218325881838</v>
      </c>
      <c r="N29" s="31">
        <f>VLOOKUP($F29,Composite!$B$5:$Q$817,N$3,FALSE)*VLOOKUP($C29,[2]!ExistingSat,MATCH($A29,[2]SATS!$C$10:$F$10,0)+1,FALSE)</f>
        <v>0</v>
      </c>
      <c r="O29">
        <f>VLOOKUP($F29,Composite!$B$5:$Q$817,O$3,FALSE)</f>
        <v>0</v>
      </c>
      <c r="P29" s="31">
        <f>VLOOKUP($F29,Composite!$B$5:$Q$817,P$3,FALSE)*VLOOKUP($C29,[2]!ExistingSat,MATCH($A29,[2]SATS!$C$10:$F$10,0)+1,FALSE)</f>
        <v>0</v>
      </c>
      <c r="Q29">
        <f>VLOOKUP($F29,Composite!$B$5:$Q$817,Q$3,FALSE)</f>
        <v>0</v>
      </c>
      <c r="R29" s="31">
        <f>VLOOKUP($F29,Composite!$B$5:$Q$817,R$3,FALSE)*VLOOKUP($C29,[2]!ExistingSat,MATCH($A29,[2]SATS!$C$10:$F$10,0)+1,FALSE)</f>
        <v>0</v>
      </c>
      <c r="S29">
        <f>VLOOKUP($F29,Composite!$B$5:$Q$817,S$3,FALSE)</f>
        <v>0</v>
      </c>
      <c r="T29" s="31">
        <f>VLOOKUP($F29,Composite!$B$5:$Q$817,T$3,FALSE)*VLOOKUP($C29,[2]!ExistingSat,MATCH($A29,[2]SATS!$C$10:$F$10,0)+1,FALSE)</f>
        <v>0</v>
      </c>
    </row>
    <row r="30" spans="1:20">
      <c r="A30" t="s">
        <v>75</v>
      </c>
      <c r="B30" t="s">
        <v>64</v>
      </c>
      <c r="C30" t="s">
        <v>25</v>
      </c>
      <c r="D30" t="s">
        <v>58</v>
      </c>
      <c r="E30" t="str">
        <f t="shared" si="1"/>
        <v>Electric FAFHZ3Floor R11 - R22</v>
      </c>
      <c r="F30" s="31" t="str">
        <f>Composite!B29</f>
        <v>Manuf Homes Wx - Floor R11 - R22 + HZ3 + Electric FAF</v>
      </c>
      <c r="G30" s="31" t="str">
        <f>LEFT(Composite!C29,FIND(" + ",Composite!C29)-1)</f>
        <v>Floor R11 - R22</v>
      </c>
      <c r="H30" s="31">
        <f>VLOOKUP($F30,Composite!$B$5:$Q$817,H$3,FALSE)*VLOOKUP($C30,[2]!ExistingSat,MATCH($A30,[2]SATS!$C$10:$F$10,0)+1,FALSE)</f>
        <v>688.07961118622814</v>
      </c>
      <c r="I30">
        <f>VLOOKUP($F30,Composite!$B$5:$Q$817,I$3,FALSE)</f>
        <v>25</v>
      </c>
      <c r="J30" s="31">
        <f>VLOOKUP($F30,Composite!$B$5:$Q$817,J$3,FALSE)*VLOOKUP($C30,[2]!ExistingSat,MATCH($A30,[2]SATS!$C$10:$F$10,0)+1,FALSE)</f>
        <v>4224</v>
      </c>
      <c r="K30" s="31">
        <f>VLOOKUP($F30,Composite!$B$5:$Q$817,K$3,FALSE)*VLOOKUP($C30,[2]!ExistingSat,MATCH($A30,[2]SATS!$C$10:$F$10,0)+1,FALSE)</f>
        <v>0</v>
      </c>
      <c r="L30" t="str">
        <f>VLOOKUP($F30,Composite!$B$5:$Q$817,L$3,FALSE)</f>
        <v>ResSHWX</v>
      </c>
      <c r="M30" s="31">
        <f>VLOOKUP($F30,Composite!$B$5:$Q$817,M$3,FALSE)*VLOOKUP($C30,[2]!ExistingSat,MATCH($A30,[2]SATS!$C$10:$F$10,0)+1,FALSE)</f>
        <v>10.958404521303377</v>
      </c>
      <c r="N30" s="31">
        <f>VLOOKUP($F30,Composite!$B$5:$Q$817,N$3,FALSE)*VLOOKUP($C30,[2]!ExistingSat,MATCH($A30,[2]SATS!$C$10:$F$10,0)+1,FALSE)</f>
        <v>0</v>
      </c>
      <c r="O30">
        <f>VLOOKUP($F30,Composite!$B$5:$Q$817,O$3,FALSE)</f>
        <v>0</v>
      </c>
      <c r="P30" s="31">
        <f>VLOOKUP($F30,Composite!$B$5:$Q$817,P$3,FALSE)*VLOOKUP($C30,[2]!ExistingSat,MATCH($A30,[2]SATS!$C$10:$F$10,0)+1,FALSE)</f>
        <v>0</v>
      </c>
      <c r="Q30">
        <f>VLOOKUP($F30,Composite!$B$5:$Q$817,Q$3,FALSE)</f>
        <v>0</v>
      </c>
      <c r="R30" s="31">
        <f>VLOOKUP($F30,Composite!$B$5:$Q$817,R$3,FALSE)*VLOOKUP($C30,[2]!ExistingSat,MATCH($A30,[2]SATS!$C$10:$F$10,0)+1,FALSE)</f>
        <v>0</v>
      </c>
      <c r="S30">
        <f>VLOOKUP($F30,Composite!$B$5:$Q$817,S$3,FALSE)</f>
        <v>0</v>
      </c>
      <c r="T30" s="31">
        <f>VLOOKUP($F30,Composite!$B$5:$Q$817,T$3,FALSE)*VLOOKUP($C30,[2]!ExistingSat,MATCH($A30,[2]SATS!$C$10:$F$10,0)+1,FALSE)</f>
        <v>0</v>
      </c>
    </row>
    <row r="31" spans="1:20">
      <c r="A31" t="s">
        <v>75</v>
      </c>
      <c r="B31" t="s">
        <v>64</v>
      </c>
      <c r="C31" t="s">
        <v>26</v>
      </c>
      <c r="D31" t="s">
        <v>58</v>
      </c>
      <c r="E31" t="str">
        <f t="shared" si="1"/>
        <v>Electric FAFHZ3WINDOW CL30 Prime Window Replacement of Double Pane Base</v>
      </c>
      <c r="F31" s="31" t="str">
        <f>Composite!B30</f>
        <v>Manuf Homes Wx - WINDOW CL30 Prime Window Replacement of Double Pane Base + HZ3 + Electric FAF</v>
      </c>
      <c r="G31" s="31" t="str">
        <f>LEFT(Composite!C30,FIND(" + ",Composite!C30)-1)</f>
        <v>WINDOW CL30 Prime Window Replacement of Double Pane Base</v>
      </c>
      <c r="H31" s="31">
        <f>VLOOKUP($F31,Composite!$B$5:$Q$817,H$3,FALSE)*VLOOKUP($C31,[2]!ExistingSat,MATCH($A31,[2]SATS!$C$10:$F$10,0)+1,FALSE)</f>
        <v>2188.3303973969128</v>
      </c>
      <c r="I31">
        <f>VLOOKUP($F31,Composite!$B$5:$Q$817,I$3,FALSE)</f>
        <v>25</v>
      </c>
      <c r="J31" s="31">
        <f>VLOOKUP($F31,Composite!$B$5:$Q$817,J$3,FALSE)*VLOOKUP($C31,[2]!ExistingSat,MATCH($A31,[2]SATS!$C$10:$F$10,0)+1,FALSE)</f>
        <v>3296.9499559131655</v>
      </c>
      <c r="K31" s="31">
        <f>VLOOKUP($F31,Composite!$B$5:$Q$817,K$3,FALSE)*VLOOKUP($C31,[2]!ExistingSat,MATCH($A31,[2]SATS!$C$10:$F$10,0)+1,FALSE)</f>
        <v>0</v>
      </c>
      <c r="L31" t="str">
        <f>VLOOKUP($F31,Composite!$B$5:$Q$817,L$3,FALSE)</f>
        <v>ResSHWX</v>
      </c>
      <c r="M31" s="31">
        <f>VLOOKUP($F31,Composite!$B$5:$Q$817,M$3,FALSE)*VLOOKUP($C31,[2]!ExistingSat,MATCH($A31,[2]SATS!$C$10:$F$10,0)+1,FALSE)</f>
        <v>34.851504580404736</v>
      </c>
      <c r="N31" s="31">
        <f>VLOOKUP($F31,Composite!$B$5:$Q$817,N$3,FALSE)*VLOOKUP($C31,[2]!ExistingSat,MATCH($A31,[2]SATS!$C$10:$F$10,0)+1,FALSE)</f>
        <v>0</v>
      </c>
      <c r="O31">
        <f>VLOOKUP($F31,Composite!$B$5:$Q$817,O$3,FALSE)</f>
        <v>0</v>
      </c>
      <c r="P31" s="31">
        <f>VLOOKUP($F31,Composite!$B$5:$Q$817,P$3,FALSE)*VLOOKUP($C31,[2]!ExistingSat,MATCH($A31,[2]SATS!$C$10:$F$10,0)+1,FALSE)</f>
        <v>0</v>
      </c>
      <c r="Q31">
        <f>VLOOKUP($F31,Composite!$B$5:$Q$817,Q$3,FALSE)</f>
        <v>0</v>
      </c>
      <c r="R31" s="31">
        <f>VLOOKUP($F31,Composite!$B$5:$Q$817,R$3,FALSE)*VLOOKUP($C31,[2]!ExistingSat,MATCH($A31,[2]SATS!$C$10:$F$10,0)+1,FALSE)</f>
        <v>0</v>
      </c>
      <c r="S31">
        <f>VLOOKUP($F31,Composite!$B$5:$Q$817,S$3,FALSE)</f>
        <v>0</v>
      </c>
      <c r="T31" s="31">
        <f>VLOOKUP($F31,Composite!$B$5:$Q$817,T$3,FALSE)*VLOOKUP($C31,[2]!ExistingSat,MATCH($A31,[2]SATS!$C$10:$F$10,0)+1,FALSE)</f>
        <v>0</v>
      </c>
    </row>
    <row r="32" spans="1:20">
      <c r="A32" t="s">
        <v>75</v>
      </c>
      <c r="B32" t="s">
        <v>64</v>
      </c>
      <c r="C32" t="s">
        <v>26</v>
      </c>
      <c r="D32" t="s">
        <v>58</v>
      </c>
      <c r="E32" t="str">
        <f t="shared" si="1"/>
        <v>Electric FAFHZ3WINDOW CL30 Prime Window Replacement of Single Pane Base</v>
      </c>
      <c r="F32" s="31" t="str">
        <f>Composite!B31</f>
        <v>Manuf Homes Wx - WINDOW CL30 Prime Window Replacement of Single Pane Base + HZ3 + Electric FAF</v>
      </c>
      <c r="G32" s="31" t="str">
        <f>LEFT(Composite!C31,FIND(" + ",Composite!C31)-1)</f>
        <v>WINDOW CL30 Prime Window Replacement of Single Pane Base</v>
      </c>
      <c r="H32" s="31">
        <f>VLOOKUP($F32,Composite!$B$5:$Q$817,H$3,FALSE)*VLOOKUP($C32,[2]!ExistingSat,MATCH($A32,[2]SATS!$C$10:$F$10,0)+1,FALSE)</f>
        <v>2744.9240597161611</v>
      </c>
      <c r="I32">
        <f>VLOOKUP($F32,Composite!$B$5:$Q$817,I$3,FALSE)</f>
        <v>25</v>
      </c>
      <c r="J32" s="31">
        <f>VLOOKUP($F32,Composite!$B$5:$Q$817,J$3,FALSE)*VLOOKUP($C32,[2]!ExistingSat,MATCH($A32,[2]SATS!$C$10:$F$10,0)+1,FALSE)</f>
        <v>3296.9499559131655</v>
      </c>
      <c r="K32" s="31">
        <f>VLOOKUP($F32,Composite!$B$5:$Q$817,K$3,FALSE)*VLOOKUP($C32,[2]!ExistingSat,MATCH($A32,[2]SATS!$C$10:$F$10,0)+1,FALSE)</f>
        <v>0</v>
      </c>
      <c r="L32" t="str">
        <f>VLOOKUP($F32,Composite!$B$5:$Q$817,L$3,FALSE)</f>
        <v>ResSHWX</v>
      </c>
      <c r="M32" s="31">
        <f>VLOOKUP($F32,Composite!$B$5:$Q$817,M$3,FALSE)*VLOOKUP($C32,[2]!ExistingSat,MATCH($A32,[2]SATS!$C$10:$F$10,0)+1,FALSE)</f>
        <v>43.715854586609559</v>
      </c>
      <c r="N32" s="31">
        <f>VLOOKUP($F32,Composite!$B$5:$Q$817,N$3,FALSE)*VLOOKUP($C32,[2]!ExistingSat,MATCH($A32,[2]SATS!$C$10:$F$10,0)+1,FALSE)</f>
        <v>0</v>
      </c>
      <c r="O32">
        <f>VLOOKUP($F32,Composite!$B$5:$Q$817,O$3,FALSE)</f>
        <v>0</v>
      </c>
      <c r="P32" s="31">
        <f>VLOOKUP($F32,Composite!$B$5:$Q$817,P$3,FALSE)*VLOOKUP($C32,[2]!ExistingSat,MATCH($A32,[2]SATS!$C$10:$F$10,0)+1,FALSE)</f>
        <v>0</v>
      </c>
      <c r="Q32">
        <f>VLOOKUP($F32,Composite!$B$5:$Q$817,Q$3,FALSE)</f>
        <v>0</v>
      </c>
      <c r="R32" s="31">
        <f>VLOOKUP($F32,Composite!$B$5:$Q$817,R$3,FALSE)*VLOOKUP($C32,[2]!ExistingSat,MATCH($A32,[2]SATS!$C$10:$F$10,0)+1,FALSE)</f>
        <v>0</v>
      </c>
      <c r="S32">
        <f>VLOOKUP($F32,Composite!$B$5:$Q$817,S$3,FALSE)</f>
        <v>0</v>
      </c>
      <c r="T32" s="31">
        <f>VLOOKUP($F32,Composite!$B$5:$Q$817,T$3,FALSE)*VLOOKUP($C32,[2]!ExistingSat,MATCH($A32,[2]SATS!$C$10:$F$10,0)+1,FALSE)</f>
        <v>0</v>
      </c>
    </row>
    <row r="33" spans="1:20">
      <c r="A33" t="s">
        <v>75</v>
      </c>
      <c r="B33" t="s">
        <v>64</v>
      </c>
      <c r="C33" t="s">
        <v>26</v>
      </c>
      <c r="D33" t="s">
        <v>58</v>
      </c>
      <c r="E33" t="str">
        <f t="shared" si="1"/>
        <v>Electric FAFHZ3WINDOW CL22 Prime Window Replacement of Double Pane Base</v>
      </c>
      <c r="F33" s="31" t="str">
        <f>Composite!B32</f>
        <v>Manuf Homes Wx - WINDOW CL22 Prime Window Replacement of Double Pane Base + HZ3 + Electric FAF</v>
      </c>
      <c r="G33" s="31" t="str">
        <f>LEFT(Composite!C32,FIND(" + ",Composite!C32)-1)</f>
        <v>WINDOW CL22 Prime Window Replacement of Double Pane Base</v>
      </c>
      <c r="H33" s="31">
        <f>VLOOKUP($F33,Composite!$B$5:$Q$817,H$3,FALSE)*VLOOKUP($C33,[2]!ExistingSat,MATCH($A33,[2]SATS!$C$10:$F$10,0)+1,FALSE)</f>
        <v>2278.1443696927663</v>
      </c>
      <c r="I33">
        <f>VLOOKUP($F33,Composite!$B$5:$Q$817,I$3,FALSE)</f>
        <v>25</v>
      </c>
      <c r="J33" s="31">
        <f>VLOOKUP($F33,Composite!$B$5:$Q$817,J$3,FALSE)*VLOOKUP($C33,[2]!ExistingSat,MATCH($A33,[2]SATS!$C$10:$F$10,0)+1,FALSE)</f>
        <v>3514.5499559131658</v>
      </c>
      <c r="K33" s="31">
        <f>VLOOKUP($F33,Composite!$B$5:$Q$817,K$3,FALSE)*VLOOKUP($C33,[2]!ExistingSat,MATCH($A33,[2]SATS!$C$10:$F$10,0)+1,FALSE)</f>
        <v>0</v>
      </c>
      <c r="L33" t="str">
        <f>VLOOKUP($F33,Composite!$B$5:$Q$817,L$3,FALSE)</f>
        <v>ResSHWX</v>
      </c>
      <c r="M33" s="31">
        <f>VLOOKUP($F33,Composite!$B$5:$Q$817,M$3,FALSE)*VLOOKUP($C33,[2]!ExistingSat,MATCH($A33,[2]SATS!$C$10:$F$10,0)+1,FALSE)</f>
        <v>36.281888251251097</v>
      </c>
      <c r="N33" s="31">
        <f>VLOOKUP($F33,Composite!$B$5:$Q$817,N$3,FALSE)*VLOOKUP($C33,[2]!ExistingSat,MATCH($A33,[2]SATS!$C$10:$F$10,0)+1,FALSE)</f>
        <v>0</v>
      </c>
      <c r="O33">
        <f>VLOOKUP($F33,Composite!$B$5:$Q$817,O$3,FALSE)</f>
        <v>0</v>
      </c>
      <c r="P33" s="31">
        <f>VLOOKUP($F33,Composite!$B$5:$Q$817,P$3,FALSE)*VLOOKUP($C33,[2]!ExistingSat,MATCH($A33,[2]SATS!$C$10:$F$10,0)+1,FALSE)</f>
        <v>0</v>
      </c>
      <c r="Q33">
        <f>VLOOKUP($F33,Composite!$B$5:$Q$817,Q$3,FALSE)</f>
        <v>0</v>
      </c>
      <c r="R33" s="31">
        <f>VLOOKUP($F33,Composite!$B$5:$Q$817,R$3,FALSE)*VLOOKUP($C33,[2]!ExistingSat,MATCH($A33,[2]SATS!$C$10:$F$10,0)+1,FALSE)</f>
        <v>0</v>
      </c>
      <c r="S33">
        <f>VLOOKUP($F33,Composite!$B$5:$Q$817,S$3,FALSE)</f>
        <v>0</v>
      </c>
      <c r="T33" s="31">
        <f>VLOOKUP($F33,Composite!$B$5:$Q$817,T$3,FALSE)*VLOOKUP($C33,[2]!ExistingSat,MATCH($A33,[2]SATS!$C$10:$F$10,0)+1,FALSE)</f>
        <v>0</v>
      </c>
    </row>
    <row r="34" spans="1:20">
      <c r="A34" t="s">
        <v>75</v>
      </c>
      <c r="B34" t="s">
        <v>64</v>
      </c>
      <c r="C34" t="s">
        <v>26</v>
      </c>
      <c r="D34" t="s">
        <v>58</v>
      </c>
      <c r="E34" t="str">
        <f t="shared" si="1"/>
        <v>Electric FAFHZ3WINDOW CL22 Prime Window Replacement of Single Pane Base</v>
      </c>
      <c r="F34" s="31" t="str">
        <f>Composite!B33</f>
        <v>Manuf Homes Wx - WINDOW CL22 Prime Window Replacement of Single Pane Base + HZ3 + Electric FAF</v>
      </c>
      <c r="G34" s="31" t="str">
        <f>LEFT(Composite!C33,FIND(" + ",Composite!C33)-1)</f>
        <v>WINDOW CL22 Prime Window Replacement of Single Pane Base</v>
      </c>
      <c r="H34" s="31">
        <f>VLOOKUP($F34,Composite!$B$5:$Q$817,H$3,FALSE)*VLOOKUP($C34,[2]!ExistingSat,MATCH($A34,[2]SATS!$C$10:$F$10,0)+1,FALSE)</f>
        <v>2898.7689929105359</v>
      </c>
      <c r="I34">
        <f>VLOOKUP($F34,Composite!$B$5:$Q$817,I$3,FALSE)</f>
        <v>25</v>
      </c>
      <c r="J34" s="31">
        <f>VLOOKUP($F34,Composite!$B$5:$Q$817,J$3,FALSE)*VLOOKUP($C34,[2]!ExistingSat,MATCH($A34,[2]SATS!$C$10:$F$10,0)+1,FALSE)</f>
        <v>3514.5499559131658</v>
      </c>
      <c r="K34" s="31">
        <f>VLOOKUP($F34,Composite!$B$5:$Q$817,K$3,FALSE)*VLOOKUP($C34,[2]!ExistingSat,MATCH($A34,[2]SATS!$C$10:$F$10,0)+1,FALSE)</f>
        <v>0</v>
      </c>
      <c r="L34" t="str">
        <f>VLOOKUP($F34,Composite!$B$5:$Q$817,L$3,FALSE)</f>
        <v>ResSHWX</v>
      </c>
      <c r="M34" s="31">
        <f>VLOOKUP($F34,Composite!$B$5:$Q$817,M$3,FALSE)*VLOOKUP($C34,[2]!ExistingSat,MATCH($A34,[2]SATS!$C$10:$F$10,0)+1,FALSE)</f>
        <v>46.165999866441965</v>
      </c>
      <c r="N34" s="31">
        <f>VLOOKUP($F34,Composite!$B$5:$Q$817,N$3,FALSE)*VLOOKUP($C34,[2]!ExistingSat,MATCH($A34,[2]SATS!$C$10:$F$10,0)+1,FALSE)</f>
        <v>0</v>
      </c>
      <c r="O34">
        <f>VLOOKUP($F34,Composite!$B$5:$Q$817,O$3,FALSE)</f>
        <v>0</v>
      </c>
      <c r="P34" s="31">
        <f>VLOOKUP($F34,Composite!$B$5:$Q$817,P$3,FALSE)*VLOOKUP($C34,[2]!ExistingSat,MATCH($A34,[2]SATS!$C$10:$F$10,0)+1,FALSE)</f>
        <v>0</v>
      </c>
      <c r="Q34">
        <f>VLOOKUP($F34,Composite!$B$5:$Q$817,Q$3,FALSE)</f>
        <v>0</v>
      </c>
      <c r="R34" s="31">
        <f>VLOOKUP($F34,Composite!$B$5:$Q$817,R$3,FALSE)*VLOOKUP($C34,[2]!ExistingSat,MATCH($A34,[2]SATS!$C$10:$F$10,0)+1,FALSE)</f>
        <v>0</v>
      </c>
      <c r="S34">
        <f>VLOOKUP($F34,Composite!$B$5:$Q$817,S$3,FALSE)</f>
        <v>0</v>
      </c>
      <c r="T34" s="31">
        <f>VLOOKUP($F34,Composite!$B$5:$Q$817,T$3,FALSE)*VLOOKUP($C34,[2]!ExistingSat,MATCH($A34,[2]SATS!$C$10:$F$10,0)+1,FALSE)</f>
        <v>0</v>
      </c>
    </row>
    <row r="35" spans="1:20">
      <c r="A35" t="s">
        <v>75</v>
      </c>
      <c r="B35" t="s">
        <v>64</v>
      </c>
      <c r="C35" t="s">
        <v>5810</v>
      </c>
      <c r="D35" t="s">
        <v>58</v>
      </c>
      <c r="E35" t="str">
        <f t="shared" si="1"/>
        <v>Electric FAFHZ3Infiltration</v>
      </c>
      <c r="F35" s="31" t="str">
        <f>Composite!B34</f>
        <v>Manuf Homes Wx - Infiltration + HZ3 + Electric FAF</v>
      </c>
      <c r="G35" s="31" t="str">
        <f>LEFT(Composite!C34,FIND(" + ",Composite!C34)-1)</f>
        <v>Infiltration</v>
      </c>
      <c r="H35" s="31">
        <f>VLOOKUP($F35,Composite!$B$5:$Q$817,H$3,FALSE)*VLOOKUP($C35,[2]!ExistingSat,MATCH($A35,[2]SATS!$C$10:$F$10,0)+1,FALSE)</f>
        <v>715.23690815177292</v>
      </c>
      <c r="I35">
        <f>VLOOKUP($F35,Composite!$B$5:$Q$817,I$3,FALSE)</f>
        <v>25</v>
      </c>
      <c r="J35" s="31">
        <f>VLOOKUP($F35,Composite!$B$5:$Q$817,J$3,FALSE)*VLOOKUP($C35,[2]!ExistingSat,MATCH($A35,[2]SATS!$C$10:$F$10,0)+1,FALSE)</f>
        <v>3968</v>
      </c>
      <c r="K35" s="31">
        <f>VLOOKUP($F35,Composite!$B$5:$Q$817,K$3,FALSE)*VLOOKUP($C35,[2]!ExistingSat,MATCH($A35,[2]SATS!$C$10:$F$10,0)+1,FALSE)</f>
        <v>0</v>
      </c>
      <c r="L35" t="str">
        <f>VLOOKUP($F35,Composite!$B$5:$Q$817,L$3,FALSE)</f>
        <v>ResSHWX</v>
      </c>
      <c r="M35" s="31">
        <f>VLOOKUP($F35,Composite!$B$5:$Q$817,M$3,FALSE)*VLOOKUP($C35,[2]!ExistingSat,MATCH($A35,[2]SATS!$C$10:$F$10,0)+1,FALSE)</f>
        <v>11.390913552257731</v>
      </c>
      <c r="N35" s="31">
        <f>VLOOKUP($F35,Composite!$B$5:$Q$817,N$3,FALSE)*VLOOKUP($C35,[2]!ExistingSat,MATCH($A35,[2]SATS!$C$10:$F$10,0)+1,FALSE)</f>
        <v>0</v>
      </c>
      <c r="O35">
        <f>VLOOKUP($F35,Composite!$B$5:$Q$817,O$3,FALSE)</f>
        <v>0</v>
      </c>
      <c r="P35" s="31">
        <f>VLOOKUP($F35,Composite!$B$5:$Q$817,P$3,FALSE)*VLOOKUP($C35,[2]!ExistingSat,MATCH($A35,[2]SATS!$C$10:$F$10,0)+1,FALSE)</f>
        <v>0</v>
      </c>
      <c r="Q35">
        <f>VLOOKUP($F35,Composite!$B$5:$Q$817,Q$3,FALSE)</f>
        <v>0</v>
      </c>
      <c r="R35" s="31">
        <f>VLOOKUP($F35,Composite!$B$5:$Q$817,R$3,FALSE)*VLOOKUP($C35,[2]!ExistingSat,MATCH($A35,[2]SATS!$C$10:$F$10,0)+1,FALSE)</f>
        <v>0</v>
      </c>
      <c r="S35">
        <f>VLOOKUP($F35,Composite!$B$5:$Q$817,S$3,FALSE)</f>
        <v>0</v>
      </c>
      <c r="T35" s="31">
        <f>VLOOKUP($F35,Composite!$B$5:$Q$817,T$3,FALSE)*VLOOKUP($C35,[2]!ExistingSat,MATCH($A35,[2]SATS!$C$10:$F$10,0)+1,FALSE)</f>
        <v>0</v>
      </c>
    </row>
    <row r="36" spans="1:20">
      <c r="A36" t="s">
        <v>75</v>
      </c>
      <c r="B36" t="s">
        <v>66</v>
      </c>
      <c r="C36" t="s">
        <v>27</v>
      </c>
      <c r="D36" t="s">
        <v>56</v>
      </c>
      <c r="E36" t="str">
        <f t="shared" si="1"/>
        <v>Heat PumpHZ1Attic R0 - R30</v>
      </c>
      <c r="F36" s="31" t="str">
        <f>Composite!B35</f>
        <v>Manuf Homes Wx - Attic R0 - R30 + HZ1 + Heat Pump</v>
      </c>
      <c r="G36" s="31" t="str">
        <f>LEFT(Composite!C35,FIND(" + ",Composite!C35)-1)</f>
        <v>Attic R0 - R30</v>
      </c>
      <c r="H36" s="31">
        <f>VLOOKUP($F36,Composite!$B$5:$Q$817,H$3,FALSE)*VLOOKUP($C36,[2]!ExistingSat,MATCH($A36,[2]SATS!$C$10:$F$10,0)+1,FALSE)</f>
        <v>338.10210925920831</v>
      </c>
      <c r="I36">
        <f>VLOOKUP($F36,Composite!$B$5:$Q$817,I$3,FALSE)</f>
        <v>25</v>
      </c>
      <c r="J36" s="31">
        <f>VLOOKUP($F36,Composite!$B$5:$Q$817,J$3,FALSE)*VLOOKUP($C36,[2]!ExistingSat,MATCH($A36,[2]SATS!$C$10:$F$10,0)+1,FALSE)</f>
        <v>2688</v>
      </c>
      <c r="K36" s="31">
        <f>VLOOKUP($F36,Composite!$B$5:$Q$817,K$3,FALSE)*VLOOKUP($C36,[2]!ExistingSat,MATCH($A36,[2]SATS!$C$10:$F$10,0)+1,FALSE)</f>
        <v>0</v>
      </c>
      <c r="L36" t="str">
        <f>VLOOKUP($F36,Composite!$B$5:$Q$817,L$3,FALSE)</f>
        <v>ResSHWX</v>
      </c>
      <c r="M36" s="31">
        <f>VLOOKUP($F36,Composite!$B$5:$Q$817,M$3,FALSE)*VLOOKUP($C36,[2]!ExistingSat,MATCH($A36,[2]SATS!$C$10:$F$10,0)+1,FALSE)</f>
        <v>2.3731306732592792</v>
      </c>
      <c r="N36" s="31">
        <f>VLOOKUP($F36,Composite!$B$5:$Q$817,N$3,FALSE)*VLOOKUP($C36,[2]!ExistingSat,MATCH($A36,[2]SATS!$C$10:$F$10,0)+1,FALSE)</f>
        <v>0</v>
      </c>
      <c r="O36">
        <f>VLOOKUP($F36,Composite!$B$5:$Q$817,O$3,FALSE)</f>
        <v>0</v>
      </c>
      <c r="P36" s="31">
        <f>VLOOKUP($F36,Composite!$B$5:$Q$817,P$3,FALSE)*VLOOKUP($C36,[2]!ExistingSat,MATCH($A36,[2]SATS!$C$10:$F$10,0)+1,FALSE)</f>
        <v>0</v>
      </c>
      <c r="Q36">
        <f>VLOOKUP($F36,Composite!$B$5:$Q$817,Q$3,FALSE)</f>
        <v>0</v>
      </c>
      <c r="R36" s="31">
        <f>VLOOKUP($F36,Composite!$B$5:$Q$817,R$3,FALSE)*VLOOKUP($C36,[2]!ExistingSat,MATCH($A36,[2]SATS!$C$10:$F$10,0)+1,FALSE)</f>
        <v>0</v>
      </c>
      <c r="S36">
        <f>VLOOKUP($F36,Composite!$B$5:$Q$817,S$3,FALSE)</f>
        <v>0</v>
      </c>
      <c r="T36" s="31">
        <f>VLOOKUP($F36,Composite!$B$5:$Q$817,T$3,FALSE)*VLOOKUP($C36,[2]!ExistingSat,MATCH($A36,[2]SATS!$C$10:$F$10,0)+1,FALSE)</f>
        <v>0</v>
      </c>
    </row>
    <row r="37" spans="1:20">
      <c r="A37" t="s">
        <v>75</v>
      </c>
      <c r="B37" t="s">
        <v>66</v>
      </c>
      <c r="C37" t="s">
        <v>27</v>
      </c>
      <c r="D37" t="s">
        <v>56</v>
      </c>
      <c r="E37" t="str">
        <f t="shared" si="1"/>
        <v>Heat PumpHZ1Attic R0 - R22</v>
      </c>
      <c r="F37" s="31" t="str">
        <f>Composite!B36</f>
        <v>Manuf Homes Wx - Attic R0 - R22 + HZ1 + Heat Pump</v>
      </c>
      <c r="G37" s="31" t="str">
        <f>LEFT(Composite!C36,FIND(" + ",Composite!C36)-1)</f>
        <v>Attic R0 - R22</v>
      </c>
      <c r="H37" s="31">
        <f>VLOOKUP($F37,Composite!$B$5:$Q$817,H$3,FALSE)*VLOOKUP($C37,[2]!ExistingSat,MATCH($A37,[2]SATS!$C$10:$F$10,0)+1,FALSE)</f>
        <v>335.58423205176393</v>
      </c>
      <c r="I37">
        <f>VLOOKUP($F37,Composite!$B$5:$Q$817,I$3,FALSE)</f>
        <v>25</v>
      </c>
      <c r="J37" s="31">
        <f>VLOOKUP($F37,Composite!$B$5:$Q$817,J$3,FALSE)*VLOOKUP($C37,[2]!ExistingSat,MATCH($A37,[2]SATS!$C$10:$F$10,0)+1,FALSE)</f>
        <v>2688</v>
      </c>
      <c r="K37" s="31">
        <f>VLOOKUP($F37,Composite!$B$5:$Q$817,K$3,FALSE)*VLOOKUP($C37,[2]!ExistingSat,MATCH($A37,[2]SATS!$C$10:$F$10,0)+1,FALSE)</f>
        <v>0</v>
      </c>
      <c r="L37" t="str">
        <f>VLOOKUP($F37,Composite!$B$5:$Q$817,L$3,FALSE)</f>
        <v>ResSHWX</v>
      </c>
      <c r="M37" s="31">
        <f>VLOOKUP($F37,Composite!$B$5:$Q$817,M$3,FALSE)*VLOOKUP($C37,[2]!ExistingSat,MATCH($A37,[2]SATS!$C$10:$F$10,0)+1,FALSE)</f>
        <v>2.3554577529525158</v>
      </c>
      <c r="N37" s="31">
        <f>VLOOKUP($F37,Composite!$B$5:$Q$817,N$3,FALSE)*VLOOKUP($C37,[2]!ExistingSat,MATCH($A37,[2]SATS!$C$10:$F$10,0)+1,FALSE)</f>
        <v>0</v>
      </c>
      <c r="O37">
        <f>VLOOKUP($F37,Composite!$B$5:$Q$817,O$3,FALSE)</f>
        <v>0</v>
      </c>
      <c r="P37" s="31">
        <f>VLOOKUP($F37,Composite!$B$5:$Q$817,P$3,FALSE)*VLOOKUP($C37,[2]!ExistingSat,MATCH($A37,[2]SATS!$C$10:$F$10,0)+1,FALSE)</f>
        <v>0</v>
      </c>
      <c r="Q37">
        <f>VLOOKUP($F37,Composite!$B$5:$Q$817,Q$3,FALSE)</f>
        <v>0</v>
      </c>
      <c r="R37" s="31">
        <f>VLOOKUP($F37,Composite!$B$5:$Q$817,R$3,FALSE)*VLOOKUP($C37,[2]!ExistingSat,MATCH($A37,[2]SATS!$C$10:$F$10,0)+1,FALSE)</f>
        <v>0</v>
      </c>
      <c r="S37">
        <f>VLOOKUP($F37,Composite!$B$5:$Q$817,S$3,FALSE)</f>
        <v>0</v>
      </c>
      <c r="T37" s="31">
        <f>VLOOKUP($F37,Composite!$B$5:$Q$817,T$3,FALSE)*VLOOKUP($C37,[2]!ExistingSat,MATCH($A37,[2]SATS!$C$10:$F$10,0)+1,FALSE)</f>
        <v>0</v>
      </c>
    </row>
    <row r="38" spans="1:20">
      <c r="A38" t="s">
        <v>75</v>
      </c>
      <c r="B38" t="s">
        <v>66</v>
      </c>
      <c r="C38" t="s">
        <v>27</v>
      </c>
      <c r="D38" t="s">
        <v>56</v>
      </c>
      <c r="E38" t="str">
        <f t="shared" si="1"/>
        <v>Heat PumpHZ1Attic R11 - R30</v>
      </c>
      <c r="F38" s="31" t="str">
        <f>Composite!B37</f>
        <v>Manuf Homes Wx - Attic R11 - R30 + HZ1 + Heat Pump</v>
      </c>
      <c r="G38" s="31" t="str">
        <f>LEFT(Composite!C37,FIND(" + ",Composite!C37)-1)</f>
        <v>Attic R11 - R30</v>
      </c>
      <c r="H38" s="31">
        <f>VLOOKUP($F38,Composite!$B$5:$Q$817,H$3,FALSE)*VLOOKUP($C38,[2]!ExistingSat,MATCH($A38,[2]SATS!$C$10:$F$10,0)+1,FALSE)</f>
        <v>133.38225354980207</v>
      </c>
      <c r="I38">
        <f>VLOOKUP($F38,Composite!$B$5:$Q$817,I$3,FALSE)</f>
        <v>25</v>
      </c>
      <c r="J38" s="31">
        <f>VLOOKUP($F38,Composite!$B$5:$Q$817,J$3,FALSE)*VLOOKUP($C38,[2]!ExistingSat,MATCH($A38,[2]SATS!$C$10:$F$10,0)+1,FALSE)</f>
        <v>2688</v>
      </c>
      <c r="K38" s="31">
        <f>VLOOKUP($F38,Composite!$B$5:$Q$817,K$3,FALSE)*VLOOKUP($C38,[2]!ExistingSat,MATCH($A38,[2]SATS!$C$10:$F$10,0)+1,FALSE)</f>
        <v>0</v>
      </c>
      <c r="L38" t="str">
        <f>VLOOKUP($F38,Composite!$B$5:$Q$817,L$3,FALSE)</f>
        <v>ResSHWX</v>
      </c>
      <c r="M38" s="31">
        <f>VLOOKUP($F38,Composite!$B$5:$Q$817,M$3,FALSE)*VLOOKUP($C38,[2]!ExistingSat,MATCH($A38,[2]SATS!$C$10:$F$10,0)+1,FALSE)</f>
        <v>0.93620686916451334</v>
      </c>
      <c r="N38" s="31">
        <f>VLOOKUP($F38,Composite!$B$5:$Q$817,N$3,FALSE)*VLOOKUP($C38,[2]!ExistingSat,MATCH($A38,[2]SATS!$C$10:$F$10,0)+1,FALSE)</f>
        <v>0</v>
      </c>
      <c r="O38">
        <f>VLOOKUP($F38,Composite!$B$5:$Q$817,O$3,FALSE)</f>
        <v>0</v>
      </c>
      <c r="P38" s="31">
        <f>VLOOKUP($F38,Composite!$B$5:$Q$817,P$3,FALSE)*VLOOKUP($C38,[2]!ExistingSat,MATCH($A38,[2]SATS!$C$10:$F$10,0)+1,FALSE)</f>
        <v>0</v>
      </c>
      <c r="Q38">
        <f>VLOOKUP($F38,Composite!$B$5:$Q$817,Q$3,FALSE)</f>
        <v>0</v>
      </c>
      <c r="R38" s="31">
        <f>VLOOKUP($F38,Composite!$B$5:$Q$817,R$3,FALSE)*VLOOKUP($C38,[2]!ExistingSat,MATCH($A38,[2]SATS!$C$10:$F$10,0)+1,FALSE)</f>
        <v>0</v>
      </c>
      <c r="S38">
        <f>VLOOKUP($F38,Composite!$B$5:$Q$817,S$3,FALSE)</f>
        <v>0</v>
      </c>
      <c r="T38" s="31">
        <f>VLOOKUP($F38,Composite!$B$5:$Q$817,T$3,FALSE)*VLOOKUP($C38,[2]!ExistingSat,MATCH($A38,[2]SATS!$C$10:$F$10,0)+1,FALSE)</f>
        <v>0</v>
      </c>
    </row>
    <row r="39" spans="1:20">
      <c r="A39" t="s">
        <v>75</v>
      </c>
      <c r="B39" t="s">
        <v>66</v>
      </c>
      <c r="C39" t="s">
        <v>25</v>
      </c>
      <c r="D39" t="s">
        <v>56</v>
      </c>
      <c r="E39" t="str">
        <f t="shared" si="1"/>
        <v>Heat PumpHZ1Floor R0 - R22</v>
      </c>
      <c r="F39" s="31" t="str">
        <f>Composite!B38</f>
        <v>Manuf Homes Wx - Floor R0 - R22 + HZ1 + Heat Pump</v>
      </c>
      <c r="G39" s="31" t="str">
        <f>LEFT(Composite!C38,FIND(" + ",Composite!C38)-1)</f>
        <v>Floor R0 - R22</v>
      </c>
      <c r="H39" s="31">
        <f>VLOOKUP($F39,Composite!$B$5:$Q$817,H$3,FALSE)*VLOOKUP($C39,[2]!ExistingSat,MATCH($A39,[2]SATS!$C$10:$F$10,0)+1,FALSE)</f>
        <v>290.57543530902342</v>
      </c>
      <c r="I39">
        <f>VLOOKUP($F39,Composite!$B$5:$Q$817,I$3,FALSE)</f>
        <v>25</v>
      </c>
      <c r="J39" s="31">
        <f>VLOOKUP($F39,Composite!$B$5:$Q$817,J$3,FALSE)*VLOOKUP($C39,[2]!ExistingSat,MATCH($A39,[2]SATS!$C$10:$F$10,0)+1,FALSE)</f>
        <v>4224</v>
      </c>
      <c r="K39" s="31">
        <f>VLOOKUP($F39,Composite!$B$5:$Q$817,K$3,FALSE)*VLOOKUP($C39,[2]!ExistingSat,MATCH($A39,[2]SATS!$C$10:$F$10,0)+1,FALSE)</f>
        <v>0</v>
      </c>
      <c r="L39" t="str">
        <f>VLOOKUP($F39,Composite!$B$5:$Q$817,L$3,FALSE)</f>
        <v>ResSHWX</v>
      </c>
      <c r="M39" s="31">
        <f>VLOOKUP($F39,Composite!$B$5:$Q$817,M$3,FALSE)*VLOOKUP($C39,[2]!ExistingSat,MATCH($A39,[2]SATS!$C$10:$F$10,0)+1,FALSE)</f>
        <v>2.0395420778012499</v>
      </c>
      <c r="N39" s="31">
        <f>VLOOKUP($F39,Composite!$B$5:$Q$817,N$3,FALSE)*VLOOKUP($C39,[2]!ExistingSat,MATCH($A39,[2]SATS!$C$10:$F$10,0)+1,FALSE)</f>
        <v>0</v>
      </c>
      <c r="O39">
        <f>VLOOKUP($F39,Composite!$B$5:$Q$817,O$3,FALSE)</f>
        <v>0</v>
      </c>
      <c r="P39" s="31">
        <f>VLOOKUP($F39,Composite!$B$5:$Q$817,P$3,FALSE)*VLOOKUP($C39,[2]!ExistingSat,MATCH($A39,[2]SATS!$C$10:$F$10,0)+1,FALSE)</f>
        <v>0</v>
      </c>
      <c r="Q39">
        <f>VLOOKUP($F39,Composite!$B$5:$Q$817,Q$3,FALSE)</f>
        <v>0</v>
      </c>
      <c r="R39" s="31">
        <f>VLOOKUP($F39,Composite!$B$5:$Q$817,R$3,FALSE)*VLOOKUP($C39,[2]!ExistingSat,MATCH($A39,[2]SATS!$C$10:$F$10,0)+1,FALSE)</f>
        <v>0</v>
      </c>
      <c r="S39">
        <f>VLOOKUP($F39,Composite!$B$5:$Q$817,S$3,FALSE)</f>
        <v>0</v>
      </c>
      <c r="T39" s="31">
        <f>VLOOKUP($F39,Composite!$B$5:$Q$817,T$3,FALSE)*VLOOKUP($C39,[2]!ExistingSat,MATCH($A39,[2]SATS!$C$10:$F$10,0)+1,FALSE)</f>
        <v>0</v>
      </c>
    </row>
    <row r="40" spans="1:20">
      <c r="A40" t="s">
        <v>75</v>
      </c>
      <c r="B40" t="s">
        <v>66</v>
      </c>
      <c r="C40" t="s">
        <v>25</v>
      </c>
      <c r="D40" t="s">
        <v>56</v>
      </c>
      <c r="E40" t="str">
        <f t="shared" si="1"/>
        <v>Heat PumpHZ1Floor R11 - R22</v>
      </c>
      <c r="F40" s="31" t="str">
        <f>Composite!B39</f>
        <v>Manuf Homes Wx - Floor R11 - R22 + HZ1 + Heat Pump</v>
      </c>
      <c r="G40" s="31" t="str">
        <f>LEFT(Composite!C39,FIND(" + ",Composite!C39)-1)</f>
        <v>Floor R11 - R22</v>
      </c>
      <c r="H40" s="31">
        <f>VLOOKUP($F40,Composite!$B$5:$Q$817,H$3,FALSE)*VLOOKUP($C40,[2]!ExistingSat,MATCH($A40,[2]SATS!$C$10:$F$10,0)+1,FALSE)</f>
        <v>148.81702037585899</v>
      </c>
      <c r="I40">
        <f>VLOOKUP($F40,Composite!$B$5:$Q$817,I$3,FALSE)</f>
        <v>25</v>
      </c>
      <c r="J40" s="31">
        <f>VLOOKUP($F40,Composite!$B$5:$Q$817,J$3,FALSE)*VLOOKUP($C40,[2]!ExistingSat,MATCH($A40,[2]SATS!$C$10:$F$10,0)+1,FALSE)</f>
        <v>4224</v>
      </c>
      <c r="K40" s="31">
        <f>VLOOKUP($F40,Composite!$B$5:$Q$817,K$3,FALSE)*VLOOKUP($C40,[2]!ExistingSat,MATCH($A40,[2]SATS!$C$10:$F$10,0)+1,FALSE)</f>
        <v>0</v>
      </c>
      <c r="L40" t="str">
        <f>VLOOKUP($F40,Composite!$B$5:$Q$817,L$3,FALSE)</f>
        <v>ResSHWX</v>
      </c>
      <c r="M40" s="31">
        <f>VLOOKUP($F40,Composite!$B$5:$Q$817,M$3,FALSE)*VLOOKUP($C40,[2]!ExistingSat,MATCH($A40,[2]SATS!$C$10:$F$10,0)+1,FALSE)</f>
        <v>1.0445431308630135</v>
      </c>
      <c r="N40" s="31">
        <f>VLOOKUP($F40,Composite!$B$5:$Q$817,N$3,FALSE)*VLOOKUP($C40,[2]!ExistingSat,MATCH($A40,[2]SATS!$C$10:$F$10,0)+1,FALSE)</f>
        <v>0</v>
      </c>
      <c r="O40">
        <f>VLOOKUP($F40,Composite!$B$5:$Q$817,O$3,FALSE)</f>
        <v>0</v>
      </c>
      <c r="P40" s="31">
        <f>VLOOKUP($F40,Composite!$B$5:$Q$817,P$3,FALSE)*VLOOKUP($C40,[2]!ExistingSat,MATCH($A40,[2]SATS!$C$10:$F$10,0)+1,FALSE)</f>
        <v>0</v>
      </c>
      <c r="Q40">
        <f>VLOOKUP($F40,Composite!$B$5:$Q$817,Q$3,FALSE)</f>
        <v>0</v>
      </c>
      <c r="R40" s="31">
        <f>VLOOKUP($F40,Composite!$B$5:$Q$817,R$3,FALSE)*VLOOKUP($C40,[2]!ExistingSat,MATCH($A40,[2]SATS!$C$10:$F$10,0)+1,FALSE)</f>
        <v>0</v>
      </c>
      <c r="S40">
        <f>VLOOKUP($F40,Composite!$B$5:$Q$817,S$3,FALSE)</f>
        <v>0</v>
      </c>
      <c r="T40" s="31">
        <f>VLOOKUP($F40,Composite!$B$5:$Q$817,T$3,FALSE)*VLOOKUP($C40,[2]!ExistingSat,MATCH($A40,[2]SATS!$C$10:$F$10,0)+1,FALSE)</f>
        <v>0</v>
      </c>
    </row>
    <row r="41" spans="1:20">
      <c r="A41" t="s">
        <v>75</v>
      </c>
      <c r="B41" t="s">
        <v>66</v>
      </c>
      <c r="C41" t="s">
        <v>26</v>
      </c>
      <c r="D41" t="s">
        <v>56</v>
      </c>
      <c r="E41" t="str">
        <f t="shared" si="1"/>
        <v>Heat PumpHZ1WINDOW CL30 Prime Window Replacement of Double Pane Base</v>
      </c>
      <c r="F41" s="31" t="str">
        <f>Composite!B40</f>
        <v>Manuf Homes Wx - WINDOW CL30 Prime Window Replacement of Double Pane Base + HZ1 + Heat Pump</v>
      </c>
      <c r="G41" s="31" t="str">
        <f>LEFT(Composite!C40,FIND(" + ",Composite!C40)-1)</f>
        <v>WINDOW CL30 Prime Window Replacement of Double Pane Base</v>
      </c>
      <c r="H41" s="31">
        <f>VLOOKUP($F41,Composite!$B$5:$Q$817,H$3,FALSE)*VLOOKUP($C41,[2]!ExistingSat,MATCH($A41,[2]SATS!$C$10:$F$10,0)+1,FALSE)</f>
        <v>207.42187248122855</v>
      </c>
      <c r="I41">
        <f>VLOOKUP($F41,Composite!$B$5:$Q$817,I$3,FALSE)</f>
        <v>25</v>
      </c>
      <c r="J41" s="31">
        <f>VLOOKUP($F41,Composite!$B$5:$Q$817,J$3,FALSE)*VLOOKUP($C41,[2]!ExistingSat,MATCH($A41,[2]SATS!$C$10:$F$10,0)+1,FALSE)</f>
        <v>3296.9499559131655</v>
      </c>
      <c r="K41" s="31">
        <f>VLOOKUP($F41,Composite!$B$5:$Q$817,K$3,FALSE)*VLOOKUP($C41,[2]!ExistingSat,MATCH($A41,[2]SATS!$C$10:$F$10,0)+1,FALSE)</f>
        <v>0</v>
      </c>
      <c r="L41" t="str">
        <f>VLOOKUP($F41,Composite!$B$5:$Q$817,L$3,FALSE)</f>
        <v>ResSHWX</v>
      </c>
      <c r="M41" s="31">
        <f>VLOOKUP($F41,Composite!$B$5:$Q$817,M$3,FALSE)*VLOOKUP($C41,[2]!ExistingSat,MATCH($A41,[2]SATS!$C$10:$F$10,0)+1,FALSE)</f>
        <v>1.4558891956296556</v>
      </c>
      <c r="N41" s="31">
        <f>VLOOKUP($F41,Composite!$B$5:$Q$817,N$3,FALSE)*VLOOKUP($C41,[2]!ExistingSat,MATCH($A41,[2]SATS!$C$10:$F$10,0)+1,FALSE)</f>
        <v>0</v>
      </c>
      <c r="O41">
        <f>VLOOKUP($F41,Composite!$B$5:$Q$817,O$3,FALSE)</f>
        <v>0</v>
      </c>
      <c r="P41" s="31">
        <f>VLOOKUP($F41,Composite!$B$5:$Q$817,P$3,FALSE)*VLOOKUP($C41,[2]!ExistingSat,MATCH($A41,[2]SATS!$C$10:$F$10,0)+1,FALSE)</f>
        <v>0</v>
      </c>
      <c r="Q41">
        <f>VLOOKUP($F41,Composite!$B$5:$Q$817,Q$3,FALSE)</f>
        <v>0</v>
      </c>
      <c r="R41" s="31">
        <f>VLOOKUP($F41,Composite!$B$5:$Q$817,R$3,FALSE)*VLOOKUP($C41,[2]!ExistingSat,MATCH($A41,[2]SATS!$C$10:$F$10,0)+1,FALSE)</f>
        <v>0</v>
      </c>
      <c r="S41">
        <f>VLOOKUP($F41,Composite!$B$5:$Q$817,S$3,FALSE)</f>
        <v>0</v>
      </c>
      <c r="T41" s="31">
        <f>VLOOKUP($F41,Composite!$B$5:$Q$817,T$3,FALSE)*VLOOKUP($C41,[2]!ExistingSat,MATCH($A41,[2]SATS!$C$10:$F$10,0)+1,FALSE)</f>
        <v>0</v>
      </c>
    </row>
    <row r="42" spans="1:20">
      <c r="A42" t="s">
        <v>75</v>
      </c>
      <c r="B42" t="s">
        <v>66</v>
      </c>
      <c r="C42" t="s">
        <v>26</v>
      </c>
      <c r="D42" t="s">
        <v>56</v>
      </c>
      <c r="E42" t="str">
        <f t="shared" si="1"/>
        <v>Heat PumpHZ1WINDOW CL30 Prime Window Replacement of Single Pane Base</v>
      </c>
      <c r="F42" s="31" t="str">
        <f>Composite!B41</f>
        <v>Manuf Homes Wx - WINDOW CL30 Prime Window Replacement of Single Pane Base + HZ1 + Heat Pump</v>
      </c>
      <c r="G42" s="31" t="str">
        <f>LEFT(Composite!C41,FIND(" + ",Composite!C41)-1)</f>
        <v>WINDOW CL30 Prime Window Replacement of Single Pane Base</v>
      </c>
      <c r="H42" s="31">
        <f>VLOOKUP($F42,Composite!$B$5:$Q$817,H$3,FALSE)*VLOOKUP($C42,[2]!ExistingSat,MATCH($A42,[2]SATS!$C$10:$F$10,0)+1,FALSE)</f>
        <v>586.39395716735896</v>
      </c>
      <c r="I42">
        <f>VLOOKUP($F42,Composite!$B$5:$Q$817,I$3,FALSE)</f>
        <v>25</v>
      </c>
      <c r="J42" s="31">
        <f>VLOOKUP($F42,Composite!$B$5:$Q$817,J$3,FALSE)*VLOOKUP($C42,[2]!ExistingSat,MATCH($A42,[2]SATS!$C$10:$F$10,0)+1,FALSE)</f>
        <v>3296.9499559131655</v>
      </c>
      <c r="K42" s="31">
        <f>VLOOKUP($F42,Composite!$B$5:$Q$817,K$3,FALSE)*VLOOKUP($C42,[2]!ExistingSat,MATCH($A42,[2]SATS!$C$10:$F$10,0)+1,FALSE)</f>
        <v>0</v>
      </c>
      <c r="L42" t="str">
        <f>VLOOKUP($F42,Composite!$B$5:$Q$817,L$3,FALSE)</f>
        <v>ResSHWX</v>
      </c>
      <c r="M42" s="31">
        <f>VLOOKUP($F42,Composite!$B$5:$Q$817,M$3,FALSE)*VLOOKUP($C42,[2]!ExistingSat,MATCH($A42,[2]SATS!$C$10:$F$10,0)+1,FALSE)</f>
        <v>4.1158852555423602</v>
      </c>
      <c r="N42" s="31">
        <f>VLOOKUP($F42,Composite!$B$5:$Q$817,N$3,FALSE)*VLOOKUP($C42,[2]!ExistingSat,MATCH($A42,[2]SATS!$C$10:$F$10,0)+1,FALSE)</f>
        <v>0</v>
      </c>
      <c r="O42">
        <f>VLOOKUP($F42,Composite!$B$5:$Q$817,O$3,FALSE)</f>
        <v>0</v>
      </c>
      <c r="P42" s="31">
        <f>VLOOKUP($F42,Composite!$B$5:$Q$817,P$3,FALSE)*VLOOKUP($C42,[2]!ExistingSat,MATCH($A42,[2]SATS!$C$10:$F$10,0)+1,FALSE)</f>
        <v>0</v>
      </c>
      <c r="Q42">
        <f>VLOOKUP($F42,Composite!$B$5:$Q$817,Q$3,FALSE)</f>
        <v>0</v>
      </c>
      <c r="R42" s="31">
        <f>VLOOKUP($F42,Composite!$B$5:$Q$817,R$3,FALSE)*VLOOKUP($C42,[2]!ExistingSat,MATCH($A42,[2]SATS!$C$10:$F$10,0)+1,FALSE)</f>
        <v>0</v>
      </c>
      <c r="S42">
        <f>VLOOKUP($F42,Composite!$B$5:$Q$817,S$3,FALSE)</f>
        <v>0</v>
      </c>
      <c r="T42" s="31">
        <f>VLOOKUP($F42,Composite!$B$5:$Q$817,T$3,FALSE)*VLOOKUP($C42,[2]!ExistingSat,MATCH($A42,[2]SATS!$C$10:$F$10,0)+1,FALSE)</f>
        <v>0</v>
      </c>
    </row>
    <row r="43" spans="1:20">
      <c r="A43" t="s">
        <v>75</v>
      </c>
      <c r="B43" t="s">
        <v>66</v>
      </c>
      <c r="C43" t="s">
        <v>26</v>
      </c>
      <c r="D43" t="s">
        <v>56</v>
      </c>
      <c r="E43" t="str">
        <f t="shared" si="1"/>
        <v>Heat PumpHZ1WINDOW CL22 Prime Window Replacement of Double Pane Base</v>
      </c>
      <c r="F43" s="31" t="str">
        <f>Composite!B42</f>
        <v>Manuf Homes Wx - WINDOW CL22 Prime Window Replacement of Double Pane Base + HZ1 + Heat Pump</v>
      </c>
      <c r="G43" s="31" t="str">
        <f>LEFT(Composite!C42,FIND(" + ",Composite!C42)-1)</f>
        <v>WINDOW CL22 Prime Window Replacement of Double Pane Base</v>
      </c>
      <c r="H43" s="31">
        <f>VLOOKUP($F43,Composite!$B$5:$Q$817,H$3,FALSE)*VLOOKUP($C43,[2]!ExistingSat,MATCH($A43,[2]SATS!$C$10:$F$10,0)+1,FALSE)</f>
        <v>1629.4029241927876</v>
      </c>
      <c r="I43">
        <f>VLOOKUP($F43,Composite!$B$5:$Q$817,I$3,FALSE)</f>
        <v>25</v>
      </c>
      <c r="J43" s="31">
        <f>VLOOKUP($F43,Composite!$B$5:$Q$817,J$3,FALSE)*VLOOKUP($C43,[2]!ExistingSat,MATCH($A43,[2]SATS!$C$10:$F$10,0)+1,FALSE)</f>
        <v>3514.5499559131658</v>
      </c>
      <c r="K43" s="31">
        <f>VLOOKUP($F43,Composite!$B$5:$Q$817,K$3,FALSE)*VLOOKUP($C43,[2]!ExistingSat,MATCH($A43,[2]SATS!$C$10:$F$10,0)+1,FALSE)</f>
        <v>0</v>
      </c>
      <c r="L43" t="str">
        <f>VLOOKUP($F43,Composite!$B$5:$Q$817,L$3,FALSE)</f>
        <v>ResSHWX</v>
      </c>
      <c r="M43" s="31">
        <f>VLOOKUP($F43,Composite!$B$5:$Q$817,M$3,FALSE)*VLOOKUP($C43,[2]!ExistingSat,MATCH($A43,[2]SATS!$C$10:$F$10,0)+1,FALSE)</f>
        <v>1.7240801024942753</v>
      </c>
      <c r="N43" s="31">
        <f>VLOOKUP($F43,Composite!$B$5:$Q$817,N$3,FALSE)*VLOOKUP($C43,[2]!ExistingSat,MATCH($A43,[2]SATS!$C$10:$F$10,0)+1,FALSE)</f>
        <v>0</v>
      </c>
      <c r="O43">
        <f>VLOOKUP($F43,Composite!$B$5:$Q$817,O$3,FALSE)</f>
        <v>0</v>
      </c>
      <c r="P43" s="31">
        <f>VLOOKUP($F43,Composite!$B$5:$Q$817,P$3,FALSE)*VLOOKUP($C43,[2]!ExistingSat,MATCH($A43,[2]SATS!$C$10:$F$10,0)+1,FALSE)</f>
        <v>0</v>
      </c>
      <c r="Q43">
        <f>VLOOKUP($F43,Composite!$B$5:$Q$817,Q$3,FALSE)</f>
        <v>0</v>
      </c>
      <c r="R43" s="31">
        <f>VLOOKUP($F43,Composite!$B$5:$Q$817,R$3,FALSE)*VLOOKUP($C43,[2]!ExistingSat,MATCH($A43,[2]SATS!$C$10:$F$10,0)+1,FALSE)</f>
        <v>0</v>
      </c>
      <c r="S43">
        <f>VLOOKUP($F43,Composite!$B$5:$Q$817,S$3,FALSE)</f>
        <v>0</v>
      </c>
      <c r="T43" s="31">
        <f>VLOOKUP($F43,Composite!$B$5:$Q$817,T$3,FALSE)*VLOOKUP($C43,[2]!ExistingSat,MATCH($A43,[2]SATS!$C$10:$F$10,0)+1,FALSE)</f>
        <v>0</v>
      </c>
    </row>
    <row r="44" spans="1:20">
      <c r="A44" t="s">
        <v>75</v>
      </c>
      <c r="B44" t="s">
        <v>66</v>
      </c>
      <c r="C44" t="s">
        <v>26</v>
      </c>
      <c r="D44" t="s">
        <v>56</v>
      </c>
      <c r="E44" t="str">
        <f t="shared" si="1"/>
        <v>Heat PumpHZ1WINDOW CL22 Prime Window Replacement of Single Pane Base</v>
      </c>
      <c r="F44" s="31" t="str">
        <f>Composite!B43</f>
        <v>Manuf Homes Wx - WINDOW CL22 Prime Window Replacement of Single Pane Base + HZ1 + Heat Pump</v>
      </c>
      <c r="G44" s="31" t="str">
        <f>LEFT(Composite!C43,FIND(" + ",Composite!C43)-1)</f>
        <v>WINDOW CL22 Prime Window Replacement of Single Pane Base</v>
      </c>
      <c r="H44" s="31">
        <f>VLOOKUP($F44,Composite!$B$5:$Q$817,H$3,FALSE)*VLOOKUP($C44,[2]!ExistingSat,MATCH($A44,[2]SATS!$C$10:$F$10,0)+1,FALSE)</f>
        <v>641.34339958242094</v>
      </c>
      <c r="I44">
        <f>VLOOKUP($F44,Composite!$B$5:$Q$817,I$3,FALSE)</f>
        <v>25</v>
      </c>
      <c r="J44" s="31">
        <f>VLOOKUP($F44,Composite!$B$5:$Q$817,J$3,FALSE)*VLOOKUP($C44,[2]!ExistingSat,MATCH($A44,[2]SATS!$C$10:$F$10,0)+1,FALSE)</f>
        <v>3514.5499559131658</v>
      </c>
      <c r="K44" s="31">
        <f>VLOOKUP($F44,Composite!$B$5:$Q$817,K$3,FALSE)*VLOOKUP($C44,[2]!ExistingSat,MATCH($A44,[2]SATS!$C$10:$F$10,0)+1,FALSE)</f>
        <v>0</v>
      </c>
      <c r="L44" t="str">
        <f>VLOOKUP($F44,Composite!$B$5:$Q$817,L$3,FALSE)</f>
        <v>ResSHWX</v>
      </c>
      <c r="M44" s="31">
        <f>VLOOKUP($F44,Composite!$B$5:$Q$817,M$3,FALSE)*VLOOKUP($C44,[2]!ExistingSat,MATCH($A44,[2]SATS!$C$10:$F$10,0)+1,FALSE)</f>
        <v>4.5015740865271567</v>
      </c>
      <c r="N44" s="31">
        <f>VLOOKUP($F44,Composite!$B$5:$Q$817,N$3,FALSE)*VLOOKUP($C44,[2]!ExistingSat,MATCH($A44,[2]SATS!$C$10:$F$10,0)+1,FALSE)</f>
        <v>0</v>
      </c>
      <c r="O44">
        <f>VLOOKUP($F44,Composite!$B$5:$Q$817,O$3,FALSE)</f>
        <v>0</v>
      </c>
      <c r="P44" s="31">
        <f>VLOOKUP($F44,Composite!$B$5:$Q$817,P$3,FALSE)*VLOOKUP($C44,[2]!ExistingSat,MATCH($A44,[2]SATS!$C$10:$F$10,0)+1,FALSE)</f>
        <v>0</v>
      </c>
      <c r="Q44">
        <f>VLOOKUP($F44,Composite!$B$5:$Q$817,Q$3,FALSE)</f>
        <v>0</v>
      </c>
      <c r="R44" s="31">
        <f>VLOOKUP($F44,Composite!$B$5:$Q$817,R$3,FALSE)*VLOOKUP($C44,[2]!ExistingSat,MATCH($A44,[2]SATS!$C$10:$F$10,0)+1,FALSE)</f>
        <v>0</v>
      </c>
      <c r="S44">
        <f>VLOOKUP($F44,Composite!$B$5:$Q$817,S$3,FALSE)</f>
        <v>0</v>
      </c>
      <c r="T44" s="31">
        <f>VLOOKUP($F44,Composite!$B$5:$Q$817,T$3,FALSE)*VLOOKUP($C44,[2]!ExistingSat,MATCH($A44,[2]SATS!$C$10:$F$10,0)+1,FALSE)</f>
        <v>0</v>
      </c>
    </row>
    <row r="45" spans="1:20">
      <c r="A45" t="s">
        <v>75</v>
      </c>
      <c r="B45" t="s">
        <v>66</v>
      </c>
      <c r="C45" t="s">
        <v>5810</v>
      </c>
      <c r="D45" t="s">
        <v>56</v>
      </c>
      <c r="E45" t="str">
        <f t="shared" si="1"/>
        <v>Heat PumpHZ1Infiltration</v>
      </c>
      <c r="F45" s="31" t="str">
        <f>Composite!B44</f>
        <v>Manuf Homes Wx - Infiltration + HZ1 + Heat Pump</v>
      </c>
      <c r="G45" s="31" t="str">
        <f>LEFT(Composite!C44,FIND(" + ",Composite!C44)-1)</f>
        <v>Infiltration</v>
      </c>
      <c r="H45" s="31">
        <f>VLOOKUP($F45,Composite!$B$5:$Q$817,H$3,FALSE)*VLOOKUP($C45,[2]!ExistingSat,MATCH($A45,[2]SATS!$C$10:$F$10,0)+1,FALSE)</f>
        <v>157.53249539966595</v>
      </c>
      <c r="I45">
        <f>VLOOKUP($F45,Composite!$B$5:$Q$817,I$3,FALSE)</f>
        <v>25</v>
      </c>
      <c r="J45" s="31">
        <f>VLOOKUP($F45,Composite!$B$5:$Q$817,J$3,FALSE)*VLOOKUP($C45,[2]!ExistingSat,MATCH($A45,[2]SATS!$C$10:$F$10,0)+1,FALSE)</f>
        <v>3968</v>
      </c>
      <c r="K45" s="31">
        <f>VLOOKUP($F45,Composite!$B$5:$Q$817,K$3,FALSE)*VLOOKUP($C45,[2]!ExistingSat,MATCH($A45,[2]SATS!$C$10:$F$10,0)+1,FALSE)</f>
        <v>0</v>
      </c>
      <c r="L45" t="str">
        <f>VLOOKUP($F45,Composite!$B$5:$Q$817,L$3,FALSE)</f>
        <v>ResSHWX</v>
      </c>
      <c r="M45" s="31">
        <f>VLOOKUP($F45,Composite!$B$5:$Q$817,M$3,FALSE)*VLOOKUP($C45,[2]!ExistingSat,MATCH($A45,[2]SATS!$C$10:$F$10,0)+1,FALSE)</f>
        <v>1.1057168430186062</v>
      </c>
      <c r="N45" s="31">
        <f>VLOOKUP($F45,Composite!$B$5:$Q$817,N$3,FALSE)*VLOOKUP($C45,[2]!ExistingSat,MATCH($A45,[2]SATS!$C$10:$F$10,0)+1,FALSE)</f>
        <v>0</v>
      </c>
      <c r="O45">
        <f>VLOOKUP($F45,Composite!$B$5:$Q$817,O$3,FALSE)</f>
        <v>0</v>
      </c>
      <c r="P45" s="31">
        <f>VLOOKUP($F45,Composite!$B$5:$Q$817,P$3,FALSE)*VLOOKUP($C45,[2]!ExistingSat,MATCH($A45,[2]SATS!$C$10:$F$10,0)+1,FALSE)</f>
        <v>0</v>
      </c>
      <c r="Q45">
        <f>VLOOKUP($F45,Composite!$B$5:$Q$817,Q$3,FALSE)</f>
        <v>0</v>
      </c>
      <c r="R45" s="31">
        <f>VLOOKUP($F45,Composite!$B$5:$Q$817,R$3,FALSE)*VLOOKUP($C45,[2]!ExistingSat,MATCH($A45,[2]SATS!$C$10:$F$10,0)+1,FALSE)</f>
        <v>0</v>
      </c>
      <c r="S45">
        <f>VLOOKUP($F45,Composite!$B$5:$Q$817,S$3,FALSE)</f>
        <v>0</v>
      </c>
      <c r="T45" s="31">
        <f>VLOOKUP($F45,Composite!$B$5:$Q$817,T$3,FALSE)*VLOOKUP($C45,[2]!ExistingSat,MATCH($A45,[2]SATS!$C$10:$F$10,0)+1,FALSE)</f>
        <v>0</v>
      </c>
    </row>
    <row r="46" spans="1:20">
      <c r="A46" t="s">
        <v>75</v>
      </c>
      <c r="B46" t="s">
        <v>66</v>
      </c>
      <c r="C46" t="s">
        <v>27</v>
      </c>
      <c r="D46" t="s">
        <v>57</v>
      </c>
      <c r="E46" t="str">
        <f t="shared" si="1"/>
        <v>Heat PumpHZ2Attic R0 - R30</v>
      </c>
      <c r="F46" s="31" t="str">
        <f>Composite!B45</f>
        <v>Manuf Homes Wx - Attic R0 - R30 + HZ2 + Heat Pump</v>
      </c>
      <c r="G46" s="31" t="str">
        <f>LEFT(Composite!C45,FIND(" + ",Composite!C45)-1)</f>
        <v>Attic R0 - R30</v>
      </c>
      <c r="H46" s="31">
        <f>VLOOKUP($F46,Composite!$B$5:$Q$817,H$3,FALSE)*VLOOKUP($C46,[2]!ExistingSat,MATCH($A46,[2]SATS!$C$10:$F$10,0)+1,FALSE)</f>
        <v>393.36309441724546</v>
      </c>
      <c r="I46">
        <f>VLOOKUP($F46,Composite!$B$5:$Q$817,I$3,FALSE)</f>
        <v>25</v>
      </c>
      <c r="J46" s="31">
        <f>VLOOKUP($F46,Composite!$B$5:$Q$817,J$3,FALSE)*VLOOKUP($C46,[2]!ExistingSat,MATCH($A46,[2]SATS!$C$10:$F$10,0)+1,FALSE)</f>
        <v>2688</v>
      </c>
      <c r="K46" s="31">
        <f>VLOOKUP($F46,Composite!$B$5:$Q$817,K$3,FALSE)*VLOOKUP($C46,[2]!ExistingSat,MATCH($A46,[2]SATS!$C$10:$F$10,0)+1,FALSE)</f>
        <v>0</v>
      </c>
      <c r="L46" t="str">
        <f>VLOOKUP($F46,Composite!$B$5:$Q$817,L$3,FALSE)</f>
        <v>ResSHWX</v>
      </c>
      <c r="M46" s="31">
        <f>VLOOKUP($F46,Composite!$B$5:$Q$817,M$3,FALSE)*VLOOKUP($C46,[2]!ExistingSat,MATCH($A46,[2]SATS!$C$10:$F$10,0)+1,FALSE)</f>
        <v>6.2647284446409213</v>
      </c>
      <c r="N46" s="31">
        <f>VLOOKUP($F46,Composite!$B$5:$Q$817,N$3,FALSE)*VLOOKUP($C46,[2]!ExistingSat,MATCH($A46,[2]SATS!$C$10:$F$10,0)+1,FALSE)</f>
        <v>0</v>
      </c>
      <c r="O46">
        <f>VLOOKUP($F46,Composite!$B$5:$Q$817,O$3,FALSE)</f>
        <v>0</v>
      </c>
      <c r="P46" s="31">
        <f>VLOOKUP($F46,Composite!$B$5:$Q$817,P$3,FALSE)*VLOOKUP($C46,[2]!ExistingSat,MATCH($A46,[2]SATS!$C$10:$F$10,0)+1,FALSE)</f>
        <v>0</v>
      </c>
      <c r="Q46">
        <f>VLOOKUP($F46,Composite!$B$5:$Q$817,Q$3,FALSE)</f>
        <v>0</v>
      </c>
      <c r="R46" s="31">
        <f>VLOOKUP($F46,Composite!$B$5:$Q$817,R$3,FALSE)*VLOOKUP($C46,[2]!ExistingSat,MATCH($A46,[2]SATS!$C$10:$F$10,0)+1,FALSE)</f>
        <v>0</v>
      </c>
      <c r="S46">
        <f>VLOOKUP($F46,Composite!$B$5:$Q$817,S$3,FALSE)</f>
        <v>0</v>
      </c>
      <c r="T46" s="31">
        <f>VLOOKUP($F46,Composite!$B$5:$Q$817,T$3,FALSE)*VLOOKUP($C46,[2]!ExistingSat,MATCH($A46,[2]SATS!$C$10:$F$10,0)+1,FALSE)</f>
        <v>0</v>
      </c>
    </row>
    <row r="47" spans="1:20">
      <c r="A47" t="s">
        <v>75</v>
      </c>
      <c r="B47" t="s">
        <v>66</v>
      </c>
      <c r="C47" t="s">
        <v>27</v>
      </c>
      <c r="D47" t="s">
        <v>57</v>
      </c>
      <c r="E47" t="str">
        <f t="shared" si="1"/>
        <v>Heat PumpHZ2Attic R0 - R22</v>
      </c>
      <c r="F47" s="31" t="str">
        <f>Composite!B46</f>
        <v>Manuf Homes Wx - Attic R0 - R22 + HZ2 + Heat Pump</v>
      </c>
      <c r="G47" s="31" t="str">
        <f>LEFT(Composite!C46,FIND(" + ",Composite!C46)-1)</f>
        <v>Attic R0 - R22</v>
      </c>
      <c r="H47" s="31">
        <f>VLOOKUP($F47,Composite!$B$5:$Q$817,H$3,FALSE)*VLOOKUP($C47,[2]!ExistingSat,MATCH($A47,[2]SATS!$C$10:$F$10,0)+1,FALSE)</f>
        <v>364.66820744511699</v>
      </c>
      <c r="I47">
        <f>VLOOKUP($F47,Composite!$B$5:$Q$817,I$3,FALSE)</f>
        <v>25</v>
      </c>
      <c r="J47" s="31">
        <f>VLOOKUP($F47,Composite!$B$5:$Q$817,J$3,FALSE)*VLOOKUP($C47,[2]!ExistingSat,MATCH($A47,[2]SATS!$C$10:$F$10,0)+1,FALSE)</f>
        <v>2688</v>
      </c>
      <c r="K47" s="31">
        <f>VLOOKUP($F47,Composite!$B$5:$Q$817,K$3,FALSE)*VLOOKUP($C47,[2]!ExistingSat,MATCH($A47,[2]SATS!$C$10:$F$10,0)+1,FALSE)</f>
        <v>0</v>
      </c>
      <c r="L47" t="str">
        <f>VLOOKUP($F47,Composite!$B$5:$Q$817,L$3,FALSE)</f>
        <v>ResSHWX</v>
      </c>
      <c r="M47" s="31">
        <f>VLOOKUP($F47,Composite!$B$5:$Q$817,M$3,FALSE)*VLOOKUP($C47,[2]!ExistingSat,MATCH($A47,[2]SATS!$C$10:$F$10,0)+1,FALSE)</f>
        <v>5.8077316465646671</v>
      </c>
      <c r="N47" s="31">
        <f>VLOOKUP($F47,Composite!$B$5:$Q$817,N$3,FALSE)*VLOOKUP($C47,[2]!ExistingSat,MATCH($A47,[2]SATS!$C$10:$F$10,0)+1,FALSE)</f>
        <v>0</v>
      </c>
      <c r="O47">
        <f>VLOOKUP($F47,Composite!$B$5:$Q$817,O$3,FALSE)</f>
        <v>0</v>
      </c>
      <c r="P47" s="31">
        <f>VLOOKUP($F47,Composite!$B$5:$Q$817,P$3,FALSE)*VLOOKUP($C47,[2]!ExistingSat,MATCH($A47,[2]SATS!$C$10:$F$10,0)+1,FALSE)</f>
        <v>0</v>
      </c>
      <c r="Q47">
        <f>VLOOKUP($F47,Composite!$B$5:$Q$817,Q$3,FALSE)</f>
        <v>0</v>
      </c>
      <c r="R47" s="31">
        <f>VLOOKUP($F47,Composite!$B$5:$Q$817,R$3,FALSE)*VLOOKUP($C47,[2]!ExistingSat,MATCH($A47,[2]SATS!$C$10:$F$10,0)+1,FALSE)</f>
        <v>0</v>
      </c>
      <c r="S47">
        <f>VLOOKUP($F47,Composite!$B$5:$Q$817,S$3,FALSE)</f>
        <v>0</v>
      </c>
      <c r="T47" s="31">
        <f>VLOOKUP($F47,Composite!$B$5:$Q$817,T$3,FALSE)*VLOOKUP($C47,[2]!ExistingSat,MATCH($A47,[2]SATS!$C$10:$F$10,0)+1,FALSE)</f>
        <v>0</v>
      </c>
    </row>
    <row r="48" spans="1:20">
      <c r="A48" t="s">
        <v>75</v>
      </c>
      <c r="B48" t="s">
        <v>66</v>
      </c>
      <c r="C48" t="s">
        <v>27</v>
      </c>
      <c r="D48" t="s">
        <v>57</v>
      </c>
      <c r="E48" t="str">
        <f t="shared" si="1"/>
        <v>Heat PumpHZ2Attic R11 - R30</v>
      </c>
      <c r="F48" s="31" t="str">
        <f>Composite!B47</f>
        <v>Manuf Homes Wx - Attic R11 - R30 + HZ2 + Heat Pump</v>
      </c>
      <c r="G48" s="31" t="str">
        <f>LEFT(Composite!C47,FIND(" + ",Composite!C47)-1)</f>
        <v>Attic R11 - R30</v>
      </c>
      <c r="H48" s="31">
        <f>VLOOKUP($F48,Composite!$B$5:$Q$817,H$3,FALSE)*VLOOKUP($C48,[2]!ExistingSat,MATCH($A48,[2]SATS!$C$10:$F$10,0)+1,FALSE)</f>
        <v>36.007569729274792</v>
      </c>
      <c r="I48">
        <f>VLOOKUP($F48,Composite!$B$5:$Q$817,I$3,FALSE)</f>
        <v>25</v>
      </c>
      <c r="J48" s="31">
        <f>VLOOKUP($F48,Composite!$B$5:$Q$817,J$3,FALSE)*VLOOKUP($C48,[2]!ExistingSat,MATCH($A48,[2]SATS!$C$10:$F$10,0)+1,FALSE)</f>
        <v>2688</v>
      </c>
      <c r="K48" s="31">
        <f>VLOOKUP($F48,Composite!$B$5:$Q$817,K$3,FALSE)*VLOOKUP($C48,[2]!ExistingSat,MATCH($A48,[2]SATS!$C$10:$F$10,0)+1,FALSE)</f>
        <v>0</v>
      </c>
      <c r="L48" t="str">
        <f>VLOOKUP($F48,Composite!$B$5:$Q$817,L$3,FALSE)</f>
        <v>ResSHWX</v>
      </c>
      <c r="M48" s="31">
        <f>VLOOKUP($F48,Composite!$B$5:$Q$817,M$3,FALSE)*VLOOKUP($C48,[2]!ExistingSat,MATCH($A48,[2]SATS!$C$10:$F$10,0)+1,FALSE)</f>
        <v>0.57345910052788485</v>
      </c>
      <c r="N48" s="31">
        <f>VLOOKUP($F48,Composite!$B$5:$Q$817,N$3,FALSE)*VLOOKUP($C48,[2]!ExistingSat,MATCH($A48,[2]SATS!$C$10:$F$10,0)+1,FALSE)</f>
        <v>0</v>
      </c>
      <c r="O48">
        <f>VLOOKUP($F48,Composite!$B$5:$Q$817,O$3,FALSE)</f>
        <v>0</v>
      </c>
      <c r="P48" s="31">
        <f>VLOOKUP($F48,Composite!$B$5:$Q$817,P$3,FALSE)*VLOOKUP($C48,[2]!ExistingSat,MATCH($A48,[2]SATS!$C$10:$F$10,0)+1,FALSE)</f>
        <v>0</v>
      </c>
      <c r="Q48">
        <f>VLOOKUP($F48,Composite!$B$5:$Q$817,Q$3,FALSE)</f>
        <v>0</v>
      </c>
      <c r="R48" s="31">
        <f>VLOOKUP($F48,Composite!$B$5:$Q$817,R$3,FALSE)*VLOOKUP($C48,[2]!ExistingSat,MATCH($A48,[2]SATS!$C$10:$F$10,0)+1,FALSE)</f>
        <v>0</v>
      </c>
      <c r="S48">
        <f>VLOOKUP($F48,Composite!$B$5:$Q$817,S$3,FALSE)</f>
        <v>0</v>
      </c>
      <c r="T48" s="31">
        <f>VLOOKUP($F48,Composite!$B$5:$Q$817,T$3,FALSE)*VLOOKUP($C48,[2]!ExistingSat,MATCH($A48,[2]SATS!$C$10:$F$10,0)+1,FALSE)</f>
        <v>0</v>
      </c>
    </row>
    <row r="49" spans="1:20">
      <c r="A49" t="s">
        <v>75</v>
      </c>
      <c r="B49" t="s">
        <v>66</v>
      </c>
      <c r="C49" t="s">
        <v>25</v>
      </c>
      <c r="D49" t="s">
        <v>57</v>
      </c>
      <c r="E49" t="str">
        <f t="shared" si="1"/>
        <v>Heat PumpHZ2Floor R0 - R22</v>
      </c>
      <c r="F49" s="31" t="str">
        <f>Composite!B48</f>
        <v>Manuf Homes Wx - Floor R0 - R22 + HZ2 + Heat Pump</v>
      </c>
      <c r="G49" s="31" t="str">
        <f>LEFT(Composite!C48,FIND(" + ",Composite!C48)-1)</f>
        <v>Floor R0 - R22</v>
      </c>
      <c r="H49" s="31">
        <f>VLOOKUP($F49,Composite!$B$5:$Q$817,H$3,FALSE)*VLOOKUP($C49,[2]!ExistingSat,MATCH($A49,[2]SATS!$C$10:$F$10,0)+1,FALSE)</f>
        <v>29.343676539380827</v>
      </c>
      <c r="I49">
        <f>VLOOKUP($F49,Composite!$B$5:$Q$817,I$3,FALSE)</f>
        <v>25</v>
      </c>
      <c r="J49" s="31">
        <f>VLOOKUP($F49,Composite!$B$5:$Q$817,J$3,FALSE)*VLOOKUP($C49,[2]!ExistingSat,MATCH($A49,[2]SATS!$C$10:$F$10,0)+1,FALSE)</f>
        <v>4224</v>
      </c>
      <c r="K49" s="31">
        <f>VLOOKUP($F49,Composite!$B$5:$Q$817,K$3,FALSE)*VLOOKUP($C49,[2]!ExistingSat,MATCH($A49,[2]SATS!$C$10:$F$10,0)+1,FALSE)</f>
        <v>0</v>
      </c>
      <c r="L49" t="str">
        <f>VLOOKUP($F49,Composite!$B$5:$Q$817,L$3,FALSE)</f>
        <v>ResSHWX</v>
      </c>
      <c r="M49" s="31">
        <f>VLOOKUP($F49,Composite!$B$5:$Q$817,M$3,FALSE)*VLOOKUP($C49,[2]!ExistingSat,MATCH($A49,[2]SATS!$C$10:$F$10,0)+1,FALSE)</f>
        <v>0.46732946658084684</v>
      </c>
      <c r="N49" s="31">
        <f>VLOOKUP($F49,Composite!$B$5:$Q$817,N$3,FALSE)*VLOOKUP($C49,[2]!ExistingSat,MATCH($A49,[2]SATS!$C$10:$F$10,0)+1,FALSE)</f>
        <v>0</v>
      </c>
      <c r="O49">
        <f>VLOOKUP($F49,Composite!$B$5:$Q$817,O$3,FALSE)</f>
        <v>0</v>
      </c>
      <c r="P49" s="31">
        <f>VLOOKUP($F49,Composite!$B$5:$Q$817,P$3,FALSE)*VLOOKUP($C49,[2]!ExistingSat,MATCH($A49,[2]SATS!$C$10:$F$10,0)+1,FALSE)</f>
        <v>0</v>
      </c>
      <c r="Q49">
        <f>VLOOKUP($F49,Composite!$B$5:$Q$817,Q$3,FALSE)</f>
        <v>0</v>
      </c>
      <c r="R49" s="31">
        <f>VLOOKUP($F49,Composite!$B$5:$Q$817,R$3,FALSE)*VLOOKUP($C49,[2]!ExistingSat,MATCH($A49,[2]SATS!$C$10:$F$10,0)+1,FALSE)</f>
        <v>0</v>
      </c>
      <c r="S49">
        <f>VLOOKUP($F49,Composite!$B$5:$Q$817,S$3,FALSE)</f>
        <v>0</v>
      </c>
      <c r="T49" s="31">
        <f>VLOOKUP($F49,Composite!$B$5:$Q$817,T$3,FALSE)*VLOOKUP($C49,[2]!ExistingSat,MATCH($A49,[2]SATS!$C$10:$F$10,0)+1,FALSE)</f>
        <v>0</v>
      </c>
    </row>
    <row r="50" spans="1:20">
      <c r="A50" t="s">
        <v>75</v>
      </c>
      <c r="B50" t="s">
        <v>66</v>
      </c>
      <c r="C50" t="s">
        <v>25</v>
      </c>
      <c r="D50" t="s">
        <v>57</v>
      </c>
      <c r="E50" t="str">
        <f t="shared" si="1"/>
        <v>Heat PumpHZ2Floor R11 - R22</v>
      </c>
      <c r="F50" s="31" t="str">
        <f>Composite!B49</f>
        <v>Manuf Homes Wx - Floor R11 - R22 + HZ2 + Heat Pump</v>
      </c>
      <c r="G50" s="31" t="str">
        <f>LEFT(Composite!C49,FIND(" + ",Composite!C49)-1)</f>
        <v>Floor R11 - R22</v>
      </c>
      <c r="H50" s="31">
        <f>VLOOKUP($F50,Composite!$B$5:$Q$817,H$3,FALSE)*VLOOKUP($C50,[2]!ExistingSat,MATCH($A50,[2]SATS!$C$10:$F$10,0)+1,FALSE)</f>
        <v>33.566223944725998</v>
      </c>
      <c r="I50">
        <f>VLOOKUP($F50,Composite!$B$5:$Q$817,I$3,FALSE)</f>
        <v>25</v>
      </c>
      <c r="J50" s="31">
        <f>VLOOKUP($F50,Composite!$B$5:$Q$817,J$3,FALSE)*VLOOKUP($C50,[2]!ExistingSat,MATCH($A50,[2]SATS!$C$10:$F$10,0)+1,FALSE)</f>
        <v>4224</v>
      </c>
      <c r="K50" s="31">
        <f>VLOOKUP($F50,Composite!$B$5:$Q$817,K$3,FALSE)*VLOOKUP($C50,[2]!ExistingSat,MATCH($A50,[2]SATS!$C$10:$F$10,0)+1,FALSE)</f>
        <v>0</v>
      </c>
      <c r="L50" t="str">
        <f>VLOOKUP($F50,Composite!$B$5:$Q$817,L$3,FALSE)</f>
        <v>ResSHWX</v>
      </c>
      <c r="M50" s="31">
        <f>VLOOKUP($F50,Composite!$B$5:$Q$817,M$3,FALSE)*VLOOKUP($C50,[2]!ExistingSat,MATCH($A50,[2]SATS!$C$10:$F$10,0)+1,FALSE)</f>
        <v>0.53457805500854139</v>
      </c>
      <c r="N50" s="31">
        <f>VLOOKUP($F50,Composite!$B$5:$Q$817,N$3,FALSE)*VLOOKUP($C50,[2]!ExistingSat,MATCH($A50,[2]SATS!$C$10:$F$10,0)+1,FALSE)</f>
        <v>0</v>
      </c>
      <c r="O50">
        <f>VLOOKUP($F50,Composite!$B$5:$Q$817,O$3,FALSE)</f>
        <v>0</v>
      </c>
      <c r="P50" s="31">
        <f>VLOOKUP($F50,Composite!$B$5:$Q$817,P$3,FALSE)*VLOOKUP($C50,[2]!ExistingSat,MATCH($A50,[2]SATS!$C$10:$F$10,0)+1,FALSE)</f>
        <v>0</v>
      </c>
      <c r="Q50">
        <f>VLOOKUP($F50,Composite!$B$5:$Q$817,Q$3,FALSE)</f>
        <v>0</v>
      </c>
      <c r="R50" s="31">
        <f>VLOOKUP($F50,Composite!$B$5:$Q$817,R$3,FALSE)*VLOOKUP($C50,[2]!ExistingSat,MATCH($A50,[2]SATS!$C$10:$F$10,0)+1,FALSE)</f>
        <v>0</v>
      </c>
      <c r="S50">
        <f>VLOOKUP($F50,Composite!$B$5:$Q$817,S$3,FALSE)</f>
        <v>0</v>
      </c>
      <c r="T50" s="31">
        <f>VLOOKUP($F50,Composite!$B$5:$Q$817,T$3,FALSE)*VLOOKUP($C50,[2]!ExistingSat,MATCH($A50,[2]SATS!$C$10:$F$10,0)+1,FALSE)</f>
        <v>0</v>
      </c>
    </row>
    <row r="51" spans="1:20">
      <c r="A51" t="s">
        <v>75</v>
      </c>
      <c r="B51" t="s">
        <v>66</v>
      </c>
      <c r="C51" t="s">
        <v>26</v>
      </c>
      <c r="D51" t="s">
        <v>57</v>
      </c>
      <c r="E51" t="str">
        <f t="shared" si="1"/>
        <v>Heat PumpHZ2WINDOW CL30 Prime Window Replacement of Double Pane Base</v>
      </c>
      <c r="F51" s="31" t="str">
        <f>Composite!B50</f>
        <v>Manuf Homes Wx - WINDOW CL30 Prime Window Replacement of Double Pane Base + HZ2 + Heat Pump</v>
      </c>
      <c r="G51" s="31" t="str">
        <f>LEFT(Composite!C50,FIND(" + ",Composite!C50)-1)</f>
        <v>WINDOW CL30 Prime Window Replacement of Double Pane Base</v>
      </c>
      <c r="H51" s="31">
        <f>VLOOKUP($F51,Composite!$B$5:$Q$817,H$3,FALSE)*VLOOKUP($C51,[2]!ExistingSat,MATCH($A51,[2]SATS!$C$10:$F$10,0)+1,FALSE)</f>
        <v>389.92298940979572</v>
      </c>
      <c r="I51">
        <f>VLOOKUP($F51,Composite!$B$5:$Q$817,I$3,FALSE)</f>
        <v>25</v>
      </c>
      <c r="J51" s="31">
        <f>VLOOKUP($F51,Composite!$B$5:$Q$817,J$3,FALSE)*VLOOKUP($C51,[2]!ExistingSat,MATCH($A51,[2]SATS!$C$10:$F$10,0)+1,FALSE)</f>
        <v>3296.9499559131655</v>
      </c>
      <c r="K51" s="31">
        <f>VLOOKUP($F51,Composite!$B$5:$Q$817,K$3,FALSE)*VLOOKUP($C51,[2]!ExistingSat,MATCH($A51,[2]SATS!$C$10:$F$10,0)+1,FALSE)</f>
        <v>0</v>
      </c>
      <c r="L51" t="str">
        <f>VLOOKUP($F51,Composite!$B$5:$Q$817,L$3,FALSE)</f>
        <v>ResSHWX</v>
      </c>
      <c r="M51" s="31">
        <f>VLOOKUP($F51,Composite!$B$5:$Q$817,M$3,FALSE)*VLOOKUP($C51,[2]!ExistingSat,MATCH($A51,[2]SATS!$C$10:$F$10,0)+1,FALSE)</f>
        <v>6.2099410891452376</v>
      </c>
      <c r="N51" s="31">
        <f>VLOOKUP($F51,Composite!$B$5:$Q$817,N$3,FALSE)*VLOOKUP($C51,[2]!ExistingSat,MATCH($A51,[2]SATS!$C$10:$F$10,0)+1,FALSE)</f>
        <v>0</v>
      </c>
      <c r="O51">
        <f>VLOOKUP($F51,Composite!$B$5:$Q$817,O$3,FALSE)</f>
        <v>0</v>
      </c>
      <c r="P51" s="31">
        <f>VLOOKUP($F51,Composite!$B$5:$Q$817,P$3,FALSE)*VLOOKUP($C51,[2]!ExistingSat,MATCH($A51,[2]SATS!$C$10:$F$10,0)+1,FALSE)</f>
        <v>0</v>
      </c>
      <c r="Q51">
        <f>VLOOKUP($F51,Composite!$B$5:$Q$817,Q$3,FALSE)</f>
        <v>0</v>
      </c>
      <c r="R51" s="31">
        <f>VLOOKUP($F51,Composite!$B$5:$Q$817,R$3,FALSE)*VLOOKUP($C51,[2]!ExistingSat,MATCH($A51,[2]SATS!$C$10:$F$10,0)+1,FALSE)</f>
        <v>0</v>
      </c>
      <c r="S51">
        <f>VLOOKUP($F51,Composite!$B$5:$Q$817,S$3,FALSE)</f>
        <v>0</v>
      </c>
      <c r="T51" s="31">
        <f>VLOOKUP($F51,Composite!$B$5:$Q$817,T$3,FALSE)*VLOOKUP($C51,[2]!ExistingSat,MATCH($A51,[2]SATS!$C$10:$F$10,0)+1,FALSE)</f>
        <v>0</v>
      </c>
    </row>
    <row r="52" spans="1:20">
      <c r="A52" t="s">
        <v>75</v>
      </c>
      <c r="B52" t="s">
        <v>66</v>
      </c>
      <c r="C52" t="s">
        <v>26</v>
      </c>
      <c r="D52" t="s">
        <v>57</v>
      </c>
      <c r="E52" t="str">
        <f t="shared" si="1"/>
        <v>Heat PumpHZ2WINDOW CL30 Prime Window Replacement of Single Pane Base</v>
      </c>
      <c r="F52" s="31" t="str">
        <f>Composite!B51</f>
        <v>Manuf Homes Wx - WINDOW CL30 Prime Window Replacement of Single Pane Base + HZ2 + Heat Pump</v>
      </c>
      <c r="G52" s="31" t="str">
        <f>LEFT(Composite!C51,FIND(" + ",Composite!C51)-1)</f>
        <v>WINDOW CL30 Prime Window Replacement of Single Pane Base</v>
      </c>
      <c r="H52" s="31">
        <f>VLOOKUP($F52,Composite!$B$5:$Q$817,H$3,FALSE)*VLOOKUP($C52,[2]!ExistingSat,MATCH($A52,[2]SATS!$C$10:$F$10,0)+1,FALSE)</f>
        <v>609.10212920394144</v>
      </c>
      <c r="I52">
        <f>VLOOKUP($F52,Composite!$B$5:$Q$817,I$3,FALSE)</f>
        <v>25</v>
      </c>
      <c r="J52" s="31">
        <f>VLOOKUP($F52,Composite!$B$5:$Q$817,J$3,FALSE)*VLOOKUP($C52,[2]!ExistingSat,MATCH($A52,[2]SATS!$C$10:$F$10,0)+1,FALSE)</f>
        <v>3296.9499559131655</v>
      </c>
      <c r="K52" s="31">
        <f>VLOOKUP($F52,Composite!$B$5:$Q$817,K$3,FALSE)*VLOOKUP($C52,[2]!ExistingSat,MATCH($A52,[2]SATS!$C$10:$F$10,0)+1,FALSE)</f>
        <v>0</v>
      </c>
      <c r="L52" t="str">
        <f>VLOOKUP($F52,Composite!$B$5:$Q$817,L$3,FALSE)</f>
        <v>ResSHWX</v>
      </c>
      <c r="M52" s="31">
        <f>VLOOKUP($F52,Composite!$B$5:$Q$817,M$3,FALSE)*VLOOKUP($C52,[2]!ExistingSat,MATCH($A52,[2]SATS!$C$10:$F$10,0)+1,FALSE)</f>
        <v>9.7006035611153436</v>
      </c>
      <c r="N52" s="31">
        <f>VLOOKUP($F52,Composite!$B$5:$Q$817,N$3,FALSE)*VLOOKUP($C52,[2]!ExistingSat,MATCH($A52,[2]SATS!$C$10:$F$10,0)+1,FALSE)</f>
        <v>0</v>
      </c>
      <c r="O52">
        <f>VLOOKUP($F52,Composite!$B$5:$Q$817,O$3,FALSE)</f>
        <v>0</v>
      </c>
      <c r="P52" s="31">
        <f>VLOOKUP($F52,Composite!$B$5:$Q$817,P$3,FALSE)*VLOOKUP($C52,[2]!ExistingSat,MATCH($A52,[2]SATS!$C$10:$F$10,0)+1,FALSE)</f>
        <v>0</v>
      </c>
      <c r="Q52">
        <f>VLOOKUP($F52,Composite!$B$5:$Q$817,Q$3,FALSE)</f>
        <v>0</v>
      </c>
      <c r="R52" s="31">
        <f>VLOOKUP($F52,Composite!$B$5:$Q$817,R$3,FALSE)*VLOOKUP($C52,[2]!ExistingSat,MATCH($A52,[2]SATS!$C$10:$F$10,0)+1,FALSE)</f>
        <v>0</v>
      </c>
      <c r="S52">
        <f>VLOOKUP($F52,Composite!$B$5:$Q$817,S$3,FALSE)</f>
        <v>0</v>
      </c>
      <c r="T52" s="31">
        <f>VLOOKUP($F52,Composite!$B$5:$Q$817,T$3,FALSE)*VLOOKUP($C52,[2]!ExistingSat,MATCH($A52,[2]SATS!$C$10:$F$10,0)+1,FALSE)</f>
        <v>0</v>
      </c>
    </row>
    <row r="53" spans="1:20">
      <c r="A53" t="s">
        <v>75</v>
      </c>
      <c r="B53" t="s">
        <v>66</v>
      </c>
      <c r="C53" t="s">
        <v>26</v>
      </c>
      <c r="D53" t="s">
        <v>57</v>
      </c>
      <c r="E53" t="str">
        <f t="shared" si="1"/>
        <v>Heat PumpHZ2WINDOW CL22 Prime Window Replacement of Double Pane Base</v>
      </c>
      <c r="F53" s="31" t="str">
        <f>Composite!B52</f>
        <v>Manuf Homes Wx - WINDOW CL22 Prime Window Replacement of Double Pane Base + HZ2 + Heat Pump</v>
      </c>
      <c r="G53" s="31" t="str">
        <f>LEFT(Composite!C52,FIND(" + ",Composite!C52)-1)</f>
        <v>WINDOW CL22 Prime Window Replacement of Double Pane Base</v>
      </c>
      <c r="H53" s="31">
        <f>VLOOKUP($F53,Composite!$B$5:$Q$817,H$3,FALSE)*VLOOKUP($C53,[2]!ExistingSat,MATCH($A53,[2]SATS!$C$10:$F$10,0)+1,FALSE)</f>
        <v>1000.0996357210543</v>
      </c>
      <c r="I53">
        <f>VLOOKUP($F53,Composite!$B$5:$Q$817,I$3,FALSE)</f>
        <v>25</v>
      </c>
      <c r="J53" s="31">
        <f>VLOOKUP($F53,Composite!$B$5:$Q$817,J$3,FALSE)*VLOOKUP($C53,[2]!ExistingSat,MATCH($A53,[2]SATS!$C$10:$F$10,0)+1,FALSE)</f>
        <v>3514.5499559131658</v>
      </c>
      <c r="K53" s="31">
        <f>VLOOKUP($F53,Composite!$B$5:$Q$817,K$3,FALSE)*VLOOKUP($C53,[2]!ExistingSat,MATCH($A53,[2]SATS!$C$10:$F$10,0)+1,FALSE)</f>
        <v>0</v>
      </c>
      <c r="L53" t="str">
        <f>VLOOKUP($F53,Composite!$B$5:$Q$817,L$3,FALSE)</f>
        <v>ResSHWX</v>
      </c>
      <c r="M53" s="31">
        <f>VLOOKUP($F53,Composite!$B$5:$Q$817,M$3,FALSE)*VLOOKUP($C53,[2]!ExistingSat,MATCH($A53,[2]SATS!$C$10:$F$10,0)+1,FALSE)</f>
        <v>6.6436324420802393</v>
      </c>
      <c r="N53" s="31">
        <f>VLOOKUP($F53,Composite!$B$5:$Q$817,N$3,FALSE)*VLOOKUP($C53,[2]!ExistingSat,MATCH($A53,[2]SATS!$C$10:$F$10,0)+1,FALSE)</f>
        <v>0</v>
      </c>
      <c r="O53">
        <f>VLOOKUP($F53,Composite!$B$5:$Q$817,O$3,FALSE)</f>
        <v>0</v>
      </c>
      <c r="P53" s="31">
        <f>VLOOKUP($F53,Composite!$B$5:$Q$817,P$3,FALSE)*VLOOKUP($C53,[2]!ExistingSat,MATCH($A53,[2]SATS!$C$10:$F$10,0)+1,FALSE)</f>
        <v>0</v>
      </c>
      <c r="Q53">
        <f>VLOOKUP($F53,Composite!$B$5:$Q$817,Q$3,FALSE)</f>
        <v>0</v>
      </c>
      <c r="R53" s="31">
        <f>VLOOKUP($F53,Composite!$B$5:$Q$817,R$3,FALSE)*VLOOKUP($C53,[2]!ExistingSat,MATCH($A53,[2]SATS!$C$10:$F$10,0)+1,FALSE)</f>
        <v>0</v>
      </c>
      <c r="S53">
        <f>VLOOKUP($F53,Composite!$B$5:$Q$817,S$3,FALSE)</f>
        <v>0</v>
      </c>
      <c r="T53" s="31">
        <f>VLOOKUP($F53,Composite!$B$5:$Q$817,T$3,FALSE)*VLOOKUP($C53,[2]!ExistingSat,MATCH($A53,[2]SATS!$C$10:$F$10,0)+1,FALSE)</f>
        <v>0</v>
      </c>
    </row>
    <row r="54" spans="1:20">
      <c r="A54" t="s">
        <v>75</v>
      </c>
      <c r="B54" t="s">
        <v>66</v>
      </c>
      <c r="C54" t="s">
        <v>26</v>
      </c>
      <c r="D54" t="s">
        <v>57</v>
      </c>
      <c r="E54" t="str">
        <f t="shared" ref="E54:E65" si="2">B54&amp;D54&amp;G54</f>
        <v>Heat PumpHZ2WINDOW CL22 Prime Window Replacement of Single Pane Base</v>
      </c>
      <c r="F54" s="31" t="str">
        <f>Composite!B53</f>
        <v>Manuf Homes Wx - WINDOW CL22 Prime Window Replacement of Single Pane Base + HZ2 + Heat Pump</v>
      </c>
      <c r="G54" s="31" t="str">
        <f>LEFT(Composite!C53,FIND(" + ",Composite!C53)-1)</f>
        <v>WINDOW CL22 Prime Window Replacement of Single Pane Base</v>
      </c>
      <c r="H54" s="31">
        <f>VLOOKUP($F54,Composite!$B$5:$Q$817,H$3,FALSE)*VLOOKUP($C54,[2]!ExistingSat,MATCH($A54,[2]SATS!$C$10:$F$10,0)+1,FALSE)</f>
        <v>660.00413750329335</v>
      </c>
      <c r="I54">
        <f>VLOOKUP($F54,Composite!$B$5:$Q$817,I$3,FALSE)</f>
        <v>25</v>
      </c>
      <c r="J54" s="31">
        <f>VLOOKUP($F54,Composite!$B$5:$Q$817,J$3,FALSE)*VLOOKUP($C54,[2]!ExistingSat,MATCH($A54,[2]SATS!$C$10:$F$10,0)+1,FALSE)</f>
        <v>3514.5499559131658</v>
      </c>
      <c r="K54" s="31">
        <f>VLOOKUP($F54,Composite!$B$5:$Q$817,K$3,FALSE)*VLOOKUP($C54,[2]!ExistingSat,MATCH($A54,[2]SATS!$C$10:$F$10,0)+1,FALSE)</f>
        <v>0</v>
      </c>
      <c r="L54" t="str">
        <f>VLOOKUP($F54,Composite!$B$5:$Q$817,L$3,FALSE)</f>
        <v>ResSHWX</v>
      </c>
      <c r="M54" s="31">
        <f>VLOOKUP($F54,Composite!$B$5:$Q$817,M$3,FALSE)*VLOOKUP($C54,[2]!ExistingSat,MATCH($A54,[2]SATS!$C$10:$F$10,0)+1,FALSE)</f>
        <v>10.511272543051026</v>
      </c>
      <c r="N54" s="31">
        <f>VLOOKUP($F54,Composite!$B$5:$Q$817,N$3,FALSE)*VLOOKUP($C54,[2]!ExistingSat,MATCH($A54,[2]SATS!$C$10:$F$10,0)+1,FALSE)</f>
        <v>0</v>
      </c>
      <c r="O54">
        <f>VLOOKUP($F54,Composite!$B$5:$Q$817,O$3,FALSE)</f>
        <v>0</v>
      </c>
      <c r="P54" s="31">
        <f>VLOOKUP($F54,Composite!$B$5:$Q$817,P$3,FALSE)*VLOOKUP($C54,[2]!ExistingSat,MATCH($A54,[2]SATS!$C$10:$F$10,0)+1,FALSE)</f>
        <v>0</v>
      </c>
      <c r="Q54">
        <f>VLOOKUP($F54,Composite!$B$5:$Q$817,Q$3,FALSE)</f>
        <v>0</v>
      </c>
      <c r="R54" s="31">
        <f>VLOOKUP($F54,Composite!$B$5:$Q$817,R$3,FALSE)*VLOOKUP($C54,[2]!ExistingSat,MATCH($A54,[2]SATS!$C$10:$F$10,0)+1,FALSE)</f>
        <v>0</v>
      </c>
      <c r="S54">
        <f>VLOOKUP($F54,Composite!$B$5:$Q$817,S$3,FALSE)</f>
        <v>0</v>
      </c>
      <c r="T54" s="31">
        <f>VLOOKUP($F54,Composite!$B$5:$Q$817,T$3,FALSE)*VLOOKUP($C54,[2]!ExistingSat,MATCH($A54,[2]SATS!$C$10:$F$10,0)+1,FALSE)</f>
        <v>0</v>
      </c>
    </row>
    <row r="55" spans="1:20">
      <c r="A55" t="s">
        <v>75</v>
      </c>
      <c r="B55" t="s">
        <v>66</v>
      </c>
      <c r="C55" t="s">
        <v>5810</v>
      </c>
      <c r="D55" t="s">
        <v>57</v>
      </c>
      <c r="E55" t="str">
        <f t="shared" si="2"/>
        <v>Heat PumpHZ2Infiltration</v>
      </c>
      <c r="F55" s="31" t="str">
        <f>Composite!B54</f>
        <v>Manuf Homes Wx - Infiltration + HZ2 + Heat Pump</v>
      </c>
      <c r="G55" s="31" t="str">
        <f>LEFT(Composite!C54,FIND(" + ",Composite!C54)-1)</f>
        <v>Infiltration</v>
      </c>
      <c r="H55" s="31">
        <f>VLOOKUP($F55,Composite!$B$5:$Q$817,H$3,FALSE)*VLOOKUP($C55,[2]!ExistingSat,MATCH($A55,[2]SATS!$C$10:$F$10,0)+1,FALSE)</f>
        <v>191.0445350725555</v>
      </c>
      <c r="I55">
        <f>VLOOKUP($F55,Composite!$B$5:$Q$817,I$3,FALSE)</f>
        <v>25</v>
      </c>
      <c r="J55" s="31">
        <f>VLOOKUP($F55,Composite!$B$5:$Q$817,J$3,FALSE)*VLOOKUP($C55,[2]!ExistingSat,MATCH($A55,[2]SATS!$C$10:$F$10,0)+1,FALSE)</f>
        <v>3968</v>
      </c>
      <c r="K55" s="31">
        <f>VLOOKUP($F55,Composite!$B$5:$Q$817,K$3,FALSE)*VLOOKUP($C55,[2]!ExistingSat,MATCH($A55,[2]SATS!$C$10:$F$10,0)+1,FALSE)</f>
        <v>0</v>
      </c>
      <c r="L55" t="str">
        <f>VLOOKUP($F55,Composite!$B$5:$Q$817,L$3,FALSE)</f>
        <v>ResSHWX</v>
      </c>
      <c r="M55" s="31">
        <f>VLOOKUP($F55,Composite!$B$5:$Q$817,M$3,FALSE)*VLOOKUP($C55,[2]!ExistingSat,MATCH($A55,[2]SATS!$C$10:$F$10,0)+1,FALSE)</f>
        <v>3.042588768616743</v>
      </c>
      <c r="N55" s="31">
        <f>VLOOKUP($F55,Composite!$B$5:$Q$817,N$3,FALSE)*VLOOKUP($C55,[2]!ExistingSat,MATCH($A55,[2]SATS!$C$10:$F$10,0)+1,FALSE)</f>
        <v>0</v>
      </c>
      <c r="O55">
        <f>VLOOKUP($F55,Composite!$B$5:$Q$817,O$3,FALSE)</f>
        <v>0</v>
      </c>
      <c r="P55" s="31">
        <f>VLOOKUP($F55,Composite!$B$5:$Q$817,P$3,FALSE)*VLOOKUP($C55,[2]!ExistingSat,MATCH($A55,[2]SATS!$C$10:$F$10,0)+1,FALSE)</f>
        <v>0</v>
      </c>
      <c r="Q55">
        <f>VLOOKUP($F55,Composite!$B$5:$Q$817,Q$3,FALSE)</f>
        <v>0</v>
      </c>
      <c r="R55" s="31">
        <f>VLOOKUP($F55,Composite!$B$5:$Q$817,R$3,FALSE)*VLOOKUP($C55,[2]!ExistingSat,MATCH($A55,[2]SATS!$C$10:$F$10,0)+1,FALSE)</f>
        <v>0</v>
      </c>
      <c r="S55">
        <f>VLOOKUP($F55,Composite!$B$5:$Q$817,S$3,FALSE)</f>
        <v>0</v>
      </c>
      <c r="T55" s="31">
        <f>VLOOKUP($F55,Composite!$B$5:$Q$817,T$3,FALSE)*VLOOKUP($C55,[2]!ExistingSat,MATCH($A55,[2]SATS!$C$10:$F$10,0)+1,FALSE)</f>
        <v>0</v>
      </c>
    </row>
    <row r="56" spans="1:20">
      <c r="A56" t="s">
        <v>75</v>
      </c>
      <c r="B56" t="s">
        <v>66</v>
      </c>
      <c r="C56" t="s">
        <v>27</v>
      </c>
      <c r="D56" t="s">
        <v>58</v>
      </c>
      <c r="E56" t="str">
        <f t="shared" si="2"/>
        <v>Heat PumpHZ3Attic R0 - R30</v>
      </c>
      <c r="F56" s="31" t="str">
        <f>Composite!B55</f>
        <v>Manuf Homes Wx - Attic R0 - R30 + HZ3 + Heat Pump</v>
      </c>
      <c r="G56" s="31" t="str">
        <f>LEFT(Composite!C55,FIND(" + ",Composite!C55)-1)</f>
        <v>Attic R0 - R30</v>
      </c>
      <c r="H56" s="31">
        <f>VLOOKUP($F56,Composite!$B$5:$Q$817,H$3,FALSE)*VLOOKUP($C56,[2]!ExistingSat,MATCH($A56,[2]SATS!$C$10:$F$10,0)+1,FALSE)</f>
        <v>581.35061013966038</v>
      </c>
      <c r="I56">
        <f>VLOOKUP($F56,Composite!$B$5:$Q$817,I$3,FALSE)</f>
        <v>25</v>
      </c>
      <c r="J56" s="31">
        <f>VLOOKUP($F56,Composite!$B$5:$Q$817,J$3,FALSE)*VLOOKUP($C56,[2]!ExistingSat,MATCH($A56,[2]SATS!$C$10:$F$10,0)+1,FALSE)</f>
        <v>2688</v>
      </c>
      <c r="K56" s="31">
        <f>VLOOKUP($F56,Composite!$B$5:$Q$817,K$3,FALSE)*VLOOKUP($C56,[2]!ExistingSat,MATCH($A56,[2]SATS!$C$10:$F$10,0)+1,FALSE)</f>
        <v>0</v>
      </c>
      <c r="L56" t="str">
        <f>VLOOKUP($F56,Composite!$B$5:$Q$817,L$3,FALSE)</f>
        <v>ResSHWX</v>
      </c>
      <c r="M56" s="31">
        <f>VLOOKUP($F56,Composite!$B$5:$Q$817,M$3,FALSE)*VLOOKUP($C56,[2]!ExistingSat,MATCH($A56,[2]SATS!$C$10:$F$10,0)+1,FALSE)</f>
        <v>9.2586309070168227</v>
      </c>
      <c r="N56" s="31">
        <f>VLOOKUP($F56,Composite!$B$5:$Q$817,N$3,FALSE)*VLOOKUP($C56,[2]!ExistingSat,MATCH($A56,[2]SATS!$C$10:$F$10,0)+1,FALSE)</f>
        <v>0</v>
      </c>
      <c r="O56">
        <f>VLOOKUP($F56,Composite!$B$5:$Q$817,O$3,FALSE)</f>
        <v>0</v>
      </c>
      <c r="P56" s="31">
        <f>VLOOKUP($F56,Composite!$B$5:$Q$817,P$3,FALSE)*VLOOKUP($C56,[2]!ExistingSat,MATCH($A56,[2]SATS!$C$10:$F$10,0)+1,FALSE)</f>
        <v>0</v>
      </c>
      <c r="Q56">
        <f>VLOOKUP($F56,Composite!$B$5:$Q$817,Q$3,FALSE)</f>
        <v>0</v>
      </c>
      <c r="R56" s="31">
        <f>VLOOKUP($F56,Composite!$B$5:$Q$817,R$3,FALSE)*VLOOKUP($C56,[2]!ExistingSat,MATCH($A56,[2]SATS!$C$10:$F$10,0)+1,FALSE)</f>
        <v>0</v>
      </c>
      <c r="S56">
        <f>VLOOKUP($F56,Composite!$B$5:$Q$817,S$3,FALSE)</f>
        <v>0</v>
      </c>
      <c r="T56" s="31">
        <f>VLOOKUP($F56,Composite!$B$5:$Q$817,T$3,FALSE)*VLOOKUP($C56,[2]!ExistingSat,MATCH($A56,[2]SATS!$C$10:$F$10,0)+1,FALSE)</f>
        <v>0</v>
      </c>
    </row>
    <row r="57" spans="1:20">
      <c r="A57" t="s">
        <v>75</v>
      </c>
      <c r="B57" t="s">
        <v>66</v>
      </c>
      <c r="C57" t="s">
        <v>27</v>
      </c>
      <c r="D57" t="s">
        <v>58</v>
      </c>
      <c r="E57" t="str">
        <f t="shared" si="2"/>
        <v>Heat PumpHZ3Attic R0 - R22</v>
      </c>
      <c r="F57" s="31" t="str">
        <f>Composite!B56</f>
        <v>Manuf Homes Wx - Attic R0 - R22 + HZ3 + Heat Pump</v>
      </c>
      <c r="G57" s="31" t="str">
        <f>LEFT(Composite!C56,FIND(" + ",Composite!C56)-1)</f>
        <v>Attic R0 - R22</v>
      </c>
      <c r="H57" s="31">
        <f>VLOOKUP($F57,Composite!$B$5:$Q$817,H$3,FALSE)*VLOOKUP($C57,[2]!ExistingSat,MATCH($A57,[2]SATS!$C$10:$F$10,0)+1,FALSE)</f>
        <v>499.63955057915405</v>
      </c>
      <c r="I57">
        <f>VLOOKUP($F57,Composite!$B$5:$Q$817,I$3,FALSE)</f>
        <v>25</v>
      </c>
      <c r="J57" s="31">
        <f>VLOOKUP($F57,Composite!$B$5:$Q$817,J$3,FALSE)*VLOOKUP($C57,[2]!ExistingSat,MATCH($A57,[2]SATS!$C$10:$F$10,0)+1,FALSE)</f>
        <v>2688</v>
      </c>
      <c r="K57" s="31">
        <f>VLOOKUP($F57,Composite!$B$5:$Q$817,K$3,FALSE)*VLOOKUP($C57,[2]!ExistingSat,MATCH($A57,[2]SATS!$C$10:$F$10,0)+1,FALSE)</f>
        <v>0</v>
      </c>
      <c r="L57" t="str">
        <f>VLOOKUP($F57,Composite!$B$5:$Q$817,L$3,FALSE)</f>
        <v>ResSHWX</v>
      </c>
      <c r="M57" s="31">
        <f>VLOOKUP($F57,Composite!$B$5:$Q$817,M$3,FALSE)*VLOOKUP($C57,[2]!ExistingSat,MATCH($A57,[2]SATS!$C$10:$F$10,0)+1,FALSE)</f>
        <v>7.9572947971084655</v>
      </c>
      <c r="N57" s="31">
        <f>VLOOKUP($F57,Composite!$B$5:$Q$817,N$3,FALSE)*VLOOKUP($C57,[2]!ExistingSat,MATCH($A57,[2]SATS!$C$10:$F$10,0)+1,FALSE)</f>
        <v>0</v>
      </c>
      <c r="O57">
        <f>VLOOKUP($F57,Composite!$B$5:$Q$817,O$3,FALSE)</f>
        <v>0</v>
      </c>
      <c r="P57" s="31">
        <f>VLOOKUP($F57,Composite!$B$5:$Q$817,P$3,FALSE)*VLOOKUP($C57,[2]!ExistingSat,MATCH($A57,[2]SATS!$C$10:$F$10,0)+1,FALSE)</f>
        <v>0</v>
      </c>
      <c r="Q57">
        <f>VLOOKUP($F57,Composite!$B$5:$Q$817,Q$3,FALSE)</f>
        <v>0</v>
      </c>
      <c r="R57" s="31">
        <f>VLOOKUP($F57,Composite!$B$5:$Q$817,R$3,FALSE)*VLOOKUP($C57,[2]!ExistingSat,MATCH($A57,[2]SATS!$C$10:$F$10,0)+1,FALSE)</f>
        <v>0</v>
      </c>
      <c r="S57">
        <f>VLOOKUP($F57,Composite!$B$5:$Q$817,S$3,FALSE)</f>
        <v>0</v>
      </c>
      <c r="T57" s="31">
        <f>VLOOKUP($F57,Composite!$B$5:$Q$817,T$3,FALSE)*VLOOKUP($C57,[2]!ExistingSat,MATCH($A57,[2]SATS!$C$10:$F$10,0)+1,FALSE)</f>
        <v>0</v>
      </c>
    </row>
    <row r="58" spans="1:20">
      <c r="A58" t="s">
        <v>75</v>
      </c>
      <c r="B58" t="s">
        <v>66</v>
      </c>
      <c r="C58" t="s">
        <v>27</v>
      </c>
      <c r="D58" t="s">
        <v>58</v>
      </c>
      <c r="E58" t="str">
        <f t="shared" si="2"/>
        <v>Heat PumpHZ3Attic R11 - R30</v>
      </c>
      <c r="F58" s="31" t="str">
        <f>Composite!B57</f>
        <v>Manuf Homes Wx - Attic R11 - R30 + HZ3 + Heat Pump</v>
      </c>
      <c r="G58" s="31" t="str">
        <f>LEFT(Composite!C57,FIND(" + ",Composite!C57)-1)</f>
        <v>Attic R11 - R30</v>
      </c>
      <c r="H58" s="31">
        <f>VLOOKUP($F58,Composite!$B$5:$Q$817,H$3,FALSE)*VLOOKUP($C58,[2]!ExistingSat,MATCH($A58,[2]SATS!$C$10:$F$10,0)+1,FALSE)</f>
        <v>-20.080510230511329</v>
      </c>
      <c r="I58">
        <f>VLOOKUP($F58,Composite!$B$5:$Q$817,I$3,FALSE)</f>
        <v>25</v>
      </c>
      <c r="J58" s="31">
        <f>VLOOKUP($F58,Composite!$B$5:$Q$817,J$3,FALSE)*VLOOKUP($C58,[2]!ExistingSat,MATCH($A58,[2]SATS!$C$10:$F$10,0)+1,FALSE)</f>
        <v>2688</v>
      </c>
      <c r="K58" s="31">
        <f>VLOOKUP($F58,Composite!$B$5:$Q$817,K$3,FALSE)*VLOOKUP($C58,[2]!ExistingSat,MATCH($A58,[2]SATS!$C$10:$F$10,0)+1,FALSE)</f>
        <v>0</v>
      </c>
      <c r="L58" t="str">
        <f>VLOOKUP($F58,Composite!$B$5:$Q$817,L$3,FALSE)</f>
        <v>ResSHWX</v>
      </c>
      <c r="M58" s="31">
        <f>VLOOKUP($F58,Composite!$B$5:$Q$817,M$3,FALSE)*VLOOKUP($C58,[2]!ExistingSat,MATCH($A58,[2]SATS!$C$10:$F$10,0)+1,FALSE)</f>
        <v>-0.31980362522405648</v>
      </c>
      <c r="N58" s="31">
        <f>VLOOKUP($F58,Composite!$B$5:$Q$817,N$3,FALSE)*VLOOKUP($C58,[2]!ExistingSat,MATCH($A58,[2]SATS!$C$10:$F$10,0)+1,FALSE)</f>
        <v>0</v>
      </c>
      <c r="O58">
        <f>VLOOKUP($F58,Composite!$B$5:$Q$817,O$3,FALSE)</f>
        <v>0</v>
      </c>
      <c r="P58" s="31">
        <f>VLOOKUP($F58,Composite!$B$5:$Q$817,P$3,FALSE)*VLOOKUP($C58,[2]!ExistingSat,MATCH($A58,[2]SATS!$C$10:$F$10,0)+1,FALSE)</f>
        <v>0</v>
      </c>
      <c r="Q58">
        <f>VLOOKUP($F58,Composite!$B$5:$Q$817,Q$3,FALSE)</f>
        <v>0</v>
      </c>
      <c r="R58" s="31">
        <f>VLOOKUP($F58,Composite!$B$5:$Q$817,R$3,FALSE)*VLOOKUP($C58,[2]!ExistingSat,MATCH($A58,[2]SATS!$C$10:$F$10,0)+1,FALSE)</f>
        <v>0</v>
      </c>
      <c r="S58">
        <f>VLOOKUP($F58,Composite!$B$5:$Q$817,S$3,FALSE)</f>
        <v>0</v>
      </c>
      <c r="T58" s="31">
        <f>VLOOKUP($F58,Composite!$B$5:$Q$817,T$3,FALSE)*VLOOKUP($C58,[2]!ExistingSat,MATCH($A58,[2]SATS!$C$10:$F$10,0)+1,FALSE)</f>
        <v>0</v>
      </c>
    </row>
    <row r="59" spans="1:20">
      <c r="A59" t="s">
        <v>75</v>
      </c>
      <c r="B59" t="s">
        <v>66</v>
      </c>
      <c r="C59" t="s">
        <v>25</v>
      </c>
      <c r="D59" t="s">
        <v>58</v>
      </c>
      <c r="E59" t="str">
        <f t="shared" si="2"/>
        <v>Heat PumpHZ3Floor R0 - R22</v>
      </c>
      <c r="F59" s="31" t="str">
        <f>Composite!B58</f>
        <v>Manuf Homes Wx - Floor R0 - R22 + HZ3 + Heat Pump</v>
      </c>
      <c r="G59" s="31" t="str">
        <f>LEFT(Composite!C58,FIND(" + ",Composite!C58)-1)</f>
        <v>Floor R0 - R22</v>
      </c>
      <c r="H59" s="31">
        <f>VLOOKUP($F59,Composite!$B$5:$Q$817,H$3,FALSE)*VLOOKUP($C59,[2]!ExistingSat,MATCH($A59,[2]SATS!$C$10:$F$10,0)+1,FALSE)</f>
        <v>45.161913112649216</v>
      </c>
      <c r="I59">
        <f>VLOOKUP($F59,Composite!$B$5:$Q$817,I$3,FALSE)</f>
        <v>25</v>
      </c>
      <c r="J59" s="31">
        <f>VLOOKUP($F59,Composite!$B$5:$Q$817,J$3,FALSE)*VLOOKUP($C59,[2]!ExistingSat,MATCH($A59,[2]SATS!$C$10:$F$10,0)+1,FALSE)</f>
        <v>4224</v>
      </c>
      <c r="K59" s="31">
        <f>VLOOKUP($F59,Composite!$B$5:$Q$817,K$3,FALSE)*VLOOKUP($C59,[2]!ExistingSat,MATCH($A59,[2]SATS!$C$10:$F$10,0)+1,FALSE)</f>
        <v>0</v>
      </c>
      <c r="L59" t="str">
        <f>VLOOKUP($F59,Composite!$B$5:$Q$817,L$3,FALSE)</f>
        <v>ResSHWX</v>
      </c>
      <c r="M59" s="31">
        <f>VLOOKUP($F59,Composite!$B$5:$Q$817,M$3,FALSE)*VLOOKUP($C59,[2]!ExistingSat,MATCH($A59,[2]SATS!$C$10:$F$10,0)+1,FALSE)</f>
        <v>0.71925182028162227</v>
      </c>
      <c r="N59" s="31">
        <f>VLOOKUP($F59,Composite!$B$5:$Q$817,N$3,FALSE)*VLOOKUP($C59,[2]!ExistingSat,MATCH($A59,[2]SATS!$C$10:$F$10,0)+1,FALSE)</f>
        <v>0</v>
      </c>
      <c r="O59">
        <f>VLOOKUP($F59,Composite!$B$5:$Q$817,O$3,FALSE)</f>
        <v>0</v>
      </c>
      <c r="P59" s="31">
        <f>VLOOKUP($F59,Composite!$B$5:$Q$817,P$3,FALSE)*VLOOKUP($C59,[2]!ExistingSat,MATCH($A59,[2]SATS!$C$10:$F$10,0)+1,FALSE)</f>
        <v>0</v>
      </c>
      <c r="Q59">
        <f>VLOOKUP($F59,Composite!$B$5:$Q$817,Q$3,FALSE)</f>
        <v>0</v>
      </c>
      <c r="R59" s="31">
        <f>VLOOKUP($F59,Composite!$B$5:$Q$817,R$3,FALSE)*VLOOKUP($C59,[2]!ExistingSat,MATCH($A59,[2]SATS!$C$10:$F$10,0)+1,FALSE)</f>
        <v>0</v>
      </c>
      <c r="S59">
        <f>VLOOKUP($F59,Composite!$B$5:$Q$817,S$3,FALSE)</f>
        <v>0</v>
      </c>
      <c r="T59" s="31">
        <f>VLOOKUP($F59,Composite!$B$5:$Q$817,T$3,FALSE)*VLOOKUP($C59,[2]!ExistingSat,MATCH($A59,[2]SATS!$C$10:$F$10,0)+1,FALSE)</f>
        <v>0</v>
      </c>
    </row>
    <row r="60" spans="1:20">
      <c r="A60" t="s">
        <v>75</v>
      </c>
      <c r="B60" t="s">
        <v>66</v>
      </c>
      <c r="C60" t="s">
        <v>25</v>
      </c>
      <c r="D60" t="s">
        <v>58</v>
      </c>
      <c r="E60" t="str">
        <f t="shared" si="2"/>
        <v>Heat PumpHZ3Floor R11 - R22</v>
      </c>
      <c r="F60" s="31" t="str">
        <f>Composite!B59</f>
        <v>Manuf Homes Wx - Floor R11 - R22 + HZ3 + Heat Pump</v>
      </c>
      <c r="G60" s="31" t="str">
        <f>LEFT(Composite!C59,FIND(" + ",Composite!C59)-1)</f>
        <v>Floor R11 - R22</v>
      </c>
      <c r="H60" s="31">
        <f>VLOOKUP($F60,Composite!$B$5:$Q$817,H$3,FALSE)*VLOOKUP($C60,[2]!ExistingSat,MATCH($A60,[2]SATS!$C$10:$F$10,0)+1,FALSE)</f>
        <v>-3.6991957981416612</v>
      </c>
      <c r="I60">
        <f>VLOOKUP($F60,Composite!$B$5:$Q$817,I$3,FALSE)</f>
        <v>25</v>
      </c>
      <c r="J60" s="31">
        <f>VLOOKUP($F60,Composite!$B$5:$Q$817,J$3,FALSE)*VLOOKUP($C60,[2]!ExistingSat,MATCH($A60,[2]SATS!$C$10:$F$10,0)+1,FALSE)</f>
        <v>4224</v>
      </c>
      <c r="K60" s="31">
        <f>VLOOKUP($F60,Composite!$B$5:$Q$817,K$3,FALSE)*VLOOKUP($C60,[2]!ExistingSat,MATCH($A60,[2]SATS!$C$10:$F$10,0)+1,FALSE)</f>
        <v>0</v>
      </c>
      <c r="L60" t="str">
        <f>VLOOKUP($F60,Composite!$B$5:$Q$817,L$3,FALSE)</f>
        <v>ResSHWX</v>
      </c>
      <c r="M60" s="31">
        <f>VLOOKUP($F60,Composite!$B$5:$Q$817,M$3,FALSE)*VLOOKUP($C60,[2]!ExistingSat,MATCH($A60,[2]SATS!$C$10:$F$10,0)+1,FALSE)</f>
        <v>-5.8913653740818028E-2</v>
      </c>
      <c r="N60" s="31">
        <f>VLOOKUP($F60,Composite!$B$5:$Q$817,N$3,FALSE)*VLOOKUP($C60,[2]!ExistingSat,MATCH($A60,[2]SATS!$C$10:$F$10,0)+1,FALSE)</f>
        <v>0</v>
      </c>
      <c r="O60">
        <f>VLOOKUP($F60,Composite!$B$5:$Q$817,O$3,FALSE)</f>
        <v>0</v>
      </c>
      <c r="P60" s="31">
        <f>VLOOKUP($F60,Composite!$B$5:$Q$817,P$3,FALSE)*VLOOKUP($C60,[2]!ExistingSat,MATCH($A60,[2]SATS!$C$10:$F$10,0)+1,FALSE)</f>
        <v>0</v>
      </c>
      <c r="Q60">
        <f>VLOOKUP($F60,Composite!$B$5:$Q$817,Q$3,FALSE)</f>
        <v>0</v>
      </c>
      <c r="R60" s="31">
        <f>VLOOKUP($F60,Composite!$B$5:$Q$817,R$3,FALSE)*VLOOKUP($C60,[2]!ExistingSat,MATCH($A60,[2]SATS!$C$10:$F$10,0)+1,FALSE)</f>
        <v>0</v>
      </c>
      <c r="S60">
        <f>VLOOKUP($F60,Composite!$B$5:$Q$817,S$3,FALSE)</f>
        <v>0</v>
      </c>
      <c r="T60" s="31">
        <f>VLOOKUP($F60,Composite!$B$5:$Q$817,T$3,FALSE)*VLOOKUP($C60,[2]!ExistingSat,MATCH($A60,[2]SATS!$C$10:$F$10,0)+1,FALSE)</f>
        <v>0</v>
      </c>
    </row>
    <row r="61" spans="1:20">
      <c r="A61" t="s">
        <v>75</v>
      </c>
      <c r="B61" t="s">
        <v>66</v>
      </c>
      <c r="C61" t="s">
        <v>26</v>
      </c>
      <c r="D61" t="s">
        <v>58</v>
      </c>
      <c r="E61" t="str">
        <f t="shared" si="2"/>
        <v>Heat PumpHZ3WINDOW CL30 Prime Window Replacement of Double Pane Base</v>
      </c>
      <c r="F61" s="31" t="str">
        <f>Composite!B60</f>
        <v>Manuf Homes Wx - WINDOW CL30 Prime Window Replacement of Double Pane Base + HZ3 + Heat Pump</v>
      </c>
      <c r="G61" s="31" t="str">
        <f>LEFT(Composite!C60,FIND(" + ",Composite!C60)-1)</f>
        <v>WINDOW CL30 Prime Window Replacement of Double Pane Base</v>
      </c>
      <c r="H61" s="31">
        <f>VLOOKUP($F61,Composite!$B$5:$Q$817,H$3,FALSE)*VLOOKUP($C61,[2]!ExistingSat,MATCH($A61,[2]SATS!$C$10:$F$10,0)+1,FALSE)</f>
        <v>729.19031532710721</v>
      </c>
      <c r="I61">
        <f>VLOOKUP($F61,Composite!$B$5:$Q$817,I$3,FALSE)</f>
        <v>25</v>
      </c>
      <c r="J61" s="31">
        <f>VLOOKUP($F61,Composite!$B$5:$Q$817,J$3,FALSE)*VLOOKUP($C61,[2]!ExistingSat,MATCH($A61,[2]SATS!$C$10:$F$10,0)+1,FALSE)</f>
        <v>3296.9499559131655</v>
      </c>
      <c r="K61" s="31">
        <f>VLOOKUP($F61,Composite!$B$5:$Q$817,K$3,FALSE)*VLOOKUP($C61,[2]!ExistingSat,MATCH($A61,[2]SATS!$C$10:$F$10,0)+1,FALSE)</f>
        <v>0</v>
      </c>
      <c r="L61" t="str">
        <f>VLOOKUP($F61,Composite!$B$5:$Q$817,L$3,FALSE)</f>
        <v>ResSHWX</v>
      </c>
      <c r="M61" s="31">
        <f>VLOOKUP($F61,Composite!$B$5:$Q$817,M$3,FALSE)*VLOOKUP($C61,[2]!ExistingSat,MATCH($A61,[2]SATS!$C$10:$F$10,0)+1,FALSE)</f>
        <v>11.613136501160637</v>
      </c>
      <c r="N61" s="31">
        <f>VLOOKUP($F61,Composite!$B$5:$Q$817,N$3,FALSE)*VLOOKUP($C61,[2]!ExistingSat,MATCH($A61,[2]SATS!$C$10:$F$10,0)+1,FALSE)</f>
        <v>0</v>
      </c>
      <c r="O61">
        <f>VLOOKUP($F61,Composite!$B$5:$Q$817,O$3,FALSE)</f>
        <v>0</v>
      </c>
      <c r="P61" s="31">
        <f>VLOOKUP($F61,Composite!$B$5:$Q$817,P$3,FALSE)*VLOOKUP($C61,[2]!ExistingSat,MATCH($A61,[2]SATS!$C$10:$F$10,0)+1,FALSE)</f>
        <v>0</v>
      </c>
      <c r="Q61">
        <f>VLOOKUP($F61,Composite!$B$5:$Q$817,Q$3,FALSE)</f>
        <v>0</v>
      </c>
      <c r="R61" s="31">
        <f>VLOOKUP($F61,Composite!$B$5:$Q$817,R$3,FALSE)*VLOOKUP($C61,[2]!ExistingSat,MATCH($A61,[2]SATS!$C$10:$F$10,0)+1,FALSE)</f>
        <v>0</v>
      </c>
      <c r="S61">
        <f>VLOOKUP($F61,Composite!$B$5:$Q$817,S$3,FALSE)</f>
        <v>0</v>
      </c>
      <c r="T61" s="31">
        <f>VLOOKUP($F61,Composite!$B$5:$Q$817,T$3,FALSE)*VLOOKUP($C61,[2]!ExistingSat,MATCH($A61,[2]SATS!$C$10:$F$10,0)+1,FALSE)</f>
        <v>0</v>
      </c>
    </row>
    <row r="62" spans="1:20">
      <c r="A62" t="s">
        <v>75</v>
      </c>
      <c r="B62" t="s">
        <v>66</v>
      </c>
      <c r="C62" t="s">
        <v>26</v>
      </c>
      <c r="D62" t="s">
        <v>58</v>
      </c>
      <c r="E62" t="str">
        <f t="shared" si="2"/>
        <v>Heat PumpHZ3WINDOW CL30 Prime Window Replacement of Single Pane Base</v>
      </c>
      <c r="F62" s="31" t="str">
        <f>Composite!B61</f>
        <v>Manuf Homes Wx - WINDOW CL30 Prime Window Replacement of Single Pane Base + HZ3 + Heat Pump</v>
      </c>
      <c r="G62" s="31" t="str">
        <f>LEFT(Composite!C61,FIND(" + ",Composite!C61)-1)</f>
        <v>WINDOW CL30 Prime Window Replacement of Single Pane Base</v>
      </c>
      <c r="H62" s="31">
        <f>VLOOKUP($F62,Composite!$B$5:$Q$817,H$3,FALSE)*VLOOKUP($C62,[2]!ExistingSat,MATCH($A62,[2]SATS!$C$10:$F$10,0)+1,FALSE)</f>
        <v>914.65714822328596</v>
      </c>
      <c r="I62">
        <f>VLOOKUP($F62,Composite!$B$5:$Q$817,I$3,FALSE)</f>
        <v>25</v>
      </c>
      <c r="J62" s="31">
        <f>VLOOKUP($F62,Composite!$B$5:$Q$817,J$3,FALSE)*VLOOKUP($C62,[2]!ExistingSat,MATCH($A62,[2]SATS!$C$10:$F$10,0)+1,FALSE)</f>
        <v>3296.9499559131655</v>
      </c>
      <c r="K62" s="31">
        <f>VLOOKUP($F62,Composite!$B$5:$Q$817,K$3,FALSE)*VLOOKUP($C62,[2]!ExistingSat,MATCH($A62,[2]SATS!$C$10:$F$10,0)+1,FALSE)</f>
        <v>0</v>
      </c>
      <c r="L62" t="str">
        <f>VLOOKUP($F62,Composite!$B$5:$Q$817,L$3,FALSE)</f>
        <v>ResSHWX</v>
      </c>
      <c r="M62" s="31">
        <f>VLOOKUP($F62,Composite!$B$5:$Q$817,M$3,FALSE)*VLOOKUP($C62,[2]!ExistingSat,MATCH($A62,[2]SATS!$C$10:$F$10,0)+1,FALSE)</f>
        <v>14.566894390683732</v>
      </c>
      <c r="N62" s="31">
        <f>VLOOKUP($F62,Composite!$B$5:$Q$817,N$3,FALSE)*VLOOKUP($C62,[2]!ExistingSat,MATCH($A62,[2]SATS!$C$10:$F$10,0)+1,FALSE)</f>
        <v>0</v>
      </c>
      <c r="O62">
        <f>VLOOKUP($F62,Composite!$B$5:$Q$817,O$3,FALSE)</f>
        <v>0</v>
      </c>
      <c r="P62" s="31">
        <f>VLOOKUP($F62,Composite!$B$5:$Q$817,P$3,FALSE)*VLOOKUP($C62,[2]!ExistingSat,MATCH($A62,[2]SATS!$C$10:$F$10,0)+1,FALSE)</f>
        <v>0</v>
      </c>
      <c r="Q62">
        <f>VLOOKUP($F62,Composite!$B$5:$Q$817,Q$3,FALSE)</f>
        <v>0</v>
      </c>
      <c r="R62" s="31">
        <f>VLOOKUP($F62,Composite!$B$5:$Q$817,R$3,FALSE)*VLOOKUP($C62,[2]!ExistingSat,MATCH($A62,[2]SATS!$C$10:$F$10,0)+1,FALSE)</f>
        <v>0</v>
      </c>
      <c r="S62">
        <f>VLOOKUP($F62,Composite!$B$5:$Q$817,S$3,FALSE)</f>
        <v>0</v>
      </c>
      <c r="T62" s="31">
        <f>VLOOKUP($F62,Composite!$B$5:$Q$817,T$3,FALSE)*VLOOKUP($C62,[2]!ExistingSat,MATCH($A62,[2]SATS!$C$10:$F$10,0)+1,FALSE)</f>
        <v>0</v>
      </c>
    </row>
    <row r="63" spans="1:20">
      <c r="A63" t="s">
        <v>75</v>
      </c>
      <c r="B63" t="s">
        <v>66</v>
      </c>
      <c r="C63" t="s">
        <v>26</v>
      </c>
      <c r="D63" t="s">
        <v>58</v>
      </c>
      <c r="E63" t="str">
        <f t="shared" si="2"/>
        <v>Heat PumpHZ3WINDOW CL22 Prime Window Replacement of Double Pane Base</v>
      </c>
      <c r="F63" s="31" t="str">
        <f>Composite!B62</f>
        <v>Manuf Homes Wx - WINDOW CL22 Prime Window Replacement of Double Pane Base + HZ3 + Heat Pump</v>
      </c>
      <c r="G63" s="31" t="str">
        <f>LEFT(Composite!C62,FIND(" + ",Composite!C62)-1)</f>
        <v>WINDOW CL22 Prime Window Replacement of Double Pane Base</v>
      </c>
      <c r="H63" s="31">
        <f>VLOOKUP($F63,Composite!$B$5:$Q$817,H$3,FALSE)*VLOOKUP($C63,[2]!ExistingSat,MATCH($A63,[2]SATS!$C$10:$F$10,0)+1,FALSE)</f>
        <v>1167.917267963875</v>
      </c>
      <c r="I63">
        <f>VLOOKUP($F63,Composite!$B$5:$Q$817,I$3,FALSE)</f>
        <v>25</v>
      </c>
      <c r="J63" s="31">
        <f>VLOOKUP($F63,Composite!$B$5:$Q$817,J$3,FALSE)*VLOOKUP($C63,[2]!ExistingSat,MATCH($A63,[2]SATS!$C$10:$F$10,0)+1,FALSE)</f>
        <v>3514.5499559131658</v>
      </c>
      <c r="K63" s="31">
        <f>VLOOKUP($F63,Composite!$B$5:$Q$817,K$3,FALSE)*VLOOKUP($C63,[2]!ExistingSat,MATCH($A63,[2]SATS!$C$10:$F$10,0)+1,FALSE)</f>
        <v>0</v>
      </c>
      <c r="L63" t="str">
        <f>VLOOKUP($F63,Composite!$B$5:$Q$817,L$3,FALSE)</f>
        <v>ResSHWX</v>
      </c>
      <c r="M63" s="31">
        <f>VLOOKUP($F63,Composite!$B$5:$Q$817,M$3,FALSE)*VLOOKUP($C63,[2]!ExistingSat,MATCH($A63,[2]SATS!$C$10:$F$10,0)+1,FALSE)</f>
        <v>12.132191659302308</v>
      </c>
      <c r="N63" s="31">
        <f>VLOOKUP($F63,Composite!$B$5:$Q$817,N$3,FALSE)*VLOOKUP($C63,[2]!ExistingSat,MATCH($A63,[2]SATS!$C$10:$F$10,0)+1,FALSE)</f>
        <v>0</v>
      </c>
      <c r="O63">
        <f>VLOOKUP($F63,Composite!$B$5:$Q$817,O$3,FALSE)</f>
        <v>0</v>
      </c>
      <c r="P63" s="31">
        <f>VLOOKUP($F63,Composite!$B$5:$Q$817,P$3,FALSE)*VLOOKUP($C63,[2]!ExistingSat,MATCH($A63,[2]SATS!$C$10:$F$10,0)+1,FALSE)</f>
        <v>0</v>
      </c>
      <c r="Q63">
        <f>VLOOKUP($F63,Composite!$B$5:$Q$817,Q$3,FALSE)</f>
        <v>0</v>
      </c>
      <c r="R63" s="31">
        <f>VLOOKUP($F63,Composite!$B$5:$Q$817,R$3,FALSE)*VLOOKUP($C63,[2]!ExistingSat,MATCH($A63,[2]SATS!$C$10:$F$10,0)+1,FALSE)</f>
        <v>0</v>
      </c>
      <c r="S63">
        <f>VLOOKUP($F63,Composite!$B$5:$Q$817,S$3,FALSE)</f>
        <v>0</v>
      </c>
      <c r="T63" s="31">
        <f>VLOOKUP($F63,Composite!$B$5:$Q$817,T$3,FALSE)*VLOOKUP($C63,[2]!ExistingSat,MATCH($A63,[2]SATS!$C$10:$F$10,0)+1,FALSE)</f>
        <v>0</v>
      </c>
    </row>
    <row r="64" spans="1:20">
      <c r="A64" t="s">
        <v>75</v>
      </c>
      <c r="B64" t="s">
        <v>66</v>
      </c>
      <c r="C64" t="s">
        <v>26</v>
      </c>
      <c r="D64" t="s">
        <v>58</v>
      </c>
      <c r="E64" t="str">
        <f t="shared" si="2"/>
        <v>Heat PumpHZ3WINDOW CL22 Prime Window Replacement of Single Pane Base</v>
      </c>
      <c r="F64" s="31" t="str">
        <f>Composite!B63</f>
        <v>Manuf Homes Wx - WINDOW CL22 Prime Window Replacement of Single Pane Base + HZ3 + Heat Pump</v>
      </c>
      <c r="G64" s="31" t="str">
        <f>LEFT(Composite!C63,FIND(" + ",Composite!C63)-1)</f>
        <v>WINDOW CL22 Prime Window Replacement of Single Pane Base</v>
      </c>
      <c r="H64" s="31">
        <f>VLOOKUP($F64,Composite!$B$5:$Q$817,H$3,FALSE)*VLOOKUP($C64,[2]!ExistingSat,MATCH($A64,[2]SATS!$C$10:$F$10,0)+1,FALSE)</f>
        <v>969.31065865406424</v>
      </c>
      <c r="I64">
        <f>VLOOKUP($F64,Composite!$B$5:$Q$817,I$3,FALSE)</f>
        <v>25</v>
      </c>
      <c r="J64" s="31">
        <f>VLOOKUP($F64,Composite!$B$5:$Q$817,J$3,FALSE)*VLOOKUP($C64,[2]!ExistingSat,MATCH($A64,[2]SATS!$C$10:$F$10,0)+1,FALSE)</f>
        <v>3514.5499559131658</v>
      </c>
      <c r="K64" s="31">
        <f>VLOOKUP($F64,Composite!$B$5:$Q$817,K$3,FALSE)*VLOOKUP($C64,[2]!ExistingSat,MATCH($A64,[2]SATS!$C$10:$F$10,0)+1,FALSE)</f>
        <v>0</v>
      </c>
      <c r="L64" t="str">
        <f>VLOOKUP($F64,Composite!$B$5:$Q$817,L$3,FALSE)</f>
        <v>ResSHWX</v>
      </c>
      <c r="M64" s="31">
        <f>VLOOKUP($F64,Composite!$B$5:$Q$817,M$3,FALSE)*VLOOKUP($C64,[2]!ExistingSat,MATCH($A64,[2]SATS!$C$10:$F$10,0)+1,FALSE)</f>
        <v>15.437310060721142</v>
      </c>
      <c r="N64" s="31">
        <f>VLOOKUP($F64,Composite!$B$5:$Q$817,N$3,FALSE)*VLOOKUP($C64,[2]!ExistingSat,MATCH($A64,[2]SATS!$C$10:$F$10,0)+1,FALSE)</f>
        <v>0</v>
      </c>
      <c r="O64">
        <f>VLOOKUP($F64,Composite!$B$5:$Q$817,O$3,FALSE)</f>
        <v>0</v>
      </c>
      <c r="P64" s="31">
        <f>VLOOKUP($F64,Composite!$B$5:$Q$817,P$3,FALSE)*VLOOKUP($C64,[2]!ExistingSat,MATCH($A64,[2]SATS!$C$10:$F$10,0)+1,FALSE)</f>
        <v>0</v>
      </c>
      <c r="Q64">
        <f>VLOOKUP($F64,Composite!$B$5:$Q$817,Q$3,FALSE)</f>
        <v>0</v>
      </c>
      <c r="R64" s="31">
        <f>VLOOKUP($F64,Composite!$B$5:$Q$817,R$3,FALSE)*VLOOKUP($C64,[2]!ExistingSat,MATCH($A64,[2]SATS!$C$10:$F$10,0)+1,FALSE)</f>
        <v>0</v>
      </c>
      <c r="S64">
        <f>VLOOKUP($F64,Composite!$B$5:$Q$817,S$3,FALSE)</f>
        <v>0</v>
      </c>
      <c r="T64" s="31">
        <f>VLOOKUP($F64,Composite!$B$5:$Q$817,T$3,FALSE)*VLOOKUP($C64,[2]!ExistingSat,MATCH($A64,[2]SATS!$C$10:$F$10,0)+1,FALSE)</f>
        <v>0</v>
      </c>
    </row>
    <row r="65" spans="1:20">
      <c r="A65" t="s">
        <v>75</v>
      </c>
      <c r="B65" t="s">
        <v>66</v>
      </c>
      <c r="C65" t="s">
        <v>5810</v>
      </c>
      <c r="D65" t="s">
        <v>58</v>
      </c>
      <c r="E65" t="str">
        <f t="shared" si="2"/>
        <v>Heat PumpHZ3Infiltration</v>
      </c>
      <c r="F65" s="31" t="str">
        <f>Composite!B64</f>
        <v>Manuf Homes Wx - Infiltration + HZ3 + Heat Pump</v>
      </c>
      <c r="G65" s="31" t="str">
        <f>LEFT(Composite!C64,FIND(" + ",Composite!C64)-1)</f>
        <v>Infiltration</v>
      </c>
      <c r="H65" s="31">
        <f>VLOOKUP($F65,Composite!$B$5:$Q$817,H$3,FALSE)*VLOOKUP($C65,[2]!ExistingSat,MATCH($A65,[2]SATS!$C$10:$F$10,0)+1,FALSE)</f>
        <v>239.42031521677049</v>
      </c>
      <c r="I65">
        <f>VLOOKUP($F65,Composite!$B$5:$Q$817,I$3,FALSE)</f>
        <v>25</v>
      </c>
      <c r="J65" s="31">
        <f>VLOOKUP($F65,Composite!$B$5:$Q$817,J$3,FALSE)*VLOOKUP($C65,[2]!ExistingSat,MATCH($A65,[2]SATS!$C$10:$F$10,0)+1,FALSE)</f>
        <v>3968</v>
      </c>
      <c r="K65" s="31">
        <f>VLOOKUP($F65,Composite!$B$5:$Q$817,K$3,FALSE)*VLOOKUP($C65,[2]!ExistingSat,MATCH($A65,[2]SATS!$C$10:$F$10,0)+1,FALSE)</f>
        <v>0</v>
      </c>
      <c r="L65" t="str">
        <f>VLOOKUP($F65,Composite!$B$5:$Q$817,L$3,FALSE)</f>
        <v>ResSHWX</v>
      </c>
      <c r="M65" s="31">
        <f>VLOOKUP($F65,Composite!$B$5:$Q$817,M$3,FALSE)*VLOOKUP($C65,[2]!ExistingSat,MATCH($A65,[2]SATS!$C$10:$F$10,0)+1,FALSE)</f>
        <v>3.8130248623995984</v>
      </c>
      <c r="N65" s="31">
        <f>VLOOKUP($F65,Composite!$B$5:$Q$817,N$3,FALSE)*VLOOKUP($C65,[2]!ExistingSat,MATCH($A65,[2]SATS!$C$10:$F$10,0)+1,FALSE)</f>
        <v>0</v>
      </c>
      <c r="O65">
        <f>VLOOKUP($F65,Composite!$B$5:$Q$817,O$3,FALSE)</f>
        <v>0</v>
      </c>
      <c r="P65" s="31">
        <f>VLOOKUP($F65,Composite!$B$5:$Q$817,P$3,FALSE)*VLOOKUP($C65,[2]!ExistingSat,MATCH($A65,[2]SATS!$C$10:$F$10,0)+1,FALSE)</f>
        <v>0</v>
      </c>
      <c r="Q65">
        <f>VLOOKUP($F65,Composite!$B$5:$Q$817,Q$3,FALSE)</f>
        <v>0</v>
      </c>
      <c r="R65" s="31">
        <f>VLOOKUP($F65,Composite!$B$5:$Q$817,R$3,FALSE)*VLOOKUP($C65,[2]!ExistingSat,MATCH($A65,[2]SATS!$C$10:$F$10,0)+1,FALSE)</f>
        <v>0</v>
      </c>
      <c r="S65">
        <f>VLOOKUP($F65,Composite!$B$5:$Q$817,S$3,FALSE)</f>
        <v>0</v>
      </c>
      <c r="T65" s="31">
        <f>VLOOKUP($F65,Composite!$B$5:$Q$817,T$3,FALSE)*VLOOKUP($C65,[2]!ExistingSat,MATCH($A65,[2]SATS!$C$10:$F$10,0)+1,FALSE)</f>
        <v>0</v>
      </c>
    </row>
    <row r="66" spans="1:20">
      <c r="F66" s="31"/>
      <c r="G66" s="31"/>
      <c r="H66" s="31"/>
      <c r="J66" s="31"/>
      <c r="K66" s="31"/>
      <c r="M66" s="31"/>
      <c r="N66" s="31"/>
      <c r="P66" s="31"/>
      <c r="R66" s="31"/>
      <c r="T66" s="31"/>
    </row>
    <row r="67" spans="1:20">
      <c r="F67" s="31"/>
      <c r="G67" s="31"/>
      <c r="H67" s="31"/>
      <c r="J67" s="31"/>
      <c r="K67" s="31"/>
      <c r="M67" s="31"/>
      <c r="N67" s="31"/>
      <c r="P67" s="31"/>
      <c r="R67" s="31"/>
      <c r="T67" s="31"/>
    </row>
    <row r="68" spans="1:20">
      <c r="F68" s="31"/>
      <c r="G68" s="31"/>
      <c r="H68" s="31"/>
      <c r="J68" s="31"/>
      <c r="K68" s="31"/>
      <c r="M68" s="31"/>
      <c r="N68" s="31"/>
      <c r="P68" s="31"/>
      <c r="R68" s="31"/>
      <c r="T68" s="31"/>
    </row>
    <row r="69" spans="1:20">
      <c r="F69" s="31"/>
      <c r="G69" s="31"/>
      <c r="H69" s="31"/>
      <c r="J69" s="31"/>
      <c r="K69" s="31"/>
      <c r="M69" s="31"/>
      <c r="N69" s="31"/>
      <c r="P69" s="31"/>
      <c r="R69" s="31"/>
      <c r="T69" s="31"/>
    </row>
    <row r="70" spans="1:20">
      <c r="F70" s="31"/>
      <c r="G70" s="31"/>
      <c r="H70" s="31"/>
      <c r="J70" s="31"/>
      <c r="K70" s="31"/>
      <c r="M70" s="31"/>
      <c r="N70" s="31"/>
      <c r="P70" s="31"/>
      <c r="R70" s="31"/>
      <c r="T70" s="31"/>
    </row>
    <row r="71" spans="1:20">
      <c r="F71" s="31"/>
      <c r="G71" s="31"/>
      <c r="H71" s="31"/>
      <c r="J71" s="31"/>
      <c r="K71" s="31"/>
      <c r="M71" s="31"/>
      <c r="N71" s="31"/>
      <c r="P71" s="31"/>
      <c r="R71" s="31"/>
      <c r="T71" s="31"/>
    </row>
    <row r="72" spans="1:20">
      <c r="F72" s="31"/>
      <c r="G72" s="31"/>
      <c r="H72" s="31"/>
      <c r="J72" s="31"/>
      <c r="K72" s="31"/>
      <c r="M72" s="31"/>
      <c r="N72" s="31"/>
      <c r="P72" s="31"/>
      <c r="R72" s="31"/>
      <c r="T72" s="31"/>
    </row>
    <row r="73" spans="1:20">
      <c r="F73" s="31"/>
      <c r="H73" s="31"/>
      <c r="J73" s="31"/>
      <c r="K73" s="31"/>
      <c r="M73" s="31"/>
      <c r="N73" s="31"/>
      <c r="P73" s="31"/>
      <c r="R73" s="31"/>
      <c r="T73" s="31"/>
    </row>
    <row r="74" spans="1:20">
      <c r="F74" s="31"/>
      <c r="H74" s="31"/>
      <c r="J74" s="31"/>
      <c r="K74" s="31"/>
      <c r="M74" s="31"/>
      <c r="N74" s="31"/>
      <c r="P74" s="31"/>
      <c r="R74" s="31"/>
      <c r="T74" s="31"/>
    </row>
    <row r="75" spans="1:20">
      <c r="F75" s="31"/>
      <c r="H75" s="31"/>
      <c r="J75" s="31"/>
      <c r="K75" s="31"/>
      <c r="M75" s="31"/>
      <c r="N75" s="31"/>
      <c r="P75" s="31"/>
      <c r="R75" s="31"/>
      <c r="T75" s="31"/>
    </row>
    <row r="76" spans="1:20">
      <c r="F76" s="31"/>
      <c r="H76" s="31"/>
      <c r="J76" s="31"/>
      <c r="K76" s="31"/>
      <c r="M76" s="31"/>
      <c r="N76" s="31"/>
      <c r="P76" s="31"/>
      <c r="R76" s="31"/>
      <c r="T76" s="31"/>
    </row>
    <row r="77" spans="1:20">
      <c r="F77" s="31"/>
      <c r="H77" s="31"/>
      <c r="J77" s="31"/>
      <c r="K77" s="31"/>
      <c r="M77" s="31"/>
      <c r="N77" s="31"/>
      <c r="P77" s="31"/>
      <c r="R77" s="31"/>
      <c r="T77" s="31"/>
    </row>
    <row r="78" spans="1:20">
      <c r="F78" s="31"/>
      <c r="H78" s="31"/>
      <c r="J78" s="31"/>
      <c r="K78" s="31"/>
      <c r="M78" s="31"/>
      <c r="N78" s="31"/>
      <c r="P78" s="31"/>
      <c r="R78" s="31"/>
      <c r="T78" s="31"/>
    </row>
    <row r="79" spans="1:20">
      <c r="F79" s="31"/>
      <c r="H79" s="31"/>
      <c r="J79" s="31"/>
      <c r="K79" s="31"/>
      <c r="M79" s="31"/>
      <c r="N79" s="31"/>
      <c r="P79" s="31"/>
      <c r="R79" s="31"/>
      <c r="T79" s="31"/>
    </row>
    <row r="82" spans="1:21">
      <c r="A82" t="s">
        <v>6383</v>
      </c>
    </row>
    <row r="83" spans="1:21">
      <c r="H83">
        <v>4</v>
      </c>
      <c r="I83">
        <v>5</v>
      </c>
      <c r="J83">
        <v>6</v>
      </c>
      <c r="K83">
        <v>7</v>
      </c>
      <c r="L83">
        <v>8</v>
      </c>
      <c r="M83">
        <v>9</v>
      </c>
      <c r="N83">
        <v>10</v>
      </c>
      <c r="O83">
        <v>11</v>
      </c>
      <c r="P83">
        <v>12</v>
      </c>
      <c r="Q83">
        <v>13</v>
      </c>
      <c r="R83">
        <v>14</v>
      </c>
      <c r="S83">
        <v>15</v>
      </c>
      <c r="T83">
        <v>16</v>
      </c>
      <c r="U83">
        <v>17</v>
      </c>
    </row>
    <row r="84" spans="1:21">
      <c r="F84" s="12" t="s">
        <v>2</v>
      </c>
      <c r="G84" s="13"/>
      <c r="H84" s="13"/>
      <c r="I84" s="13"/>
      <c r="J84" s="13"/>
      <c r="K84" s="13"/>
      <c r="L84" s="14"/>
      <c r="M84" s="28"/>
      <c r="N84" s="393" t="s">
        <v>3</v>
      </c>
      <c r="O84" s="394"/>
      <c r="P84" s="394"/>
      <c r="Q84" s="394"/>
      <c r="R84" s="394"/>
      <c r="S84" s="395"/>
      <c r="T84" s="396" t="s">
        <v>4</v>
      </c>
      <c r="U84" s="397"/>
    </row>
    <row r="85" spans="1:21" ht="25.5">
      <c r="F85" s="29" t="s">
        <v>5</v>
      </c>
      <c r="G85" s="29" t="s">
        <v>6</v>
      </c>
      <c r="H85" s="29" t="s">
        <v>7</v>
      </c>
      <c r="I85" s="29" t="s">
        <v>8</v>
      </c>
      <c r="J85" s="29" t="s">
        <v>9</v>
      </c>
      <c r="K85" s="29" t="s">
        <v>10</v>
      </c>
      <c r="L85" s="29" t="s">
        <v>11</v>
      </c>
      <c r="M85" s="29" t="s">
        <v>12</v>
      </c>
      <c r="N85" s="29" t="s">
        <v>13</v>
      </c>
      <c r="O85" s="29" t="s">
        <v>14</v>
      </c>
      <c r="P85" s="29" t="s">
        <v>15</v>
      </c>
      <c r="Q85" s="29" t="s">
        <v>16</v>
      </c>
      <c r="R85" s="29" t="s">
        <v>17</v>
      </c>
      <c r="S85" s="29" t="s">
        <v>18</v>
      </c>
      <c r="T85" s="30" t="s">
        <v>19</v>
      </c>
      <c r="U85" s="29" t="s">
        <v>11</v>
      </c>
    </row>
    <row r="86" spans="1:21">
      <c r="A86" t="s">
        <v>6373</v>
      </c>
      <c r="B86" t="s">
        <v>64</v>
      </c>
      <c r="C86" t="s">
        <v>56</v>
      </c>
      <c r="D86" t="s">
        <v>57</v>
      </c>
      <c r="E86" t="s">
        <v>58</v>
      </c>
      <c r="F86" s="54" t="str">
        <f t="shared" ref="F86:F105" si="3">CONCATENATE(A86,"_",B86)</f>
        <v>Attic R0 - R30_Electric FAF</v>
      </c>
      <c r="G86" s="31" t="str">
        <f>G6</f>
        <v>Attic R0 - R30</v>
      </c>
      <c r="H86" s="31">
        <f>VLOOKUP($B86&amp;$C$86&amp;$G86,$E$6:$U$79,H$83,FALSE)*VLOOKUP($B86,Weighting!$D$5:$G$9,MATCH(Segmented!$C$86,Weighting!$E$5:$H$5,0)+1,FALSE)+VLOOKUP($B86&amp;$D$86&amp;$G86,$E$6:$U$79,H$83,FALSE)*VLOOKUP($B86,Weighting!$D$5:$G$9,MATCH(Segmented!$D$86,Weighting!$E$5:$H$5,0)+1,FALSE)+VLOOKUP($B86&amp;$E$86&amp;$G86,$E$6:$U$79,H$83,FALSE)*VLOOKUP($B86,Weighting!$D$5:$G$9,MATCH(Segmented!$E$86,Weighting!$E$5:$H$5,0)+1,FALSE)</f>
        <v>610.60803932916519</v>
      </c>
      <c r="I86">
        <f t="shared" ref="I86:I105" si="4">VLOOKUP($B86&amp;$C$86&amp;$G86,$E$6:$U$79,I$83,FALSE)</f>
        <v>25</v>
      </c>
      <c r="J86" s="31">
        <f>VLOOKUP($B86&amp;$C$86&amp;$G86,$E$6:$U$79,J$83,FALSE)*VLOOKUP($B86,Weighting!$D$5:$G$9,MATCH(Segmented!$C$86,Weighting!$E$5:$H$5,0)+1,FALSE)+VLOOKUP($B86&amp;$D$86&amp;$G86,$E$6:$U$79,J$83,FALSE)*VLOOKUP($B86,Weighting!$D$5:$G$9,MATCH(Segmented!$D$86,Weighting!$E$5:$H$5,0)+1,FALSE)+VLOOKUP($B86&amp;$E$86&amp;$G86,$E$6:$U$79,J$83,FALSE)*VLOOKUP($B86,Weighting!$D$5:$G$9,MATCH(Segmented!$E$86,Weighting!$E$5:$H$5,0)+1,FALSE)</f>
        <v>2687.9999999999973</v>
      </c>
      <c r="K86" s="31">
        <f>VLOOKUP($B86&amp;$C$86&amp;$G86,$E$6:$U$79,K$83,FALSE)*VLOOKUP($B86,Weighting!$D$5:$G$9,MATCH(Segmented!$C$86,Weighting!$E$5:$H$5,0)+1,FALSE)+VLOOKUP($B86&amp;$D$86&amp;$G86,$E$6:$U$79,K$83,FALSE)*VLOOKUP($B86,Weighting!$D$5:$G$9,MATCH(Segmented!$D$86,Weighting!$E$5:$H$5,0)+1,FALSE)+VLOOKUP($B86&amp;$E$86&amp;$G86,$E$6:$U$79,K$83,FALSE)*VLOOKUP($B86,Weighting!$D$5:$G$9,MATCH(Segmented!$E$86,Weighting!$E$5:$H$5,0)+1,FALSE)</f>
        <v>0</v>
      </c>
      <c r="L86" t="str">
        <f t="shared" ref="L86:L105" si="5">VLOOKUP($B86&amp;$C$86&amp;$G86,$E$6:$U$79,L$83,FALSE)</f>
        <v>ResSHWX</v>
      </c>
      <c r="M86" s="31">
        <f>VLOOKUP($B86&amp;$C$86&amp;$G86,$E$6:$U$79,M$83,FALSE)*VLOOKUP($B86,Weighting!$D$5:$G$9,MATCH(Segmented!$C$86,Weighting!$E$5:$H$5,0)+1,FALSE)+VLOOKUP($B86&amp;$D$86&amp;$G86,$E$6:$U$79,M$83,FALSE)*VLOOKUP($B86,Weighting!$D$5:$G$9,MATCH(Segmented!$D$86,Weighting!$E$5:$H$5,0)+1,FALSE)+VLOOKUP($B86&amp;$E$86&amp;$G86,$E$6:$U$79,M$83,FALSE)*VLOOKUP($B86,Weighting!$D$5:$G$9,MATCH(Segmented!$E$86,Weighting!$E$5:$H$5,0)+1,FALSE)</f>
        <v>7.3639999610412943</v>
      </c>
      <c r="N86" s="31">
        <f>VLOOKUP($B86&amp;$C$86&amp;$G86,$E$6:$U$79,N$83,FALSE)*VLOOKUP($B86,Weighting!$D$5:$G$9,MATCH(Segmented!$C$86,Weighting!$E$5:$H$5,0)+1,FALSE)+VLOOKUP($B86&amp;$D$86&amp;$G86,$E$6:$U$79,N$83,FALSE)*VLOOKUP($B86,Weighting!$D$5:$G$9,MATCH(Segmented!$D$86,Weighting!$E$5:$H$5,0)+1,FALSE)+VLOOKUP($B86&amp;$E$86&amp;$G86,$E$6:$U$79,N$83,FALSE)*VLOOKUP($B86,Weighting!$D$5:$G$9,MATCH(Segmented!$E$86,Weighting!$E$5:$H$5,0)+1,FALSE)</f>
        <v>0</v>
      </c>
      <c r="O86">
        <f t="shared" ref="O86:O105" si="6">VLOOKUP($B86&amp;$C$86&amp;$G86,$E$6:$U$79,O$83,FALSE)</f>
        <v>0</v>
      </c>
      <c r="P86" s="31">
        <f>VLOOKUP($B86&amp;$C$86&amp;$G86,$E$6:$U$79,P$83,FALSE)*VLOOKUP($B86,Weighting!$D$5:$G$9,MATCH(Segmented!$C$86,Weighting!$E$5:$H$5,0)+1,FALSE)+VLOOKUP($B86&amp;$D$86&amp;$G86,$E$6:$U$79,P$83,FALSE)*VLOOKUP($B86,Weighting!$D$5:$G$9,MATCH(Segmented!$D$86,Weighting!$E$5:$H$5,0)+1,FALSE)+VLOOKUP($B86&amp;$E$86&amp;$G86,$E$6:$U$79,P$83,FALSE)*VLOOKUP($B86,Weighting!$D$5:$G$9,MATCH(Segmented!$E$86,Weighting!$E$5:$H$5,0)+1,FALSE)</f>
        <v>0</v>
      </c>
      <c r="Q86">
        <f t="shared" ref="Q86:Q105" si="7">VLOOKUP($B86&amp;$C$86&amp;$G86,$E$6:$U$79,Q$83,FALSE)</f>
        <v>0</v>
      </c>
      <c r="R86" s="31">
        <f>VLOOKUP($B86&amp;$C$86&amp;$G86,$E$6:$U$79,R$83,FALSE)*VLOOKUP($B86,Weighting!$D$5:$G$9,MATCH(Segmented!$C$86,Weighting!$E$5:$H$5,0)+1,FALSE)+VLOOKUP($B86&amp;$D$86&amp;$G86,$E$6:$U$79,R$83,FALSE)*VLOOKUP($B86,Weighting!$D$5:$G$9,MATCH(Segmented!$D$86,Weighting!$E$5:$H$5,0)+1,FALSE)+VLOOKUP($B86&amp;$E$86&amp;$G86,$E$6:$U$79,R$83,FALSE)*VLOOKUP($B86,Weighting!$D$5:$G$9,MATCH(Segmented!$E$86,Weighting!$E$5:$H$5,0)+1,FALSE)</f>
        <v>0</v>
      </c>
      <c r="S86">
        <f t="shared" ref="S86:S105" si="8">VLOOKUP($B86&amp;$C$86&amp;$G86,$E$6:$U$79,S$83,FALSE)</f>
        <v>0</v>
      </c>
      <c r="T86" s="31">
        <f>VLOOKUP($B86&amp;$C$86&amp;$G86,$E$6:$U$79,T$83,FALSE)*VLOOKUP($B86,Weighting!$D$5:$G$9,MATCH(Segmented!$C$86,Weighting!$E$5:$H$5,0)+1,FALSE)+VLOOKUP($B86&amp;$D$86&amp;$G86,$E$6:$U$79,T$83,FALSE)*VLOOKUP($B86,Weighting!$D$5:$G$9,MATCH(Segmented!$D$86,Weighting!$E$5:$H$5,0)+1,FALSE)+VLOOKUP($B86&amp;$E$86&amp;$G86,$E$6:$U$79,T$83,FALSE)*VLOOKUP($B86,Weighting!$D$5:$G$9,MATCH(Segmented!$E$86,Weighting!$E$5:$H$5,0)+1,FALSE)</f>
        <v>0</v>
      </c>
    </row>
    <row r="87" spans="1:21">
      <c r="A87" t="s">
        <v>6374</v>
      </c>
      <c r="B87" t="s">
        <v>64</v>
      </c>
      <c r="F87" s="54" t="str">
        <f t="shared" si="3"/>
        <v>Attic R0 - R22_Electric FAF</v>
      </c>
      <c r="G87" s="31" t="str">
        <f t="shared" ref="G87:G105" si="9">G7</f>
        <v>Attic R0 - R22</v>
      </c>
      <c r="H87" s="31">
        <f>VLOOKUP($B87&amp;$C$86&amp;$G87,$E$6:$U$79,H$83,FALSE)*VLOOKUP($B87,Weighting!$D$5:$G$9,MATCH(Segmented!$C$86,Weighting!$E$5:$H$5,0)+1,FALSE)+VLOOKUP($B87&amp;$D$86&amp;$G87,$E$6:$U$79,H$83,FALSE)*VLOOKUP($B87,Weighting!$D$5:$G$9,MATCH(Segmented!$D$86,Weighting!$E$5:$H$5,0)+1,FALSE)+VLOOKUP($B87&amp;$E$86&amp;$G87,$E$6:$U$79,H$83,FALSE)*VLOOKUP($B87,Weighting!$D$5:$G$9,MATCH(Segmented!$E$86,Weighting!$E$5:$H$5,0)+1,FALSE)</f>
        <v>925.26148639853386</v>
      </c>
      <c r="I87">
        <f t="shared" si="4"/>
        <v>25</v>
      </c>
      <c r="J87" s="31">
        <f>VLOOKUP($B87&amp;$C$86&amp;$G87,$E$6:$U$79,J$83,FALSE)*VLOOKUP($B87,Weighting!$D$5:$G$9,MATCH(Segmented!$C$86,Weighting!$E$5:$H$5,0)+1,FALSE)+VLOOKUP($B87&amp;$D$86&amp;$G87,$E$6:$U$79,J$83,FALSE)*VLOOKUP($B87,Weighting!$D$5:$G$9,MATCH(Segmented!$D$86,Weighting!$E$5:$H$5,0)+1,FALSE)+VLOOKUP($B87&amp;$E$86&amp;$G87,$E$6:$U$79,J$83,FALSE)*VLOOKUP($B87,Weighting!$D$5:$G$9,MATCH(Segmented!$E$86,Weighting!$E$5:$H$5,0)+1,FALSE)</f>
        <v>2687.9999999999973</v>
      </c>
      <c r="K87" s="31">
        <f>VLOOKUP($B87&amp;$C$86&amp;$G87,$E$6:$U$79,K$83,FALSE)*VLOOKUP($B87,Weighting!$D$5:$G$9,MATCH(Segmented!$C$86,Weighting!$E$5:$H$5,0)+1,FALSE)+VLOOKUP($B87&amp;$D$86&amp;$G87,$E$6:$U$79,K$83,FALSE)*VLOOKUP($B87,Weighting!$D$5:$G$9,MATCH(Segmented!$D$86,Weighting!$E$5:$H$5,0)+1,FALSE)+VLOOKUP($B87&amp;$E$86&amp;$G87,$E$6:$U$79,K$83,FALSE)*VLOOKUP($B87,Weighting!$D$5:$G$9,MATCH(Segmented!$E$86,Weighting!$E$5:$H$5,0)+1,FALSE)</f>
        <v>0</v>
      </c>
      <c r="L87" t="str">
        <f t="shared" si="5"/>
        <v>ResSHWX</v>
      </c>
      <c r="M87" s="31">
        <f>VLOOKUP($B87&amp;$C$86&amp;$G87,$E$6:$U$79,M$83,FALSE)*VLOOKUP($B87,Weighting!$D$5:$G$9,MATCH(Segmented!$C$86,Weighting!$E$5:$H$5,0)+1,FALSE)+VLOOKUP($B87&amp;$D$86&amp;$G87,$E$6:$U$79,M$83,FALSE)*VLOOKUP($B87,Weighting!$D$5:$G$9,MATCH(Segmented!$D$86,Weighting!$E$5:$H$5,0)+1,FALSE)+VLOOKUP($B87&amp;$E$86&amp;$G87,$E$6:$U$79,M$83,FALSE)*VLOOKUP($B87,Weighting!$D$5:$G$9,MATCH(Segmented!$E$86,Weighting!$E$5:$H$5,0)+1,FALSE)</f>
        <v>10.088834244336626</v>
      </c>
      <c r="N87" s="31">
        <f>VLOOKUP($B87&amp;$C$86&amp;$G87,$E$6:$U$79,N$83,FALSE)*VLOOKUP($B87,Weighting!$D$5:$G$9,MATCH(Segmented!$C$86,Weighting!$E$5:$H$5,0)+1,FALSE)+VLOOKUP($B87&amp;$D$86&amp;$G87,$E$6:$U$79,N$83,FALSE)*VLOOKUP($B87,Weighting!$D$5:$G$9,MATCH(Segmented!$D$86,Weighting!$E$5:$H$5,0)+1,FALSE)+VLOOKUP($B87&amp;$E$86&amp;$G87,$E$6:$U$79,N$83,FALSE)*VLOOKUP($B87,Weighting!$D$5:$G$9,MATCH(Segmented!$E$86,Weighting!$E$5:$H$5,0)+1,FALSE)</f>
        <v>0</v>
      </c>
      <c r="O87">
        <f t="shared" si="6"/>
        <v>0</v>
      </c>
      <c r="P87" s="31">
        <f>VLOOKUP($B87&amp;$C$86&amp;$G87,$E$6:$U$79,P$83,FALSE)*VLOOKUP($B87,Weighting!$D$5:$G$9,MATCH(Segmented!$C$86,Weighting!$E$5:$H$5,0)+1,FALSE)+VLOOKUP($B87&amp;$D$86&amp;$G87,$E$6:$U$79,P$83,FALSE)*VLOOKUP($B87,Weighting!$D$5:$G$9,MATCH(Segmented!$D$86,Weighting!$E$5:$H$5,0)+1,FALSE)+VLOOKUP($B87&amp;$E$86&amp;$G87,$E$6:$U$79,P$83,FALSE)*VLOOKUP($B87,Weighting!$D$5:$G$9,MATCH(Segmented!$E$86,Weighting!$E$5:$H$5,0)+1,FALSE)</f>
        <v>0</v>
      </c>
      <c r="Q87">
        <f t="shared" si="7"/>
        <v>0</v>
      </c>
      <c r="R87" s="31">
        <f>VLOOKUP($B87&amp;$C$86&amp;$G87,$E$6:$U$79,R$83,FALSE)*VLOOKUP($B87,Weighting!$D$5:$G$9,MATCH(Segmented!$C$86,Weighting!$E$5:$H$5,0)+1,FALSE)+VLOOKUP($B87&amp;$D$86&amp;$G87,$E$6:$U$79,R$83,FALSE)*VLOOKUP($B87,Weighting!$D$5:$G$9,MATCH(Segmented!$D$86,Weighting!$E$5:$H$5,0)+1,FALSE)+VLOOKUP($B87&amp;$E$86&amp;$G87,$E$6:$U$79,R$83,FALSE)*VLOOKUP($B87,Weighting!$D$5:$G$9,MATCH(Segmented!$E$86,Weighting!$E$5:$H$5,0)+1,FALSE)</f>
        <v>0</v>
      </c>
      <c r="S87">
        <f t="shared" si="8"/>
        <v>0</v>
      </c>
      <c r="T87" s="31">
        <f>VLOOKUP($B87&amp;$C$86&amp;$G87,$E$6:$U$79,T$83,FALSE)*VLOOKUP($B87,Weighting!$D$5:$G$9,MATCH(Segmented!$C$86,Weighting!$E$5:$H$5,0)+1,FALSE)+VLOOKUP($B87&amp;$D$86&amp;$G87,$E$6:$U$79,T$83,FALSE)*VLOOKUP($B87,Weighting!$D$5:$G$9,MATCH(Segmented!$D$86,Weighting!$E$5:$H$5,0)+1,FALSE)+VLOOKUP($B87&amp;$E$86&amp;$G87,$E$6:$U$79,T$83,FALSE)*VLOOKUP($B87,Weighting!$D$5:$G$9,MATCH(Segmented!$E$86,Weighting!$E$5:$H$5,0)+1,FALSE)</f>
        <v>0</v>
      </c>
    </row>
    <row r="88" spans="1:21">
      <c r="A88" t="s">
        <v>6396</v>
      </c>
      <c r="B88" t="s">
        <v>64</v>
      </c>
      <c r="F88" s="54" t="str">
        <f t="shared" si="3"/>
        <v>Attic R11 - R30_Electric FAF</v>
      </c>
      <c r="G88" s="31" t="str">
        <f t="shared" si="9"/>
        <v>Attic R11 - R30</v>
      </c>
      <c r="H88" s="31">
        <f>VLOOKUP($B88&amp;$C$86&amp;$G88,$E$6:$U$79,H$83,FALSE)*VLOOKUP($B88,Weighting!$D$5:$G$9,MATCH(Segmented!$C$86,Weighting!$E$5:$H$5,0)+1,FALSE)+VLOOKUP($B88&amp;$D$86&amp;$G88,$E$6:$U$79,H$83,FALSE)*VLOOKUP($B88,Weighting!$D$5:$G$9,MATCH(Segmented!$D$86,Weighting!$E$5:$H$5,0)+1,FALSE)+VLOOKUP($B88&amp;$E$86&amp;$G88,$E$6:$U$79,H$83,FALSE)*VLOOKUP($B88,Weighting!$D$5:$G$9,MATCH(Segmented!$E$86,Weighting!$E$5:$H$5,0)+1,FALSE)</f>
        <v>245.51686019655438</v>
      </c>
      <c r="I88">
        <f t="shared" si="4"/>
        <v>25</v>
      </c>
      <c r="J88" s="31">
        <f>VLOOKUP($B88&amp;$C$86&amp;$G88,$E$6:$U$79,J$83,FALSE)*VLOOKUP($B88,Weighting!$D$5:$G$9,MATCH(Segmented!$C$86,Weighting!$E$5:$H$5,0)+1,FALSE)+VLOOKUP($B88&amp;$D$86&amp;$G88,$E$6:$U$79,J$83,FALSE)*VLOOKUP($B88,Weighting!$D$5:$G$9,MATCH(Segmented!$D$86,Weighting!$E$5:$H$5,0)+1,FALSE)+VLOOKUP($B88&amp;$E$86&amp;$G88,$E$6:$U$79,J$83,FALSE)*VLOOKUP($B88,Weighting!$D$5:$G$9,MATCH(Segmented!$E$86,Weighting!$E$5:$H$5,0)+1,FALSE)</f>
        <v>2687.9999999999973</v>
      </c>
      <c r="K88" s="31">
        <f>VLOOKUP($B88&amp;$C$86&amp;$G88,$E$6:$U$79,K$83,FALSE)*VLOOKUP($B88,Weighting!$D$5:$G$9,MATCH(Segmented!$C$86,Weighting!$E$5:$H$5,0)+1,FALSE)+VLOOKUP($B88&amp;$D$86&amp;$G88,$E$6:$U$79,K$83,FALSE)*VLOOKUP($B88,Weighting!$D$5:$G$9,MATCH(Segmented!$D$86,Weighting!$E$5:$H$5,0)+1,FALSE)+VLOOKUP($B88&amp;$E$86&amp;$G88,$E$6:$U$79,K$83,FALSE)*VLOOKUP($B88,Weighting!$D$5:$G$9,MATCH(Segmented!$E$86,Weighting!$E$5:$H$5,0)+1,FALSE)</f>
        <v>0</v>
      </c>
      <c r="L88" t="str">
        <f t="shared" si="5"/>
        <v>ResSHWX</v>
      </c>
      <c r="M88" s="31">
        <f>VLOOKUP($B88&amp;$C$86&amp;$G88,$E$6:$U$79,M$83,FALSE)*VLOOKUP($B88,Weighting!$D$5:$G$9,MATCH(Segmented!$C$86,Weighting!$E$5:$H$5,0)+1,FALSE)+VLOOKUP($B88&amp;$D$86&amp;$G88,$E$6:$U$79,M$83,FALSE)*VLOOKUP($B88,Weighting!$D$5:$G$9,MATCH(Segmented!$D$86,Weighting!$E$5:$H$5,0)+1,FALSE)+VLOOKUP($B88&amp;$E$86&amp;$G88,$E$6:$U$79,M$83,FALSE)*VLOOKUP($B88,Weighting!$D$5:$G$9,MATCH(Segmented!$E$86,Weighting!$E$5:$H$5,0)+1,FALSE)</f>
        <v>3.0274534356921809</v>
      </c>
      <c r="N88" s="31">
        <f>VLOOKUP($B88&amp;$C$86&amp;$G88,$E$6:$U$79,N$83,FALSE)*VLOOKUP($B88,Weighting!$D$5:$G$9,MATCH(Segmented!$C$86,Weighting!$E$5:$H$5,0)+1,FALSE)+VLOOKUP($B88&amp;$D$86&amp;$G88,$E$6:$U$79,N$83,FALSE)*VLOOKUP($B88,Weighting!$D$5:$G$9,MATCH(Segmented!$D$86,Weighting!$E$5:$H$5,0)+1,FALSE)+VLOOKUP($B88&amp;$E$86&amp;$G88,$E$6:$U$79,N$83,FALSE)*VLOOKUP($B88,Weighting!$D$5:$G$9,MATCH(Segmented!$E$86,Weighting!$E$5:$H$5,0)+1,FALSE)</f>
        <v>0</v>
      </c>
      <c r="O88">
        <f t="shared" si="6"/>
        <v>0</v>
      </c>
      <c r="P88" s="31">
        <f>VLOOKUP($B88&amp;$C$86&amp;$G88,$E$6:$U$79,P$83,FALSE)*VLOOKUP($B88,Weighting!$D$5:$G$9,MATCH(Segmented!$C$86,Weighting!$E$5:$H$5,0)+1,FALSE)+VLOOKUP($B88&amp;$D$86&amp;$G88,$E$6:$U$79,P$83,FALSE)*VLOOKUP($B88,Weighting!$D$5:$G$9,MATCH(Segmented!$D$86,Weighting!$E$5:$H$5,0)+1,FALSE)+VLOOKUP($B88&amp;$E$86&amp;$G88,$E$6:$U$79,P$83,FALSE)*VLOOKUP($B88,Weighting!$D$5:$G$9,MATCH(Segmented!$E$86,Weighting!$E$5:$H$5,0)+1,FALSE)</f>
        <v>0</v>
      </c>
      <c r="Q88">
        <f t="shared" si="7"/>
        <v>0</v>
      </c>
      <c r="R88" s="31">
        <f>VLOOKUP($B88&amp;$C$86&amp;$G88,$E$6:$U$79,R$83,FALSE)*VLOOKUP($B88,Weighting!$D$5:$G$9,MATCH(Segmented!$C$86,Weighting!$E$5:$H$5,0)+1,FALSE)+VLOOKUP($B88&amp;$D$86&amp;$G88,$E$6:$U$79,R$83,FALSE)*VLOOKUP($B88,Weighting!$D$5:$G$9,MATCH(Segmented!$D$86,Weighting!$E$5:$H$5,0)+1,FALSE)+VLOOKUP($B88&amp;$E$86&amp;$G88,$E$6:$U$79,R$83,FALSE)*VLOOKUP($B88,Weighting!$D$5:$G$9,MATCH(Segmented!$E$86,Weighting!$E$5:$H$5,0)+1,FALSE)</f>
        <v>0</v>
      </c>
      <c r="S88">
        <f t="shared" si="8"/>
        <v>0</v>
      </c>
      <c r="T88" s="31">
        <f>VLOOKUP($B88&amp;$C$86&amp;$G88,$E$6:$U$79,T$83,FALSE)*VLOOKUP($B88,Weighting!$D$5:$G$9,MATCH(Segmented!$C$86,Weighting!$E$5:$H$5,0)+1,FALSE)+VLOOKUP($B88&amp;$D$86&amp;$G88,$E$6:$U$79,T$83,FALSE)*VLOOKUP($B88,Weighting!$D$5:$G$9,MATCH(Segmented!$D$86,Weighting!$E$5:$H$5,0)+1,FALSE)+VLOOKUP($B88&amp;$E$86&amp;$G88,$E$6:$U$79,T$83,FALSE)*VLOOKUP($B88,Weighting!$D$5:$G$9,MATCH(Segmented!$E$86,Weighting!$E$5:$H$5,0)+1,FALSE)</f>
        <v>0</v>
      </c>
    </row>
    <row r="89" spans="1:21">
      <c r="A89" t="s">
        <v>6375</v>
      </c>
      <c r="B89" t="s">
        <v>64</v>
      </c>
      <c r="F89" s="54" t="str">
        <f t="shared" si="3"/>
        <v>Floor R0 - R22_Electric FAF</v>
      </c>
      <c r="G89" s="31" t="str">
        <f t="shared" si="9"/>
        <v>Floor R0 - R22</v>
      </c>
      <c r="H89" s="31">
        <f>VLOOKUP($B89&amp;$C$86&amp;$G89,$E$6:$U$79,H$83,FALSE)*VLOOKUP($B89,Weighting!$D$5:$G$9,MATCH(Segmented!$C$86,Weighting!$E$5:$H$5,0)+1,FALSE)+VLOOKUP($B89&amp;$D$86&amp;$G89,$E$6:$U$79,H$83,FALSE)*VLOOKUP($B89,Weighting!$D$5:$G$9,MATCH(Segmented!$D$86,Weighting!$E$5:$H$5,0)+1,FALSE)+VLOOKUP($B89&amp;$E$86&amp;$G89,$E$6:$U$79,H$83,FALSE)*VLOOKUP($B89,Weighting!$D$5:$G$9,MATCH(Segmented!$E$86,Weighting!$E$5:$H$5,0)+1,FALSE)</f>
        <v>799.10533088738805</v>
      </c>
      <c r="I89">
        <f t="shared" si="4"/>
        <v>25</v>
      </c>
      <c r="J89" s="31">
        <f>VLOOKUP($B89&amp;$C$86&amp;$G89,$E$6:$U$79,J$83,FALSE)*VLOOKUP($B89,Weighting!$D$5:$G$9,MATCH(Segmented!$C$86,Weighting!$E$5:$H$5,0)+1,FALSE)+VLOOKUP($B89&amp;$D$86&amp;$G89,$E$6:$U$79,J$83,FALSE)*VLOOKUP($B89,Weighting!$D$5:$G$9,MATCH(Segmented!$D$86,Weighting!$E$5:$H$5,0)+1,FALSE)+VLOOKUP($B89&amp;$E$86&amp;$G89,$E$6:$U$79,J$83,FALSE)*VLOOKUP($B89,Weighting!$D$5:$G$9,MATCH(Segmented!$E$86,Weighting!$E$5:$H$5,0)+1,FALSE)</f>
        <v>4223.9999999999964</v>
      </c>
      <c r="K89" s="31">
        <f>VLOOKUP($B89&amp;$C$86&amp;$G89,$E$6:$U$79,K$83,FALSE)*VLOOKUP($B89,Weighting!$D$5:$G$9,MATCH(Segmented!$C$86,Weighting!$E$5:$H$5,0)+1,FALSE)+VLOOKUP($B89&amp;$D$86&amp;$G89,$E$6:$U$79,K$83,FALSE)*VLOOKUP($B89,Weighting!$D$5:$G$9,MATCH(Segmented!$D$86,Weighting!$E$5:$H$5,0)+1,FALSE)+VLOOKUP($B89&amp;$E$86&amp;$G89,$E$6:$U$79,K$83,FALSE)*VLOOKUP($B89,Weighting!$D$5:$G$9,MATCH(Segmented!$E$86,Weighting!$E$5:$H$5,0)+1,FALSE)</f>
        <v>0</v>
      </c>
      <c r="L89" t="str">
        <f t="shared" si="5"/>
        <v>ResSHWX</v>
      </c>
      <c r="M89" s="31">
        <f>VLOOKUP($B89&amp;$C$86&amp;$G89,$E$6:$U$79,M$83,FALSE)*VLOOKUP($B89,Weighting!$D$5:$G$9,MATCH(Segmented!$C$86,Weighting!$E$5:$H$5,0)+1,FALSE)+VLOOKUP($B89&amp;$D$86&amp;$G89,$E$6:$U$79,M$83,FALSE)*VLOOKUP($B89,Weighting!$D$5:$G$9,MATCH(Segmented!$D$86,Weighting!$E$5:$H$5,0)+1,FALSE)+VLOOKUP($B89&amp;$E$86&amp;$G89,$E$6:$U$79,M$83,FALSE)*VLOOKUP($B89,Weighting!$D$5:$G$9,MATCH(Segmented!$E$86,Weighting!$E$5:$H$5,0)+1,FALSE)</f>
        <v>9.0480130874104745</v>
      </c>
      <c r="N89" s="31">
        <f>VLOOKUP($B89&amp;$C$86&amp;$G89,$E$6:$U$79,N$83,FALSE)*VLOOKUP($B89,Weighting!$D$5:$G$9,MATCH(Segmented!$C$86,Weighting!$E$5:$H$5,0)+1,FALSE)+VLOOKUP($B89&amp;$D$86&amp;$G89,$E$6:$U$79,N$83,FALSE)*VLOOKUP($B89,Weighting!$D$5:$G$9,MATCH(Segmented!$D$86,Weighting!$E$5:$H$5,0)+1,FALSE)+VLOOKUP($B89&amp;$E$86&amp;$G89,$E$6:$U$79,N$83,FALSE)*VLOOKUP($B89,Weighting!$D$5:$G$9,MATCH(Segmented!$E$86,Weighting!$E$5:$H$5,0)+1,FALSE)</f>
        <v>0</v>
      </c>
      <c r="O89">
        <f t="shared" si="6"/>
        <v>0</v>
      </c>
      <c r="P89" s="31">
        <f>VLOOKUP($B89&amp;$C$86&amp;$G89,$E$6:$U$79,P$83,FALSE)*VLOOKUP($B89,Weighting!$D$5:$G$9,MATCH(Segmented!$C$86,Weighting!$E$5:$H$5,0)+1,FALSE)+VLOOKUP($B89&amp;$D$86&amp;$G89,$E$6:$U$79,P$83,FALSE)*VLOOKUP($B89,Weighting!$D$5:$G$9,MATCH(Segmented!$D$86,Weighting!$E$5:$H$5,0)+1,FALSE)+VLOOKUP($B89&amp;$E$86&amp;$G89,$E$6:$U$79,P$83,FALSE)*VLOOKUP($B89,Weighting!$D$5:$G$9,MATCH(Segmented!$E$86,Weighting!$E$5:$H$5,0)+1,FALSE)</f>
        <v>0</v>
      </c>
      <c r="Q89">
        <f t="shared" si="7"/>
        <v>0</v>
      </c>
      <c r="R89" s="31">
        <f>VLOOKUP($B89&amp;$C$86&amp;$G89,$E$6:$U$79,R$83,FALSE)*VLOOKUP($B89,Weighting!$D$5:$G$9,MATCH(Segmented!$C$86,Weighting!$E$5:$H$5,0)+1,FALSE)+VLOOKUP($B89&amp;$D$86&amp;$G89,$E$6:$U$79,R$83,FALSE)*VLOOKUP($B89,Weighting!$D$5:$G$9,MATCH(Segmented!$D$86,Weighting!$E$5:$H$5,0)+1,FALSE)+VLOOKUP($B89&amp;$E$86&amp;$G89,$E$6:$U$79,R$83,FALSE)*VLOOKUP($B89,Weighting!$D$5:$G$9,MATCH(Segmented!$E$86,Weighting!$E$5:$H$5,0)+1,FALSE)</f>
        <v>0</v>
      </c>
      <c r="S89">
        <f t="shared" si="8"/>
        <v>0</v>
      </c>
      <c r="T89" s="31">
        <f>VLOOKUP($B89&amp;$C$86&amp;$G89,$E$6:$U$79,T$83,FALSE)*VLOOKUP($B89,Weighting!$D$5:$G$9,MATCH(Segmented!$C$86,Weighting!$E$5:$H$5,0)+1,FALSE)+VLOOKUP($B89&amp;$D$86&amp;$G89,$E$6:$U$79,T$83,FALSE)*VLOOKUP($B89,Weighting!$D$5:$G$9,MATCH(Segmented!$D$86,Weighting!$E$5:$H$5,0)+1,FALSE)+VLOOKUP($B89&amp;$E$86&amp;$G89,$E$6:$U$79,T$83,FALSE)*VLOOKUP($B89,Weighting!$D$5:$G$9,MATCH(Segmented!$E$86,Weighting!$E$5:$H$5,0)+1,FALSE)</f>
        <v>0</v>
      </c>
    </row>
    <row r="90" spans="1:21">
      <c r="A90" t="s">
        <v>6376</v>
      </c>
      <c r="B90" t="s">
        <v>64</v>
      </c>
      <c r="F90" s="54" t="str">
        <f t="shared" si="3"/>
        <v>Floor R11 - R22_Electric FAF</v>
      </c>
      <c r="G90" s="31" t="str">
        <f t="shared" si="9"/>
        <v>Floor R11 - R22</v>
      </c>
      <c r="H90" s="31">
        <f>VLOOKUP($B90&amp;$C$86&amp;$G90,$E$6:$U$79,H$83,FALSE)*VLOOKUP($B90,Weighting!$D$5:$G$9,MATCH(Segmented!$C$86,Weighting!$E$5:$H$5,0)+1,FALSE)+VLOOKUP($B90&amp;$D$86&amp;$G90,$E$6:$U$79,H$83,FALSE)*VLOOKUP($B90,Weighting!$D$5:$G$9,MATCH(Segmented!$D$86,Weighting!$E$5:$H$5,0)+1,FALSE)+VLOOKUP($B90&amp;$E$86&amp;$G90,$E$6:$U$79,H$83,FALSE)*VLOOKUP($B90,Weighting!$D$5:$G$9,MATCH(Segmented!$E$86,Weighting!$E$5:$H$5,0)+1,FALSE)</f>
        <v>338.94203757324567</v>
      </c>
      <c r="I90">
        <f t="shared" si="4"/>
        <v>25</v>
      </c>
      <c r="J90" s="31">
        <f>VLOOKUP($B90&amp;$C$86&amp;$G90,$E$6:$U$79,J$83,FALSE)*VLOOKUP($B90,Weighting!$D$5:$G$9,MATCH(Segmented!$C$86,Weighting!$E$5:$H$5,0)+1,FALSE)+VLOOKUP($B90&amp;$D$86&amp;$G90,$E$6:$U$79,J$83,FALSE)*VLOOKUP($B90,Weighting!$D$5:$G$9,MATCH(Segmented!$D$86,Weighting!$E$5:$H$5,0)+1,FALSE)+VLOOKUP($B90&amp;$E$86&amp;$G90,$E$6:$U$79,J$83,FALSE)*VLOOKUP($B90,Weighting!$D$5:$G$9,MATCH(Segmented!$E$86,Weighting!$E$5:$H$5,0)+1,FALSE)</f>
        <v>4223.9999999999964</v>
      </c>
      <c r="K90" s="31">
        <f>VLOOKUP($B90&amp;$C$86&amp;$G90,$E$6:$U$79,K$83,FALSE)*VLOOKUP($B90,Weighting!$D$5:$G$9,MATCH(Segmented!$C$86,Weighting!$E$5:$H$5,0)+1,FALSE)+VLOOKUP($B90&amp;$D$86&amp;$G90,$E$6:$U$79,K$83,FALSE)*VLOOKUP($B90,Weighting!$D$5:$G$9,MATCH(Segmented!$D$86,Weighting!$E$5:$H$5,0)+1,FALSE)+VLOOKUP($B90&amp;$E$86&amp;$G90,$E$6:$U$79,K$83,FALSE)*VLOOKUP($B90,Weighting!$D$5:$G$9,MATCH(Segmented!$E$86,Weighting!$E$5:$H$5,0)+1,FALSE)</f>
        <v>0</v>
      </c>
      <c r="L90" t="str">
        <f t="shared" si="5"/>
        <v>ResSHWX</v>
      </c>
      <c r="M90" s="31">
        <f>VLOOKUP($B90&amp;$C$86&amp;$G90,$E$6:$U$79,M$83,FALSE)*VLOOKUP($B90,Weighting!$D$5:$G$9,MATCH(Segmented!$C$86,Weighting!$E$5:$H$5,0)+1,FALSE)+VLOOKUP($B90&amp;$D$86&amp;$G90,$E$6:$U$79,M$83,FALSE)*VLOOKUP($B90,Weighting!$D$5:$G$9,MATCH(Segmented!$D$86,Weighting!$E$5:$H$5,0)+1,FALSE)+VLOOKUP($B90&amp;$E$86&amp;$G90,$E$6:$U$79,M$83,FALSE)*VLOOKUP($B90,Weighting!$D$5:$G$9,MATCH(Segmented!$E$86,Weighting!$E$5:$H$5,0)+1,FALSE)</f>
        <v>3.886874923502873</v>
      </c>
      <c r="N90" s="31">
        <f>VLOOKUP($B90&amp;$C$86&amp;$G90,$E$6:$U$79,N$83,FALSE)*VLOOKUP($B90,Weighting!$D$5:$G$9,MATCH(Segmented!$C$86,Weighting!$E$5:$H$5,0)+1,FALSE)+VLOOKUP($B90&amp;$D$86&amp;$G90,$E$6:$U$79,N$83,FALSE)*VLOOKUP($B90,Weighting!$D$5:$G$9,MATCH(Segmented!$D$86,Weighting!$E$5:$H$5,0)+1,FALSE)+VLOOKUP($B90&amp;$E$86&amp;$G90,$E$6:$U$79,N$83,FALSE)*VLOOKUP($B90,Weighting!$D$5:$G$9,MATCH(Segmented!$E$86,Weighting!$E$5:$H$5,0)+1,FALSE)</f>
        <v>0</v>
      </c>
      <c r="O90">
        <f t="shared" si="6"/>
        <v>0</v>
      </c>
      <c r="P90" s="31">
        <f>VLOOKUP($B90&amp;$C$86&amp;$G90,$E$6:$U$79,P$83,FALSE)*VLOOKUP($B90,Weighting!$D$5:$G$9,MATCH(Segmented!$C$86,Weighting!$E$5:$H$5,0)+1,FALSE)+VLOOKUP($B90&amp;$D$86&amp;$G90,$E$6:$U$79,P$83,FALSE)*VLOOKUP($B90,Weighting!$D$5:$G$9,MATCH(Segmented!$D$86,Weighting!$E$5:$H$5,0)+1,FALSE)+VLOOKUP($B90&amp;$E$86&amp;$G90,$E$6:$U$79,P$83,FALSE)*VLOOKUP($B90,Weighting!$D$5:$G$9,MATCH(Segmented!$E$86,Weighting!$E$5:$H$5,0)+1,FALSE)</f>
        <v>0</v>
      </c>
      <c r="Q90">
        <f t="shared" si="7"/>
        <v>0</v>
      </c>
      <c r="R90" s="31">
        <f>VLOOKUP($B90&amp;$C$86&amp;$G90,$E$6:$U$79,R$83,FALSE)*VLOOKUP($B90,Weighting!$D$5:$G$9,MATCH(Segmented!$C$86,Weighting!$E$5:$H$5,0)+1,FALSE)+VLOOKUP($B90&amp;$D$86&amp;$G90,$E$6:$U$79,R$83,FALSE)*VLOOKUP($B90,Weighting!$D$5:$G$9,MATCH(Segmented!$D$86,Weighting!$E$5:$H$5,0)+1,FALSE)+VLOOKUP($B90&amp;$E$86&amp;$G90,$E$6:$U$79,R$83,FALSE)*VLOOKUP($B90,Weighting!$D$5:$G$9,MATCH(Segmented!$E$86,Weighting!$E$5:$H$5,0)+1,FALSE)</f>
        <v>0</v>
      </c>
      <c r="S90">
        <f t="shared" si="8"/>
        <v>0</v>
      </c>
      <c r="T90" s="31">
        <f>VLOOKUP($B90&amp;$C$86&amp;$G90,$E$6:$U$79,T$83,FALSE)*VLOOKUP($B90,Weighting!$D$5:$G$9,MATCH(Segmented!$C$86,Weighting!$E$5:$H$5,0)+1,FALSE)+VLOOKUP($B90&amp;$D$86&amp;$G90,$E$6:$U$79,T$83,FALSE)*VLOOKUP($B90,Weighting!$D$5:$G$9,MATCH(Segmented!$D$86,Weighting!$E$5:$H$5,0)+1,FALSE)+VLOOKUP($B90&amp;$E$86&amp;$G90,$E$6:$U$79,T$83,FALSE)*VLOOKUP($B90,Weighting!$D$5:$G$9,MATCH(Segmented!$E$86,Weighting!$E$5:$H$5,0)+1,FALSE)</f>
        <v>0</v>
      </c>
    </row>
    <row r="91" spans="1:21">
      <c r="A91" t="s">
        <v>61</v>
      </c>
      <c r="B91" t="s">
        <v>64</v>
      </c>
      <c r="F91" s="54" t="str">
        <f t="shared" si="3"/>
        <v>WINDOW CL30 Prime Window Replacement of Double Pane Base_Electric FAF</v>
      </c>
      <c r="G91" s="31" t="str">
        <f t="shared" si="9"/>
        <v>WINDOW CL30 Prime Window Replacement of Double Pane Base</v>
      </c>
      <c r="H91" s="31">
        <f>VLOOKUP($B91&amp;$C$86&amp;$G91,$E$6:$U$79,H$83,FALSE)*VLOOKUP($B91,Weighting!$D$5:$G$9,MATCH(Segmented!$C$86,Weighting!$E$5:$H$5,0)+1,FALSE)+VLOOKUP($B91&amp;$D$86&amp;$G91,$E$6:$U$79,H$83,FALSE)*VLOOKUP($B91,Weighting!$D$5:$G$9,MATCH(Segmented!$D$86,Weighting!$E$5:$H$5,0)+1,FALSE)+VLOOKUP($B91&amp;$E$86&amp;$G91,$E$6:$U$79,H$83,FALSE)*VLOOKUP($B91,Weighting!$D$5:$G$9,MATCH(Segmented!$E$86,Weighting!$E$5:$H$5,0)+1,FALSE)</f>
        <v>824.59798710575876</v>
      </c>
      <c r="I91">
        <f t="shared" si="4"/>
        <v>25</v>
      </c>
      <c r="J91" s="31">
        <f>VLOOKUP($B91&amp;$C$86&amp;$G91,$E$6:$U$79,J$83,FALSE)*VLOOKUP($B91,Weighting!$D$5:$G$9,MATCH(Segmented!$C$86,Weighting!$E$5:$H$5,0)+1,FALSE)+VLOOKUP($B91&amp;$D$86&amp;$G91,$E$6:$U$79,J$83,FALSE)*VLOOKUP($B91,Weighting!$D$5:$G$9,MATCH(Segmented!$D$86,Weighting!$E$5:$H$5,0)+1,FALSE)+VLOOKUP($B91&amp;$E$86&amp;$G91,$E$6:$U$79,J$83,FALSE)*VLOOKUP($B91,Weighting!$D$5:$G$9,MATCH(Segmented!$E$86,Weighting!$E$5:$H$5,0)+1,FALSE)</f>
        <v>3296.9499559131623</v>
      </c>
      <c r="K91" s="31">
        <f>VLOOKUP($B91&amp;$C$86&amp;$G91,$E$6:$U$79,K$83,FALSE)*VLOOKUP($B91,Weighting!$D$5:$G$9,MATCH(Segmented!$C$86,Weighting!$E$5:$H$5,0)+1,FALSE)+VLOOKUP($B91&amp;$D$86&amp;$G91,$E$6:$U$79,K$83,FALSE)*VLOOKUP($B91,Weighting!$D$5:$G$9,MATCH(Segmented!$D$86,Weighting!$E$5:$H$5,0)+1,FALSE)+VLOOKUP($B91&amp;$E$86&amp;$G91,$E$6:$U$79,K$83,FALSE)*VLOOKUP($B91,Weighting!$D$5:$G$9,MATCH(Segmented!$E$86,Weighting!$E$5:$H$5,0)+1,FALSE)</f>
        <v>0</v>
      </c>
      <c r="L91" t="str">
        <f t="shared" si="5"/>
        <v>ResSHWX</v>
      </c>
      <c r="M91" s="31">
        <f>VLOOKUP($B91&amp;$C$86&amp;$G91,$E$6:$U$79,M$83,FALSE)*VLOOKUP($B91,Weighting!$D$5:$G$9,MATCH(Segmented!$C$86,Weighting!$E$5:$H$5,0)+1,FALSE)+VLOOKUP($B91&amp;$D$86&amp;$G91,$E$6:$U$79,M$83,FALSE)*VLOOKUP($B91,Weighting!$D$5:$G$9,MATCH(Segmented!$D$86,Weighting!$E$5:$H$5,0)+1,FALSE)+VLOOKUP($B91&amp;$E$86&amp;$G91,$E$6:$U$79,M$83,FALSE)*VLOOKUP($B91,Weighting!$D$5:$G$9,MATCH(Segmented!$E$86,Weighting!$E$5:$H$5,0)+1,FALSE)</f>
        <v>10.244536891603387</v>
      </c>
      <c r="N91" s="31">
        <f>VLOOKUP($B91&amp;$C$86&amp;$G91,$E$6:$U$79,N$83,FALSE)*VLOOKUP($B91,Weighting!$D$5:$G$9,MATCH(Segmented!$C$86,Weighting!$E$5:$H$5,0)+1,FALSE)+VLOOKUP($B91&amp;$D$86&amp;$G91,$E$6:$U$79,N$83,FALSE)*VLOOKUP($B91,Weighting!$D$5:$G$9,MATCH(Segmented!$D$86,Weighting!$E$5:$H$5,0)+1,FALSE)+VLOOKUP($B91&amp;$E$86&amp;$G91,$E$6:$U$79,N$83,FALSE)*VLOOKUP($B91,Weighting!$D$5:$G$9,MATCH(Segmented!$E$86,Weighting!$E$5:$H$5,0)+1,FALSE)</f>
        <v>0</v>
      </c>
      <c r="O91">
        <f t="shared" si="6"/>
        <v>0</v>
      </c>
      <c r="P91" s="31">
        <f>VLOOKUP($B91&amp;$C$86&amp;$G91,$E$6:$U$79,P$83,FALSE)*VLOOKUP($B91,Weighting!$D$5:$G$9,MATCH(Segmented!$C$86,Weighting!$E$5:$H$5,0)+1,FALSE)+VLOOKUP($B91&amp;$D$86&amp;$G91,$E$6:$U$79,P$83,FALSE)*VLOOKUP($B91,Weighting!$D$5:$G$9,MATCH(Segmented!$D$86,Weighting!$E$5:$H$5,0)+1,FALSE)+VLOOKUP($B91&amp;$E$86&amp;$G91,$E$6:$U$79,P$83,FALSE)*VLOOKUP($B91,Weighting!$D$5:$G$9,MATCH(Segmented!$E$86,Weighting!$E$5:$H$5,0)+1,FALSE)</f>
        <v>0</v>
      </c>
      <c r="Q91">
        <f t="shared" si="7"/>
        <v>0</v>
      </c>
      <c r="R91" s="31">
        <f>VLOOKUP($B91&amp;$C$86&amp;$G91,$E$6:$U$79,R$83,FALSE)*VLOOKUP($B91,Weighting!$D$5:$G$9,MATCH(Segmented!$C$86,Weighting!$E$5:$H$5,0)+1,FALSE)+VLOOKUP($B91&amp;$D$86&amp;$G91,$E$6:$U$79,R$83,FALSE)*VLOOKUP($B91,Weighting!$D$5:$G$9,MATCH(Segmented!$D$86,Weighting!$E$5:$H$5,0)+1,FALSE)+VLOOKUP($B91&amp;$E$86&amp;$G91,$E$6:$U$79,R$83,FALSE)*VLOOKUP($B91,Weighting!$D$5:$G$9,MATCH(Segmented!$E$86,Weighting!$E$5:$H$5,0)+1,FALSE)</f>
        <v>0</v>
      </c>
      <c r="S91">
        <f t="shared" si="8"/>
        <v>0</v>
      </c>
      <c r="T91" s="31">
        <f>VLOOKUP($B91&amp;$C$86&amp;$G91,$E$6:$U$79,T$83,FALSE)*VLOOKUP($B91,Weighting!$D$5:$G$9,MATCH(Segmented!$C$86,Weighting!$E$5:$H$5,0)+1,FALSE)+VLOOKUP($B91&amp;$D$86&amp;$G91,$E$6:$U$79,T$83,FALSE)*VLOOKUP($B91,Weighting!$D$5:$G$9,MATCH(Segmented!$D$86,Weighting!$E$5:$H$5,0)+1,FALSE)+VLOOKUP($B91&amp;$E$86&amp;$G91,$E$6:$U$79,T$83,FALSE)*VLOOKUP($B91,Weighting!$D$5:$G$9,MATCH(Segmented!$E$86,Weighting!$E$5:$H$5,0)+1,FALSE)</f>
        <v>0</v>
      </c>
    </row>
    <row r="92" spans="1:21">
      <c r="A92" t="s">
        <v>60</v>
      </c>
      <c r="B92" t="s">
        <v>64</v>
      </c>
      <c r="F92" s="54" t="str">
        <f t="shared" si="3"/>
        <v>WINDOW CL30 Prime Window Replacement of Single Pane Base_Electric FAF</v>
      </c>
      <c r="G92" s="31" t="str">
        <f t="shared" si="9"/>
        <v>WINDOW CL30 Prime Window Replacement of Single Pane Base</v>
      </c>
      <c r="H92" s="31">
        <f>VLOOKUP($B92&amp;$C$86&amp;$G92,$E$6:$U$79,H$83,FALSE)*VLOOKUP($B92,Weighting!$D$5:$G$9,MATCH(Segmented!$C$86,Weighting!$E$5:$H$5,0)+1,FALSE)+VLOOKUP($B92&amp;$D$86&amp;$G92,$E$6:$U$79,H$83,FALSE)*VLOOKUP($B92,Weighting!$D$5:$G$9,MATCH(Segmented!$D$86,Weighting!$E$5:$H$5,0)+1,FALSE)+VLOOKUP($B92&amp;$E$86&amp;$G92,$E$6:$U$79,H$83,FALSE)*VLOOKUP($B92,Weighting!$D$5:$G$9,MATCH(Segmented!$E$86,Weighting!$E$5:$H$5,0)+1,FALSE)</f>
        <v>1660.6183472547423</v>
      </c>
      <c r="I92">
        <f t="shared" si="4"/>
        <v>25</v>
      </c>
      <c r="J92" s="31">
        <f>VLOOKUP($B92&amp;$C$86&amp;$G92,$E$6:$U$79,J$83,FALSE)*VLOOKUP($B92,Weighting!$D$5:$G$9,MATCH(Segmented!$C$86,Weighting!$E$5:$H$5,0)+1,FALSE)+VLOOKUP($B92&amp;$D$86&amp;$G92,$E$6:$U$79,J$83,FALSE)*VLOOKUP($B92,Weighting!$D$5:$G$9,MATCH(Segmented!$D$86,Weighting!$E$5:$H$5,0)+1,FALSE)+VLOOKUP($B92&amp;$E$86&amp;$G92,$E$6:$U$79,J$83,FALSE)*VLOOKUP($B92,Weighting!$D$5:$G$9,MATCH(Segmented!$E$86,Weighting!$E$5:$H$5,0)+1,FALSE)</f>
        <v>3296.9499559131623</v>
      </c>
      <c r="K92" s="31">
        <f>VLOOKUP($B92&amp;$C$86&amp;$G92,$E$6:$U$79,K$83,FALSE)*VLOOKUP($B92,Weighting!$D$5:$G$9,MATCH(Segmented!$C$86,Weighting!$E$5:$H$5,0)+1,FALSE)+VLOOKUP($B92&amp;$D$86&amp;$G92,$E$6:$U$79,K$83,FALSE)*VLOOKUP($B92,Weighting!$D$5:$G$9,MATCH(Segmented!$D$86,Weighting!$E$5:$H$5,0)+1,FALSE)+VLOOKUP($B92&amp;$E$86&amp;$G92,$E$6:$U$79,K$83,FALSE)*VLOOKUP($B92,Weighting!$D$5:$G$9,MATCH(Segmented!$E$86,Weighting!$E$5:$H$5,0)+1,FALSE)</f>
        <v>0</v>
      </c>
      <c r="L92" t="str">
        <f t="shared" si="5"/>
        <v>ResSHWX</v>
      </c>
      <c r="M92" s="31">
        <f>VLOOKUP($B92&amp;$C$86&amp;$G92,$E$6:$U$79,M$83,FALSE)*VLOOKUP($B92,Weighting!$D$5:$G$9,MATCH(Segmented!$C$86,Weighting!$E$5:$H$5,0)+1,FALSE)+VLOOKUP($B92&amp;$D$86&amp;$G92,$E$6:$U$79,M$83,FALSE)*VLOOKUP($B92,Weighting!$D$5:$G$9,MATCH(Segmented!$D$86,Weighting!$E$5:$H$5,0)+1,FALSE)+VLOOKUP($B92&amp;$E$86&amp;$G92,$E$6:$U$79,M$83,FALSE)*VLOOKUP($B92,Weighting!$D$5:$G$9,MATCH(Segmented!$E$86,Weighting!$E$5:$H$5,0)+1,FALSE)</f>
        <v>18.282382705100755</v>
      </c>
      <c r="N92" s="31">
        <f>VLOOKUP($B92&amp;$C$86&amp;$G92,$E$6:$U$79,N$83,FALSE)*VLOOKUP($B92,Weighting!$D$5:$G$9,MATCH(Segmented!$C$86,Weighting!$E$5:$H$5,0)+1,FALSE)+VLOOKUP($B92&amp;$D$86&amp;$G92,$E$6:$U$79,N$83,FALSE)*VLOOKUP($B92,Weighting!$D$5:$G$9,MATCH(Segmented!$D$86,Weighting!$E$5:$H$5,0)+1,FALSE)+VLOOKUP($B92&amp;$E$86&amp;$G92,$E$6:$U$79,N$83,FALSE)*VLOOKUP($B92,Weighting!$D$5:$G$9,MATCH(Segmented!$E$86,Weighting!$E$5:$H$5,0)+1,FALSE)</f>
        <v>0</v>
      </c>
      <c r="O92">
        <f t="shared" si="6"/>
        <v>0</v>
      </c>
      <c r="P92" s="31">
        <f>VLOOKUP($B92&amp;$C$86&amp;$G92,$E$6:$U$79,P$83,FALSE)*VLOOKUP($B92,Weighting!$D$5:$G$9,MATCH(Segmented!$C$86,Weighting!$E$5:$H$5,0)+1,FALSE)+VLOOKUP($B92&amp;$D$86&amp;$G92,$E$6:$U$79,P$83,FALSE)*VLOOKUP($B92,Weighting!$D$5:$G$9,MATCH(Segmented!$D$86,Weighting!$E$5:$H$5,0)+1,FALSE)+VLOOKUP($B92&amp;$E$86&amp;$G92,$E$6:$U$79,P$83,FALSE)*VLOOKUP($B92,Weighting!$D$5:$G$9,MATCH(Segmented!$E$86,Weighting!$E$5:$H$5,0)+1,FALSE)</f>
        <v>0</v>
      </c>
      <c r="Q92">
        <f t="shared" si="7"/>
        <v>0</v>
      </c>
      <c r="R92" s="31">
        <f>VLOOKUP($B92&amp;$C$86&amp;$G92,$E$6:$U$79,R$83,FALSE)*VLOOKUP($B92,Weighting!$D$5:$G$9,MATCH(Segmented!$C$86,Weighting!$E$5:$H$5,0)+1,FALSE)+VLOOKUP($B92&amp;$D$86&amp;$G92,$E$6:$U$79,R$83,FALSE)*VLOOKUP($B92,Weighting!$D$5:$G$9,MATCH(Segmented!$D$86,Weighting!$E$5:$H$5,0)+1,FALSE)+VLOOKUP($B92&amp;$E$86&amp;$G92,$E$6:$U$79,R$83,FALSE)*VLOOKUP($B92,Weighting!$D$5:$G$9,MATCH(Segmented!$E$86,Weighting!$E$5:$H$5,0)+1,FALSE)</f>
        <v>0</v>
      </c>
      <c r="S92">
        <f t="shared" si="8"/>
        <v>0</v>
      </c>
      <c r="T92" s="31">
        <f>VLOOKUP($B92&amp;$C$86&amp;$G92,$E$6:$U$79,T$83,FALSE)*VLOOKUP($B92,Weighting!$D$5:$G$9,MATCH(Segmented!$C$86,Weighting!$E$5:$H$5,0)+1,FALSE)+VLOOKUP($B92&amp;$D$86&amp;$G92,$E$6:$U$79,T$83,FALSE)*VLOOKUP($B92,Weighting!$D$5:$G$9,MATCH(Segmented!$D$86,Weighting!$E$5:$H$5,0)+1,FALSE)+VLOOKUP($B92&amp;$E$86&amp;$G92,$E$6:$U$79,T$83,FALSE)*VLOOKUP($B92,Weighting!$D$5:$G$9,MATCH(Segmented!$E$86,Weighting!$E$5:$H$5,0)+1,FALSE)</f>
        <v>0</v>
      </c>
    </row>
    <row r="93" spans="1:21">
      <c r="A93" t="s">
        <v>63</v>
      </c>
      <c r="B93" t="s">
        <v>64</v>
      </c>
      <c r="F93" s="54" t="str">
        <f t="shared" si="3"/>
        <v>WINDOW CL22 Prime Window Replacement of Double Pane Base_Electric FAF</v>
      </c>
      <c r="G93" s="31" t="str">
        <f t="shared" si="9"/>
        <v>WINDOW CL22 Prime Window Replacement of Double Pane Base</v>
      </c>
      <c r="H93" s="31">
        <f>VLOOKUP($B93&amp;$C$86&amp;$G93,$E$6:$U$79,H$83,FALSE)*VLOOKUP($B93,Weighting!$D$5:$G$9,MATCH(Segmented!$C$86,Weighting!$E$5:$H$5,0)+1,FALSE)+VLOOKUP($B93&amp;$D$86&amp;$G93,$E$6:$U$79,H$83,FALSE)*VLOOKUP($B93,Weighting!$D$5:$G$9,MATCH(Segmented!$D$86,Weighting!$E$5:$H$5,0)+1,FALSE)+VLOOKUP($B93&amp;$E$86&amp;$G93,$E$6:$U$79,H$83,FALSE)*VLOOKUP($B93,Weighting!$D$5:$G$9,MATCH(Segmented!$E$86,Weighting!$E$5:$H$5,0)+1,FALSE)</f>
        <v>877.85588979307215</v>
      </c>
      <c r="I93">
        <f t="shared" si="4"/>
        <v>25</v>
      </c>
      <c r="J93" s="31">
        <f>VLOOKUP($B93&amp;$C$86&amp;$G93,$E$6:$U$79,J$83,FALSE)*VLOOKUP($B93,Weighting!$D$5:$G$9,MATCH(Segmented!$C$86,Weighting!$E$5:$H$5,0)+1,FALSE)+VLOOKUP($B93&amp;$D$86&amp;$G93,$E$6:$U$79,J$83,FALSE)*VLOOKUP($B93,Weighting!$D$5:$G$9,MATCH(Segmented!$D$86,Weighting!$E$5:$H$5,0)+1,FALSE)+VLOOKUP($B93&amp;$E$86&amp;$G93,$E$6:$U$79,J$83,FALSE)*VLOOKUP($B93,Weighting!$D$5:$G$9,MATCH(Segmented!$E$86,Weighting!$E$5:$H$5,0)+1,FALSE)</f>
        <v>3514.5499559131631</v>
      </c>
      <c r="K93" s="31">
        <f>VLOOKUP($B93&amp;$C$86&amp;$G93,$E$6:$U$79,K$83,FALSE)*VLOOKUP($B93,Weighting!$D$5:$G$9,MATCH(Segmented!$C$86,Weighting!$E$5:$H$5,0)+1,FALSE)+VLOOKUP($B93&amp;$D$86&amp;$G93,$E$6:$U$79,K$83,FALSE)*VLOOKUP($B93,Weighting!$D$5:$G$9,MATCH(Segmented!$D$86,Weighting!$E$5:$H$5,0)+1,FALSE)+VLOOKUP($B93&amp;$E$86&amp;$G93,$E$6:$U$79,K$83,FALSE)*VLOOKUP($B93,Weighting!$D$5:$G$9,MATCH(Segmented!$E$86,Weighting!$E$5:$H$5,0)+1,FALSE)</f>
        <v>0</v>
      </c>
      <c r="L93" t="str">
        <f t="shared" si="5"/>
        <v>ResSHWX</v>
      </c>
      <c r="M93" s="31">
        <f>VLOOKUP($B93&amp;$C$86&amp;$G93,$E$6:$U$79,M$83,FALSE)*VLOOKUP($B93,Weighting!$D$5:$G$9,MATCH(Segmented!$C$86,Weighting!$E$5:$H$5,0)+1,FALSE)+VLOOKUP($B93&amp;$D$86&amp;$G93,$E$6:$U$79,M$83,FALSE)*VLOOKUP($B93,Weighting!$D$5:$G$9,MATCH(Segmented!$D$86,Weighting!$E$5:$H$5,0)+1,FALSE)+VLOOKUP($B93&amp;$E$86&amp;$G93,$E$6:$U$79,M$83,FALSE)*VLOOKUP($B93,Weighting!$D$5:$G$9,MATCH(Segmented!$E$86,Weighting!$E$5:$H$5,0)+1,FALSE)</f>
        <v>10.767100156848006</v>
      </c>
      <c r="N93" s="31">
        <f>VLOOKUP($B93&amp;$C$86&amp;$G93,$E$6:$U$79,N$83,FALSE)*VLOOKUP($B93,Weighting!$D$5:$G$9,MATCH(Segmented!$C$86,Weighting!$E$5:$H$5,0)+1,FALSE)+VLOOKUP($B93&amp;$D$86&amp;$G93,$E$6:$U$79,N$83,FALSE)*VLOOKUP($B93,Weighting!$D$5:$G$9,MATCH(Segmented!$D$86,Weighting!$E$5:$H$5,0)+1,FALSE)+VLOOKUP($B93&amp;$E$86&amp;$G93,$E$6:$U$79,N$83,FALSE)*VLOOKUP($B93,Weighting!$D$5:$G$9,MATCH(Segmented!$E$86,Weighting!$E$5:$H$5,0)+1,FALSE)</f>
        <v>0</v>
      </c>
      <c r="O93">
        <f t="shared" si="6"/>
        <v>0</v>
      </c>
      <c r="P93" s="31">
        <f>VLOOKUP($B93&amp;$C$86&amp;$G93,$E$6:$U$79,P$83,FALSE)*VLOOKUP($B93,Weighting!$D$5:$G$9,MATCH(Segmented!$C$86,Weighting!$E$5:$H$5,0)+1,FALSE)+VLOOKUP($B93&amp;$D$86&amp;$G93,$E$6:$U$79,P$83,FALSE)*VLOOKUP($B93,Weighting!$D$5:$G$9,MATCH(Segmented!$D$86,Weighting!$E$5:$H$5,0)+1,FALSE)+VLOOKUP($B93&amp;$E$86&amp;$G93,$E$6:$U$79,P$83,FALSE)*VLOOKUP($B93,Weighting!$D$5:$G$9,MATCH(Segmented!$E$86,Weighting!$E$5:$H$5,0)+1,FALSE)</f>
        <v>0</v>
      </c>
      <c r="Q93">
        <f t="shared" si="7"/>
        <v>0</v>
      </c>
      <c r="R93" s="31">
        <f>VLOOKUP($B93&amp;$C$86&amp;$G93,$E$6:$U$79,R$83,FALSE)*VLOOKUP($B93,Weighting!$D$5:$G$9,MATCH(Segmented!$C$86,Weighting!$E$5:$H$5,0)+1,FALSE)+VLOOKUP($B93&amp;$D$86&amp;$G93,$E$6:$U$79,R$83,FALSE)*VLOOKUP($B93,Weighting!$D$5:$G$9,MATCH(Segmented!$D$86,Weighting!$E$5:$H$5,0)+1,FALSE)+VLOOKUP($B93&amp;$E$86&amp;$G93,$E$6:$U$79,R$83,FALSE)*VLOOKUP($B93,Weighting!$D$5:$G$9,MATCH(Segmented!$E$86,Weighting!$E$5:$H$5,0)+1,FALSE)</f>
        <v>0</v>
      </c>
      <c r="S93">
        <f t="shared" si="8"/>
        <v>0</v>
      </c>
      <c r="T93" s="31">
        <f>VLOOKUP($B93&amp;$C$86&amp;$G93,$E$6:$U$79,T$83,FALSE)*VLOOKUP($B93,Weighting!$D$5:$G$9,MATCH(Segmented!$C$86,Weighting!$E$5:$H$5,0)+1,FALSE)+VLOOKUP($B93&amp;$D$86&amp;$G93,$E$6:$U$79,T$83,FALSE)*VLOOKUP($B93,Weighting!$D$5:$G$9,MATCH(Segmented!$D$86,Weighting!$E$5:$H$5,0)+1,FALSE)+VLOOKUP($B93&amp;$E$86&amp;$G93,$E$6:$U$79,T$83,FALSE)*VLOOKUP($B93,Weighting!$D$5:$G$9,MATCH(Segmented!$E$86,Weighting!$E$5:$H$5,0)+1,FALSE)</f>
        <v>0</v>
      </c>
    </row>
    <row r="94" spans="1:21">
      <c r="A94" t="s">
        <v>62</v>
      </c>
      <c r="B94" t="s">
        <v>64</v>
      </c>
      <c r="F94" s="54" t="str">
        <f t="shared" si="3"/>
        <v>WINDOW CL22 Prime Window Replacement of Single Pane Base_Electric FAF</v>
      </c>
      <c r="G94" s="31" t="str">
        <f t="shared" si="9"/>
        <v>WINDOW CL22 Prime Window Replacement of Single Pane Base</v>
      </c>
      <c r="H94" s="31">
        <f>VLOOKUP($B94&amp;$C$86&amp;$G94,$E$6:$U$79,H$83,FALSE)*VLOOKUP($B94,Weighting!$D$5:$G$9,MATCH(Segmented!$C$86,Weighting!$E$5:$H$5,0)+1,FALSE)+VLOOKUP($B94&amp;$D$86&amp;$G94,$E$6:$U$79,H$83,FALSE)*VLOOKUP($B94,Weighting!$D$5:$G$9,MATCH(Segmented!$D$86,Weighting!$E$5:$H$5,0)+1,FALSE)+VLOOKUP($B94&amp;$E$86&amp;$G94,$E$6:$U$79,H$83,FALSE)*VLOOKUP($B94,Weighting!$D$5:$G$9,MATCH(Segmented!$E$86,Weighting!$E$5:$H$5,0)+1,FALSE)</f>
        <v>1720.6730793576351</v>
      </c>
      <c r="I94">
        <f t="shared" si="4"/>
        <v>25</v>
      </c>
      <c r="J94" s="31">
        <f>VLOOKUP($B94&amp;$C$86&amp;$G94,$E$6:$U$79,J$83,FALSE)*VLOOKUP($B94,Weighting!$D$5:$G$9,MATCH(Segmented!$C$86,Weighting!$E$5:$H$5,0)+1,FALSE)+VLOOKUP($B94&amp;$D$86&amp;$G94,$E$6:$U$79,J$83,FALSE)*VLOOKUP($B94,Weighting!$D$5:$G$9,MATCH(Segmented!$D$86,Weighting!$E$5:$H$5,0)+1,FALSE)+VLOOKUP($B94&amp;$E$86&amp;$G94,$E$6:$U$79,J$83,FALSE)*VLOOKUP($B94,Weighting!$D$5:$G$9,MATCH(Segmented!$E$86,Weighting!$E$5:$H$5,0)+1,FALSE)</f>
        <v>3514.5499559131631</v>
      </c>
      <c r="K94" s="31">
        <f>VLOOKUP($B94&amp;$C$86&amp;$G94,$E$6:$U$79,K$83,FALSE)*VLOOKUP($B94,Weighting!$D$5:$G$9,MATCH(Segmented!$C$86,Weighting!$E$5:$H$5,0)+1,FALSE)+VLOOKUP($B94&amp;$D$86&amp;$G94,$E$6:$U$79,K$83,FALSE)*VLOOKUP($B94,Weighting!$D$5:$G$9,MATCH(Segmented!$D$86,Weighting!$E$5:$H$5,0)+1,FALSE)+VLOOKUP($B94&amp;$E$86&amp;$G94,$E$6:$U$79,K$83,FALSE)*VLOOKUP($B94,Weighting!$D$5:$G$9,MATCH(Segmented!$E$86,Weighting!$E$5:$H$5,0)+1,FALSE)</f>
        <v>0</v>
      </c>
      <c r="L94" t="str">
        <f t="shared" si="5"/>
        <v>ResSHWX</v>
      </c>
      <c r="M94" s="31">
        <f>VLOOKUP($B94&amp;$C$86&amp;$G94,$E$6:$U$79,M$83,FALSE)*VLOOKUP($B94,Weighting!$D$5:$G$9,MATCH(Segmented!$C$86,Weighting!$E$5:$H$5,0)+1,FALSE)+VLOOKUP($B94&amp;$D$86&amp;$G94,$E$6:$U$79,M$83,FALSE)*VLOOKUP($B94,Weighting!$D$5:$G$9,MATCH(Segmented!$D$86,Weighting!$E$5:$H$5,0)+1,FALSE)+VLOOKUP($B94&amp;$E$86&amp;$G94,$E$6:$U$79,M$83,FALSE)*VLOOKUP($B94,Weighting!$D$5:$G$9,MATCH(Segmented!$E$86,Weighting!$E$5:$H$5,0)+1,FALSE)</f>
        <v>19.012602229899393</v>
      </c>
      <c r="N94" s="31">
        <f>VLOOKUP($B94&amp;$C$86&amp;$G94,$E$6:$U$79,N$83,FALSE)*VLOOKUP($B94,Weighting!$D$5:$G$9,MATCH(Segmented!$C$86,Weighting!$E$5:$H$5,0)+1,FALSE)+VLOOKUP($B94&amp;$D$86&amp;$G94,$E$6:$U$79,N$83,FALSE)*VLOOKUP($B94,Weighting!$D$5:$G$9,MATCH(Segmented!$D$86,Weighting!$E$5:$H$5,0)+1,FALSE)+VLOOKUP($B94&amp;$E$86&amp;$G94,$E$6:$U$79,N$83,FALSE)*VLOOKUP($B94,Weighting!$D$5:$G$9,MATCH(Segmented!$E$86,Weighting!$E$5:$H$5,0)+1,FALSE)</f>
        <v>0</v>
      </c>
      <c r="O94">
        <f t="shared" si="6"/>
        <v>0</v>
      </c>
      <c r="P94" s="31">
        <f>VLOOKUP($B94&amp;$C$86&amp;$G94,$E$6:$U$79,P$83,FALSE)*VLOOKUP($B94,Weighting!$D$5:$G$9,MATCH(Segmented!$C$86,Weighting!$E$5:$H$5,0)+1,FALSE)+VLOOKUP($B94&amp;$D$86&amp;$G94,$E$6:$U$79,P$83,FALSE)*VLOOKUP($B94,Weighting!$D$5:$G$9,MATCH(Segmented!$D$86,Weighting!$E$5:$H$5,0)+1,FALSE)+VLOOKUP($B94&amp;$E$86&amp;$G94,$E$6:$U$79,P$83,FALSE)*VLOOKUP($B94,Weighting!$D$5:$G$9,MATCH(Segmented!$E$86,Weighting!$E$5:$H$5,0)+1,FALSE)</f>
        <v>0</v>
      </c>
      <c r="Q94">
        <f t="shared" si="7"/>
        <v>0</v>
      </c>
      <c r="R94" s="31">
        <f>VLOOKUP($B94&amp;$C$86&amp;$G94,$E$6:$U$79,R$83,FALSE)*VLOOKUP($B94,Weighting!$D$5:$G$9,MATCH(Segmented!$C$86,Weighting!$E$5:$H$5,0)+1,FALSE)+VLOOKUP($B94&amp;$D$86&amp;$G94,$E$6:$U$79,R$83,FALSE)*VLOOKUP($B94,Weighting!$D$5:$G$9,MATCH(Segmented!$D$86,Weighting!$E$5:$H$5,0)+1,FALSE)+VLOOKUP($B94&amp;$E$86&amp;$G94,$E$6:$U$79,R$83,FALSE)*VLOOKUP($B94,Weighting!$D$5:$G$9,MATCH(Segmented!$E$86,Weighting!$E$5:$H$5,0)+1,FALSE)</f>
        <v>0</v>
      </c>
      <c r="S94">
        <f t="shared" si="8"/>
        <v>0</v>
      </c>
      <c r="T94" s="31">
        <f>VLOOKUP($B94&amp;$C$86&amp;$G94,$E$6:$U$79,T$83,FALSE)*VLOOKUP($B94,Weighting!$D$5:$G$9,MATCH(Segmented!$C$86,Weighting!$E$5:$H$5,0)+1,FALSE)+VLOOKUP($B94&amp;$D$86&amp;$G94,$E$6:$U$79,T$83,FALSE)*VLOOKUP($B94,Weighting!$D$5:$G$9,MATCH(Segmented!$D$86,Weighting!$E$5:$H$5,0)+1,FALSE)+VLOOKUP($B94&amp;$E$86&amp;$G94,$E$6:$U$79,T$83,FALSE)*VLOOKUP($B94,Weighting!$D$5:$G$9,MATCH(Segmented!$E$86,Weighting!$E$5:$H$5,0)+1,FALSE)</f>
        <v>0</v>
      </c>
    </row>
    <row r="95" spans="1:21">
      <c r="A95" s="27" t="s">
        <v>5811</v>
      </c>
      <c r="B95" t="s">
        <v>64</v>
      </c>
      <c r="F95" s="54" t="str">
        <f t="shared" si="3"/>
        <v>CFM50 Infiltration Reduction_Electric FAF</v>
      </c>
      <c r="G95" s="31" t="str">
        <f t="shared" si="9"/>
        <v>Infiltration</v>
      </c>
      <c r="H95" s="31">
        <f>VLOOKUP($B95&amp;$C$86&amp;$G95,$E$6:$U$79,H$83,FALSE)*VLOOKUP($B95,Weighting!$D$5:$G$9,MATCH(Segmented!$C$86,Weighting!$E$5:$H$5,0)+1,FALSE)+VLOOKUP($B95&amp;$D$86&amp;$G95,$E$6:$U$79,H$83,FALSE)*VLOOKUP($B95,Weighting!$D$5:$G$9,MATCH(Segmented!$D$86,Weighting!$E$5:$H$5,0)+1,FALSE)+VLOOKUP($B95&amp;$E$86&amp;$G95,$E$6:$U$79,H$83,FALSE)*VLOOKUP($B95,Weighting!$D$5:$G$9,MATCH(Segmented!$E$86,Weighting!$E$5:$H$5,0)+1,FALSE)</f>
        <v>408.16958662492357</v>
      </c>
      <c r="I95">
        <f t="shared" si="4"/>
        <v>25</v>
      </c>
      <c r="J95" s="31">
        <f>VLOOKUP($B95&amp;$C$86&amp;$G95,$E$6:$U$79,J$83,FALSE)*VLOOKUP($B95,Weighting!$D$5:$G$9,MATCH(Segmented!$C$86,Weighting!$E$5:$H$5,0)+1,FALSE)+VLOOKUP($B95&amp;$D$86&amp;$G95,$E$6:$U$79,J$83,FALSE)*VLOOKUP($B95,Weighting!$D$5:$G$9,MATCH(Segmented!$D$86,Weighting!$E$5:$H$5,0)+1,FALSE)+VLOOKUP($B95&amp;$E$86&amp;$G95,$E$6:$U$79,J$83,FALSE)*VLOOKUP($B95,Weighting!$D$5:$G$9,MATCH(Segmented!$E$86,Weighting!$E$5:$H$5,0)+1,FALSE)</f>
        <v>3967.9999999999968</v>
      </c>
      <c r="K95" s="31">
        <f>VLOOKUP($B95&amp;$C$86&amp;$G95,$E$6:$U$79,K$83,FALSE)*VLOOKUP($B95,Weighting!$D$5:$G$9,MATCH(Segmented!$C$86,Weighting!$E$5:$H$5,0)+1,FALSE)+VLOOKUP($B95&amp;$D$86&amp;$G95,$E$6:$U$79,K$83,FALSE)*VLOOKUP($B95,Weighting!$D$5:$G$9,MATCH(Segmented!$D$86,Weighting!$E$5:$H$5,0)+1,FALSE)+VLOOKUP($B95&amp;$E$86&amp;$G95,$E$6:$U$79,K$83,FALSE)*VLOOKUP($B95,Weighting!$D$5:$G$9,MATCH(Segmented!$E$86,Weighting!$E$5:$H$5,0)+1,FALSE)</f>
        <v>0</v>
      </c>
      <c r="L95" t="str">
        <f t="shared" si="5"/>
        <v>ResSHWX</v>
      </c>
      <c r="M95" s="31">
        <f>VLOOKUP($B95&amp;$C$86&amp;$G95,$E$6:$U$79,M$83,FALSE)*VLOOKUP($B95,Weighting!$D$5:$G$9,MATCH(Segmented!$C$86,Weighting!$E$5:$H$5,0)+1,FALSE)+VLOOKUP($B95&amp;$D$86&amp;$G95,$E$6:$U$79,M$83,FALSE)*VLOOKUP($B95,Weighting!$D$5:$G$9,MATCH(Segmented!$D$86,Weighting!$E$5:$H$5,0)+1,FALSE)+VLOOKUP($B95&amp;$E$86&amp;$G95,$E$6:$U$79,M$83,FALSE)*VLOOKUP($B95,Weighting!$D$5:$G$9,MATCH(Segmented!$E$86,Weighting!$E$5:$H$5,0)+1,FALSE)</f>
        <v>4.6836531899499807</v>
      </c>
      <c r="N95" s="31">
        <f>VLOOKUP($B95&amp;$C$86&amp;$G95,$E$6:$U$79,N$83,FALSE)*VLOOKUP($B95,Weighting!$D$5:$G$9,MATCH(Segmented!$C$86,Weighting!$E$5:$H$5,0)+1,FALSE)+VLOOKUP($B95&amp;$D$86&amp;$G95,$E$6:$U$79,N$83,FALSE)*VLOOKUP($B95,Weighting!$D$5:$G$9,MATCH(Segmented!$D$86,Weighting!$E$5:$H$5,0)+1,FALSE)+VLOOKUP($B95&amp;$E$86&amp;$G95,$E$6:$U$79,N$83,FALSE)*VLOOKUP($B95,Weighting!$D$5:$G$9,MATCH(Segmented!$E$86,Weighting!$E$5:$H$5,0)+1,FALSE)</f>
        <v>0</v>
      </c>
      <c r="O95">
        <f t="shared" si="6"/>
        <v>0</v>
      </c>
      <c r="P95" s="31">
        <f>VLOOKUP($B95&amp;$C$86&amp;$G95,$E$6:$U$79,P$83,FALSE)*VLOOKUP($B95,Weighting!$D$5:$G$9,MATCH(Segmented!$C$86,Weighting!$E$5:$H$5,0)+1,FALSE)+VLOOKUP($B95&amp;$D$86&amp;$G95,$E$6:$U$79,P$83,FALSE)*VLOOKUP($B95,Weighting!$D$5:$G$9,MATCH(Segmented!$D$86,Weighting!$E$5:$H$5,0)+1,FALSE)+VLOOKUP($B95&amp;$E$86&amp;$G95,$E$6:$U$79,P$83,FALSE)*VLOOKUP($B95,Weighting!$D$5:$G$9,MATCH(Segmented!$E$86,Weighting!$E$5:$H$5,0)+1,FALSE)</f>
        <v>0</v>
      </c>
      <c r="Q95">
        <f t="shared" si="7"/>
        <v>0</v>
      </c>
      <c r="R95" s="31">
        <f>VLOOKUP($B95&amp;$C$86&amp;$G95,$E$6:$U$79,R$83,FALSE)*VLOOKUP($B95,Weighting!$D$5:$G$9,MATCH(Segmented!$C$86,Weighting!$E$5:$H$5,0)+1,FALSE)+VLOOKUP($B95&amp;$D$86&amp;$G95,$E$6:$U$79,R$83,FALSE)*VLOOKUP($B95,Weighting!$D$5:$G$9,MATCH(Segmented!$D$86,Weighting!$E$5:$H$5,0)+1,FALSE)+VLOOKUP($B95&amp;$E$86&amp;$G95,$E$6:$U$79,R$83,FALSE)*VLOOKUP($B95,Weighting!$D$5:$G$9,MATCH(Segmented!$E$86,Weighting!$E$5:$H$5,0)+1,FALSE)</f>
        <v>0</v>
      </c>
      <c r="S95">
        <f t="shared" si="8"/>
        <v>0</v>
      </c>
      <c r="T95" s="31">
        <f>VLOOKUP($B95&amp;$C$86&amp;$G95,$E$6:$U$79,T$83,FALSE)*VLOOKUP($B95,Weighting!$D$5:$G$9,MATCH(Segmented!$C$86,Weighting!$E$5:$H$5,0)+1,FALSE)+VLOOKUP($B95&amp;$D$86&amp;$G95,$E$6:$U$79,T$83,FALSE)*VLOOKUP($B95,Weighting!$D$5:$G$9,MATCH(Segmented!$D$86,Weighting!$E$5:$H$5,0)+1,FALSE)+VLOOKUP($B95&amp;$E$86&amp;$G95,$E$6:$U$79,T$83,FALSE)*VLOOKUP($B95,Weighting!$D$5:$G$9,MATCH(Segmented!$E$86,Weighting!$E$5:$H$5,0)+1,FALSE)</f>
        <v>0</v>
      </c>
    </row>
    <row r="96" spans="1:21">
      <c r="A96" t="s">
        <v>6373</v>
      </c>
      <c r="B96" t="s">
        <v>66</v>
      </c>
      <c r="F96" s="54" t="str">
        <f t="shared" si="3"/>
        <v>Attic R0 - R30_Heat Pump</v>
      </c>
      <c r="G96" s="31" t="str">
        <f t="shared" si="9"/>
        <v>Attic R0 - R30</v>
      </c>
      <c r="H96" s="31">
        <f>VLOOKUP($B96&amp;$C$86&amp;$G96,$E$6:$U$79,H$83,FALSE)*VLOOKUP($B96,Weighting!$D$5:$G$9,MATCH(Segmented!$C$86,Weighting!$E$5:$H$5,0)+1,FALSE)+VLOOKUP($B96&amp;$D$86&amp;$G96,$E$6:$U$79,H$83,FALSE)*VLOOKUP($B96,Weighting!$D$5:$G$9,MATCH(Segmented!$D$86,Weighting!$E$5:$H$5,0)+1,FALSE)+VLOOKUP($B96&amp;$E$86&amp;$G96,$E$6:$U$79,H$83,FALSE)*VLOOKUP($B96,Weighting!$D$5:$G$9,MATCH(Segmented!$E$86,Weighting!$E$5:$H$5,0)+1,FALSE)</f>
        <v>348.81230203688159</v>
      </c>
      <c r="I96">
        <f t="shared" si="4"/>
        <v>25</v>
      </c>
      <c r="J96" s="31">
        <f>VLOOKUP($B96&amp;$C$86&amp;$G96,$E$6:$U$79,J$83,FALSE)*VLOOKUP($B96,Weighting!$D$5:$G$9,MATCH(Segmented!$C$86,Weighting!$E$5:$H$5,0)+1,FALSE)+VLOOKUP($B96&amp;$D$86&amp;$G96,$E$6:$U$79,J$83,FALSE)*VLOOKUP($B96,Weighting!$D$5:$G$9,MATCH(Segmented!$D$86,Weighting!$E$5:$H$5,0)+1,FALSE)+VLOOKUP($B96&amp;$E$86&amp;$G96,$E$6:$U$79,J$83,FALSE)*VLOOKUP($B96,Weighting!$D$5:$G$9,MATCH(Segmented!$E$86,Weighting!$E$5:$H$5,0)+1,FALSE)</f>
        <v>2687.9999999999995</v>
      </c>
      <c r="K96" s="31">
        <f>VLOOKUP($B96&amp;$C$86&amp;$G96,$E$6:$U$79,K$83,FALSE)*VLOOKUP($B96,Weighting!$D$5:$G$9,MATCH(Segmented!$C$86,Weighting!$E$5:$H$5,0)+1,FALSE)+VLOOKUP($B96&amp;$D$86&amp;$G96,$E$6:$U$79,K$83,FALSE)*VLOOKUP($B96,Weighting!$D$5:$G$9,MATCH(Segmented!$D$86,Weighting!$E$5:$H$5,0)+1,FALSE)+VLOOKUP($B96&amp;$E$86&amp;$G96,$E$6:$U$79,K$83,FALSE)*VLOOKUP($B96,Weighting!$D$5:$G$9,MATCH(Segmented!$E$86,Weighting!$E$5:$H$5,0)+1,FALSE)</f>
        <v>0</v>
      </c>
      <c r="L96" t="str">
        <f t="shared" si="5"/>
        <v>ResSHWX</v>
      </c>
      <c r="M96" s="31">
        <f>VLOOKUP($B96&amp;$C$86&amp;$G96,$E$6:$U$79,M$83,FALSE)*VLOOKUP($B96,Weighting!$D$5:$G$9,MATCH(Segmented!$C$86,Weighting!$E$5:$H$5,0)+1,FALSE)+VLOOKUP($B96&amp;$D$86&amp;$G96,$E$6:$U$79,M$83,FALSE)*VLOOKUP($B96,Weighting!$D$5:$G$9,MATCH(Segmented!$D$86,Weighting!$E$5:$H$5,0)+1,FALSE)+VLOOKUP($B96&amp;$E$86&amp;$G96,$E$6:$U$79,M$83,FALSE)*VLOOKUP($B96,Weighting!$D$5:$G$9,MATCH(Segmented!$E$86,Weighting!$E$5:$H$5,0)+1,FALSE)</f>
        <v>3.1273655502790092</v>
      </c>
      <c r="N96" s="31">
        <f>VLOOKUP($B96&amp;$C$86&amp;$G96,$E$6:$U$79,N$83,FALSE)*VLOOKUP($B96,Weighting!$D$5:$G$9,MATCH(Segmented!$C$86,Weighting!$E$5:$H$5,0)+1,FALSE)+VLOOKUP($B96&amp;$D$86&amp;$G96,$E$6:$U$79,N$83,FALSE)*VLOOKUP($B96,Weighting!$D$5:$G$9,MATCH(Segmented!$D$86,Weighting!$E$5:$H$5,0)+1,FALSE)+VLOOKUP($B96&amp;$E$86&amp;$G96,$E$6:$U$79,N$83,FALSE)*VLOOKUP($B96,Weighting!$D$5:$G$9,MATCH(Segmented!$E$86,Weighting!$E$5:$H$5,0)+1,FALSE)</f>
        <v>0</v>
      </c>
      <c r="O96">
        <f t="shared" si="6"/>
        <v>0</v>
      </c>
      <c r="P96" s="31">
        <f>VLOOKUP($B96&amp;$C$86&amp;$G96,$E$6:$U$79,P$83,FALSE)*VLOOKUP($B96,Weighting!$D$5:$G$9,MATCH(Segmented!$C$86,Weighting!$E$5:$H$5,0)+1,FALSE)+VLOOKUP($B96&amp;$D$86&amp;$G96,$E$6:$U$79,P$83,FALSE)*VLOOKUP($B96,Weighting!$D$5:$G$9,MATCH(Segmented!$D$86,Weighting!$E$5:$H$5,0)+1,FALSE)+VLOOKUP($B96&amp;$E$86&amp;$G96,$E$6:$U$79,P$83,FALSE)*VLOOKUP($B96,Weighting!$D$5:$G$9,MATCH(Segmented!$E$86,Weighting!$E$5:$H$5,0)+1,FALSE)</f>
        <v>0</v>
      </c>
      <c r="Q96">
        <f t="shared" si="7"/>
        <v>0</v>
      </c>
      <c r="R96" s="31">
        <f>VLOOKUP($B96&amp;$C$86&amp;$G96,$E$6:$U$79,R$83,FALSE)*VLOOKUP($B96,Weighting!$D$5:$G$9,MATCH(Segmented!$C$86,Weighting!$E$5:$H$5,0)+1,FALSE)+VLOOKUP($B96&amp;$D$86&amp;$G96,$E$6:$U$79,R$83,FALSE)*VLOOKUP($B96,Weighting!$D$5:$G$9,MATCH(Segmented!$D$86,Weighting!$E$5:$H$5,0)+1,FALSE)+VLOOKUP($B96&amp;$E$86&amp;$G96,$E$6:$U$79,R$83,FALSE)*VLOOKUP($B96,Weighting!$D$5:$G$9,MATCH(Segmented!$E$86,Weighting!$E$5:$H$5,0)+1,FALSE)</f>
        <v>0</v>
      </c>
      <c r="S96">
        <f t="shared" si="8"/>
        <v>0</v>
      </c>
      <c r="T96" s="31">
        <f>VLOOKUP($B96&amp;$C$86&amp;$G96,$E$6:$U$79,T$83,FALSE)*VLOOKUP($B96,Weighting!$D$5:$G$9,MATCH(Segmented!$C$86,Weighting!$E$5:$H$5,0)+1,FALSE)+VLOOKUP($B96&amp;$D$86&amp;$G96,$E$6:$U$79,T$83,FALSE)*VLOOKUP($B96,Weighting!$D$5:$G$9,MATCH(Segmented!$D$86,Weighting!$E$5:$H$5,0)+1,FALSE)+VLOOKUP($B96&amp;$E$86&amp;$G96,$E$6:$U$79,T$83,FALSE)*VLOOKUP($B96,Weighting!$D$5:$G$9,MATCH(Segmented!$E$86,Weighting!$E$5:$H$5,0)+1,FALSE)</f>
        <v>0</v>
      </c>
    </row>
    <row r="97" spans="1:20">
      <c r="A97" t="s">
        <v>6374</v>
      </c>
      <c r="B97" t="s">
        <v>66</v>
      </c>
      <c r="F97" s="54" t="str">
        <f t="shared" si="3"/>
        <v>Attic R0 - R22_Heat Pump</v>
      </c>
      <c r="G97" s="31" t="str">
        <f t="shared" si="9"/>
        <v>Attic R0 - R22</v>
      </c>
      <c r="H97" s="31">
        <f>VLOOKUP($B97&amp;$C$86&amp;$G97,$E$6:$U$79,H$83,FALSE)*VLOOKUP($B97,Weighting!$D$5:$G$9,MATCH(Segmented!$C$86,Weighting!$E$5:$H$5,0)+1,FALSE)+VLOOKUP($B97&amp;$D$86&amp;$G97,$E$6:$U$79,H$83,FALSE)*VLOOKUP($B97,Weighting!$D$5:$G$9,MATCH(Segmented!$D$86,Weighting!$E$5:$H$5,0)+1,FALSE)+VLOOKUP($B97&amp;$E$86&amp;$G97,$E$6:$U$79,H$83,FALSE)*VLOOKUP($B97,Weighting!$D$5:$G$9,MATCH(Segmented!$E$86,Weighting!$E$5:$H$5,0)+1,FALSE)</f>
        <v>341.22102955570085</v>
      </c>
      <c r="I97">
        <f t="shared" si="4"/>
        <v>25</v>
      </c>
      <c r="J97" s="31">
        <f>VLOOKUP($B97&amp;$C$86&amp;$G97,$E$6:$U$79,J$83,FALSE)*VLOOKUP($B97,Weighting!$D$5:$G$9,MATCH(Segmented!$C$86,Weighting!$E$5:$H$5,0)+1,FALSE)+VLOOKUP($B97&amp;$D$86&amp;$G97,$E$6:$U$79,J$83,FALSE)*VLOOKUP($B97,Weighting!$D$5:$G$9,MATCH(Segmented!$D$86,Weighting!$E$5:$H$5,0)+1,FALSE)+VLOOKUP($B97&amp;$E$86&amp;$G97,$E$6:$U$79,J$83,FALSE)*VLOOKUP($B97,Weighting!$D$5:$G$9,MATCH(Segmented!$E$86,Weighting!$E$5:$H$5,0)+1,FALSE)</f>
        <v>2687.9999999999995</v>
      </c>
      <c r="K97" s="31">
        <f>VLOOKUP($B97&amp;$C$86&amp;$G97,$E$6:$U$79,K$83,FALSE)*VLOOKUP($B97,Weighting!$D$5:$G$9,MATCH(Segmented!$C$86,Weighting!$E$5:$H$5,0)+1,FALSE)+VLOOKUP($B97&amp;$D$86&amp;$G97,$E$6:$U$79,K$83,FALSE)*VLOOKUP($B97,Weighting!$D$5:$G$9,MATCH(Segmented!$D$86,Weighting!$E$5:$H$5,0)+1,FALSE)+VLOOKUP($B97&amp;$E$86&amp;$G97,$E$6:$U$79,K$83,FALSE)*VLOOKUP($B97,Weighting!$D$5:$G$9,MATCH(Segmented!$E$86,Weighting!$E$5:$H$5,0)+1,FALSE)</f>
        <v>0</v>
      </c>
      <c r="L97" t="str">
        <f t="shared" si="5"/>
        <v>ResSHWX</v>
      </c>
      <c r="M97" s="31">
        <f>VLOOKUP($B97&amp;$C$86&amp;$G97,$E$6:$U$79,M$83,FALSE)*VLOOKUP($B97,Weighting!$D$5:$G$9,MATCH(Segmented!$C$86,Weighting!$E$5:$H$5,0)+1,FALSE)+VLOOKUP($B97&amp;$D$86&amp;$G97,$E$6:$U$79,M$83,FALSE)*VLOOKUP($B97,Weighting!$D$5:$G$9,MATCH(Segmented!$D$86,Weighting!$E$5:$H$5,0)+1,FALSE)+VLOOKUP($B97&amp;$E$86&amp;$G97,$E$6:$U$79,M$83,FALSE)*VLOOKUP($B97,Weighting!$D$5:$G$9,MATCH(Segmented!$E$86,Weighting!$E$5:$H$5,0)+1,FALSE)</f>
        <v>3.0245467823314547</v>
      </c>
      <c r="N97" s="31">
        <f>VLOOKUP($B97&amp;$C$86&amp;$G97,$E$6:$U$79,N$83,FALSE)*VLOOKUP($B97,Weighting!$D$5:$G$9,MATCH(Segmented!$C$86,Weighting!$E$5:$H$5,0)+1,FALSE)+VLOOKUP($B97&amp;$D$86&amp;$G97,$E$6:$U$79,N$83,FALSE)*VLOOKUP($B97,Weighting!$D$5:$G$9,MATCH(Segmented!$D$86,Weighting!$E$5:$H$5,0)+1,FALSE)+VLOOKUP($B97&amp;$E$86&amp;$G97,$E$6:$U$79,N$83,FALSE)*VLOOKUP($B97,Weighting!$D$5:$G$9,MATCH(Segmented!$E$86,Weighting!$E$5:$H$5,0)+1,FALSE)</f>
        <v>0</v>
      </c>
      <c r="O97">
        <f t="shared" si="6"/>
        <v>0</v>
      </c>
      <c r="P97" s="31">
        <f>VLOOKUP($B97&amp;$C$86&amp;$G97,$E$6:$U$79,P$83,FALSE)*VLOOKUP($B97,Weighting!$D$5:$G$9,MATCH(Segmented!$C$86,Weighting!$E$5:$H$5,0)+1,FALSE)+VLOOKUP($B97&amp;$D$86&amp;$G97,$E$6:$U$79,P$83,FALSE)*VLOOKUP($B97,Weighting!$D$5:$G$9,MATCH(Segmented!$D$86,Weighting!$E$5:$H$5,0)+1,FALSE)+VLOOKUP($B97&amp;$E$86&amp;$G97,$E$6:$U$79,P$83,FALSE)*VLOOKUP($B97,Weighting!$D$5:$G$9,MATCH(Segmented!$E$86,Weighting!$E$5:$H$5,0)+1,FALSE)</f>
        <v>0</v>
      </c>
      <c r="Q97">
        <f t="shared" si="7"/>
        <v>0</v>
      </c>
      <c r="R97" s="31">
        <f>VLOOKUP($B97&amp;$C$86&amp;$G97,$E$6:$U$79,R$83,FALSE)*VLOOKUP($B97,Weighting!$D$5:$G$9,MATCH(Segmented!$C$86,Weighting!$E$5:$H$5,0)+1,FALSE)+VLOOKUP($B97&amp;$D$86&amp;$G97,$E$6:$U$79,R$83,FALSE)*VLOOKUP($B97,Weighting!$D$5:$G$9,MATCH(Segmented!$D$86,Weighting!$E$5:$H$5,0)+1,FALSE)+VLOOKUP($B97&amp;$E$86&amp;$G97,$E$6:$U$79,R$83,FALSE)*VLOOKUP($B97,Weighting!$D$5:$G$9,MATCH(Segmented!$E$86,Weighting!$E$5:$H$5,0)+1,FALSE)</f>
        <v>0</v>
      </c>
      <c r="S97">
        <f t="shared" si="8"/>
        <v>0</v>
      </c>
      <c r="T97" s="31">
        <f>VLOOKUP($B97&amp;$C$86&amp;$G97,$E$6:$U$79,T$83,FALSE)*VLOOKUP($B97,Weighting!$D$5:$G$9,MATCH(Segmented!$C$86,Weighting!$E$5:$H$5,0)+1,FALSE)+VLOOKUP($B97&amp;$D$86&amp;$G97,$E$6:$U$79,T$83,FALSE)*VLOOKUP($B97,Weighting!$D$5:$G$9,MATCH(Segmented!$D$86,Weighting!$E$5:$H$5,0)+1,FALSE)+VLOOKUP($B97&amp;$E$86&amp;$G97,$E$6:$U$79,T$83,FALSE)*VLOOKUP($B97,Weighting!$D$5:$G$9,MATCH(Segmented!$E$86,Weighting!$E$5:$H$5,0)+1,FALSE)</f>
        <v>0</v>
      </c>
    </row>
    <row r="98" spans="1:20">
      <c r="A98" t="s">
        <v>6396</v>
      </c>
      <c r="B98" t="s">
        <v>66</v>
      </c>
      <c r="F98" s="54" t="str">
        <f t="shared" si="3"/>
        <v>Attic R11 - R30_Heat Pump</v>
      </c>
      <c r="G98" s="31" t="str">
        <f t="shared" si="9"/>
        <v>Attic R11 - R30</v>
      </c>
      <c r="H98" s="31">
        <f>VLOOKUP($B98&amp;$C$86&amp;$G98,$E$6:$U$79,H$83,FALSE)*VLOOKUP($B98,Weighting!$D$5:$G$9,MATCH(Segmented!$C$86,Weighting!$E$5:$H$5,0)+1,FALSE)+VLOOKUP($B98&amp;$D$86&amp;$G98,$E$6:$U$79,H$83,FALSE)*VLOOKUP($B98,Weighting!$D$5:$G$9,MATCH(Segmented!$D$86,Weighting!$E$5:$H$5,0)+1,FALSE)+VLOOKUP($B98&amp;$E$86&amp;$G98,$E$6:$U$79,H$83,FALSE)*VLOOKUP($B98,Weighting!$D$5:$G$9,MATCH(Segmented!$E$86,Weighting!$E$5:$H$5,0)+1,FALSE)</f>
        <v>114.50995816092487</v>
      </c>
      <c r="I98">
        <f t="shared" si="4"/>
        <v>25</v>
      </c>
      <c r="J98" s="31">
        <f>VLOOKUP($B98&amp;$C$86&amp;$G98,$E$6:$U$79,J$83,FALSE)*VLOOKUP($B98,Weighting!$D$5:$G$9,MATCH(Segmented!$C$86,Weighting!$E$5:$H$5,0)+1,FALSE)+VLOOKUP($B98&amp;$D$86&amp;$G98,$E$6:$U$79,J$83,FALSE)*VLOOKUP($B98,Weighting!$D$5:$G$9,MATCH(Segmented!$D$86,Weighting!$E$5:$H$5,0)+1,FALSE)+VLOOKUP($B98&amp;$E$86&amp;$G98,$E$6:$U$79,J$83,FALSE)*VLOOKUP($B98,Weighting!$D$5:$G$9,MATCH(Segmented!$E$86,Weighting!$E$5:$H$5,0)+1,FALSE)</f>
        <v>2687.9999999999995</v>
      </c>
      <c r="K98" s="31">
        <f>VLOOKUP($B98&amp;$C$86&amp;$G98,$E$6:$U$79,K$83,FALSE)*VLOOKUP($B98,Weighting!$D$5:$G$9,MATCH(Segmented!$C$86,Weighting!$E$5:$H$5,0)+1,FALSE)+VLOOKUP($B98&amp;$D$86&amp;$G98,$E$6:$U$79,K$83,FALSE)*VLOOKUP($B98,Weighting!$D$5:$G$9,MATCH(Segmented!$D$86,Weighting!$E$5:$H$5,0)+1,FALSE)+VLOOKUP($B98&amp;$E$86&amp;$G98,$E$6:$U$79,K$83,FALSE)*VLOOKUP($B98,Weighting!$D$5:$G$9,MATCH(Segmented!$E$86,Weighting!$E$5:$H$5,0)+1,FALSE)</f>
        <v>0</v>
      </c>
      <c r="L98" t="str">
        <f t="shared" si="5"/>
        <v>ResSHWX</v>
      </c>
      <c r="M98" s="31">
        <f>VLOOKUP($B98&amp;$C$86&amp;$G98,$E$6:$U$79,M$83,FALSE)*VLOOKUP($B98,Weighting!$D$5:$G$9,MATCH(Segmented!$C$86,Weighting!$E$5:$H$5,0)+1,FALSE)+VLOOKUP($B98&amp;$D$86&amp;$G98,$E$6:$U$79,M$83,FALSE)*VLOOKUP($B98,Weighting!$D$5:$G$9,MATCH(Segmented!$D$86,Weighting!$E$5:$H$5,0)+1,FALSE)+VLOOKUP($B98&amp;$E$86&amp;$G98,$E$6:$U$79,M$83,FALSE)*VLOOKUP($B98,Weighting!$D$5:$G$9,MATCH(Segmented!$E$86,Weighting!$E$5:$H$5,0)+1,FALSE)</f>
        <v>0.86590232210190832</v>
      </c>
      <c r="N98" s="31">
        <f>VLOOKUP($B98&amp;$C$86&amp;$G98,$E$6:$U$79,N$83,FALSE)*VLOOKUP($B98,Weighting!$D$5:$G$9,MATCH(Segmented!$C$86,Weighting!$E$5:$H$5,0)+1,FALSE)+VLOOKUP($B98&amp;$D$86&amp;$G98,$E$6:$U$79,N$83,FALSE)*VLOOKUP($B98,Weighting!$D$5:$G$9,MATCH(Segmented!$D$86,Weighting!$E$5:$H$5,0)+1,FALSE)+VLOOKUP($B98&amp;$E$86&amp;$G98,$E$6:$U$79,N$83,FALSE)*VLOOKUP($B98,Weighting!$D$5:$G$9,MATCH(Segmented!$E$86,Weighting!$E$5:$H$5,0)+1,FALSE)</f>
        <v>0</v>
      </c>
      <c r="O98">
        <f t="shared" si="6"/>
        <v>0</v>
      </c>
      <c r="P98" s="31">
        <f>VLOOKUP($B98&amp;$C$86&amp;$G98,$E$6:$U$79,P$83,FALSE)*VLOOKUP($B98,Weighting!$D$5:$G$9,MATCH(Segmented!$C$86,Weighting!$E$5:$H$5,0)+1,FALSE)+VLOOKUP($B98&amp;$D$86&amp;$G98,$E$6:$U$79,P$83,FALSE)*VLOOKUP($B98,Weighting!$D$5:$G$9,MATCH(Segmented!$D$86,Weighting!$E$5:$H$5,0)+1,FALSE)+VLOOKUP($B98&amp;$E$86&amp;$G98,$E$6:$U$79,P$83,FALSE)*VLOOKUP($B98,Weighting!$D$5:$G$9,MATCH(Segmented!$E$86,Weighting!$E$5:$H$5,0)+1,FALSE)</f>
        <v>0</v>
      </c>
      <c r="Q98">
        <f t="shared" si="7"/>
        <v>0</v>
      </c>
      <c r="R98" s="31">
        <f>VLOOKUP($B98&amp;$C$86&amp;$G98,$E$6:$U$79,R$83,FALSE)*VLOOKUP($B98,Weighting!$D$5:$G$9,MATCH(Segmented!$C$86,Weighting!$E$5:$H$5,0)+1,FALSE)+VLOOKUP($B98&amp;$D$86&amp;$G98,$E$6:$U$79,R$83,FALSE)*VLOOKUP($B98,Weighting!$D$5:$G$9,MATCH(Segmented!$D$86,Weighting!$E$5:$H$5,0)+1,FALSE)+VLOOKUP($B98&amp;$E$86&amp;$G98,$E$6:$U$79,R$83,FALSE)*VLOOKUP($B98,Weighting!$D$5:$G$9,MATCH(Segmented!$E$86,Weighting!$E$5:$H$5,0)+1,FALSE)</f>
        <v>0</v>
      </c>
      <c r="S98">
        <f t="shared" si="8"/>
        <v>0</v>
      </c>
      <c r="T98" s="31">
        <f>VLOOKUP($B98&amp;$C$86&amp;$G98,$E$6:$U$79,T$83,FALSE)*VLOOKUP($B98,Weighting!$D$5:$G$9,MATCH(Segmented!$C$86,Weighting!$E$5:$H$5,0)+1,FALSE)+VLOOKUP($B98&amp;$D$86&amp;$G98,$E$6:$U$79,T$83,FALSE)*VLOOKUP($B98,Weighting!$D$5:$G$9,MATCH(Segmented!$D$86,Weighting!$E$5:$H$5,0)+1,FALSE)+VLOOKUP($B98&amp;$E$86&amp;$G98,$E$6:$U$79,T$83,FALSE)*VLOOKUP($B98,Weighting!$D$5:$G$9,MATCH(Segmented!$E$86,Weighting!$E$5:$H$5,0)+1,FALSE)</f>
        <v>0</v>
      </c>
    </row>
    <row r="99" spans="1:20">
      <c r="A99" t="s">
        <v>6375</v>
      </c>
      <c r="B99" t="s">
        <v>66</v>
      </c>
      <c r="F99" s="54" t="str">
        <f t="shared" si="3"/>
        <v>Floor R0 - R22_Heat Pump</v>
      </c>
      <c r="G99" s="31" t="str">
        <f t="shared" si="9"/>
        <v>Floor R0 - R22</v>
      </c>
      <c r="H99" s="31">
        <f>VLOOKUP($B99&amp;$C$86&amp;$G99,$E$6:$U$79,H$83,FALSE)*VLOOKUP($B99,Weighting!$D$5:$G$9,MATCH(Segmented!$C$86,Weighting!$E$5:$H$5,0)+1,FALSE)+VLOOKUP($B99&amp;$D$86&amp;$G99,$E$6:$U$79,H$83,FALSE)*VLOOKUP($B99,Weighting!$D$5:$G$9,MATCH(Segmented!$D$86,Weighting!$E$5:$H$5,0)+1,FALSE)+VLOOKUP($B99&amp;$E$86&amp;$G99,$E$6:$U$79,H$83,FALSE)*VLOOKUP($B99,Weighting!$D$5:$G$9,MATCH(Segmented!$E$86,Weighting!$E$5:$H$5,0)+1,FALSE)</f>
        <v>239.94581862607487</v>
      </c>
      <c r="I99">
        <f t="shared" si="4"/>
        <v>25</v>
      </c>
      <c r="J99" s="31">
        <f>VLOOKUP($B99&amp;$C$86&amp;$G99,$E$6:$U$79,J$83,FALSE)*VLOOKUP($B99,Weighting!$D$5:$G$9,MATCH(Segmented!$C$86,Weighting!$E$5:$H$5,0)+1,FALSE)+VLOOKUP($B99&amp;$D$86&amp;$G99,$E$6:$U$79,J$83,FALSE)*VLOOKUP($B99,Weighting!$D$5:$G$9,MATCH(Segmented!$D$86,Weighting!$E$5:$H$5,0)+1,FALSE)+VLOOKUP($B99&amp;$E$86&amp;$G99,$E$6:$U$79,J$83,FALSE)*VLOOKUP($B99,Weighting!$D$5:$G$9,MATCH(Segmented!$E$86,Weighting!$E$5:$H$5,0)+1,FALSE)</f>
        <v>4223.9999999999991</v>
      </c>
      <c r="K99" s="31">
        <f>VLOOKUP($B99&amp;$C$86&amp;$G99,$E$6:$U$79,K$83,FALSE)*VLOOKUP($B99,Weighting!$D$5:$G$9,MATCH(Segmented!$C$86,Weighting!$E$5:$H$5,0)+1,FALSE)+VLOOKUP($B99&amp;$D$86&amp;$G99,$E$6:$U$79,K$83,FALSE)*VLOOKUP($B99,Weighting!$D$5:$G$9,MATCH(Segmented!$D$86,Weighting!$E$5:$H$5,0)+1,FALSE)+VLOOKUP($B99&amp;$E$86&amp;$G99,$E$6:$U$79,K$83,FALSE)*VLOOKUP($B99,Weighting!$D$5:$G$9,MATCH(Segmented!$E$86,Weighting!$E$5:$H$5,0)+1,FALSE)</f>
        <v>0</v>
      </c>
      <c r="L99" t="str">
        <f t="shared" si="5"/>
        <v>ResSHWX</v>
      </c>
      <c r="M99" s="31">
        <f>VLOOKUP($B99&amp;$C$86&amp;$G99,$E$6:$U$79,M$83,FALSE)*VLOOKUP($B99,Weighting!$D$5:$G$9,MATCH(Segmented!$C$86,Weighting!$E$5:$H$5,0)+1,FALSE)+VLOOKUP($B99&amp;$D$86&amp;$G99,$E$6:$U$79,M$83,FALSE)*VLOOKUP($B99,Weighting!$D$5:$G$9,MATCH(Segmented!$D$86,Weighting!$E$5:$H$5,0)+1,FALSE)+VLOOKUP($B99&amp;$E$86&amp;$G99,$E$6:$U$79,M$83,FALSE)*VLOOKUP($B99,Weighting!$D$5:$G$9,MATCH(Segmented!$E$86,Weighting!$E$5:$H$5,0)+1,FALSE)</f>
        <v>1.7348298091816472</v>
      </c>
      <c r="N99" s="31">
        <f>VLOOKUP($B99&amp;$C$86&amp;$G99,$E$6:$U$79,N$83,FALSE)*VLOOKUP($B99,Weighting!$D$5:$G$9,MATCH(Segmented!$C$86,Weighting!$E$5:$H$5,0)+1,FALSE)+VLOOKUP($B99&amp;$D$86&amp;$G99,$E$6:$U$79,N$83,FALSE)*VLOOKUP($B99,Weighting!$D$5:$G$9,MATCH(Segmented!$D$86,Weighting!$E$5:$H$5,0)+1,FALSE)+VLOOKUP($B99&amp;$E$86&amp;$G99,$E$6:$U$79,N$83,FALSE)*VLOOKUP($B99,Weighting!$D$5:$G$9,MATCH(Segmented!$E$86,Weighting!$E$5:$H$5,0)+1,FALSE)</f>
        <v>0</v>
      </c>
      <c r="O99">
        <f t="shared" si="6"/>
        <v>0</v>
      </c>
      <c r="P99" s="31">
        <f>VLOOKUP($B99&amp;$C$86&amp;$G99,$E$6:$U$79,P$83,FALSE)*VLOOKUP($B99,Weighting!$D$5:$G$9,MATCH(Segmented!$C$86,Weighting!$E$5:$H$5,0)+1,FALSE)+VLOOKUP($B99&amp;$D$86&amp;$G99,$E$6:$U$79,P$83,FALSE)*VLOOKUP($B99,Weighting!$D$5:$G$9,MATCH(Segmented!$D$86,Weighting!$E$5:$H$5,0)+1,FALSE)+VLOOKUP($B99&amp;$E$86&amp;$G99,$E$6:$U$79,P$83,FALSE)*VLOOKUP($B99,Weighting!$D$5:$G$9,MATCH(Segmented!$E$86,Weighting!$E$5:$H$5,0)+1,FALSE)</f>
        <v>0</v>
      </c>
      <c r="Q99">
        <f t="shared" si="7"/>
        <v>0</v>
      </c>
      <c r="R99" s="31">
        <f>VLOOKUP($B99&amp;$C$86&amp;$G99,$E$6:$U$79,R$83,FALSE)*VLOOKUP($B99,Weighting!$D$5:$G$9,MATCH(Segmented!$C$86,Weighting!$E$5:$H$5,0)+1,FALSE)+VLOOKUP($B99&amp;$D$86&amp;$G99,$E$6:$U$79,R$83,FALSE)*VLOOKUP($B99,Weighting!$D$5:$G$9,MATCH(Segmented!$D$86,Weighting!$E$5:$H$5,0)+1,FALSE)+VLOOKUP($B99&amp;$E$86&amp;$G99,$E$6:$U$79,R$83,FALSE)*VLOOKUP($B99,Weighting!$D$5:$G$9,MATCH(Segmented!$E$86,Weighting!$E$5:$H$5,0)+1,FALSE)</f>
        <v>0</v>
      </c>
      <c r="S99">
        <f t="shared" si="8"/>
        <v>0</v>
      </c>
      <c r="T99" s="31">
        <f>VLOOKUP($B99&amp;$C$86&amp;$G99,$E$6:$U$79,T$83,FALSE)*VLOOKUP($B99,Weighting!$D$5:$G$9,MATCH(Segmented!$C$86,Weighting!$E$5:$H$5,0)+1,FALSE)+VLOOKUP($B99&amp;$D$86&amp;$G99,$E$6:$U$79,T$83,FALSE)*VLOOKUP($B99,Weighting!$D$5:$G$9,MATCH(Segmented!$D$86,Weighting!$E$5:$H$5,0)+1,FALSE)+VLOOKUP($B99&amp;$E$86&amp;$G99,$E$6:$U$79,T$83,FALSE)*VLOOKUP($B99,Weighting!$D$5:$G$9,MATCH(Segmented!$E$86,Weighting!$E$5:$H$5,0)+1,FALSE)</f>
        <v>0</v>
      </c>
    </row>
    <row r="100" spans="1:20">
      <c r="A100" t="s">
        <v>6376</v>
      </c>
      <c r="B100" t="s">
        <v>66</v>
      </c>
      <c r="F100" s="54" t="str">
        <f t="shared" si="3"/>
        <v>Floor R11 - R22_Heat Pump</v>
      </c>
      <c r="G100" s="31" t="str">
        <f t="shared" si="9"/>
        <v>Floor R11 - R22</v>
      </c>
      <c r="H100" s="31">
        <f>VLOOKUP($B100&amp;$C$86&amp;$G100,$E$6:$U$79,H$83,FALSE)*VLOOKUP($B100,Weighting!$D$5:$G$9,MATCH(Segmented!$C$86,Weighting!$E$5:$H$5,0)+1,FALSE)+VLOOKUP($B100&amp;$D$86&amp;$G100,$E$6:$U$79,H$83,FALSE)*VLOOKUP($B100,Weighting!$D$5:$G$9,MATCH(Segmented!$D$86,Weighting!$E$5:$H$5,0)+1,FALSE)+VLOOKUP($B100&amp;$E$86&amp;$G100,$E$6:$U$79,H$83,FALSE)*VLOOKUP($B100,Weighting!$D$5:$G$9,MATCH(Segmented!$E$86,Weighting!$E$5:$H$5,0)+1,FALSE)</f>
        <v>126.48013579032794</v>
      </c>
      <c r="I100">
        <f t="shared" si="4"/>
        <v>25</v>
      </c>
      <c r="J100" s="31">
        <f>VLOOKUP($B100&amp;$C$86&amp;$G100,$E$6:$U$79,J$83,FALSE)*VLOOKUP($B100,Weighting!$D$5:$G$9,MATCH(Segmented!$C$86,Weighting!$E$5:$H$5,0)+1,FALSE)+VLOOKUP($B100&amp;$D$86&amp;$G100,$E$6:$U$79,J$83,FALSE)*VLOOKUP($B100,Weighting!$D$5:$G$9,MATCH(Segmented!$D$86,Weighting!$E$5:$H$5,0)+1,FALSE)+VLOOKUP($B100&amp;$E$86&amp;$G100,$E$6:$U$79,J$83,FALSE)*VLOOKUP($B100,Weighting!$D$5:$G$9,MATCH(Segmented!$E$86,Weighting!$E$5:$H$5,0)+1,FALSE)</f>
        <v>4223.9999999999991</v>
      </c>
      <c r="K100" s="31">
        <f>VLOOKUP($B100&amp;$C$86&amp;$G100,$E$6:$U$79,K$83,FALSE)*VLOOKUP($B100,Weighting!$D$5:$G$9,MATCH(Segmented!$C$86,Weighting!$E$5:$H$5,0)+1,FALSE)+VLOOKUP($B100&amp;$D$86&amp;$G100,$E$6:$U$79,K$83,FALSE)*VLOOKUP($B100,Weighting!$D$5:$G$9,MATCH(Segmented!$D$86,Weighting!$E$5:$H$5,0)+1,FALSE)+VLOOKUP($B100&amp;$E$86&amp;$G100,$E$6:$U$79,K$83,FALSE)*VLOOKUP($B100,Weighting!$D$5:$G$9,MATCH(Segmented!$E$86,Weighting!$E$5:$H$5,0)+1,FALSE)</f>
        <v>0</v>
      </c>
      <c r="L100" t="str">
        <f t="shared" si="5"/>
        <v>ResSHWX</v>
      </c>
      <c r="M100" s="31">
        <f>VLOOKUP($B100&amp;$C$86&amp;$G100,$E$6:$U$79,M$83,FALSE)*VLOOKUP($B100,Weighting!$D$5:$G$9,MATCH(Segmented!$C$86,Weighting!$E$5:$H$5,0)+1,FALSE)+VLOOKUP($B100&amp;$D$86&amp;$G100,$E$6:$U$79,M$83,FALSE)*VLOOKUP($B100,Weighting!$D$5:$G$9,MATCH(Segmented!$D$86,Weighting!$E$5:$H$5,0)+1,FALSE)+VLOOKUP($B100&amp;$E$86&amp;$G100,$E$6:$U$79,M$83,FALSE)*VLOOKUP($B100,Weighting!$D$5:$G$9,MATCH(Segmented!$E$86,Weighting!$E$5:$H$5,0)+1,FALSE)</f>
        <v>0.94570623433172107</v>
      </c>
      <c r="N100" s="31">
        <f>VLOOKUP($B100&amp;$C$86&amp;$G100,$E$6:$U$79,N$83,FALSE)*VLOOKUP($B100,Weighting!$D$5:$G$9,MATCH(Segmented!$C$86,Weighting!$E$5:$H$5,0)+1,FALSE)+VLOOKUP($B100&amp;$D$86&amp;$G100,$E$6:$U$79,N$83,FALSE)*VLOOKUP($B100,Weighting!$D$5:$G$9,MATCH(Segmented!$D$86,Weighting!$E$5:$H$5,0)+1,FALSE)+VLOOKUP($B100&amp;$E$86&amp;$G100,$E$6:$U$79,N$83,FALSE)*VLOOKUP($B100,Weighting!$D$5:$G$9,MATCH(Segmented!$E$86,Weighting!$E$5:$H$5,0)+1,FALSE)</f>
        <v>0</v>
      </c>
      <c r="O100">
        <f t="shared" si="6"/>
        <v>0</v>
      </c>
      <c r="P100" s="31">
        <f>VLOOKUP($B100&amp;$C$86&amp;$G100,$E$6:$U$79,P$83,FALSE)*VLOOKUP($B100,Weighting!$D$5:$G$9,MATCH(Segmented!$C$86,Weighting!$E$5:$H$5,0)+1,FALSE)+VLOOKUP($B100&amp;$D$86&amp;$G100,$E$6:$U$79,P$83,FALSE)*VLOOKUP($B100,Weighting!$D$5:$G$9,MATCH(Segmented!$D$86,Weighting!$E$5:$H$5,0)+1,FALSE)+VLOOKUP($B100&amp;$E$86&amp;$G100,$E$6:$U$79,P$83,FALSE)*VLOOKUP($B100,Weighting!$D$5:$G$9,MATCH(Segmented!$E$86,Weighting!$E$5:$H$5,0)+1,FALSE)</f>
        <v>0</v>
      </c>
      <c r="Q100">
        <f t="shared" si="7"/>
        <v>0</v>
      </c>
      <c r="R100" s="31">
        <f>VLOOKUP($B100&amp;$C$86&amp;$G100,$E$6:$U$79,R$83,FALSE)*VLOOKUP($B100,Weighting!$D$5:$G$9,MATCH(Segmented!$C$86,Weighting!$E$5:$H$5,0)+1,FALSE)+VLOOKUP($B100&amp;$D$86&amp;$G100,$E$6:$U$79,R$83,FALSE)*VLOOKUP($B100,Weighting!$D$5:$G$9,MATCH(Segmented!$D$86,Weighting!$E$5:$H$5,0)+1,FALSE)+VLOOKUP($B100&amp;$E$86&amp;$G100,$E$6:$U$79,R$83,FALSE)*VLOOKUP($B100,Weighting!$D$5:$G$9,MATCH(Segmented!$E$86,Weighting!$E$5:$H$5,0)+1,FALSE)</f>
        <v>0</v>
      </c>
      <c r="S100">
        <f t="shared" si="8"/>
        <v>0</v>
      </c>
      <c r="T100" s="31">
        <f>VLOOKUP($B100&amp;$C$86&amp;$G100,$E$6:$U$79,T$83,FALSE)*VLOOKUP($B100,Weighting!$D$5:$G$9,MATCH(Segmented!$C$86,Weighting!$E$5:$H$5,0)+1,FALSE)+VLOOKUP($B100&amp;$D$86&amp;$G100,$E$6:$U$79,T$83,FALSE)*VLOOKUP($B100,Weighting!$D$5:$G$9,MATCH(Segmented!$D$86,Weighting!$E$5:$H$5,0)+1,FALSE)+VLOOKUP($B100&amp;$E$86&amp;$G100,$E$6:$U$79,T$83,FALSE)*VLOOKUP($B100,Weighting!$D$5:$G$9,MATCH(Segmented!$E$86,Weighting!$E$5:$H$5,0)+1,FALSE)</f>
        <v>0</v>
      </c>
    </row>
    <row r="101" spans="1:20">
      <c r="A101" t="s">
        <v>61</v>
      </c>
      <c r="B101" t="s">
        <v>66</v>
      </c>
      <c r="F101" s="54" t="str">
        <f t="shared" si="3"/>
        <v>WINDOW CL30 Prime Window Replacement of Double Pane Base_Heat Pump</v>
      </c>
      <c r="G101" s="31" t="str">
        <f t="shared" si="9"/>
        <v>WINDOW CL30 Prime Window Replacement of Double Pane Base</v>
      </c>
      <c r="H101" s="31">
        <f>VLOOKUP($B101&amp;$C$86&amp;$G101,$E$6:$U$79,H$83,FALSE)*VLOOKUP($B101,Weighting!$D$5:$G$9,MATCH(Segmented!$C$86,Weighting!$E$5:$H$5,0)+1,FALSE)+VLOOKUP($B101&amp;$D$86&amp;$G101,$E$6:$U$79,H$83,FALSE)*VLOOKUP($B101,Weighting!$D$5:$G$9,MATCH(Segmented!$D$86,Weighting!$E$5:$H$5,0)+1,FALSE)+VLOOKUP($B101&amp;$E$86&amp;$G101,$E$6:$U$79,H$83,FALSE)*VLOOKUP($B101,Weighting!$D$5:$G$9,MATCH(Segmented!$E$86,Weighting!$E$5:$H$5,0)+1,FALSE)</f>
        <v>242.79261621400425</v>
      </c>
      <c r="I101">
        <f t="shared" si="4"/>
        <v>25</v>
      </c>
      <c r="J101" s="31">
        <f>VLOOKUP($B101&amp;$C$86&amp;$G101,$E$6:$U$79,J$83,FALSE)*VLOOKUP($B101,Weighting!$D$5:$G$9,MATCH(Segmented!$C$86,Weighting!$E$5:$H$5,0)+1,FALSE)+VLOOKUP($B101&amp;$D$86&amp;$G101,$E$6:$U$79,J$83,FALSE)*VLOOKUP($B101,Weighting!$D$5:$G$9,MATCH(Segmented!$D$86,Weighting!$E$5:$H$5,0)+1,FALSE)+VLOOKUP($B101&amp;$E$86&amp;$G101,$E$6:$U$79,J$83,FALSE)*VLOOKUP($B101,Weighting!$D$5:$G$9,MATCH(Segmented!$E$86,Weighting!$E$5:$H$5,0)+1,FALSE)</f>
        <v>3296.949955913165</v>
      </c>
      <c r="K101" s="31">
        <f>VLOOKUP($B101&amp;$C$86&amp;$G101,$E$6:$U$79,K$83,FALSE)*VLOOKUP($B101,Weighting!$D$5:$G$9,MATCH(Segmented!$C$86,Weighting!$E$5:$H$5,0)+1,FALSE)+VLOOKUP($B101&amp;$D$86&amp;$G101,$E$6:$U$79,K$83,FALSE)*VLOOKUP($B101,Weighting!$D$5:$G$9,MATCH(Segmented!$D$86,Weighting!$E$5:$H$5,0)+1,FALSE)+VLOOKUP($B101&amp;$E$86&amp;$G101,$E$6:$U$79,K$83,FALSE)*VLOOKUP($B101,Weighting!$D$5:$G$9,MATCH(Segmented!$E$86,Weighting!$E$5:$H$5,0)+1,FALSE)</f>
        <v>0</v>
      </c>
      <c r="L101" t="str">
        <f t="shared" si="5"/>
        <v>ResSHWX</v>
      </c>
      <c r="M101" s="31">
        <f>VLOOKUP($B101&amp;$C$86&amp;$G101,$E$6:$U$79,M$83,FALSE)*VLOOKUP($B101,Weighting!$D$5:$G$9,MATCH(Segmented!$C$86,Weighting!$E$5:$H$5,0)+1,FALSE)+VLOOKUP($B101&amp;$D$86&amp;$G101,$E$6:$U$79,M$83,FALSE)*VLOOKUP($B101,Weighting!$D$5:$G$9,MATCH(Segmented!$D$86,Weighting!$E$5:$H$5,0)+1,FALSE)+VLOOKUP($B101&amp;$E$86&amp;$G101,$E$6:$U$79,M$83,FALSE)*VLOOKUP($B101,Weighting!$D$5:$G$9,MATCH(Segmented!$E$86,Weighting!$E$5:$H$5,0)+1,FALSE)</f>
        <v>2.3772772618937883</v>
      </c>
      <c r="N101" s="31">
        <f>VLOOKUP($B101&amp;$C$86&amp;$G101,$E$6:$U$79,N$83,FALSE)*VLOOKUP($B101,Weighting!$D$5:$G$9,MATCH(Segmented!$C$86,Weighting!$E$5:$H$5,0)+1,FALSE)+VLOOKUP($B101&amp;$D$86&amp;$G101,$E$6:$U$79,N$83,FALSE)*VLOOKUP($B101,Weighting!$D$5:$G$9,MATCH(Segmented!$D$86,Weighting!$E$5:$H$5,0)+1,FALSE)+VLOOKUP($B101&amp;$E$86&amp;$G101,$E$6:$U$79,N$83,FALSE)*VLOOKUP($B101,Weighting!$D$5:$G$9,MATCH(Segmented!$E$86,Weighting!$E$5:$H$5,0)+1,FALSE)</f>
        <v>0</v>
      </c>
      <c r="O101">
        <f t="shared" si="6"/>
        <v>0</v>
      </c>
      <c r="P101" s="31">
        <f>VLOOKUP($B101&amp;$C$86&amp;$G101,$E$6:$U$79,P$83,FALSE)*VLOOKUP($B101,Weighting!$D$5:$G$9,MATCH(Segmented!$C$86,Weighting!$E$5:$H$5,0)+1,FALSE)+VLOOKUP($B101&amp;$D$86&amp;$G101,$E$6:$U$79,P$83,FALSE)*VLOOKUP($B101,Weighting!$D$5:$G$9,MATCH(Segmented!$D$86,Weighting!$E$5:$H$5,0)+1,FALSE)+VLOOKUP($B101&amp;$E$86&amp;$G101,$E$6:$U$79,P$83,FALSE)*VLOOKUP($B101,Weighting!$D$5:$G$9,MATCH(Segmented!$E$86,Weighting!$E$5:$H$5,0)+1,FALSE)</f>
        <v>0</v>
      </c>
      <c r="Q101">
        <f t="shared" si="7"/>
        <v>0</v>
      </c>
      <c r="R101" s="31">
        <f>VLOOKUP($B101&amp;$C$86&amp;$G101,$E$6:$U$79,R$83,FALSE)*VLOOKUP($B101,Weighting!$D$5:$G$9,MATCH(Segmented!$C$86,Weighting!$E$5:$H$5,0)+1,FALSE)+VLOOKUP($B101&amp;$D$86&amp;$G101,$E$6:$U$79,R$83,FALSE)*VLOOKUP($B101,Weighting!$D$5:$G$9,MATCH(Segmented!$D$86,Weighting!$E$5:$H$5,0)+1,FALSE)+VLOOKUP($B101&amp;$E$86&amp;$G101,$E$6:$U$79,R$83,FALSE)*VLOOKUP($B101,Weighting!$D$5:$G$9,MATCH(Segmented!$E$86,Weighting!$E$5:$H$5,0)+1,FALSE)</f>
        <v>0</v>
      </c>
      <c r="S101">
        <f t="shared" si="8"/>
        <v>0</v>
      </c>
      <c r="T101" s="31">
        <f>VLOOKUP($B101&amp;$C$86&amp;$G101,$E$6:$U$79,T$83,FALSE)*VLOOKUP($B101,Weighting!$D$5:$G$9,MATCH(Segmented!$C$86,Weighting!$E$5:$H$5,0)+1,FALSE)+VLOOKUP($B101&amp;$D$86&amp;$G101,$E$6:$U$79,T$83,FALSE)*VLOOKUP($B101,Weighting!$D$5:$G$9,MATCH(Segmented!$D$86,Weighting!$E$5:$H$5,0)+1,FALSE)+VLOOKUP($B101&amp;$E$86&amp;$G101,$E$6:$U$79,T$83,FALSE)*VLOOKUP($B101,Weighting!$D$5:$G$9,MATCH(Segmented!$E$86,Weighting!$E$5:$H$5,0)+1,FALSE)</f>
        <v>0</v>
      </c>
    </row>
    <row r="102" spans="1:20">
      <c r="A102" t="s">
        <v>60</v>
      </c>
      <c r="B102" t="s">
        <v>66</v>
      </c>
      <c r="F102" s="54" t="str">
        <f t="shared" si="3"/>
        <v>WINDOW CL30 Prime Window Replacement of Single Pane Base_Heat Pump</v>
      </c>
      <c r="G102" s="31" t="str">
        <f t="shared" si="9"/>
        <v>WINDOW CL30 Prime Window Replacement of Single Pane Base</v>
      </c>
      <c r="H102" s="31">
        <f>VLOOKUP($B102&amp;$C$86&amp;$G102,$E$6:$U$79,H$83,FALSE)*VLOOKUP($B102,Weighting!$D$5:$G$9,MATCH(Segmented!$C$86,Weighting!$E$5:$H$5,0)+1,FALSE)+VLOOKUP($B102&amp;$D$86&amp;$G102,$E$6:$U$79,H$83,FALSE)*VLOOKUP($B102,Weighting!$D$5:$G$9,MATCH(Segmented!$D$86,Weighting!$E$5:$H$5,0)+1,FALSE)+VLOOKUP($B102&amp;$E$86&amp;$G102,$E$6:$U$79,H$83,FALSE)*VLOOKUP($B102,Weighting!$D$5:$G$9,MATCH(Segmented!$E$86,Weighting!$E$5:$H$5,0)+1,FALSE)</f>
        <v>590.79505315659674</v>
      </c>
      <c r="I102">
        <f t="shared" si="4"/>
        <v>25</v>
      </c>
      <c r="J102" s="31">
        <f>VLOOKUP($B102&amp;$C$86&amp;$G102,$E$6:$U$79,J$83,FALSE)*VLOOKUP($B102,Weighting!$D$5:$G$9,MATCH(Segmented!$C$86,Weighting!$E$5:$H$5,0)+1,FALSE)+VLOOKUP($B102&amp;$D$86&amp;$G102,$E$6:$U$79,J$83,FALSE)*VLOOKUP($B102,Weighting!$D$5:$G$9,MATCH(Segmented!$D$86,Weighting!$E$5:$H$5,0)+1,FALSE)+VLOOKUP($B102&amp;$E$86&amp;$G102,$E$6:$U$79,J$83,FALSE)*VLOOKUP($B102,Weighting!$D$5:$G$9,MATCH(Segmented!$E$86,Weighting!$E$5:$H$5,0)+1,FALSE)</f>
        <v>3296.949955913165</v>
      </c>
      <c r="K102" s="31">
        <f>VLOOKUP($B102&amp;$C$86&amp;$G102,$E$6:$U$79,K$83,FALSE)*VLOOKUP($B102,Weighting!$D$5:$G$9,MATCH(Segmented!$C$86,Weighting!$E$5:$H$5,0)+1,FALSE)+VLOOKUP($B102&amp;$D$86&amp;$G102,$E$6:$U$79,K$83,FALSE)*VLOOKUP($B102,Weighting!$D$5:$G$9,MATCH(Segmented!$D$86,Weighting!$E$5:$H$5,0)+1,FALSE)+VLOOKUP($B102&amp;$E$86&amp;$G102,$E$6:$U$79,K$83,FALSE)*VLOOKUP($B102,Weighting!$D$5:$G$9,MATCH(Segmented!$E$86,Weighting!$E$5:$H$5,0)+1,FALSE)</f>
        <v>0</v>
      </c>
      <c r="L102" t="str">
        <f t="shared" si="5"/>
        <v>ResSHWX</v>
      </c>
      <c r="M102" s="31">
        <f>VLOOKUP($B102&amp;$C$86&amp;$G102,$E$6:$U$79,M$83,FALSE)*VLOOKUP($B102,Weighting!$D$5:$G$9,MATCH(Segmented!$C$86,Weighting!$E$5:$H$5,0)+1,FALSE)+VLOOKUP($B102&amp;$D$86&amp;$G102,$E$6:$U$79,M$83,FALSE)*VLOOKUP($B102,Weighting!$D$5:$G$9,MATCH(Segmented!$D$86,Weighting!$E$5:$H$5,0)+1,FALSE)+VLOOKUP($B102&amp;$E$86&amp;$G102,$E$6:$U$79,M$83,FALSE)*VLOOKUP($B102,Weighting!$D$5:$G$9,MATCH(Segmented!$E$86,Weighting!$E$5:$H$5,0)+1,FALSE)</f>
        <v>5.1982656997315368</v>
      </c>
      <c r="N102" s="31">
        <f>VLOOKUP($B102&amp;$C$86&amp;$G102,$E$6:$U$79,N$83,FALSE)*VLOOKUP($B102,Weighting!$D$5:$G$9,MATCH(Segmented!$C$86,Weighting!$E$5:$H$5,0)+1,FALSE)+VLOOKUP($B102&amp;$D$86&amp;$G102,$E$6:$U$79,N$83,FALSE)*VLOOKUP($B102,Weighting!$D$5:$G$9,MATCH(Segmented!$D$86,Weighting!$E$5:$H$5,0)+1,FALSE)+VLOOKUP($B102&amp;$E$86&amp;$G102,$E$6:$U$79,N$83,FALSE)*VLOOKUP($B102,Weighting!$D$5:$G$9,MATCH(Segmented!$E$86,Weighting!$E$5:$H$5,0)+1,FALSE)</f>
        <v>0</v>
      </c>
      <c r="O102">
        <f t="shared" si="6"/>
        <v>0</v>
      </c>
      <c r="P102" s="31">
        <f>VLOOKUP($B102&amp;$C$86&amp;$G102,$E$6:$U$79,P$83,FALSE)*VLOOKUP($B102,Weighting!$D$5:$G$9,MATCH(Segmented!$C$86,Weighting!$E$5:$H$5,0)+1,FALSE)+VLOOKUP($B102&amp;$D$86&amp;$G102,$E$6:$U$79,P$83,FALSE)*VLOOKUP($B102,Weighting!$D$5:$G$9,MATCH(Segmented!$D$86,Weighting!$E$5:$H$5,0)+1,FALSE)+VLOOKUP($B102&amp;$E$86&amp;$G102,$E$6:$U$79,P$83,FALSE)*VLOOKUP($B102,Weighting!$D$5:$G$9,MATCH(Segmented!$E$86,Weighting!$E$5:$H$5,0)+1,FALSE)</f>
        <v>0</v>
      </c>
      <c r="Q102">
        <f t="shared" si="7"/>
        <v>0</v>
      </c>
      <c r="R102" s="31">
        <f>VLOOKUP($B102&amp;$C$86&amp;$G102,$E$6:$U$79,R$83,FALSE)*VLOOKUP($B102,Weighting!$D$5:$G$9,MATCH(Segmented!$C$86,Weighting!$E$5:$H$5,0)+1,FALSE)+VLOOKUP($B102&amp;$D$86&amp;$G102,$E$6:$U$79,R$83,FALSE)*VLOOKUP($B102,Weighting!$D$5:$G$9,MATCH(Segmented!$D$86,Weighting!$E$5:$H$5,0)+1,FALSE)+VLOOKUP($B102&amp;$E$86&amp;$G102,$E$6:$U$79,R$83,FALSE)*VLOOKUP($B102,Weighting!$D$5:$G$9,MATCH(Segmented!$E$86,Weighting!$E$5:$H$5,0)+1,FALSE)</f>
        <v>0</v>
      </c>
      <c r="S102">
        <f t="shared" si="8"/>
        <v>0</v>
      </c>
      <c r="T102" s="31">
        <f>VLOOKUP($B102&amp;$C$86&amp;$G102,$E$6:$U$79,T$83,FALSE)*VLOOKUP($B102,Weighting!$D$5:$G$9,MATCH(Segmented!$C$86,Weighting!$E$5:$H$5,0)+1,FALSE)+VLOOKUP($B102&amp;$D$86&amp;$G102,$E$6:$U$79,T$83,FALSE)*VLOOKUP($B102,Weighting!$D$5:$G$9,MATCH(Segmented!$D$86,Weighting!$E$5:$H$5,0)+1,FALSE)+VLOOKUP($B102&amp;$E$86&amp;$G102,$E$6:$U$79,T$83,FALSE)*VLOOKUP($B102,Weighting!$D$5:$G$9,MATCH(Segmented!$E$86,Weighting!$E$5:$H$5,0)+1,FALSE)</f>
        <v>0</v>
      </c>
    </row>
    <row r="103" spans="1:20">
      <c r="A103" t="s">
        <v>63</v>
      </c>
      <c r="B103" t="s">
        <v>66</v>
      </c>
      <c r="F103" s="54" t="str">
        <f t="shared" si="3"/>
        <v>WINDOW CL22 Prime Window Replacement of Double Pane Base_Heat Pump</v>
      </c>
      <c r="G103" s="31" t="str">
        <f t="shared" si="9"/>
        <v>WINDOW CL22 Prime Window Replacement of Double Pane Base</v>
      </c>
      <c r="H103" s="31">
        <f>VLOOKUP($B103&amp;$C$86&amp;$G103,$E$6:$U$79,H$83,FALSE)*VLOOKUP($B103,Weighting!$D$5:$G$9,MATCH(Segmented!$C$86,Weighting!$E$5:$H$5,0)+1,FALSE)+VLOOKUP($B103&amp;$D$86&amp;$G103,$E$6:$U$79,H$83,FALSE)*VLOOKUP($B103,Weighting!$D$5:$G$9,MATCH(Segmented!$D$86,Weighting!$E$5:$H$5,0)+1,FALSE)+VLOOKUP($B103&amp;$E$86&amp;$G103,$E$6:$U$79,H$83,FALSE)*VLOOKUP($B103,Weighting!$D$5:$G$9,MATCH(Segmented!$E$86,Weighting!$E$5:$H$5,0)+1,FALSE)</f>
        <v>1507.4369564149624</v>
      </c>
      <c r="I103">
        <f t="shared" si="4"/>
        <v>25</v>
      </c>
      <c r="J103" s="31">
        <f>VLOOKUP($B103&amp;$C$86&amp;$G103,$E$6:$U$79,J$83,FALSE)*VLOOKUP($B103,Weighting!$D$5:$G$9,MATCH(Segmented!$C$86,Weighting!$E$5:$H$5,0)+1,FALSE)+VLOOKUP($B103&amp;$D$86&amp;$G103,$E$6:$U$79,J$83,FALSE)*VLOOKUP($B103,Weighting!$D$5:$G$9,MATCH(Segmented!$D$86,Weighting!$E$5:$H$5,0)+1,FALSE)+VLOOKUP($B103&amp;$E$86&amp;$G103,$E$6:$U$79,J$83,FALSE)*VLOOKUP($B103,Weighting!$D$5:$G$9,MATCH(Segmented!$E$86,Weighting!$E$5:$H$5,0)+1,FALSE)</f>
        <v>3514.5499559131654</v>
      </c>
      <c r="K103" s="31">
        <f>VLOOKUP($B103&amp;$C$86&amp;$G103,$E$6:$U$79,K$83,FALSE)*VLOOKUP($B103,Weighting!$D$5:$G$9,MATCH(Segmented!$C$86,Weighting!$E$5:$H$5,0)+1,FALSE)+VLOOKUP($B103&amp;$D$86&amp;$G103,$E$6:$U$79,K$83,FALSE)*VLOOKUP($B103,Weighting!$D$5:$G$9,MATCH(Segmented!$D$86,Weighting!$E$5:$H$5,0)+1,FALSE)+VLOOKUP($B103&amp;$E$86&amp;$G103,$E$6:$U$79,K$83,FALSE)*VLOOKUP($B103,Weighting!$D$5:$G$9,MATCH(Segmented!$E$86,Weighting!$E$5:$H$5,0)+1,FALSE)</f>
        <v>0</v>
      </c>
      <c r="L103" t="str">
        <f t="shared" si="5"/>
        <v>ResSHWX</v>
      </c>
      <c r="M103" s="31">
        <f>VLOOKUP($B103&amp;$C$86&amp;$G103,$E$6:$U$79,M$83,FALSE)*VLOOKUP($B103,Weighting!$D$5:$G$9,MATCH(Segmented!$C$86,Weighting!$E$5:$H$5,0)+1,FALSE)+VLOOKUP($B103&amp;$D$86&amp;$G103,$E$6:$U$79,M$83,FALSE)*VLOOKUP($B103,Weighting!$D$5:$G$9,MATCH(Segmented!$D$86,Weighting!$E$5:$H$5,0)+1,FALSE)+VLOOKUP($B103&amp;$E$86&amp;$G103,$E$6:$U$79,M$83,FALSE)*VLOOKUP($B103,Weighting!$D$5:$G$9,MATCH(Segmented!$E$86,Weighting!$E$5:$H$5,0)+1,FALSE)</f>
        <v>2.6775439936307941</v>
      </c>
      <c r="N103" s="31">
        <f>VLOOKUP($B103&amp;$C$86&amp;$G103,$E$6:$U$79,N$83,FALSE)*VLOOKUP($B103,Weighting!$D$5:$G$9,MATCH(Segmented!$C$86,Weighting!$E$5:$H$5,0)+1,FALSE)+VLOOKUP($B103&amp;$D$86&amp;$G103,$E$6:$U$79,N$83,FALSE)*VLOOKUP($B103,Weighting!$D$5:$G$9,MATCH(Segmented!$D$86,Weighting!$E$5:$H$5,0)+1,FALSE)+VLOOKUP($B103&amp;$E$86&amp;$G103,$E$6:$U$79,N$83,FALSE)*VLOOKUP($B103,Weighting!$D$5:$G$9,MATCH(Segmented!$E$86,Weighting!$E$5:$H$5,0)+1,FALSE)</f>
        <v>0</v>
      </c>
      <c r="O103">
        <f t="shared" si="6"/>
        <v>0</v>
      </c>
      <c r="P103" s="31">
        <f>VLOOKUP($B103&amp;$C$86&amp;$G103,$E$6:$U$79,P$83,FALSE)*VLOOKUP($B103,Weighting!$D$5:$G$9,MATCH(Segmented!$C$86,Weighting!$E$5:$H$5,0)+1,FALSE)+VLOOKUP($B103&amp;$D$86&amp;$G103,$E$6:$U$79,P$83,FALSE)*VLOOKUP($B103,Weighting!$D$5:$G$9,MATCH(Segmented!$D$86,Weighting!$E$5:$H$5,0)+1,FALSE)+VLOOKUP($B103&amp;$E$86&amp;$G103,$E$6:$U$79,P$83,FALSE)*VLOOKUP($B103,Weighting!$D$5:$G$9,MATCH(Segmented!$E$86,Weighting!$E$5:$H$5,0)+1,FALSE)</f>
        <v>0</v>
      </c>
      <c r="Q103">
        <f t="shared" si="7"/>
        <v>0</v>
      </c>
      <c r="R103" s="31">
        <f>VLOOKUP($B103&amp;$C$86&amp;$G103,$E$6:$U$79,R$83,FALSE)*VLOOKUP($B103,Weighting!$D$5:$G$9,MATCH(Segmented!$C$86,Weighting!$E$5:$H$5,0)+1,FALSE)+VLOOKUP($B103&amp;$D$86&amp;$G103,$E$6:$U$79,R$83,FALSE)*VLOOKUP($B103,Weighting!$D$5:$G$9,MATCH(Segmented!$D$86,Weighting!$E$5:$H$5,0)+1,FALSE)+VLOOKUP($B103&amp;$E$86&amp;$G103,$E$6:$U$79,R$83,FALSE)*VLOOKUP($B103,Weighting!$D$5:$G$9,MATCH(Segmented!$E$86,Weighting!$E$5:$H$5,0)+1,FALSE)</f>
        <v>0</v>
      </c>
      <c r="S103">
        <f t="shared" si="8"/>
        <v>0</v>
      </c>
      <c r="T103" s="31">
        <f>VLOOKUP($B103&amp;$C$86&amp;$G103,$E$6:$U$79,T$83,FALSE)*VLOOKUP($B103,Weighting!$D$5:$G$9,MATCH(Segmented!$C$86,Weighting!$E$5:$H$5,0)+1,FALSE)+VLOOKUP($B103&amp;$D$86&amp;$G103,$E$6:$U$79,T$83,FALSE)*VLOOKUP($B103,Weighting!$D$5:$G$9,MATCH(Segmented!$D$86,Weighting!$E$5:$H$5,0)+1,FALSE)+VLOOKUP($B103&amp;$E$86&amp;$G103,$E$6:$U$79,T$83,FALSE)*VLOOKUP($B103,Weighting!$D$5:$G$9,MATCH(Segmented!$E$86,Weighting!$E$5:$H$5,0)+1,FALSE)</f>
        <v>0</v>
      </c>
    </row>
    <row r="104" spans="1:20">
      <c r="A104" t="s">
        <v>62</v>
      </c>
      <c r="B104" t="s">
        <v>66</v>
      </c>
      <c r="F104" s="54" t="str">
        <f t="shared" si="3"/>
        <v>WINDOW CL22 Prime Window Replacement of Single Pane Base_Heat Pump</v>
      </c>
      <c r="G104" s="31" t="str">
        <f t="shared" si="9"/>
        <v>WINDOW CL22 Prime Window Replacement of Single Pane Base</v>
      </c>
      <c r="H104" s="31">
        <f>VLOOKUP($B104&amp;$C$86&amp;$G104,$E$6:$U$79,H$83,FALSE)*VLOOKUP($B104,Weighting!$D$5:$G$9,MATCH(Segmented!$C$86,Weighting!$E$5:$H$5,0)+1,FALSE)+VLOOKUP($B104&amp;$D$86&amp;$G104,$E$6:$U$79,H$83,FALSE)*VLOOKUP($B104,Weighting!$D$5:$G$9,MATCH(Segmented!$D$86,Weighting!$E$5:$H$5,0)+1,FALSE)+VLOOKUP($B104&amp;$E$86&amp;$G104,$E$6:$U$79,H$83,FALSE)*VLOOKUP($B104,Weighting!$D$5:$G$9,MATCH(Segmented!$E$86,Weighting!$E$5:$H$5,0)+1,FALSE)</f>
        <v>644.96005788003561</v>
      </c>
      <c r="I104">
        <f t="shared" si="4"/>
        <v>25</v>
      </c>
      <c r="J104" s="31">
        <f>VLOOKUP($B104&amp;$C$86&amp;$G104,$E$6:$U$79,J$83,FALSE)*VLOOKUP($B104,Weighting!$D$5:$G$9,MATCH(Segmented!$C$86,Weighting!$E$5:$H$5,0)+1,FALSE)+VLOOKUP($B104&amp;$D$86&amp;$G104,$E$6:$U$79,J$83,FALSE)*VLOOKUP($B104,Weighting!$D$5:$G$9,MATCH(Segmented!$D$86,Weighting!$E$5:$H$5,0)+1,FALSE)+VLOOKUP($B104&amp;$E$86&amp;$G104,$E$6:$U$79,J$83,FALSE)*VLOOKUP($B104,Weighting!$D$5:$G$9,MATCH(Segmented!$E$86,Weighting!$E$5:$H$5,0)+1,FALSE)</f>
        <v>3514.5499559131654</v>
      </c>
      <c r="K104" s="31">
        <f>VLOOKUP($B104&amp;$C$86&amp;$G104,$E$6:$U$79,K$83,FALSE)*VLOOKUP($B104,Weighting!$D$5:$G$9,MATCH(Segmented!$C$86,Weighting!$E$5:$H$5,0)+1,FALSE)+VLOOKUP($B104&amp;$D$86&amp;$G104,$E$6:$U$79,K$83,FALSE)*VLOOKUP($B104,Weighting!$D$5:$G$9,MATCH(Segmented!$D$86,Weighting!$E$5:$H$5,0)+1,FALSE)+VLOOKUP($B104&amp;$E$86&amp;$G104,$E$6:$U$79,K$83,FALSE)*VLOOKUP($B104,Weighting!$D$5:$G$9,MATCH(Segmented!$E$86,Weighting!$E$5:$H$5,0)+1,FALSE)</f>
        <v>0</v>
      </c>
      <c r="L104" t="str">
        <f t="shared" si="5"/>
        <v>ResSHWX</v>
      </c>
      <c r="M104" s="31">
        <f>VLOOKUP($B104&amp;$C$86&amp;$G104,$E$6:$U$79,M$83,FALSE)*VLOOKUP($B104,Weighting!$D$5:$G$9,MATCH(Segmented!$C$86,Weighting!$E$5:$H$5,0)+1,FALSE)+VLOOKUP($B104&amp;$D$86&amp;$G104,$E$6:$U$79,M$83,FALSE)*VLOOKUP($B104,Weighting!$D$5:$G$9,MATCH(Segmented!$D$86,Weighting!$E$5:$H$5,0)+1,FALSE)+VLOOKUP($B104&amp;$E$86&amp;$G104,$E$6:$U$79,M$83,FALSE)*VLOOKUP($B104,Weighting!$D$5:$G$9,MATCH(Segmented!$E$86,Weighting!$E$5:$H$5,0)+1,FALSE)</f>
        <v>5.6663204047656617</v>
      </c>
      <c r="N104" s="31">
        <f>VLOOKUP($B104&amp;$C$86&amp;$G104,$E$6:$U$79,N$83,FALSE)*VLOOKUP($B104,Weighting!$D$5:$G$9,MATCH(Segmented!$C$86,Weighting!$E$5:$H$5,0)+1,FALSE)+VLOOKUP($B104&amp;$D$86&amp;$G104,$E$6:$U$79,N$83,FALSE)*VLOOKUP($B104,Weighting!$D$5:$G$9,MATCH(Segmented!$D$86,Weighting!$E$5:$H$5,0)+1,FALSE)+VLOOKUP($B104&amp;$E$86&amp;$G104,$E$6:$U$79,N$83,FALSE)*VLOOKUP($B104,Weighting!$D$5:$G$9,MATCH(Segmented!$E$86,Weighting!$E$5:$H$5,0)+1,FALSE)</f>
        <v>0</v>
      </c>
      <c r="O104">
        <f t="shared" si="6"/>
        <v>0</v>
      </c>
      <c r="P104" s="31">
        <f>VLOOKUP($B104&amp;$C$86&amp;$G104,$E$6:$U$79,P$83,FALSE)*VLOOKUP($B104,Weighting!$D$5:$G$9,MATCH(Segmented!$C$86,Weighting!$E$5:$H$5,0)+1,FALSE)+VLOOKUP($B104&amp;$D$86&amp;$G104,$E$6:$U$79,P$83,FALSE)*VLOOKUP($B104,Weighting!$D$5:$G$9,MATCH(Segmented!$D$86,Weighting!$E$5:$H$5,0)+1,FALSE)+VLOOKUP($B104&amp;$E$86&amp;$G104,$E$6:$U$79,P$83,FALSE)*VLOOKUP($B104,Weighting!$D$5:$G$9,MATCH(Segmented!$E$86,Weighting!$E$5:$H$5,0)+1,FALSE)</f>
        <v>0</v>
      </c>
      <c r="Q104">
        <f t="shared" si="7"/>
        <v>0</v>
      </c>
      <c r="R104" s="31">
        <f>VLOOKUP($B104&amp;$C$86&amp;$G104,$E$6:$U$79,R$83,FALSE)*VLOOKUP($B104,Weighting!$D$5:$G$9,MATCH(Segmented!$C$86,Weighting!$E$5:$H$5,0)+1,FALSE)+VLOOKUP($B104&amp;$D$86&amp;$G104,$E$6:$U$79,R$83,FALSE)*VLOOKUP($B104,Weighting!$D$5:$G$9,MATCH(Segmented!$D$86,Weighting!$E$5:$H$5,0)+1,FALSE)+VLOOKUP($B104&amp;$E$86&amp;$G104,$E$6:$U$79,R$83,FALSE)*VLOOKUP($B104,Weighting!$D$5:$G$9,MATCH(Segmented!$E$86,Weighting!$E$5:$H$5,0)+1,FALSE)</f>
        <v>0</v>
      </c>
      <c r="S104">
        <f t="shared" si="8"/>
        <v>0</v>
      </c>
      <c r="T104" s="31">
        <f>VLOOKUP($B104&amp;$C$86&amp;$G104,$E$6:$U$79,T$83,FALSE)*VLOOKUP($B104,Weighting!$D$5:$G$9,MATCH(Segmented!$C$86,Weighting!$E$5:$H$5,0)+1,FALSE)+VLOOKUP($B104&amp;$D$86&amp;$G104,$E$6:$U$79,T$83,FALSE)*VLOOKUP($B104,Weighting!$D$5:$G$9,MATCH(Segmented!$D$86,Weighting!$E$5:$H$5,0)+1,FALSE)+VLOOKUP($B104&amp;$E$86&amp;$G104,$E$6:$U$79,T$83,FALSE)*VLOOKUP($B104,Weighting!$D$5:$G$9,MATCH(Segmented!$E$86,Weighting!$E$5:$H$5,0)+1,FALSE)</f>
        <v>0</v>
      </c>
    </row>
    <row r="105" spans="1:20">
      <c r="A105" s="27" t="s">
        <v>5811</v>
      </c>
      <c r="B105" t="s">
        <v>66</v>
      </c>
      <c r="F105" s="54" t="str">
        <f t="shared" si="3"/>
        <v>CFM50 Infiltration Reduction_Heat Pump</v>
      </c>
      <c r="G105" s="31" t="str">
        <f t="shared" si="9"/>
        <v>Infiltration</v>
      </c>
      <c r="H105" s="31">
        <f>VLOOKUP($B105&amp;$C$86&amp;$G105,$E$6:$U$79,H$83,FALSE)*VLOOKUP($B105,Weighting!$D$5:$G$9,MATCH(Segmented!$C$86,Weighting!$E$5:$H$5,0)+1,FALSE)+VLOOKUP($B105&amp;$D$86&amp;$G105,$E$6:$U$79,H$83,FALSE)*VLOOKUP($B105,Weighting!$D$5:$G$9,MATCH(Segmented!$D$86,Weighting!$E$5:$H$5,0)+1,FALSE)+VLOOKUP($B105&amp;$E$86&amp;$G105,$E$6:$U$79,H$83,FALSE)*VLOOKUP($B105,Weighting!$D$5:$G$9,MATCH(Segmented!$E$86,Weighting!$E$5:$H$5,0)+1,FALSE)</f>
        <v>164.0275009491188</v>
      </c>
      <c r="I105">
        <f t="shared" si="4"/>
        <v>25</v>
      </c>
      <c r="J105" s="31">
        <f>VLOOKUP($B105&amp;$C$86&amp;$G105,$E$6:$U$79,J$83,FALSE)*VLOOKUP($B105,Weighting!$D$5:$G$9,MATCH(Segmented!$C$86,Weighting!$E$5:$H$5,0)+1,FALSE)+VLOOKUP($B105&amp;$D$86&amp;$G105,$E$6:$U$79,J$83,FALSE)*VLOOKUP($B105,Weighting!$D$5:$G$9,MATCH(Segmented!$D$86,Weighting!$E$5:$H$5,0)+1,FALSE)+VLOOKUP($B105&amp;$E$86&amp;$G105,$E$6:$U$79,J$83,FALSE)*VLOOKUP($B105,Weighting!$D$5:$G$9,MATCH(Segmented!$E$86,Weighting!$E$5:$H$5,0)+1,FALSE)</f>
        <v>3967.9999999999995</v>
      </c>
      <c r="K105" s="31">
        <f>VLOOKUP($B105&amp;$C$86&amp;$G105,$E$6:$U$79,K$83,FALSE)*VLOOKUP($B105,Weighting!$D$5:$G$9,MATCH(Segmented!$C$86,Weighting!$E$5:$H$5,0)+1,FALSE)+VLOOKUP($B105&amp;$D$86&amp;$G105,$E$6:$U$79,K$83,FALSE)*VLOOKUP($B105,Weighting!$D$5:$G$9,MATCH(Segmented!$D$86,Weighting!$E$5:$H$5,0)+1,FALSE)+VLOOKUP($B105&amp;$E$86&amp;$G105,$E$6:$U$79,K$83,FALSE)*VLOOKUP($B105,Weighting!$D$5:$G$9,MATCH(Segmented!$E$86,Weighting!$E$5:$H$5,0)+1,FALSE)</f>
        <v>0</v>
      </c>
      <c r="L105" t="str">
        <f t="shared" si="5"/>
        <v>ResSHWX</v>
      </c>
      <c r="M105" s="31">
        <f>VLOOKUP($B105&amp;$C$86&amp;$G105,$E$6:$U$79,M$83,FALSE)*VLOOKUP($B105,Weighting!$D$5:$G$9,MATCH(Segmented!$C$86,Weighting!$E$5:$H$5,0)+1,FALSE)+VLOOKUP($B105&amp;$D$86&amp;$G105,$E$6:$U$79,M$83,FALSE)*VLOOKUP($B105,Weighting!$D$5:$G$9,MATCH(Segmented!$D$86,Weighting!$E$5:$H$5,0)+1,FALSE)+VLOOKUP($B105&amp;$E$86&amp;$G105,$E$6:$U$79,M$83,FALSE)*VLOOKUP($B105,Weighting!$D$5:$G$9,MATCH(Segmented!$E$86,Weighting!$E$5:$H$5,0)+1,FALSE)</f>
        <v>1.4811041374994094</v>
      </c>
      <c r="N105" s="31">
        <f>VLOOKUP($B105&amp;$C$86&amp;$G105,$E$6:$U$79,N$83,FALSE)*VLOOKUP($B105,Weighting!$D$5:$G$9,MATCH(Segmented!$C$86,Weighting!$E$5:$H$5,0)+1,FALSE)+VLOOKUP($B105&amp;$D$86&amp;$G105,$E$6:$U$79,N$83,FALSE)*VLOOKUP($B105,Weighting!$D$5:$G$9,MATCH(Segmented!$D$86,Weighting!$E$5:$H$5,0)+1,FALSE)+VLOOKUP($B105&amp;$E$86&amp;$G105,$E$6:$U$79,N$83,FALSE)*VLOOKUP($B105,Weighting!$D$5:$G$9,MATCH(Segmented!$E$86,Weighting!$E$5:$H$5,0)+1,FALSE)</f>
        <v>0</v>
      </c>
      <c r="O105">
        <f t="shared" si="6"/>
        <v>0</v>
      </c>
      <c r="P105" s="31">
        <f>VLOOKUP($B105&amp;$C$86&amp;$G105,$E$6:$U$79,P$83,FALSE)*VLOOKUP($B105,Weighting!$D$5:$G$9,MATCH(Segmented!$C$86,Weighting!$E$5:$H$5,0)+1,FALSE)+VLOOKUP($B105&amp;$D$86&amp;$G105,$E$6:$U$79,P$83,FALSE)*VLOOKUP($B105,Weighting!$D$5:$G$9,MATCH(Segmented!$D$86,Weighting!$E$5:$H$5,0)+1,FALSE)+VLOOKUP($B105&amp;$E$86&amp;$G105,$E$6:$U$79,P$83,FALSE)*VLOOKUP($B105,Weighting!$D$5:$G$9,MATCH(Segmented!$E$86,Weighting!$E$5:$H$5,0)+1,FALSE)</f>
        <v>0</v>
      </c>
      <c r="Q105">
        <f t="shared" si="7"/>
        <v>0</v>
      </c>
      <c r="R105" s="31">
        <f>VLOOKUP($B105&amp;$C$86&amp;$G105,$E$6:$U$79,R$83,FALSE)*VLOOKUP($B105,Weighting!$D$5:$G$9,MATCH(Segmented!$C$86,Weighting!$E$5:$H$5,0)+1,FALSE)+VLOOKUP($B105&amp;$D$86&amp;$G105,$E$6:$U$79,R$83,FALSE)*VLOOKUP($B105,Weighting!$D$5:$G$9,MATCH(Segmented!$D$86,Weighting!$E$5:$H$5,0)+1,FALSE)+VLOOKUP($B105&amp;$E$86&amp;$G105,$E$6:$U$79,R$83,FALSE)*VLOOKUP($B105,Weighting!$D$5:$G$9,MATCH(Segmented!$E$86,Weighting!$E$5:$H$5,0)+1,FALSE)</f>
        <v>0</v>
      </c>
      <c r="S105">
        <f t="shared" si="8"/>
        <v>0</v>
      </c>
      <c r="T105" s="31">
        <f>VLOOKUP($B105&amp;$C$86&amp;$G105,$E$6:$U$79,T$83,FALSE)*VLOOKUP($B105,Weighting!$D$5:$G$9,MATCH(Segmented!$C$86,Weighting!$E$5:$H$5,0)+1,FALSE)+VLOOKUP($B105&amp;$D$86&amp;$G105,$E$6:$U$79,T$83,FALSE)*VLOOKUP($B105,Weighting!$D$5:$G$9,MATCH(Segmented!$D$86,Weighting!$E$5:$H$5,0)+1,FALSE)+VLOOKUP($B105&amp;$E$86&amp;$G105,$E$6:$U$79,T$83,FALSE)*VLOOKUP($B105,Weighting!$D$5:$G$9,MATCH(Segmented!$E$86,Weighting!$E$5:$H$5,0)+1,FALSE)</f>
        <v>0</v>
      </c>
    </row>
    <row r="106" spans="1:20">
      <c r="F106" s="54"/>
      <c r="G106" s="53"/>
      <c r="H106" s="31"/>
      <c r="J106" s="31"/>
      <c r="K106" s="31"/>
      <c r="M106" s="31"/>
      <c r="N106" s="31"/>
      <c r="P106" s="31"/>
      <c r="R106" s="31"/>
      <c r="T106" s="31"/>
    </row>
    <row r="107" spans="1:20">
      <c r="F107" s="54"/>
      <c r="G107" s="53"/>
      <c r="H107" s="31"/>
      <c r="J107" s="31"/>
      <c r="K107" s="31"/>
      <c r="M107" s="31"/>
      <c r="N107" s="31"/>
      <c r="P107" s="31"/>
      <c r="R107" s="31"/>
      <c r="T107" s="31"/>
    </row>
    <row r="108" spans="1:20">
      <c r="A108" s="27"/>
      <c r="F108" s="54"/>
      <c r="G108" s="53"/>
      <c r="H108" s="31"/>
      <c r="J108" s="31"/>
      <c r="K108" s="31"/>
      <c r="M108" s="31"/>
      <c r="N108" s="31"/>
      <c r="P108" s="31"/>
      <c r="R108" s="31"/>
      <c r="T108" s="31"/>
    </row>
  </sheetData>
  <mergeCells count="4">
    <mergeCell ref="N4:S4"/>
    <mergeCell ref="T4:U4"/>
    <mergeCell ref="N84:S84"/>
    <mergeCell ref="T84:U84"/>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dimension ref="C2:H21"/>
  <sheetViews>
    <sheetView workbookViewId="0">
      <selection activeCell="A4" sqref="A4"/>
    </sheetView>
  </sheetViews>
  <sheetFormatPr defaultRowHeight="12.75"/>
  <cols>
    <col min="4" max="4" width="51.140625" customWidth="1"/>
    <col min="5" max="5" width="39.140625" customWidth="1"/>
    <col min="6" max="6" width="12.28515625" bestFit="1" customWidth="1"/>
    <col min="7" max="7" width="19.42578125" bestFit="1" customWidth="1"/>
    <col min="8" max="8" width="19.85546875" bestFit="1" customWidth="1"/>
  </cols>
  <sheetData>
    <row r="2" spans="3:8">
      <c r="F2" s="51"/>
    </row>
    <row r="3" spans="3:8">
      <c r="F3" s="51"/>
    </row>
    <row r="4" spans="3:8">
      <c r="D4" t="s">
        <v>5814</v>
      </c>
      <c r="F4" s="51"/>
    </row>
    <row r="5" spans="3:8">
      <c r="C5" s="51"/>
      <c r="D5" s="51"/>
      <c r="E5" s="51" t="s">
        <v>56</v>
      </c>
      <c r="F5" t="s">
        <v>57</v>
      </c>
      <c r="G5" t="s">
        <v>58</v>
      </c>
      <c r="H5" s="51" t="s">
        <v>166</v>
      </c>
    </row>
    <row r="6" spans="3:8">
      <c r="D6" s="51" t="s">
        <v>64</v>
      </c>
      <c r="E6" s="51">
        <f>[3]MH_Estimates!$AD$22</f>
        <v>0.67431441867374964</v>
      </c>
      <c r="F6" s="52">
        <f>[3]MH_Estimates!$AD$23</f>
        <v>0.26978889398199607</v>
      </c>
      <c r="G6" s="52">
        <f>[3]MH_Estimates!$AD$24</f>
        <v>5.5896687344253404E-2</v>
      </c>
      <c r="H6" s="52">
        <f>[3]MH_Estimates!$AD$8</f>
        <v>0.7568396688324206</v>
      </c>
    </row>
    <row r="7" spans="3:8">
      <c r="D7" t="s">
        <v>65</v>
      </c>
      <c r="E7" s="51">
        <f>[3]MH_Estimates!$AE$22</f>
        <v>0.74530348765330989</v>
      </c>
      <c r="F7" s="52">
        <f>[3]MH_Estimates!$AE$23</f>
        <v>0.25469651234669011</v>
      </c>
      <c r="G7" s="52">
        <f>[3]MH_Estimates!$AE$24</f>
        <v>0</v>
      </c>
      <c r="H7" s="52">
        <f>[3]MH_Estimates!$AE$8</f>
        <v>1.8407023397219464E-2</v>
      </c>
    </row>
    <row r="8" spans="3:8">
      <c r="D8" t="s">
        <v>66</v>
      </c>
      <c r="E8" s="51">
        <f>[3]MH_Estimates!$AB$22</f>
        <v>0.80618889172815178</v>
      </c>
      <c r="F8" s="52">
        <f>[3]MH_Estimates!$AB$23</f>
        <v>0.19381110827184808</v>
      </c>
      <c r="G8" s="52">
        <f>[3]MH_Estimates!$AB$24</f>
        <v>0</v>
      </c>
      <c r="H8" s="52">
        <f>[3]MH_Estimates!$AB$8</f>
        <v>0.21483730578327848</v>
      </c>
    </row>
    <row r="9" spans="3:8">
      <c r="D9" s="51" t="s">
        <v>159</v>
      </c>
      <c r="E9" s="51">
        <f>[3]MH_Estimates!$AC$22</f>
        <v>0.52720817643405415</v>
      </c>
      <c r="F9" s="52">
        <f>[3]MH_Estimates!$AC$23</f>
        <v>0.47279182356594579</v>
      </c>
      <c r="G9" s="52">
        <f>[3]MH_Estimates!$AC$24</f>
        <v>0</v>
      </c>
      <c r="H9" s="52">
        <f>[3]MH_Estimates!$AC$8</f>
        <v>9.9160019870813219E-3</v>
      </c>
    </row>
    <row r="10" spans="3:8">
      <c r="C10" s="51"/>
    </row>
    <row r="13" spans="3:8" ht="140.25">
      <c r="C13" s="51"/>
      <c r="D13" s="265" t="s">
        <v>5815</v>
      </c>
    </row>
    <row r="14" spans="3:8">
      <c r="C14" s="51"/>
    </row>
    <row r="17" spans="3:3">
      <c r="C17" s="51"/>
    </row>
    <row r="18" spans="3:3">
      <c r="C18" s="51"/>
    </row>
    <row r="21" spans="3:3">
      <c r="C21" s="5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DB278"/>
  <sheetViews>
    <sheetView workbookViewId="0">
      <selection activeCell="I5" sqref="I5:I64"/>
    </sheetView>
  </sheetViews>
  <sheetFormatPr defaultRowHeight="12.75"/>
  <cols>
    <col min="1" max="1" width="15.42578125" customWidth="1"/>
    <col min="2" max="2" width="46" customWidth="1"/>
    <col min="3" max="3" width="48.140625" customWidth="1"/>
    <col min="8" max="8" width="17.140625" customWidth="1"/>
    <col min="16" max="16" width="10.5703125" customWidth="1"/>
  </cols>
  <sheetData>
    <row r="1" spans="1:106">
      <c r="A1" s="26" t="s">
        <v>6419</v>
      </c>
    </row>
    <row r="3" spans="1:106" s="7" customFormat="1">
      <c r="B3" s="12" t="s">
        <v>2</v>
      </c>
      <c r="C3" s="13"/>
      <c r="D3" s="13"/>
      <c r="E3" s="13"/>
      <c r="F3" s="13"/>
      <c r="G3" s="13"/>
      <c r="H3" s="14"/>
      <c r="I3" s="15"/>
      <c r="J3" s="399" t="s">
        <v>3</v>
      </c>
      <c r="K3" s="400"/>
      <c r="L3" s="400"/>
      <c r="M3" s="400"/>
      <c r="N3" s="400"/>
      <c r="O3" s="401"/>
      <c r="P3" s="402" t="s">
        <v>4</v>
      </c>
      <c r="Q3" s="403"/>
      <c r="R3" s="16"/>
      <c r="S3" s="17"/>
      <c r="T3" s="17"/>
      <c r="U3" s="17"/>
      <c r="V3" s="17"/>
      <c r="W3" s="17"/>
      <c r="X3" s="17"/>
      <c r="Y3" s="18"/>
      <c r="Z3" s="19"/>
      <c r="AA3" s="17"/>
      <c r="AB3" s="17"/>
      <c r="AC3" s="17"/>
      <c r="AD3" s="17"/>
      <c r="AE3" s="17"/>
      <c r="AF3" s="20"/>
      <c r="AG3" s="20"/>
      <c r="AH3" s="20"/>
      <c r="AI3" s="20"/>
      <c r="AJ3" s="20"/>
      <c r="AK3" s="20"/>
      <c r="AL3" s="20"/>
      <c r="AM3" s="20"/>
      <c r="AN3" s="20"/>
      <c r="AO3" s="20"/>
      <c r="AP3" s="20"/>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row>
    <row r="4" spans="1:106" s="7" customFormat="1" ht="25.5">
      <c r="B4" s="21" t="s">
        <v>5</v>
      </c>
      <c r="C4" s="21" t="s">
        <v>6</v>
      </c>
      <c r="D4" s="21" t="s">
        <v>7</v>
      </c>
      <c r="E4" s="21" t="s">
        <v>8</v>
      </c>
      <c r="F4" s="21" t="s">
        <v>9</v>
      </c>
      <c r="G4" s="21" t="s">
        <v>10</v>
      </c>
      <c r="H4" s="22" t="s">
        <v>11</v>
      </c>
      <c r="I4" s="23" t="s">
        <v>12</v>
      </c>
      <c r="J4" s="23" t="s">
        <v>13</v>
      </c>
      <c r="K4" s="23" t="s">
        <v>14</v>
      </c>
      <c r="L4" s="23" t="s">
        <v>15</v>
      </c>
      <c r="M4" s="23" t="s">
        <v>16</v>
      </c>
      <c r="N4" s="23" t="s">
        <v>17</v>
      </c>
      <c r="O4" s="23" t="s">
        <v>18</v>
      </c>
      <c r="P4" s="24" t="s">
        <v>19</v>
      </c>
      <c r="Q4" s="23" t="s">
        <v>11</v>
      </c>
      <c r="R4" s="25"/>
      <c r="S4" s="25"/>
      <c r="T4" s="25"/>
      <c r="U4" s="25"/>
      <c r="V4" s="25"/>
      <c r="W4" s="25"/>
      <c r="X4" s="25"/>
      <c r="Y4" s="25"/>
      <c r="Z4" s="25"/>
      <c r="AA4" s="25"/>
      <c r="AB4" s="25"/>
      <c r="AC4" s="25"/>
      <c r="AD4" s="25"/>
      <c r="AE4" s="25"/>
      <c r="AF4" s="20"/>
      <c r="AG4" s="20"/>
      <c r="AH4" s="20"/>
      <c r="AI4" s="20"/>
      <c r="AJ4" s="20"/>
      <c r="AK4" s="20"/>
      <c r="AL4" s="20"/>
      <c r="AM4" s="20"/>
      <c r="AN4" s="20"/>
      <c r="AO4" s="20"/>
      <c r="AP4" s="20"/>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row>
    <row r="5" spans="1:106">
      <c r="A5" s="31"/>
      <c r="B5" s="31" t="str">
        <f>'Raw RTF'!B8</f>
        <v>Manuf Homes Wx - Attic R0 - R30 + HZ1 + Electric FAF</v>
      </c>
      <c r="C5" s="31" t="str">
        <f>'Raw RTF'!C8</f>
        <v>Attic R0 - R30 + HZ1 + Electric FAF</v>
      </c>
      <c r="D5" s="91">
        <f>'Raw RTF'!D8</f>
        <v>0.30705170082395566</v>
      </c>
      <c r="E5" s="90">
        <f>'Raw RTF'!E8</f>
        <v>25</v>
      </c>
      <c r="F5" s="90">
        <f>'Raw RTF'!F8</f>
        <v>2.1</v>
      </c>
      <c r="G5" s="90">
        <f>'Raw RTF'!G8</f>
        <v>0</v>
      </c>
      <c r="H5" s="90" t="str">
        <f>'Raw RTF'!H8</f>
        <v>ResSHWX</v>
      </c>
      <c r="I5" s="91">
        <f>'Raw RTF'!I8</f>
        <v>2.1551885940561174E-3</v>
      </c>
      <c r="J5" s="90">
        <f>'Raw RTF'!J8</f>
        <v>0</v>
      </c>
      <c r="K5" s="90">
        <f>'Raw RTF'!K8</f>
        <v>0</v>
      </c>
      <c r="L5" s="90">
        <f>'Raw RTF'!L8</f>
        <v>0</v>
      </c>
      <c r="M5" s="90">
        <f>'Raw RTF'!M8</f>
        <v>0</v>
      </c>
      <c r="N5" s="90">
        <f>'Raw RTF'!N8</f>
        <v>0</v>
      </c>
      <c r="O5" s="90">
        <f>'Raw RTF'!O8</f>
        <v>0</v>
      </c>
      <c r="P5" s="90">
        <f>'Raw RTF'!P8</f>
        <v>0</v>
      </c>
    </row>
    <row r="6" spans="1:106">
      <c r="A6" s="31"/>
      <c r="B6" s="31" t="str">
        <f>'Raw RTF'!B9</f>
        <v>Manuf Homes Wx - Attic R0 - R22 + HZ1 + Electric FAF</v>
      </c>
      <c r="C6" s="31" t="str">
        <f>'Raw RTF'!C9</f>
        <v>Attic R0 - R22 + HZ1 + Electric FAF</v>
      </c>
      <c r="D6" s="91">
        <f>'Raw RTF'!D9</f>
        <v>0.60444823586633523</v>
      </c>
      <c r="E6" s="90">
        <f>'Raw RTF'!E9</f>
        <v>25</v>
      </c>
      <c r="F6" s="90">
        <f>'Raw RTF'!F9</f>
        <v>2.1</v>
      </c>
      <c r="G6" s="90">
        <f>'Raw RTF'!G9</f>
        <v>0</v>
      </c>
      <c r="H6" s="90" t="str">
        <f>'Raw RTF'!H9</f>
        <v>ResSHWX</v>
      </c>
      <c r="I6" s="91">
        <f>'Raw RTF'!I9</f>
        <v>4.2426078088502565E-3</v>
      </c>
      <c r="J6" s="90">
        <f>'Raw RTF'!J9</f>
        <v>0</v>
      </c>
      <c r="K6" s="90">
        <f>'Raw RTF'!K9</f>
        <v>0</v>
      </c>
      <c r="L6" s="90">
        <f>'Raw RTF'!L9</f>
        <v>0</v>
      </c>
      <c r="M6" s="90">
        <f>'Raw RTF'!M9</f>
        <v>0</v>
      </c>
      <c r="N6" s="90">
        <f>'Raw RTF'!N9</f>
        <v>0</v>
      </c>
      <c r="O6" s="90">
        <f>'Raw RTF'!O9</f>
        <v>0</v>
      </c>
      <c r="P6" s="90">
        <f>'Raw RTF'!P9</f>
        <v>0</v>
      </c>
    </row>
    <row r="7" spans="1:106">
      <c r="A7" s="31"/>
      <c r="B7" s="31" t="str">
        <f>'Raw RTF'!B10</f>
        <v>Manuf Homes Wx - Attic R11 - R30 + HZ1 + Electric FAF</v>
      </c>
      <c r="C7" s="31" t="str">
        <f>'Raw RTF'!C10</f>
        <v>Attic R11 - R30 + HZ1 + Electric FAF</v>
      </c>
      <c r="D7" s="91">
        <f>'Raw RTF'!D10</f>
        <v>0.11481209624260288</v>
      </c>
      <c r="E7" s="90">
        <f>'Raw RTF'!E10</f>
        <v>25</v>
      </c>
      <c r="F7" s="90">
        <f>'Raw RTF'!F10</f>
        <v>2.1</v>
      </c>
      <c r="G7" s="90">
        <f>'Raw RTF'!G10</f>
        <v>0</v>
      </c>
      <c r="H7" s="90" t="str">
        <f>'Raw RTF'!H10</f>
        <v>ResSHWX</v>
      </c>
      <c r="I7" s="91">
        <f>'Raw RTF'!I10</f>
        <v>8.0586337616022111E-4</v>
      </c>
      <c r="J7" s="90">
        <f>'Raw RTF'!J10</f>
        <v>0</v>
      </c>
      <c r="K7" s="90">
        <f>'Raw RTF'!K10</f>
        <v>0</v>
      </c>
      <c r="L7" s="90">
        <f>'Raw RTF'!L10</f>
        <v>0</v>
      </c>
      <c r="M7" s="90">
        <f>'Raw RTF'!M10</f>
        <v>0</v>
      </c>
      <c r="N7" s="90">
        <f>'Raw RTF'!N10</f>
        <v>0</v>
      </c>
      <c r="O7" s="90">
        <f>'Raw RTF'!O10</f>
        <v>0</v>
      </c>
      <c r="P7" s="90">
        <f>'Raw RTF'!P10</f>
        <v>0</v>
      </c>
    </row>
    <row r="8" spans="1:106">
      <c r="A8" s="31"/>
      <c r="B8" s="31" t="str">
        <f>'Raw RTF'!B11</f>
        <v>Manuf Homes Wx - Floor R0 - R22 + HZ1 + Electric FAF</v>
      </c>
      <c r="C8" s="31" t="str">
        <f>'Raw RTF'!C11</f>
        <v>Floor R0 - R22 + HZ1 + Electric FAF</v>
      </c>
      <c r="D8" s="91">
        <f>'Raw RTF'!D11</f>
        <v>0.47849068870328615</v>
      </c>
      <c r="E8" s="90">
        <f>'Raw RTF'!E11</f>
        <v>25</v>
      </c>
      <c r="F8" s="90">
        <f>'Raw RTF'!F11</f>
        <v>3.3</v>
      </c>
      <c r="G8" s="90">
        <f>'Raw RTF'!G11</f>
        <v>0</v>
      </c>
      <c r="H8" s="90" t="str">
        <f>'Raw RTF'!H11</f>
        <v>ResSHWX</v>
      </c>
      <c r="I8" s="91">
        <f>'Raw RTF'!I11</f>
        <v>3.3585147774401226E-3</v>
      </c>
      <c r="J8" s="90">
        <f>'Raw RTF'!J11</f>
        <v>0</v>
      </c>
      <c r="K8" s="90">
        <f>'Raw RTF'!K11</f>
        <v>0</v>
      </c>
      <c r="L8" s="90">
        <f>'Raw RTF'!L11</f>
        <v>0</v>
      </c>
      <c r="M8" s="90">
        <f>'Raw RTF'!M11</f>
        <v>0</v>
      </c>
      <c r="N8" s="90">
        <f>'Raw RTF'!N11</f>
        <v>0</v>
      </c>
      <c r="O8" s="90">
        <f>'Raw RTF'!O11</f>
        <v>0</v>
      </c>
      <c r="P8" s="90">
        <f>'Raw RTF'!P11</f>
        <v>0</v>
      </c>
    </row>
    <row r="9" spans="1:106">
      <c r="A9" s="31"/>
      <c r="B9" s="31" t="str">
        <f>'Raw RTF'!B12</f>
        <v>Manuf Homes Wx - Floor R11 - R22 + HZ1 + Electric FAF</v>
      </c>
      <c r="C9" s="31" t="str">
        <f>'Raw RTF'!C12</f>
        <v>Floor R11 - R22 + HZ1 + Electric FAF</v>
      </c>
      <c r="D9" s="91">
        <f>'Raw RTF'!D12</f>
        <v>0.19656048128483242</v>
      </c>
      <c r="E9" s="90">
        <f>'Raw RTF'!E12</f>
        <v>25</v>
      </c>
      <c r="F9" s="90">
        <f>'Raw RTF'!F12</f>
        <v>3.3</v>
      </c>
      <c r="G9" s="90">
        <f>'Raw RTF'!G12</f>
        <v>0</v>
      </c>
      <c r="H9" s="90" t="str">
        <f>'Raw RTF'!H12</f>
        <v>ResSHWX</v>
      </c>
      <c r="I9" s="91">
        <f>'Raw RTF'!I12</f>
        <v>1.3796533488349952E-3</v>
      </c>
      <c r="J9" s="90">
        <f>'Raw RTF'!J12</f>
        <v>0</v>
      </c>
      <c r="K9" s="90">
        <f>'Raw RTF'!K12</f>
        <v>0</v>
      </c>
      <c r="L9" s="90">
        <f>'Raw RTF'!L12</f>
        <v>0</v>
      </c>
      <c r="M9" s="90">
        <f>'Raw RTF'!M12</f>
        <v>0</v>
      </c>
      <c r="N9" s="90">
        <f>'Raw RTF'!N12</f>
        <v>0</v>
      </c>
      <c r="O9" s="90">
        <f>'Raw RTF'!O12</f>
        <v>0</v>
      </c>
      <c r="P9" s="90">
        <f>'Raw RTF'!P12</f>
        <v>0</v>
      </c>
    </row>
    <row r="10" spans="1:106">
      <c r="A10" s="31"/>
      <c r="B10" s="31" t="str">
        <f>'Raw RTF'!B13</f>
        <v>Manuf Homes Wx - WINDOW CL30 Prime Window Replacement of Double Pane Base + HZ1 + Electric FAF</v>
      </c>
      <c r="C10" s="31" t="str">
        <f>'Raw RTF'!C13</f>
        <v>WINDOW CL30 Prime Window Replacement of Double Pane Base + HZ1 + Electric FAF</v>
      </c>
      <c r="D10" s="91">
        <f>'Raw RTF'!D13</f>
        <v>3.0053085664652537</v>
      </c>
      <c r="E10" s="90">
        <f>'Raw RTF'!E13</f>
        <v>25</v>
      </c>
      <c r="F10" s="90">
        <f>'Raw RTF'!F13</f>
        <v>20.605937224457286</v>
      </c>
      <c r="G10" s="90">
        <f>'Raw RTF'!G13</f>
        <v>0</v>
      </c>
      <c r="H10" s="90" t="str">
        <f>'Raw RTF'!H13</f>
        <v>ResSHWX</v>
      </c>
      <c r="I10" s="91">
        <f>'Raw RTF'!I13</f>
        <v>2.1094189436776874E-2</v>
      </c>
      <c r="J10" s="90">
        <f>'Raw RTF'!J13</f>
        <v>0</v>
      </c>
      <c r="K10" s="90">
        <f>'Raw RTF'!K13</f>
        <v>0</v>
      </c>
      <c r="L10" s="90">
        <f>'Raw RTF'!L13</f>
        <v>0</v>
      </c>
      <c r="M10" s="90">
        <f>'Raw RTF'!M13</f>
        <v>0</v>
      </c>
      <c r="N10" s="90">
        <f>'Raw RTF'!N13</f>
        <v>0</v>
      </c>
      <c r="O10" s="90">
        <f>'Raw RTF'!O13</f>
        <v>0</v>
      </c>
      <c r="P10" s="90">
        <f>'Raw RTF'!P13</f>
        <v>0</v>
      </c>
    </row>
    <row r="11" spans="1:106">
      <c r="A11" s="31"/>
      <c r="B11" s="31" t="str">
        <f>'Raw RTF'!B14</f>
        <v>Manuf Homes Wx - WINDOW CL30 Prime Window Replacement of Single Pane Base + HZ1 + Electric FAF</v>
      </c>
      <c r="C11" s="31" t="str">
        <f>'Raw RTF'!C14</f>
        <v>WINDOW CL30 Prime Window Replacement of Single Pane Base + HZ1 + Electric FAF</v>
      </c>
      <c r="D11" s="91">
        <f>'Raw RTF'!D14</f>
        <v>8.4961858733485727</v>
      </c>
      <c r="E11" s="90">
        <f>'Raw RTF'!E14</f>
        <v>25</v>
      </c>
      <c r="F11" s="90">
        <f>'Raw RTF'!F14</f>
        <v>20.605937224457286</v>
      </c>
      <c r="G11" s="90">
        <f>'Raw RTF'!G14</f>
        <v>0</v>
      </c>
      <c r="H11" s="90" t="str">
        <f>'Raw RTF'!H14</f>
        <v>ResSHWX</v>
      </c>
      <c r="I11" s="91">
        <f>'Raw RTF'!I14</f>
        <v>5.9634526817748744E-2</v>
      </c>
      <c r="J11" s="90">
        <f>'Raw RTF'!J14</f>
        <v>0</v>
      </c>
      <c r="K11" s="90">
        <f>'Raw RTF'!K14</f>
        <v>0</v>
      </c>
      <c r="L11" s="90">
        <f>'Raw RTF'!L14</f>
        <v>0</v>
      </c>
      <c r="M11" s="90">
        <f>'Raw RTF'!M14</f>
        <v>0</v>
      </c>
      <c r="N11" s="90">
        <f>'Raw RTF'!N14</f>
        <v>0</v>
      </c>
      <c r="O11" s="90">
        <f>'Raw RTF'!O14</f>
        <v>0</v>
      </c>
      <c r="P11" s="90">
        <f>'Raw RTF'!P14</f>
        <v>0</v>
      </c>
    </row>
    <row r="12" spans="1:106">
      <c r="A12" s="31"/>
      <c r="B12" s="31" t="str">
        <f>'Raw RTF'!B15</f>
        <v>Manuf Homes Wx - WINDOW CL22 Prime Window Replacement of Double Pane Base + HZ1 + Electric FAF</v>
      </c>
      <c r="C12" s="31" t="str">
        <f>'Raw RTF'!C15</f>
        <v>WINDOW CL22 Prime Window Replacement of Double Pane Base + HZ1 + Electric FAF</v>
      </c>
      <c r="D12" s="91">
        <f>'Raw RTF'!D15</f>
        <v>3.3441530333554272</v>
      </c>
      <c r="E12" s="90">
        <f>'Raw RTF'!E15</f>
        <v>25</v>
      </c>
      <c r="F12" s="90">
        <f>'Raw RTF'!F15</f>
        <v>21.965937224457285</v>
      </c>
      <c r="G12" s="90">
        <f>'Raw RTF'!G15</f>
        <v>0</v>
      </c>
      <c r="H12" s="90" t="str">
        <f>'Raw RTF'!H15</f>
        <v>ResSHWX</v>
      </c>
      <c r="I12" s="91">
        <f>'Raw RTF'!I15</f>
        <v>2.3472530700613149E-2</v>
      </c>
      <c r="J12" s="90">
        <f>'Raw RTF'!J15</f>
        <v>0</v>
      </c>
      <c r="K12" s="90">
        <f>'Raw RTF'!K15</f>
        <v>0</v>
      </c>
      <c r="L12" s="90">
        <f>'Raw RTF'!L15</f>
        <v>0</v>
      </c>
      <c r="M12" s="90">
        <f>'Raw RTF'!M15</f>
        <v>0</v>
      </c>
      <c r="N12" s="90">
        <f>'Raw RTF'!N15</f>
        <v>0</v>
      </c>
      <c r="O12" s="90">
        <f>'Raw RTF'!O15</f>
        <v>0</v>
      </c>
      <c r="P12" s="90">
        <f>'Raw RTF'!P15</f>
        <v>0</v>
      </c>
    </row>
    <row r="13" spans="1:106">
      <c r="A13" s="31"/>
      <c r="B13" s="31" t="str">
        <f>'Raw RTF'!B16</f>
        <v>Manuf Homes Wx - WINDOW CL22 Prime Window Replacement of Single Pane Base + HZ1 + Electric FAF</v>
      </c>
      <c r="C13" s="31" t="str">
        <f>'Raw RTF'!C16</f>
        <v>WINDOW CL22 Prime Window Replacement of Single Pane Base + HZ1 + Electric FAF</v>
      </c>
      <c r="D13" s="91">
        <f>'Raw RTF'!D16</f>
        <v>8.7315853912790988</v>
      </c>
      <c r="E13" s="90">
        <f>'Raw RTF'!E16</f>
        <v>25</v>
      </c>
      <c r="F13" s="90">
        <f>'Raw RTF'!F16</f>
        <v>21.965937224457285</v>
      </c>
      <c r="G13" s="90">
        <f>'Raw RTF'!G16</f>
        <v>0</v>
      </c>
      <c r="H13" s="90" t="str">
        <f>'Raw RTF'!H16</f>
        <v>ResSHWX</v>
      </c>
      <c r="I13" s="91">
        <f>'Raw RTF'!I16</f>
        <v>6.1286790442176768E-2</v>
      </c>
      <c r="J13" s="90">
        <f>'Raw RTF'!J16</f>
        <v>0</v>
      </c>
      <c r="K13" s="90">
        <f>'Raw RTF'!K16</f>
        <v>0</v>
      </c>
      <c r="L13" s="90">
        <f>'Raw RTF'!L16</f>
        <v>0</v>
      </c>
      <c r="M13" s="90">
        <f>'Raw RTF'!M16</f>
        <v>0</v>
      </c>
      <c r="N13" s="90">
        <f>'Raw RTF'!N16</f>
        <v>0</v>
      </c>
      <c r="O13" s="90">
        <f>'Raw RTF'!O16</f>
        <v>0</v>
      </c>
      <c r="P13" s="90">
        <f>'Raw RTF'!P16</f>
        <v>0</v>
      </c>
    </row>
    <row r="14" spans="1:106">
      <c r="A14" s="31"/>
      <c r="B14" s="31" t="str">
        <f>'Raw RTF'!B19</f>
        <v>Manuf Homes Wx - Infiltration + HZ1 + Electric FAF</v>
      </c>
      <c r="C14" s="31" t="str">
        <f>'Raw RTF'!C19</f>
        <v>Infiltration + HZ1 + Electric FAF</v>
      </c>
      <c r="D14" s="91">
        <f>'Raw RTF'!D19</f>
        <v>0.23632999530764776</v>
      </c>
      <c r="E14" s="90">
        <f>'Raw RTF'!E19</f>
        <v>25</v>
      </c>
      <c r="F14" s="90">
        <f>'Raw RTF'!F19</f>
        <v>3.1</v>
      </c>
      <c r="G14" s="90">
        <f>'Raw RTF'!G19</f>
        <v>0</v>
      </c>
      <c r="H14" s="90" t="str">
        <f>'Raw RTF'!H19</f>
        <v>ResSHWX</v>
      </c>
      <c r="I14" s="91">
        <f>'Raw RTF'!I19</f>
        <v>1.6587946230345084E-3</v>
      </c>
      <c r="J14" s="90">
        <f>'Raw RTF'!J19</f>
        <v>0</v>
      </c>
      <c r="K14" s="90">
        <f>'Raw RTF'!K19</f>
        <v>0</v>
      </c>
      <c r="L14" s="90">
        <f>'Raw RTF'!L19</f>
        <v>0</v>
      </c>
      <c r="M14" s="90">
        <f>'Raw RTF'!M19</f>
        <v>0</v>
      </c>
      <c r="N14" s="90">
        <f>'Raw RTF'!N19</f>
        <v>0</v>
      </c>
      <c r="O14" s="90">
        <f>'Raw RTF'!O19</f>
        <v>0</v>
      </c>
      <c r="P14" s="90">
        <f>'Raw RTF'!P19</f>
        <v>0</v>
      </c>
    </row>
    <row r="15" spans="1:106">
      <c r="A15" s="31"/>
      <c r="B15" s="31" t="str">
        <f>'Raw RTF'!B20</f>
        <v>Manuf Homes Wx - Attic R0 - R30 + HZ2 + Electric FAF</v>
      </c>
      <c r="C15" s="31" t="str">
        <f>'Raw RTF'!C20</f>
        <v>Attic R0 - R30 + HZ2 + Electric FAF</v>
      </c>
      <c r="D15" s="91">
        <f>'Raw RTF'!D20</f>
        <v>0.7744286361389523</v>
      </c>
      <c r="E15" s="90">
        <f>'Raw RTF'!E20</f>
        <v>25</v>
      </c>
      <c r="F15" s="90">
        <f>'Raw RTF'!F20</f>
        <v>2.1</v>
      </c>
      <c r="G15" s="90">
        <f>'Raw RTF'!G20</f>
        <v>0</v>
      </c>
      <c r="H15" s="90" t="str">
        <f>'Raw RTF'!H20</f>
        <v>ResSHWX</v>
      </c>
      <c r="I15" s="91">
        <f>'Raw RTF'!I20</f>
        <v>1.2333605195860161E-2</v>
      </c>
      <c r="J15" s="90">
        <f>'Raw RTF'!J20</f>
        <v>0</v>
      </c>
      <c r="K15" s="90">
        <f>'Raw RTF'!K20</f>
        <v>0</v>
      </c>
      <c r="L15" s="90">
        <f>'Raw RTF'!L20</f>
        <v>0</v>
      </c>
      <c r="M15" s="90">
        <f>'Raw RTF'!M20</f>
        <v>0</v>
      </c>
      <c r="N15" s="90">
        <f>'Raw RTF'!N20</f>
        <v>0</v>
      </c>
      <c r="O15" s="90">
        <f>'Raw RTF'!O20</f>
        <v>0</v>
      </c>
      <c r="P15" s="90">
        <f>'Raw RTF'!P20</f>
        <v>0</v>
      </c>
    </row>
    <row r="16" spans="1:106">
      <c r="A16" s="31"/>
      <c r="B16" s="31" t="str">
        <f>'Raw RTF'!B21</f>
        <v>Manuf Homes Wx - Attic R0 - R22 + HZ2 + Electric FAF</v>
      </c>
      <c r="C16" s="31" t="str">
        <f>'Raw RTF'!C21</f>
        <v>Attic R0 - R22 + HZ2 + Electric FAF</v>
      </c>
      <c r="D16" s="91">
        <f>'Raw RTF'!D21</f>
        <v>0.9331100828406077</v>
      </c>
      <c r="E16" s="90">
        <f>'Raw RTF'!E21</f>
        <v>25</v>
      </c>
      <c r="F16" s="90">
        <f>'Raw RTF'!F21</f>
        <v>2.1</v>
      </c>
      <c r="G16" s="90">
        <f>'Raw RTF'!G21</f>
        <v>0</v>
      </c>
      <c r="H16" s="90" t="str">
        <f>'Raw RTF'!H21</f>
        <v>ResSHWX</v>
      </c>
      <c r="I16" s="91">
        <f>'Raw RTF'!I21</f>
        <v>1.4860777131654882E-2</v>
      </c>
      <c r="J16" s="90">
        <f>'Raw RTF'!J21</f>
        <v>0</v>
      </c>
      <c r="K16" s="90">
        <f>'Raw RTF'!K21</f>
        <v>0</v>
      </c>
      <c r="L16" s="90">
        <f>'Raw RTF'!L21</f>
        <v>0</v>
      </c>
      <c r="M16" s="90">
        <f>'Raw RTF'!M21</f>
        <v>0</v>
      </c>
      <c r="N16" s="90">
        <f>'Raw RTF'!N21</f>
        <v>0</v>
      </c>
      <c r="O16" s="90">
        <f>'Raw RTF'!O21</f>
        <v>0</v>
      </c>
      <c r="P16" s="90">
        <f>'Raw RTF'!P21</f>
        <v>0</v>
      </c>
    </row>
    <row r="17" spans="1:16">
      <c r="A17" s="31"/>
      <c r="B17" s="31" t="str">
        <f>'Raw RTF'!B22</f>
        <v>Manuf Homes Wx - Attic R11 - R30 + HZ2 + Electric FAF</v>
      </c>
      <c r="C17" s="31" t="str">
        <f>'Raw RTF'!C22</f>
        <v>Attic R11 - R30 + HZ2 + Electric FAF</v>
      </c>
      <c r="D17" s="91">
        <f>'Raw RTF'!D22</f>
        <v>0.33468675440596829</v>
      </c>
      <c r="E17" s="90">
        <f>'Raw RTF'!E22</f>
        <v>25</v>
      </c>
      <c r="F17" s="90">
        <f>'Raw RTF'!F22</f>
        <v>2.1</v>
      </c>
      <c r="G17" s="90">
        <f>'Raw RTF'!G22</f>
        <v>0</v>
      </c>
      <c r="H17" s="90" t="str">
        <f>'Raw RTF'!H22</f>
        <v>ResSHWX</v>
      </c>
      <c r="I17" s="91">
        <f>'Raw RTF'!I22</f>
        <v>5.3302449063703985E-3</v>
      </c>
      <c r="J17" s="90">
        <f>'Raw RTF'!J22</f>
        <v>0</v>
      </c>
      <c r="K17" s="90">
        <f>'Raw RTF'!K22</f>
        <v>0</v>
      </c>
      <c r="L17" s="90">
        <f>'Raw RTF'!L22</f>
        <v>0</v>
      </c>
      <c r="M17" s="90">
        <f>'Raw RTF'!M22</f>
        <v>0</v>
      </c>
      <c r="N17" s="90">
        <f>'Raw RTF'!N22</f>
        <v>0</v>
      </c>
      <c r="O17" s="90">
        <f>'Raw RTF'!O22</f>
        <v>0</v>
      </c>
      <c r="P17" s="90">
        <f>'Raw RTF'!P22</f>
        <v>0</v>
      </c>
    </row>
    <row r="18" spans="1:16">
      <c r="A18" s="31"/>
      <c r="B18" s="31" t="str">
        <f>'Raw RTF'!B23</f>
        <v>Manuf Homes Wx - Floor R0 - R22 + HZ2 + Electric FAF</v>
      </c>
      <c r="C18" s="31" t="str">
        <f>'Raw RTF'!C23</f>
        <v>Floor R0 - R22 + HZ2 + Electric FAF</v>
      </c>
      <c r="D18" s="91">
        <f>'Raw RTF'!D23</f>
        <v>0.87892894056879856</v>
      </c>
      <c r="E18" s="90">
        <f>'Raw RTF'!E23</f>
        <v>25</v>
      </c>
      <c r="F18" s="90">
        <f>'Raw RTF'!F23</f>
        <v>3.3</v>
      </c>
      <c r="G18" s="90">
        <f>'Raw RTF'!G23</f>
        <v>0</v>
      </c>
      <c r="H18" s="90" t="str">
        <f>'Raw RTF'!H23</f>
        <v>ResSHWX</v>
      </c>
      <c r="I18" s="91">
        <f>'Raw RTF'!I23</f>
        <v>1.3997884430304253E-2</v>
      </c>
      <c r="J18" s="90">
        <f>'Raw RTF'!J23</f>
        <v>0</v>
      </c>
      <c r="K18" s="90">
        <f>'Raw RTF'!K23</f>
        <v>0</v>
      </c>
      <c r="L18" s="90">
        <f>'Raw RTF'!L23</f>
        <v>0</v>
      </c>
      <c r="M18" s="90">
        <f>'Raw RTF'!M23</f>
        <v>0</v>
      </c>
      <c r="N18" s="90">
        <f>'Raw RTF'!N23</f>
        <v>0</v>
      </c>
      <c r="O18" s="90">
        <f>'Raw RTF'!O23</f>
        <v>0</v>
      </c>
      <c r="P18" s="90">
        <f>'Raw RTF'!P23</f>
        <v>0</v>
      </c>
    </row>
    <row r="19" spans="1:16">
      <c r="A19" s="31"/>
      <c r="B19" s="31" t="str">
        <f>'Raw RTF'!B24</f>
        <v>Manuf Homes Wx - Floor R11 - R22 + HZ2 + Electric FAF</v>
      </c>
      <c r="C19" s="31" t="str">
        <f>'Raw RTF'!C24</f>
        <v>Floor R11 - R22 + HZ2 + Electric FAF</v>
      </c>
      <c r="D19" s="91">
        <f>'Raw RTF'!D24</f>
        <v>0.37884048028244466</v>
      </c>
      <c r="E19" s="90">
        <f>'Raw RTF'!E24</f>
        <v>25</v>
      </c>
      <c r="F19" s="90">
        <f>'Raw RTF'!F24</f>
        <v>3.3</v>
      </c>
      <c r="G19" s="90">
        <f>'Raw RTF'!G24</f>
        <v>0</v>
      </c>
      <c r="H19" s="90" t="str">
        <f>'Raw RTF'!H24</f>
        <v>ResSHWX</v>
      </c>
      <c r="I19" s="91">
        <f>'Raw RTF'!I24</f>
        <v>6.0334402654699318E-3</v>
      </c>
      <c r="J19" s="90">
        <f>'Raw RTF'!J24</f>
        <v>0</v>
      </c>
      <c r="K19" s="90">
        <f>'Raw RTF'!K24</f>
        <v>0</v>
      </c>
      <c r="L19" s="90">
        <f>'Raw RTF'!L24</f>
        <v>0</v>
      </c>
      <c r="M19" s="90">
        <f>'Raw RTF'!M24</f>
        <v>0</v>
      </c>
      <c r="N19" s="90">
        <f>'Raw RTF'!N24</f>
        <v>0</v>
      </c>
      <c r="O19" s="90">
        <f>'Raw RTF'!O24</f>
        <v>0</v>
      </c>
      <c r="P19" s="90">
        <f>'Raw RTF'!P24</f>
        <v>0</v>
      </c>
    </row>
    <row r="20" spans="1:16">
      <c r="A20" s="31"/>
      <c r="B20" s="31" t="str">
        <f>'Raw RTF'!B25</f>
        <v>Manuf Homes Wx - WINDOW CL30 Prime Window Replacement of Double Pane Base + HZ2 + Electric FAF</v>
      </c>
      <c r="C20" s="31" t="str">
        <f>'Raw RTF'!C25</f>
        <v>WINDOW CL30 Prime Window Replacement of Double Pane Base + HZ2 + Electric FAF</v>
      </c>
      <c r="D20" s="91">
        <f>'Raw RTF'!D25</f>
        <v>8.7576321635195828</v>
      </c>
      <c r="E20" s="90">
        <f>'Raw RTF'!E25</f>
        <v>25</v>
      </c>
      <c r="F20" s="90">
        <f>'Raw RTF'!F25</f>
        <v>20.605937224457286</v>
      </c>
      <c r="G20" s="90">
        <f>'Raw RTF'!G25</f>
        <v>0</v>
      </c>
      <c r="H20" s="90" t="str">
        <f>'Raw RTF'!H25</f>
        <v>ResSHWX</v>
      </c>
      <c r="I20" s="91">
        <f>'Raw RTF'!I25</f>
        <v>0.13947466882673085</v>
      </c>
      <c r="J20" s="90">
        <f>'Raw RTF'!J25</f>
        <v>0</v>
      </c>
      <c r="K20" s="90">
        <f>'Raw RTF'!K25</f>
        <v>0</v>
      </c>
      <c r="L20" s="90">
        <f>'Raw RTF'!L25</f>
        <v>0</v>
      </c>
      <c r="M20" s="90">
        <f>'Raw RTF'!M25</f>
        <v>0</v>
      </c>
      <c r="N20" s="90">
        <f>'Raw RTF'!N25</f>
        <v>0</v>
      </c>
      <c r="O20" s="90">
        <f>'Raw RTF'!O25</f>
        <v>0</v>
      </c>
      <c r="P20" s="90">
        <f>'Raw RTF'!P25</f>
        <v>0</v>
      </c>
    </row>
    <row r="21" spans="1:16">
      <c r="A21" s="31"/>
      <c r="B21" s="31" t="str">
        <f>'Raw RTF'!B26</f>
        <v>Manuf Homes Wx - WINDOW CL30 Prime Window Replacement of Single Pane Base + HZ2 + Electric FAF</v>
      </c>
      <c r="C21" s="31" t="str">
        <f>'Raw RTF'!C26</f>
        <v>WINDOW CL30 Prime Window Replacement of Single Pane Base + HZ2 + Electric FAF</v>
      </c>
      <c r="D21" s="91">
        <f>'Raw RTF'!D26</f>
        <v>13.680374182755711</v>
      </c>
      <c r="E21" s="90">
        <f>'Raw RTF'!E26</f>
        <v>25</v>
      </c>
      <c r="F21" s="90">
        <f>'Raw RTF'!F26</f>
        <v>20.605937224457286</v>
      </c>
      <c r="G21" s="90">
        <f>'Raw RTF'!G26</f>
        <v>0</v>
      </c>
      <c r="H21" s="90" t="str">
        <f>'Raw RTF'!H26</f>
        <v>ResSHWX</v>
      </c>
      <c r="I21" s="91">
        <f>'Raw RTF'!I26</f>
        <v>0.21787460616509641</v>
      </c>
      <c r="J21" s="90">
        <f>'Raw RTF'!J26</f>
        <v>0</v>
      </c>
      <c r="K21" s="90">
        <f>'Raw RTF'!K26</f>
        <v>0</v>
      </c>
      <c r="L21" s="90">
        <f>'Raw RTF'!L26</f>
        <v>0</v>
      </c>
      <c r="M21" s="90">
        <f>'Raw RTF'!M26</f>
        <v>0</v>
      </c>
      <c r="N21" s="90">
        <f>'Raw RTF'!N26</f>
        <v>0</v>
      </c>
      <c r="O21" s="90">
        <f>'Raw RTF'!O26</f>
        <v>0</v>
      </c>
      <c r="P21" s="90">
        <f>'Raw RTF'!P26</f>
        <v>0</v>
      </c>
    </row>
    <row r="22" spans="1:16">
      <c r="A22" s="31"/>
      <c r="B22" s="31" t="str">
        <f>'Raw RTF'!B27</f>
        <v>Manuf Homes Wx - WINDOW CL22 Prime Window Replacement of Double Pane Base + HZ2 + Electric FAF</v>
      </c>
      <c r="C22" s="31" t="str">
        <f>'Raw RTF'!C27</f>
        <v>WINDOW CL22 Prime Window Replacement of Double Pane Base + HZ2 + Electric FAF</v>
      </c>
      <c r="D22" s="91">
        <f>'Raw RTF'!D27</f>
        <v>9.0282040315934911</v>
      </c>
      <c r="E22" s="90">
        <f>'Raw RTF'!E27</f>
        <v>25</v>
      </c>
      <c r="F22" s="90">
        <f>'Raw RTF'!F27</f>
        <v>21.965937224457285</v>
      </c>
      <c r="G22" s="90">
        <f>'Raw RTF'!G27</f>
        <v>0</v>
      </c>
      <c r="H22" s="90" t="str">
        <f>'Raw RTF'!H27</f>
        <v>ResSHWX</v>
      </c>
      <c r="I22" s="91">
        <f>'Raw RTF'!I27</f>
        <v>0.14378381552172881</v>
      </c>
      <c r="J22" s="90">
        <f>'Raw RTF'!J27</f>
        <v>0</v>
      </c>
      <c r="K22" s="90">
        <f>'Raw RTF'!K27</f>
        <v>0</v>
      </c>
      <c r="L22" s="90">
        <f>'Raw RTF'!L27</f>
        <v>0</v>
      </c>
      <c r="M22" s="90">
        <f>'Raw RTF'!M27</f>
        <v>0</v>
      </c>
      <c r="N22" s="90">
        <f>'Raw RTF'!N27</f>
        <v>0</v>
      </c>
      <c r="O22" s="90">
        <f>'Raw RTF'!O27</f>
        <v>0</v>
      </c>
      <c r="P22" s="90">
        <f>'Raw RTF'!P27</f>
        <v>0</v>
      </c>
    </row>
    <row r="23" spans="1:16">
      <c r="A23" s="31"/>
      <c r="B23" s="31" t="str">
        <f>'Raw RTF'!B28</f>
        <v>Manuf Homes Wx - WINDOW CL22 Prime Window Replacement of Single Pane Base + HZ2 + Electric FAF</v>
      </c>
      <c r="C23" s="31" t="str">
        <f>'Raw RTF'!C28</f>
        <v>WINDOW CL22 Prime Window Replacement of Single Pane Base + HZ2 + Electric FAF</v>
      </c>
      <c r="D23" s="91">
        <f>'Raw RTF'!D28</f>
        <v>14.284040241190263</v>
      </c>
      <c r="E23" s="90">
        <f>'Raw RTF'!E28</f>
        <v>25</v>
      </c>
      <c r="F23" s="90">
        <f>'Raw RTF'!F28</f>
        <v>21.965937224457285</v>
      </c>
      <c r="G23" s="90">
        <f>'Raw RTF'!G28</f>
        <v>0</v>
      </c>
      <c r="H23" s="90" t="str">
        <f>'Raw RTF'!H28</f>
        <v>ResSHWX</v>
      </c>
      <c r="I23" s="91">
        <f>'Raw RTF'!I28</f>
        <v>0.22748863447891637</v>
      </c>
      <c r="J23" s="90">
        <f>'Raw RTF'!J28</f>
        <v>0</v>
      </c>
      <c r="K23" s="90">
        <f>'Raw RTF'!K28</f>
        <v>0</v>
      </c>
      <c r="L23" s="90">
        <f>'Raw RTF'!L28</f>
        <v>0</v>
      </c>
      <c r="M23" s="90">
        <f>'Raw RTF'!M28</f>
        <v>0</v>
      </c>
      <c r="N23" s="90">
        <f>'Raw RTF'!N28</f>
        <v>0</v>
      </c>
      <c r="O23" s="90">
        <f>'Raw RTF'!O28</f>
        <v>0</v>
      </c>
      <c r="P23" s="90">
        <f>'Raw RTF'!P28</f>
        <v>0</v>
      </c>
    </row>
    <row r="24" spans="1:16">
      <c r="A24" s="31"/>
      <c r="B24" s="31" t="str">
        <f>'Raw RTF'!B31</f>
        <v>Manuf Homes Wx - Infiltration + HZ2 + Electric FAF</v>
      </c>
      <c r="C24" s="31" t="str">
        <f>'Raw RTF'!C31</f>
        <v>Infiltration + HZ2 + Electric FAF</v>
      </c>
      <c r="D24" s="91">
        <f>'Raw RTF'!D31</f>
        <v>0.47551208817351309</v>
      </c>
      <c r="E24" s="90">
        <f>'Raw RTF'!E31</f>
        <v>25</v>
      </c>
      <c r="F24" s="90">
        <f>'Raw RTF'!F31</f>
        <v>3.1</v>
      </c>
      <c r="G24" s="90">
        <f>'Raw RTF'!G31</f>
        <v>0</v>
      </c>
      <c r="H24" s="90" t="str">
        <f>'Raw RTF'!H31</f>
        <v>ResSHWX</v>
      </c>
      <c r="I24" s="91">
        <f>'Raw RTF'!I31</f>
        <v>7.5730391255042174E-3</v>
      </c>
      <c r="J24" s="90">
        <f>'Raw RTF'!J31</f>
        <v>0</v>
      </c>
      <c r="K24" s="90">
        <f>'Raw RTF'!K31</f>
        <v>0</v>
      </c>
      <c r="L24" s="90">
        <f>'Raw RTF'!L31</f>
        <v>0</v>
      </c>
      <c r="M24" s="90">
        <f>'Raw RTF'!M31</f>
        <v>0</v>
      </c>
      <c r="N24" s="90">
        <f>'Raw RTF'!N31</f>
        <v>0</v>
      </c>
      <c r="O24" s="90">
        <f>'Raw RTF'!O31</f>
        <v>0</v>
      </c>
      <c r="P24" s="90">
        <f>'Raw RTF'!P31</f>
        <v>0</v>
      </c>
    </row>
    <row r="25" spans="1:16">
      <c r="A25" s="31"/>
      <c r="B25" s="31" t="str">
        <f>'Raw RTF'!B32</f>
        <v>Manuf Homes Wx - Attic R0 - R30 + HZ3 + Electric FAF</v>
      </c>
      <c r="C25" s="31" t="str">
        <f>'Raw RTF'!C32</f>
        <v>Attic R0 - R30 + HZ3 + Electric FAF</v>
      </c>
      <c r="D25" s="91">
        <f>'Raw RTF'!D32</f>
        <v>1.0922990121771836</v>
      </c>
      <c r="E25" s="90">
        <f>'Raw RTF'!E32</f>
        <v>25</v>
      </c>
      <c r="F25" s="90">
        <f>'Raw RTF'!F32</f>
        <v>2.1</v>
      </c>
      <c r="G25" s="90">
        <f>'Raw RTF'!G32</f>
        <v>0</v>
      </c>
      <c r="H25" s="90" t="str">
        <f>'Raw RTF'!H32</f>
        <v>ResSHWX</v>
      </c>
      <c r="I25" s="91">
        <f>'Raw RTF'!I32</f>
        <v>1.7396031271762293E-2</v>
      </c>
      <c r="J25" s="90">
        <f>'Raw RTF'!J32</f>
        <v>0</v>
      </c>
      <c r="K25" s="90">
        <f>'Raw RTF'!K32</f>
        <v>0</v>
      </c>
      <c r="L25" s="90">
        <f>'Raw RTF'!L32</f>
        <v>0</v>
      </c>
      <c r="M25" s="90">
        <f>'Raw RTF'!M32</f>
        <v>0</v>
      </c>
      <c r="N25" s="90">
        <f>'Raw RTF'!N32</f>
        <v>0</v>
      </c>
      <c r="O25" s="90">
        <f>'Raw RTF'!O32</f>
        <v>0</v>
      </c>
      <c r="P25" s="90">
        <f>'Raw RTF'!P32</f>
        <v>0</v>
      </c>
    </row>
    <row r="26" spans="1:16">
      <c r="A26" s="31"/>
      <c r="B26" s="31" t="str">
        <f>'Raw RTF'!B33</f>
        <v>Manuf Homes Wx - Attic R0 - R22 + HZ3 + Electric FAF</v>
      </c>
      <c r="C26" s="31" t="str">
        <f>'Raw RTF'!C33</f>
        <v>Attic R0 - R22 + HZ3 + Electric FAF</v>
      </c>
      <c r="D26" s="91">
        <f>'Raw RTF'!D33</f>
        <v>1.1365546200975047</v>
      </c>
      <c r="E26" s="90">
        <f>'Raw RTF'!E33</f>
        <v>25</v>
      </c>
      <c r="F26" s="90">
        <f>'Raw RTF'!F33</f>
        <v>2.1</v>
      </c>
      <c r="G26" s="90">
        <f>'Raw RTF'!G33</f>
        <v>0</v>
      </c>
      <c r="H26" s="90" t="str">
        <f>'Raw RTF'!H33</f>
        <v>ResSHWX</v>
      </c>
      <c r="I26" s="91">
        <f>'Raw RTF'!I33</f>
        <v>1.8100849211493131E-2</v>
      </c>
      <c r="J26" s="90">
        <f>'Raw RTF'!J33</f>
        <v>0</v>
      </c>
      <c r="K26" s="90">
        <f>'Raw RTF'!K33</f>
        <v>0</v>
      </c>
      <c r="L26" s="90">
        <f>'Raw RTF'!L33</f>
        <v>0</v>
      </c>
      <c r="M26" s="90">
        <f>'Raw RTF'!M33</f>
        <v>0</v>
      </c>
      <c r="N26" s="90">
        <f>'Raw RTF'!N33</f>
        <v>0</v>
      </c>
      <c r="O26" s="90">
        <f>'Raw RTF'!O33</f>
        <v>0</v>
      </c>
      <c r="P26" s="90">
        <f>'Raw RTF'!P33</f>
        <v>0</v>
      </c>
    </row>
    <row r="27" spans="1:16">
      <c r="A27" s="31"/>
      <c r="B27" s="31" t="str">
        <f>'Raw RTF'!B34</f>
        <v>Manuf Homes Wx - Attic R11 - R30 + HZ3 + Electric FAF</v>
      </c>
      <c r="C27" s="31" t="str">
        <f>'Raw RTF'!C34</f>
        <v>Attic R11 - R30 + HZ3 + Electric FAF</v>
      </c>
      <c r="D27" s="91">
        <f>'Raw RTF'!D34</f>
        <v>0.4310778855999568</v>
      </c>
      <c r="E27" s="90">
        <f>'Raw RTF'!E34</f>
        <v>25</v>
      </c>
      <c r="F27" s="90">
        <f>'Raw RTF'!F34</f>
        <v>2.1</v>
      </c>
      <c r="G27" s="90">
        <f>'Raw RTF'!G34</f>
        <v>0</v>
      </c>
      <c r="H27" s="90" t="str">
        <f>'Raw RTF'!H34</f>
        <v>ResSHWX</v>
      </c>
      <c r="I27" s="91">
        <f>'Raw RTF'!I34</f>
        <v>6.8653768747028625E-3</v>
      </c>
      <c r="J27" s="90">
        <f>'Raw RTF'!J34</f>
        <v>0</v>
      </c>
      <c r="K27" s="90">
        <f>'Raw RTF'!K34</f>
        <v>0</v>
      </c>
      <c r="L27" s="90">
        <f>'Raw RTF'!L34</f>
        <v>0</v>
      </c>
      <c r="M27" s="90">
        <f>'Raw RTF'!M34</f>
        <v>0</v>
      </c>
      <c r="N27" s="90">
        <f>'Raw RTF'!N34</f>
        <v>0</v>
      </c>
      <c r="O27" s="90">
        <f>'Raw RTF'!O34</f>
        <v>0</v>
      </c>
      <c r="P27" s="90">
        <f>'Raw RTF'!P34</f>
        <v>0</v>
      </c>
    </row>
    <row r="28" spans="1:16">
      <c r="A28" s="31"/>
      <c r="B28" s="31" t="str">
        <f>'Raw RTF'!B35</f>
        <v>Manuf Homes Wx - Floor R0 - R22 + HZ3 + Electric FAF</v>
      </c>
      <c r="C28" s="31" t="str">
        <f>'Raw RTF'!C35</f>
        <v>Floor R0 - R22 + HZ3 + Electric FAF</v>
      </c>
      <c r="D28" s="91">
        <f>'Raw RTF'!D35</f>
        <v>1.1543188954975354</v>
      </c>
      <c r="E28" s="90">
        <f>'Raw RTF'!E35</f>
        <v>25</v>
      </c>
      <c r="F28" s="90">
        <f>'Raw RTF'!F35</f>
        <v>3.3</v>
      </c>
      <c r="G28" s="90">
        <f>'Raw RTF'!G35</f>
        <v>0</v>
      </c>
      <c r="H28" s="90" t="str">
        <f>'Raw RTF'!H35</f>
        <v>ResSHWX</v>
      </c>
      <c r="I28" s="91">
        <f>'Raw RTF'!I35</f>
        <v>1.8383764317095187E-2</v>
      </c>
      <c r="J28" s="90">
        <f>'Raw RTF'!J35</f>
        <v>0</v>
      </c>
      <c r="K28" s="90">
        <f>'Raw RTF'!K35</f>
        <v>0</v>
      </c>
      <c r="L28" s="90">
        <f>'Raw RTF'!L35</f>
        <v>0</v>
      </c>
      <c r="M28" s="90">
        <f>'Raw RTF'!M35</f>
        <v>0</v>
      </c>
      <c r="N28" s="90">
        <f>'Raw RTF'!N35</f>
        <v>0</v>
      </c>
      <c r="O28" s="90">
        <f>'Raw RTF'!O35</f>
        <v>0</v>
      </c>
      <c r="P28" s="90">
        <f>'Raw RTF'!P35</f>
        <v>0</v>
      </c>
    </row>
    <row r="29" spans="1:16">
      <c r="A29" s="31"/>
      <c r="B29" s="31" t="str">
        <f>'Raw RTF'!B36</f>
        <v>Manuf Homes Wx - Floor R11 - R22 + HZ3 + Electric FAF</v>
      </c>
      <c r="C29" s="31" t="str">
        <f>'Raw RTF'!C36</f>
        <v>Floor R11 - R22 + HZ3 + Electric FAF</v>
      </c>
      <c r="D29" s="91">
        <f>'Raw RTF'!D36</f>
        <v>0.53756219623924073</v>
      </c>
      <c r="E29" s="90">
        <f>'Raw RTF'!E36</f>
        <v>25</v>
      </c>
      <c r="F29" s="90">
        <f>'Raw RTF'!F36</f>
        <v>3.3</v>
      </c>
      <c r="G29" s="90">
        <f>'Raw RTF'!G36</f>
        <v>0</v>
      </c>
      <c r="H29" s="90" t="str">
        <f>'Raw RTF'!H36</f>
        <v>ResSHWX</v>
      </c>
      <c r="I29" s="91">
        <f>'Raw RTF'!I36</f>
        <v>8.5612535322682638E-3</v>
      </c>
      <c r="J29" s="90">
        <f>'Raw RTF'!J36</f>
        <v>0</v>
      </c>
      <c r="K29" s="90">
        <f>'Raw RTF'!K36</f>
        <v>0</v>
      </c>
      <c r="L29" s="90">
        <f>'Raw RTF'!L36</f>
        <v>0</v>
      </c>
      <c r="M29" s="90">
        <f>'Raw RTF'!M36</f>
        <v>0</v>
      </c>
      <c r="N29" s="90">
        <f>'Raw RTF'!N36</f>
        <v>0</v>
      </c>
      <c r="O29" s="90">
        <f>'Raw RTF'!O36</f>
        <v>0</v>
      </c>
      <c r="P29" s="90">
        <f>'Raw RTF'!P36</f>
        <v>0</v>
      </c>
    </row>
    <row r="30" spans="1:16">
      <c r="A30" s="31"/>
      <c r="B30" s="31" t="str">
        <f>'Raw RTF'!B37</f>
        <v>Manuf Homes Wx - WINDOW CL30 Prime Window Replacement of Double Pane Base + HZ3 + Electric FAF</v>
      </c>
      <c r="C30" s="31" t="str">
        <f>'Raw RTF'!C37</f>
        <v>WINDOW CL30 Prime Window Replacement of Double Pane Base + HZ3 + Electric FAF</v>
      </c>
      <c r="D30" s="91">
        <f>'Raw RTF'!D37</f>
        <v>13.677064983730705</v>
      </c>
      <c r="E30" s="90">
        <f>'Raw RTF'!E37</f>
        <v>25</v>
      </c>
      <c r="F30" s="90">
        <f>'Raw RTF'!F37</f>
        <v>20.605937224457286</v>
      </c>
      <c r="G30" s="90">
        <f>'Raw RTF'!G37</f>
        <v>0</v>
      </c>
      <c r="H30" s="90" t="str">
        <f>'Raw RTF'!H37</f>
        <v>ResSHWX</v>
      </c>
      <c r="I30" s="91">
        <f>'Raw RTF'!I37</f>
        <v>0.21782190362752962</v>
      </c>
      <c r="J30" s="90">
        <f>'Raw RTF'!J37</f>
        <v>0</v>
      </c>
      <c r="K30" s="90">
        <f>'Raw RTF'!K37</f>
        <v>0</v>
      </c>
      <c r="L30" s="90">
        <f>'Raw RTF'!L37</f>
        <v>0</v>
      </c>
      <c r="M30" s="90">
        <f>'Raw RTF'!M37</f>
        <v>0</v>
      </c>
      <c r="N30" s="90">
        <f>'Raw RTF'!N37</f>
        <v>0</v>
      </c>
      <c r="O30" s="90">
        <f>'Raw RTF'!O37</f>
        <v>0</v>
      </c>
      <c r="P30" s="90">
        <f>'Raw RTF'!P37</f>
        <v>0</v>
      </c>
    </row>
    <row r="31" spans="1:16">
      <c r="A31" s="31"/>
      <c r="B31" s="31" t="str">
        <f>'Raw RTF'!B38</f>
        <v>Manuf Homes Wx - WINDOW CL30 Prime Window Replacement of Single Pane Base + HZ3 + Electric FAF</v>
      </c>
      <c r="C31" s="31" t="str">
        <f>'Raw RTF'!C38</f>
        <v>WINDOW CL30 Prime Window Replacement of Single Pane Base + HZ3 + Electric FAF</v>
      </c>
      <c r="D31" s="91">
        <f>'Raw RTF'!D38</f>
        <v>17.155775373226007</v>
      </c>
      <c r="E31" s="90">
        <f>'Raw RTF'!E38</f>
        <v>25</v>
      </c>
      <c r="F31" s="90">
        <f>'Raw RTF'!F38</f>
        <v>20.605937224457286</v>
      </c>
      <c r="G31" s="90">
        <f>'Raw RTF'!G38</f>
        <v>0</v>
      </c>
      <c r="H31" s="90" t="str">
        <f>'Raw RTF'!H38</f>
        <v>ResSHWX</v>
      </c>
      <c r="I31" s="91">
        <f>'Raw RTF'!I38</f>
        <v>0.27322409116630975</v>
      </c>
      <c r="J31" s="90">
        <f>'Raw RTF'!J38</f>
        <v>0</v>
      </c>
      <c r="K31" s="90">
        <f>'Raw RTF'!K38</f>
        <v>0</v>
      </c>
      <c r="L31" s="90">
        <f>'Raw RTF'!L38</f>
        <v>0</v>
      </c>
      <c r="M31" s="90">
        <f>'Raw RTF'!M38</f>
        <v>0</v>
      </c>
      <c r="N31" s="90">
        <f>'Raw RTF'!N38</f>
        <v>0</v>
      </c>
      <c r="O31" s="90">
        <f>'Raw RTF'!O38</f>
        <v>0</v>
      </c>
      <c r="P31" s="90">
        <f>'Raw RTF'!P38</f>
        <v>0</v>
      </c>
    </row>
    <row r="32" spans="1:16">
      <c r="A32" s="31"/>
      <c r="B32" s="31" t="str">
        <f>'Raw RTF'!B39</f>
        <v>Manuf Homes Wx - WINDOW CL22 Prime Window Replacement of Double Pane Base + HZ3 + Electric FAF</v>
      </c>
      <c r="C32" s="31" t="str">
        <f>'Raw RTF'!C39</f>
        <v>WINDOW CL22 Prime Window Replacement of Double Pane Base + HZ3 + Electric FAF</v>
      </c>
      <c r="D32" s="91">
        <f>'Raw RTF'!D39</f>
        <v>14.23840231057979</v>
      </c>
      <c r="E32" s="90">
        <f>'Raw RTF'!E39</f>
        <v>25</v>
      </c>
      <c r="F32" s="90">
        <f>'Raw RTF'!F39</f>
        <v>21.965937224457285</v>
      </c>
      <c r="G32" s="90">
        <f>'Raw RTF'!G39</f>
        <v>0</v>
      </c>
      <c r="H32" s="90" t="str">
        <f>'Raw RTF'!H39</f>
        <v>ResSHWX</v>
      </c>
      <c r="I32" s="91">
        <f>'Raw RTF'!I39</f>
        <v>0.22676180157031936</v>
      </c>
      <c r="J32" s="90">
        <f>'Raw RTF'!J39</f>
        <v>0</v>
      </c>
      <c r="K32" s="90">
        <f>'Raw RTF'!K39</f>
        <v>0</v>
      </c>
      <c r="L32" s="90">
        <f>'Raw RTF'!L39</f>
        <v>0</v>
      </c>
      <c r="M32" s="90">
        <f>'Raw RTF'!M39</f>
        <v>0</v>
      </c>
      <c r="N32" s="90">
        <f>'Raw RTF'!N39</f>
        <v>0</v>
      </c>
      <c r="O32" s="90">
        <f>'Raw RTF'!O39</f>
        <v>0</v>
      </c>
      <c r="P32" s="90">
        <f>'Raw RTF'!P39</f>
        <v>0</v>
      </c>
    </row>
    <row r="33" spans="1:16">
      <c r="A33" s="31"/>
      <c r="B33" s="31" t="str">
        <f>'Raw RTF'!B40</f>
        <v>Manuf Homes Wx - WINDOW CL22 Prime Window Replacement of Single Pane Base + HZ3 + Electric FAF</v>
      </c>
      <c r="C33" s="31" t="str">
        <f>'Raw RTF'!C40</f>
        <v>WINDOW CL22 Prime Window Replacement of Single Pane Base + HZ3 + Electric FAF</v>
      </c>
      <c r="D33" s="91">
        <f>'Raw RTF'!D40</f>
        <v>18.117306205690848</v>
      </c>
      <c r="E33" s="90">
        <f>'Raw RTF'!E40</f>
        <v>25</v>
      </c>
      <c r="F33" s="90">
        <f>'Raw RTF'!F40</f>
        <v>21.965937224457285</v>
      </c>
      <c r="G33" s="90">
        <f>'Raw RTF'!G40</f>
        <v>0</v>
      </c>
      <c r="H33" s="90" t="str">
        <f>'Raw RTF'!H40</f>
        <v>ResSHWX</v>
      </c>
      <c r="I33" s="91">
        <f>'Raw RTF'!I40</f>
        <v>0.28853749916526228</v>
      </c>
      <c r="J33" s="90">
        <f>'Raw RTF'!J40</f>
        <v>0</v>
      </c>
      <c r="K33" s="90">
        <f>'Raw RTF'!K40</f>
        <v>0</v>
      </c>
      <c r="L33" s="90">
        <f>'Raw RTF'!L40</f>
        <v>0</v>
      </c>
      <c r="M33" s="90">
        <f>'Raw RTF'!M40</f>
        <v>0</v>
      </c>
      <c r="N33" s="90">
        <f>'Raw RTF'!N40</f>
        <v>0</v>
      </c>
      <c r="O33" s="90">
        <f>'Raw RTF'!O40</f>
        <v>0</v>
      </c>
      <c r="P33" s="90">
        <f>'Raw RTF'!P40</f>
        <v>0</v>
      </c>
    </row>
    <row r="34" spans="1:16">
      <c r="A34" s="31"/>
      <c r="B34" s="31" t="str">
        <f>'Raw RTF'!B43</f>
        <v>Manuf Homes Wx - Infiltration + HZ3 + Electric FAF</v>
      </c>
      <c r="C34" s="31" t="str">
        <f>'Raw RTF'!C43</f>
        <v>Infiltration + HZ3 + Electric FAF</v>
      </c>
      <c r="D34" s="91">
        <f>'Raw RTF'!D43</f>
        <v>0.55877883449357257</v>
      </c>
      <c r="E34" s="90">
        <f>'Raw RTF'!E43</f>
        <v>25</v>
      </c>
      <c r="F34" s="90">
        <f>'Raw RTF'!F43</f>
        <v>3.1</v>
      </c>
      <c r="G34" s="90">
        <f>'Raw RTF'!G43</f>
        <v>0</v>
      </c>
      <c r="H34" s="90" t="str">
        <f>'Raw RTF'!H43</f>
        <v>ResSHWX</v>
      </c>
      <c r="I34" s="91">
        <f>'Raw RTF'!I43</f>
        <v>8.8991512127013523E-3</v>
      </c>
      <c r="J34" s="90">
        <f>'Raw RTF'!J43</f>
        <v>0</v>
      </c>
      <c r="K34" s="90">
        <f>'Raw RTF'!K43</f>
        <v>0</v>
      </c>
      <c r="L34" s="90">
        <f>'Raw RTF'!L43</f>
        <v>0</v>
      </c>
      <c r="M34" s="90">
        <f>'Raw RTF'!M43</f>
        <v>0</v>
      </c>
      <c r="N34" s="90">
        <f>'Raw RTF'!N43</f>
        <v>0</v>
      </c>
      <c r="O34" s="90">
        <f>'Raw RTF'!O43</f>
        <v>0</v>
      </c>
      <c r="P34" s="90">
        <f>'Raw RTF'!P43</f>
        <v>0</v>
      </c>
    </row>
    <row r="35" spans="1:16">
      <c r="A35" s="31"/>
      <c r="B35" s="31" t="str">
        <f>'Raw RTF'!B44</f>
        <v>Manuf Homes Wx - Attic R0 - R30 + HZ1 + Heat Pump</v>
      </c>
      <c r="C35" s="31" t="str">
        <f>'Raw RTF'!C44</f>
        <v>Attic R0 - R30 + HZ1 + Heat Pump</v>
      </c>
      <c r="D35" s="91">
        <f>'Raw RTF'!D44</f>
        <v>0.26414227285875647</v>
      </c>
      <c r="E35" s="90">
        <f>'Raw RTF'!E44</f>
        <v>25</v>
      </c>
      <c r="F35" s="90">
        <f>'Raw RTF'!F44</f>
        <v>2.1</v>
      </c>
      <c r="G35" s="90">
        <f>'Raw RTF'!G44</f>
        <v>0</v>
      </c>
      <c r="H35" s="90" t="str">
        <f>'Raw RTF'!H44</f>
        <v>ResSHWX</v>
      </c>
      <c r="I35" s="91">
        <f>'Raw RTF'!I44</f>
        <v>1.8540083384838118E-3</v>
      </c>
      <c r="J35" s="90">
        <f>'Raw RTF'!J44</f>
        <v>0</v>
      </c>
      <c r="K35" s="90">
        <f>'Raw RTF'!K44</f>
        <v>0</v>
      </c>
      <c r="L35" s="90">
        <f>'Raw RTF'!L44</f>
        <v>0</v>
      </c>
      <c r="M35" s="90">
        <f>'Raw RTF'!M44</f>
        <v>0</v>
      </c>
      <c r="N35" s="90">
        <f>'Raw RTF'!N44</f>
        <v>0</v>
      </c>
      <c r="O35" s="90">
        <f>'Raw RTF'!O44</f>
        <v>0</v>
      </c>
      <c r="P35" s="90">
        <f>'Raw RTF'!P44</f>
        <v>0</v>
      </c>
    </row>
    <row r="36" spans="1:16">
      <c r="A36" s="31"/>
      <c r="B36" s="31" t="str">
        <f>'Raw RTF'!B45</f>
        <v>Manuf Homes Wx - Attic R0 - R22 + HZ1 + Heat Pump</v>
      </c>
      <c r="C36" s="31" t="str">
        <f>'Raw RTF'!C45</f>
        <v>Attic R0 - R22 + HZ1 + Heat Pump</v>
      </c>
      <c r="D36" s="91">
        <f>'Raw RTF'!D45</f>
        <v>0.2621751812904406</v>
      </c>
      <c r="E36" s="90">
        <f>'Raw RTF'!E45</f>
        <v>25</v>
      </c>
      <c r="F36" s="90">
        <f>'Raw RTF'!F45</f>
        <v>2.1</v>
      </c>
      <c r="G36" s="90">
        <f>'Raw RTF'!G45</f>
        <v>0</v>
      </c>
      <c r="H36" s="90" t="str">
        <f>'Raw RTF'!H45</f>
        <v>ResSHWX</v>
      </c>
      <c r="I36" s="91">
        <f>'Raw RTF'!I45</f>
        <v>1.8402013694941528E-3</v>
      </c>
      <c r="J36" s="90">
        <f>'Raw RTF'!J45</f>
        <v>0</v>
      </c>
      <c r="K36" s="90">
        <f>'Raw RTF'!K45</f>
        <v>0</v>
      </c>
      <c r="L36" s="90">
        <f>'Raw RTF'!L45</f>
        <v>0</v>
      </c>
      <c r="M36" s="90">
        <f>'Raw RTF'!M45</f>
        <v>0</v>
      </c>
      <c r="N36" s="90">
        <f>'Raw RTF'!N45</f>
        <v>0</v>
      </c>
      <c r="O36" s="90">
        <f>'Raw RTF'!O45</f>
        <v>0</v>
      </c>
      <c r="P36" s="90">
        <f>'Raw RTF'!P45</f>
        <v>0</v>
      </c>
    </row>
    <row r="37" spans="1:16">
      <c r="A37" s="31"/>
      <c r="B37" s="31" t="str">
        <f>'Raw RTF'!B46</f>
        <v>Manuf Homes Wx - Attic R11 - R30 + HZ1 + Heat Pump</v>
      </c>
      <c r="C37" s="31" t="str">
        <f>'Raw RTF'!C46</f>
        <v>Attic R11 - R30 + HZ1 + Heat Pump</v>
      </c>
      <c r="D37" s="91">
        <f>'Raw RTF'!D46</f>
        <v>0.10420488558578286</v>
      </c>
      <c r="E37" s="90">
        <f>'Raw RTF'!E46</f>
        <v>25</v>
      </c>
      <c r="F37" s="90">
        <f>'Raw RTF'!F46</f>
        <v>2.1</v>
      </c>
      <c r="G37" s="90">
        <f>'Raw RTF'!G46</f>
        <v>0</v>
      </c>
      <c r="H37" s="90" t="str">
        <f>'Raw RTF'!H46</f>
        <v>ResSHWX</v>
      </c>
      <c r="I37" s="91">
        <f>'Raw RTF'!I46</f>
        <v>7.3141161653477609E-4</v>
      </c>
      <c r="J37" s="90">
        <f>'Raw RTF'!J46</f>
        <v>0</v>
      </c>
      <c r="K37" s="90">
        <f>'Raw RTF'!K46</f>
        <v>0</v>
      </c>
      <c r="L37" s="90">
        <f>'Raw RTF'!L46</f>
        <v>0</v>
      </c>
      <c r="M37" s="90">
        <f>'Raw RTF'!M46</f>
        <v>0</v>
      </c>
      <c r="N37" s="90">
        <f>'Raw RTF'!N46</f>
        <v>0</v>
      </c>
      <c r="O37" s="90">
        <f>'Raw RTF'!O46</f>
        <v>0</v>
      </c>
      <c r="P37" s="90">
        <f>'Raw RTF'!P46</f>
        <v>0</v>
      </c>
    </row>
    <row r="38" spans="1:16">
      <c r="A38" s="31"/>
      <c r="B38" s="31" t="str">
        <f>'Raw RTF'!B47</f>
        <v>Manuf Homes Wx - Floor R0 - R22 + HZ1 + Heat Pump</v>
      </c>
      <c r="C38" s="31" t="str">
        <f>'Raw RTF'!C47</f>
        <v>Floor R0 - R22 + HZ1 + Heat Pump</v>
      </c>
      <c r="D38" s="91">
        <f>'Raw RTF'!D47</f>
        <v>0.22701205883517456</v>
      </c>
      <c r="E38" s="90">
        <f>'Raw RTF'!E47</f>
        <v>25</v>
      </c>
      <c r="F38" s="90">
        <f>'Raw RTF'!F47</f>
        <v>3.3</v>
      </c>
      <c r="G38" s="90">
        <f>'Raw RTF'!G47</f>
        <v>0</v>
      </c>
      <c r="H38" s="90" t="str">
        <f>'Raw RTF'!H47</f>
        <v>ResSHWX</v>
      </c>
      <c r="I38" s="91">
        <f>'Raw RTF'!I47</f>
        <v>1.5933922482822265E-3</v>
      </c>
      <c r="J38" s="90">
        <f>'Raw RTF'!J47</f>
        <v>0</v>
      </c>
      <c r="K38" s="90">
        <f>'Raw RTF'!K47</f>
        <v>0</v>
      </c>
      <c r="L38" s="90">
        <f>'Raw RTF'!L47</f>
        <v>0</v>
      </c>
      <c r="M38" s="90">
        <f>'Raw RTF'!M47</f>
        <v>0</v>
      </c>
      <c r="N38" s="90">
        <f>'Raw RTF'!N47</f>
        <v>0</v>
      </c>
      <c r="O38" s="90">
        <f>'Raw RTF'!O47</f>
        <v>0</v>
      </c>
      <c r="P38" s="90">
        <f>'Raw RTF'!P47</f>
        <v>0</v>
      </c>
    </row>
    <row r="39" spans="1:16">
      <c r="A39" s="31"/>
      <c r="B39" s="31" t="str">
        <f>'Raw RTF'!B48</f>
        <v>Manuf Homes Wx - Floor R11 - R22 + HZ1 + Heat Pump</v>
      </c>
      <c r="C39" s="31" t="str">
        <f>'Raw RTF'!C48</f>
        <v>Floor R11 - R22 + HZ1 + Heat Pump</v>
      </c>
      <c r="D39" s="91">
        <f>'Raw RTF'!D48</f>
        <v>0.11626329716863983</v>
      </c>
      <c r="E39" s="90">
        <f>'Raw RTF'!E48</f>
        <v>25</v>
      </c>
      <c r="F39" s="90">
        <f>'Raw RTF'!F48</f>
        <v>3.3</v>
      </c>
      <c r="G39" s="90">
        <f>'Raw RTF'!G48</f>
        <v>0</v>
      </c>
      <c r="H39" s="90" t="str">
        <f>'Raw RTF'!H48</f>
        <v>ResSHWX</v>
      </c>
      <c r="I39" s="91">
        <f>'Raw RTF'!I48</f>
        <v>8.1604932098672939E-4</v>
      </c>
      <c r="J39" s="90">
        <f>'Raw RTF'!J48</f>
        <v>0</v>
      </c>
      <c r="K39" s="90">
        <f>'Raw RTF'!K48</f>
        <v>0</v>
      </c>
      <c r="L39" s="90">
        <f>'Raw RTF'!L48</f>
        <v>0</v>
      </c>
      <c r="M39" s="90">
        <f>'Raw RTF'!M48</f>
        <v>0</v>
      </c>
      <c r="N39" s="90">
        <f>'Raw RTF'!N48</f>
        <v>0</v>
      </c>
      <c r="O39" s="90">
        <f>'Raw RTF'!O48</f>
        <v>0</v>
      </c>
      <c r="P39" s="90">
        <f>'Raw RTF'!P48</f>
        <v>0</v>
      </c>
    </row>
    <row r="40" spans="1:16">
      <c r="A40" s="31"/>
      <c r="B40" s="31" t="str">
        <f>'Raw RTF'!B49</f>
        <v>Manuf Homes Wx - WINDOW CL30 Prime Window Replacement of Double Pane Base + HZ1 + Heat Pump</v>
      </c>
      <c r="C40" s="31" t="str">
        <f>'Raw RTF'!C49</f>
        <v>WINDOW CL30 Prime Window Replacement of Double Pane Base + HZ1 + Heat Pump</v>
      </c>
      <c r="D40" s="91">
        <f>'Raw RTF'!D49</f>
        <v>1.2963867030076783</v>
      </c>
      <c r="E40" s="90">
        <f>'Raw RTF'!E49</f>
        <v>25</v>
      </c>
      <c r="F40" s="90">
        <f>'Raw RTF'!F49</f>
        <v>20.605937224457286</v>
      </c>
      <c r="G40" s="90">
        <f>'Raw RTF'!G49</f>
        <v>0</v>
      </c>
      <c r="H40" s="90" t="str">
        <f>'Raw RTF'!H49</f>
        <v>ResSHWX</v>
      </c>
      <c r="I40" s="91">
        <f>'Raw RTF'!I49</f>
        <v>9.0993074726853466E-3</v>
      </c>
      <c r="J40" s="90">
        <f>'Raw RTF'!J49</f>
        <v>0</v>
      </c>
      <c r="K40" s="90">
        <f>'Raw RTF'!K49</f>
        <v>0</v>
      </c>
      <c r="L40" s="90">
        <f>'Raw RTF'!L49</f>
        <v>0</v>
      </c>
      <c r="M40" s="90">
        <f>'Raw RTF'!M49</f>
        <v>0</v>
      </c>
      <c r="N40" s="90">
        <f>'Raw RTF'!N49</f>
        <v>0</v>
      </c>
      <c r="O40" s="90">
        <f>'Raw RTF'!O49</f>
        <v>0</v>
      </c>
      <c r="P40" s="90">
        <f>'Raw RTF'!P49</f>
        <v>0</v>
      </c>
    </row>
    <row r="41" spans="1:16">
      <c r="A41" s="31"/>
      <c r="B41" s="31" t="str">
        <f>'Raw RTF'!B50</f>
        <v>Manuf Homes Wx - WINDOW CL30 Prime Window Replacement of Single Pane Base + HZ1 + Heat Pump</v>
      </c>
      <c r="C41" s="31" t="str">
        <f>'Raw RTF'!C50</f>
        <v>WINDOW CL30 Prime Window Replacement of Single Pane Base + HZ1 + Heat Pump</v>
      </c>
      <c r="D41" s="91">
        <f>'Raw RTF'!D50</f>
        <v>3.6649622322959936</v>
      </c>
      <c r="E41" s="90">
        <f>'Raw RTF'!E50</f>
        <v>25</v>
      </c>
      <c r="F41" s="90">
        <f>'Raw RTF'!F50</f>
        <v>20.605937224457286</v>
      </c>
      <c r="G41" s="90">
        <f>'Raw RTF'!G50</f>
        <v>0</v>
      </c>
      <c r="H41" s="90" t="str">
        <f>'Raw RTF'!H50</f>
        <v>ResSHWX</v>
      </c>
      <c r="I41" s="91">
        <f>'Raw RTF'!I50</f>
        <v>2.5724282847139752E-2</v>
      </c>
      <c r="J41" s="90">
        <f>'Raw RTF'!J50</f>
        <v>0</v>
      </c>
      <c r="K41" s="90">
        <f>'Raw RTF'!K50</f>
        <v>0</v>
      </c>
      <c r="L41" s="90">
        <f>'Raw RTF'!L50</f>
        <v>0</v>
      </c>
      <c r="M41" s="90">
        <f>'Raw RTF'!M50</f>
        <v>0</v>
      </c>
      <c r="N41" s="90">
        <f>'Raw RTF'!N50</f>
        <v>0</v>
      </c>
      <c r="O41" s="90">
        <f>'Raw RTF'!O50</f>
        <v>0</v>
      </c>
      <c r="P41" s="90">
        <f>'Raw RTF'!P50</f>
        <v>0</v>
      </c>
    </row>
    <row r="42" spans="1:16">
      <c r="A42" s="31"/>
      <c r="B42" s="31" t="str">
        <f>'Raw RTF'!B51</f>
        <v>Manuf Homes Wx - WINDOW CL22 Prime Window Replacement of Double Pane Base + HZ1 + Heat Pump</v>
      </c>
      <c r="C42" s="31" t="str">
        <f>'Raw RTF'!C51</f>
        <v>WINDOW CL22 Prime Window Replacement of Double Pane Base + HZ1 + Heat Pump</v>
      </c>
      <c r="D42" s="91">
        <f>'Raw RTF'!D51</f>
        <v>10.183768276204923</v>
      </c>
      <c r="E42" s="90">
        <f>'Raw RTF'!E51</f>
        <v>25</v>
      </c>
      <c r="F42" s="90">
        <f>'Raw RTF'!F51</f>
        <v>21.965937224457285</v>
      </c>
      <c r="G42" s="90">
        <f>'Raw RTF'!G51</f>
        <v>0</v>
      </c>
      <c r="H42" s="90" t="str">
        <f>'Raw RTF'!H51</f>
        <v>ResSHWX</v>
      </c>
      <c r="I42" s="91">
        <f>'Raw RTF'!I51</f>
        <v>1.0775500640589221E-2</v>
      </c>
      <c r="J42" s="90">
        <f>'Raw RTF'!J51</f>
        <v>0</v>
      </c>
      <c r="K42" s="90">
        <f>'Raw RTF'!K51</f>
        <v>0</v>
      </c>
      <c r="L42" s="90">
        <f>'Raw RTF'!L51</f>
        <v>0</v>
      </c>
      <c r="M42" s="90">
        <f>'Raw RTF'!M51</f>
        <v>0</v>
      </c>
      <c r="N42" s="90">
        <f>'Raw RTF'!N51</f>
        <v>0</v>
      </c>
      <c r="O42" s="90">
        <f>'Raw RTF'!O51</f>
        <v>0</v>
      </c>
      <c r="P42" s="90">
        <f>'Raw RTF'!P51</f>
        <v>0</v>
      </c>
    </row>
    <row r="43" spans="1:16">
      <c r="A43" s="31"/>
      <c r="B43" s="31" t="str">
        <f>'Raw RTF'!B52</f>
        <v>Manuf Homes Wx - WINDOW CL22 Prime Window Replacement of Single Pane Base + HZ1 + Heat Pump</v>
      </c>
      <c r="C43" s="31" t="str">
        <f>'Raw RTF'!C52</f>
        <v>WINDOW CL22 Prime Window Replacement of Single Pane Base + HZ1 + Heat Pump</v>
      </c>
      <c r="D43" s="91">
        <f>'Raw RTF'!D52</f>
        <v>4.0083962473901309</v>
      </c>
      <c r="E43" s="90">
        <f>'Raw RTF'!E52</f>
        <v>25</v>
      </c>
      <c r="F43" s="90">
        <f>'Raw RTF'!F52</f>
        <v>21.965937224457285</v>
      </c>
      <c r="G43" s="90">
        <f>'Raw RTF'!G52</f>
        <v>0</v>
      </c>
      <c r="H43" s="90" t="str">
        <f>'Raw RTF'!H52</f>
        <v>ResSHWX</v>
      </c>
      <c r="I43" s="91">
        <f>'Raw RTF'!I52</f>
        <v>2.8134838040794731E-2</v>
      </c>
      <c r="J43" s="90">
        <f>'Raw RTF'!J52</f>
        <v>0</v>
      </c>
      <c r="K43" s="90">
        <f>'Raw RTF'!K52</f>
        <v>0</v>
      </c>
      <c r="L43" s="90">
        <f>'Raw RTF'!L52</f>
        <v>0</v>
      </c>
      <c r="M43" s="90">
        <f>'Raw RTF'!M52</f>
        <v>0</v>
      </c>
      <c r="N43" s="90">
        <f>'Raw RTF'!N52</f>
        <v>0</v>
      </c>
      <c r="O43" s="90">
        <f>'Raw RTF'!O52</f>
        <v>0</v>
      </c>
      <c r="P43" s="90">
        <f>'Raw RTF'!P52</f>
        <v>0</v>
      </c>
    </row>
    <row r="44" spans="1:16">
      <c r="A44" s="31"/>
      <c r="B44" s="31" t="str">
        <f>'Raw RTF'!B55</f>
        <v>Manuf Homes Wx - Infiltration + HZ1 + Heat Pump</v>
      </c>
      <c r="C44" s="31" t="str">
        <f>'Raw RTF'!C55</f>
        <v>Infiltration + HZ1 + Heat Pump</v>
      </c>
      <c r="D44" s="91">
        <f>'Raw RTF'!D55</f>
        <v>0.12307226203098903</v>
      </c>
      <c r="E44" s="90">
        <f>'Raw RTF'!E55</f>
        <v>25</v>
      </c>
      <c r="F44" s="90">
        <f>'Raw RTF'!F55</f>
        <v>3.1</v>
      </c>
      <c r="G44" s="90">
        <f>'Raw RTF'!G55</f>
        <v>0</v>
      </c>
      <c r="H44" s="90" t="str">
        <f>'Raw RTF'!H55</f>
        <v>ResSHWX</v>
      </c>
      <c r="I44" s="91">
        <f>'Raw RTF'!I55</f>
        <v>8.6384128360828601E-4</v>
      </c>
      <c r="J44" s="90">
        <f>'Raw RTF'!J55</f>
        <v>0</v>
      </c>
      <c r="K44" s="90">
        <f>'Raw RTF'!K55</f>
        <v>0</v>
      </c>
      <c r="L44" s="90">
        <f>'Raw RTF'!L55</f>
        <v>0</v>
      </c>
      <c r="M44" s="90">
        <f>'Raw RTF'!M55</f>
        <v>0</v>
      </c>
      <c r="N44" s="90">
        <f>'Raw RTF'!N55</f>
        <v>0</v>
      </c>
      <c r="O44" s="90">
        <f>'Raw RTF'!O55</f>
        <v>0</v>
      </c>
      <c r="P44" s="90">
        <f>'Raw RTF'!P55</f>
        <v>0</v>
      </c>
    </row>
    <row r="45" spans="1:16">
      <c r="A45" s="31"/>
      <c r="B45" s="31" t="str">
        <f>'Raw RTF'!B56</f>
        <v>Manuf Homes Wx - Attic R0 - R30 + HZ2 + Heat Pump</v>
      </c>
      <c r="C45" s="31" t="str">
        <f>'Raw RTF'!C56</f>
        <v>Attic R0 - R30 + HZ2 + Heat Pump</v>
      </c>
      <c r="D45" s="91">
        <f>'Raw RTF'!D56</f>
        <v>0.30731491751347301</v>
      </c>
      <c r="E45" s="90">
        <f>'Raw RTF'!E56</f>
        <v>25</v>
      </c>
      <c r="F45" s="90">
        <f>'Raw RTF'!F56</f>
        <v>2.1</v>
      </c>
      <c r="G45" s="90">
        <f>'Raw RTF'!G56</f>
        <v>0</v>
      </c>
      <c r="H45" s="90" t="str">
        <f>'Raw RTF'!H56</f>
        <v>ResSHWX</v>
      </c>
      <c r="I45" s="91">
        <f>'Raw RTF'!I56</f>
        <v>4.8943190973757197E-3</v>
      </c>
      <c r="J45" s="90">
        <f>'Raw RTF'!J56</f>
        <v>0</v>
      </c>
      <c r="K45" s="90">
        <f>'Raw RTF'!K56</f>
        <v>0</v>
      </c>
      <c r="L45" s="90">
        <f>'Raw RTF'!L56</f>
        <v>0</v>
      </c>
      <c r="M45" s="90">
        <f>'Raw RTF'!M56</f>
        <v>0</v>
      </c>
      <c r="N45" s="90">
        <f>'Raw RTF'!N56</f>
        <v>0</v>
      </c>
      <c r="O45" s="90">
        <f>'Raw RTF'!O56</f>
        <v>0</v>
      </c>
      <c r="P45" s="90">
        <f>'Raw RTF'!P56</f>
        <v>0</v>
      </c>
    </row>
    <row r="46" spans="1:16">
      <c r="A46" s="31"/>
      <c r="B46" s="31" t="str">
        <f>'Raw RTF'!B57</f>
        <v>Manuf Homes Wx - Attic R0 - R22 + HZ2 + Heat Pump</v>
      </c>
      <c r="C46" s="31" t="str">
        <f>'Raw RTF'!C57</f>
        <v>Attic R0 - R22 + HZ2 + Heat Pump</v>
      </c>
      <c r="D46" s="91">
        <f>'Raw RTF'!D57</f>
        <v>0.28489703706649766</v>
      </c>
      <c r="E46" s="90">
        <f>'Raw RTF'!E57</f>
        <v>25</v>
      </c>
      <c r="F46" s="90">
        <f>'Raw RTF'!F57</f>
        <v>2.1</v>
      </c>
      <c r="G46" s="90">
        <f>'Raw RTF'!G57</f>
        <v>0</v>
      </c>
      <c r="H46" s="90" t="str">
        <f>'Raw RTF'!H57</f>
        <v>ResSHWX</v>
      </c>
      <c r="I46" s="91">
        <f>'Raw RTF'!I57</f>
        <v>4.5372903488786458E-3</v>
      </c>
      <c r="J46" s="90">
        <f>'Raw RTF'!J57</f>
        <v>0</v>
      </c>
      <c r="K46" s="90">
        <f>'Raw RTF'!K57</f>
        <v>0</v>
      </c>
      <c r="L46" s="90">
        <f>'Raw RTF'!L57</f>
        <v>0</v>
      </c>
      <c r="M46" s="90">
        <f>'Raw RTF'!M57</f>
        <v>0</v>
      </c>
      <c r="N46" s="90">
        <f>'Raw RTF'!N57</f>
        <v>0</v>
      </c>
      <c r="O46" s="90">
        <f>'Raw RTF'!O57</f>
        <v>0</v>
      </c>
      <c r="P46" s="90">
        <f>'Raw RTF'!P57</f>
        <v>0</v>
      </c>
    </row>
    <row r="47" spans="1:16">
      <c r="A47" s="31"/>
      <c r="B47" s="31" t="str">
        <f>'Raw RTF'!B58</f>
        <v>Manuf Homes Wx - Attic R11 - R30 + HZ2 + Heat Pump</v>
      </c>
      <c r="C47" s="31" t="str">
        <f>'Raw RTF'!C58</f>
        <v>Attic R11 - R30 + HZ2 + Heat Pump</v>
      </c>
      <c r="D47" s="91">
        <f>'Raw RTF'!D58</f>
        <v>2.8130913850995934E-2</v>
      </c>
      <c r="E47" s="90">
        <f>'Raw RTF'!E58</f>
        <v>25</v>
      </c>
      <c r="F47" s="90">
        <f>'Raw RTF'!F58</f>
        <v>2.1</v>
      </c>
      <c r="G47" s="90">
        <f>'Raw RTF'!G58</f>
        <v>0</v>
      </c>
      <c r="H47" s="90" t="str">
        <f>'Raw RTF'!H58</f>
        <v>ResSHWX</v>
      </c>
      <c r="I47" s="91">
        <f>'Raw RTF'!I58</f>
        <v>4.4801492228741007E-4</v>
      </c>
      <c r="J47" s="90">
        <f>'Raw RTF'!J58</f>
        <v>0</v>
      </c>
      <c r="K47" s="90">
        <f>'Raw RTF'!K58</f>
        <v>0</v>
      </c>
      <c r="L47" s="90">
        <f>'Raw RTF'!L58</f>
        <v>0</v>
      </c>
      <c r="M47" s="90">
        <f>'Raw RTF'!M58</f>
        <v>0</v>
      </c>
      <c r="N47" s="90">
        <f>'Raw RTF'!N58</f>
        <v>0</v>
      </c>
      <c r="O47" s="90">
        <f>'Raw RTF'!O58</f>
        <v>0</v>
      </c>
      <c r="P47" s="90">
        <f>'Raw RTF'!P58</f>
        <v>0</v>
      </c>
    </row>
    <row r="48" spans="1:16">
      <c r="A48" s="31"/>
      <c r="B48" s="31" t="str">
        <f>'Raw RTF'!B59</f>
        <v>Manuf Homes Wx - Floor R0 - R22 + HZ2 + Heat Pump</v>
      </c>
      <c r="C48" s="31" t="str">
        <f>'Raw RTF'!C59</f>
        <v>Floor R0 - R22 + HZ2 + Heat Pump</v>
      </c>
      <c r="D48" s="91">
        <f>'Raw RTF'!D59</f>
        <v>2.2924747296391271E-2</v>
      </c>
      <c r="E48" s="90">
        <f>'Raw RTF'!E59</f>
        <v>25</v>
      </c>
      <c r="F48" s="90">
        <f>'Raw RTF'!F59</f>
        <v>3.3</v>
      </c>
      <c r="G48" s="90">
        <f>'Raw RTF'!G59</f>
        <v>0</v>
      </c>
      <c r="H48" s="90" t="str">
        <f>'Raw RTF'!H59</f>
        <v>ResSHWX</v>
      </c>
      <c r="I48" s="91">
        <f>'Raw RTF'!I59</f>
        <v>3.6510114576628657E-4</v>
      </c>
      <c r="J48" s="90">
        <f>'Raw RTF'!J59</f>
        <v>0</v>
      </c>
      <c r="K48" s="90">
        <f>'Raw RTF'!K59</f>
        <v>0</v>
      </c>
      <c r="L48" s="90">
        <f>'Raw RTF'!L59</f>
        <v>0</v>
      </c>
      <c r="M48" s="90">
        <f>'Raw RTF'!M59</f>
        <v>0</v>
      </c>
      <c r="N48" s="90">
        <f>'Raw RTF'!N59</f>
        <v>0</v>
      </c>
      <c r="O48" s="90">
        <f>'Raw RTF'!O59</f>
        <v>0</v>
      </c>
      <c r="P48" s="90">
        <f>'Raw RTF'!P59</f>
        <v>0</v>
      </c>
    </row>
    <row r="49" spans="1:16">
      <c r="A49" s="31"/>
      <c r="B49" s="31" t="str">
        <f>'Raw RTF'!B60</f>
        <v>Manuf Homes Wx - Floor R11 - R22 + HZ2 + Heat Pump</v>
      </c>
      <c r="C49" s="31" t="str">
        <f>'Raw RTF'!C60</f>
        <v>Floor R11 - R22 + HZ2 + Heat Pump</v>
      </c>
      <c r="D49" s="91">
        <f>'Raw RTF'!D60</f>
        <v>2.6223612456817185E-2</v>
      </c>
      <c r="E49" s="90">
        <f>'Raw RTF'!E60</f>
        <v>25</v>
      </c>
      <c r="F49" s="90">
        <f>'Raw RTF'!F60</f>
        <v>3.3</v>
      </c>
      <c r="G49" s="90">
        <f>'Raw RTF'!G60</f>
        <v>0</v>
      </c>
      <c r="H49" s="90" t="str">
        <f>'Raw RTF'!H60</f>
        <v>ResSHWX</v>
      </c>
      <c r="I49" s="91">
        <f>'Raw RTF'!I60</f>
        <v>4.1763910547542297E-4</v>
      </c>
      <c r="J49" s="90">
        <f>'Raw RTF'!J60</f>
        <v>0</v>
      </c>
      <c r="K49" s="90">
        <f>'Raw RTF'!K60</f>
        <v>0</v>
      </c>
      <c r="L49" s="90">
        <f>'Raw RTF'!L60</f>
        <v>0</v>
      </c>
      <c r="M49" s="90">
        <f>'Raw RTF'!M60</f>
        <v>0</v>
      </c>
      <c r="N49" s="90">
        <f>'Raw RTF'!N60</f>
        <v>0</v>
      </c>
      <c r="O49" s="90">
        <f>'Raw RTF'!O60</f>
        <v>0</v>
      </c>
      <c r="P49" s="90">
        <f>'Raw RTF'!P60</f>
        <v>0</v>
      </c>
    </row>
    <row r="50" spans="1:16">
      <c r="A50" s="31"/>
      <c r="B50" s="31" t="str">
        <f>'Raw RTF'!B61</f>
        <v>Manuf Homes Wx - WINDOW CL30 Prime Window Replacement of Double Pane Base + HZ2 + Heat Pump</v>
      </c>
      <c r="C50" s="31" t="str">
        <f>'Raw RTF'!C61</f>
        <v>WINDOW CL30 Prime Window Replacement of Double Pane Base + HZ2 + Heat Pump</v>
      </c>
      <c r="D50" s="91">
        <f>'Raw RTF'!D61</f>
        <v>2.4370186838112233</v>
      </c>
      <c r="E50" s="90">
        <f>'Raw RTF'!E61</f>
        <v>25</v>
      </c>
      <c r="F50" s="90">
        <f>'Raw RTF'!F61</f>
        <v>20.605937224457286</v>
      </c>
      <c r="G50" s="90">
        <f>'Raw RTF'!G61</f>
        <v>0</v>
      </c>
      <c r="H50" s="90" t="str">
        <f>'Raw RTF'!H61</f>
        <v>ResSHWX</v>
      </c>
      <c r="I50" s="91">
        <f>'Raw RTF'!I61</f>
        <v>3.8812131807157736E-2</v>
      </c>
      <c r="J50" s="90">
        <f>'Raw RTF'!J61</f>
        <v>0</v>
      </c>
      <c r="K50" s="90">
        <f>'Raw RTF'!K61</f>
        <v>0</v>
      </c>
      <c r="L50" s="90">
        <f>'Raw RTF'!L61</f>
        <v>0</v>
      </c>
      <c r="M50" s="90">
        <f>'Raw RTF'!M61</f>
        <v>0</v>
      </c>
      <c r="N50" s="90">
        <f>'Raw RTF'!N61</f>
        <v>0</v>
      </c>
      <c r="O50" s="90">
        <f>'Raw RTF'!O61</f>
        <v>0</v>
      </c>
      <c r="P50" s="90">
        <f>'Raw RTF'!P61</f>
        <v>0</v>
      </c>
    </row>
    <row r="51" spans="1:16">
      <c r="A51" s="31"/>
      <c r="B51" s="31" t="str">
        <f>'Raw RTF'!B62</f>
        <v>Manuf Homes Wx - WINDOW CL30 Prime Window Replacement of Single Pane Base + HZ2 + Heat Pump</v>
      </c>
      <c r="C51" s="31" t="str">
        <f>'Raw RTF'!C62</f>
        <v>WINDOW CL30 Prime Window Replacement of Single Pane Base + HZ2 + Heat Pump</v>
      </c>
      <c r="D51" s="91">
        <f>'Raw RTF'!D62</f>
        <v>3.806888307524634</v>
      </c>
      <c r="E51" s="90">
        <f>'Raw RTF'!E62</f>
        <v>25</v>
      </c>
      <c r="F51" s="90">
        <f>'Raw RTF'!F62</f>
        <v>20.605937224457286</v>
      </c>
      <c r="G51" s="90">
        <f>'Raw RTF'!G62</f>
        <v>0</v>
      </c>
      <c r="H51" s="90" t="str">
        <f>'Raw RTF'!H62</f>
        <v>ResSHWX</v>
      </c>
      <c r="I51" s="91">
        <f>'Raw RTF'!I62</f>
        <v>6.06287722569709E-2</v>
      </c>
      <c r="J51" s="90">
        <f>'Raw RTF'!J62</f>
        <v>0</v>
      </c>
      <c r="K51" s="90">
        <f>'Raw RTF'!K62</f>
        <v>0</v>
      </c>
      <c r="L51" s="90">
        <f>'Raw RTF'!L62</f>
        <v>0</v>
      </c>
      <c r="M51" s="90">
        <f>'Raw RTF'!M62</f>
        <v>0</v>
      </c>
      <c r="N51" s="90">
        <f>'Raw RTF'!N62</f>
        <v>0</v>
      </c>
      <c r="O51" s="90">
        <f>'Raw RTF'!O62</f>
        <v>0</v>
      </c>
      <c r="P51" s="90">
        <f>'Raw RTF'!P62</f>
        <v>0</v>
      </c>
    </row>
    <row r="52" spans="1:16">
      <c r="A52" s="31"/>
      <c r="B52" s="31" t="str">
        <f>'Raw RTF'!B63</f>
        <v>Manuf Homes Wx - WINDOW CL22 Prime Window Replacement of Double Pane Base + HZ2 + Heat Pump</v>
      </c>
      <c r="C52" s="31" t="str">
        <f>'Raw RTF'!C63</f>
        <v>WINDOW CL22 Prime Window Replacement of Double Pane Base + HZ2 + Heat Pump</v>
      </c>
      <c r="D52" s="91">
        <f>'Raw RTF'!D63</f>
        <v>6.2506227232565887</v>
      </c>
      <c r="E52" s="90">
        <f>'Raw RTF'!E63</f>
        <v>25</v>
      </c>
      <c r="F52" s="90">
        <f>'Raw RTF'!F63</f>
        <v>21.965937224457285</v>
      </c>
      <c r="G52" s="90">
        <f>'Raw RTF'!G63</f>
        <v>0</v>
      </c>
      <c r="H52" s="90" t="str">
        <f>'Raw RTF'!H63</f>
        <v>ResSHWX</v>
      </c>
      <c r="I52" s="91">
        <f>'Raw RTF'!I63</f>
        <v>4.1522702763001497E-2</v>
      </c>
      <c r="J52" s="90">
        <f>'Raw RTF'!J63</f>
        <v>0</v>
      </c>
      <c r="K52" s="90">
        <f>'Raw RTF'!K63</f>
        <v>0</v>
      </c>
      <c r="L52" s="90">
        <f>'Raw RTF'!L63</f>
        <v>0</v>
      </c>
      <c r="M52" s="90">
        <f>'Raw RTF'!M63</f>
        <v>0</v>
      </c>
      <c r="N52" s="90">
        <f>'Raw RTF'!N63</f>
        <v>0</v>
      </c>
      <c r="O52" s="90">
        <f>'Raw RTF'!O63</f>
        <v>0</v>
      </c>
      <c r="P52" s="90">
        <f>'Raw RTF'!P63</f>
        <v>0</v>
      </c>
    </row>
    <row r="53" spans="1:16">
      <c r="A53" s="31"/>
      <c r="B53" s="31" t="str">
        <f>'Raw RTF'!B64</f>
        <v>Manuf Homes Wx - WINDOW CL22 Prime Window Replacement of Single Pane Base + HZ2 + Heat Pump</v>
      </c>
      <c r="C53" s="31" t="str">
        <f>'Raw RTF'!C64</f>
        <v>WINDOW CL22 Prime Window Replacement of Single Pane Base + HZ2 + Heat Pump</v>
      </c>
      <c r="D53" s="91">
        <f>'Raw RTF'!D64</f>
        <v>4.1250258593955831</v>
      </c>
      <c r="E53" s="90">
        <f>'Raw RTF'!E64</f>
        <v>25</v>
      </c>
      <c r="F53" s="90">
        <f>'Raw RTF'!F64</f>
        <v>21.965937224457285</v>
      </c>
      <c r="G53" s="90">
        <f>'Raw RTF'!G64</f>
        <v>0</v>
      </c>
      <c r="H53" s="90" t="str">
        <f>'Raw RTF'!H64</f>
        <v>ResSHWX</v>
      </c>
      <c r="I53" s="91">
        <f>'Raw RTF'!I64</f>
        <v>6.5695453394068917E-2</v>
      </c>
      <c r="J53" s="90">
        <f>'Raw RTF'!J64</f>
        <v>0</v>
      </c>
      <c r="K53" s="90">
        <f>'Raw RTF'!K64</f>
        <v>0</v>
      </c>
      <c r="L53" s="90">
        <f>'Raw RTF'!L64</f>
        <v>0</v>
      </c>
      <c r="M53" s="90">
        <f>'Raw RTF'!M64</f>
        <v>0</v>
      </c>
      <c r="N53" s="90">
        <f>'Raw RTF'!N64</f>
        <v>0</v>
      </c>
      <c r="O53" s="90">
        <f>'Raw RTF'!O64</f>
        <v>0</v>
      </c>
      <c r="P53" s="90">
        <f>'Raw RTF'!P64</f>
        <v>0</v>
      </c>
    </row>
    <row r="54" spans="1:16">
      <c r="A54" s="31"/>
      <c r="B54" s="31" t="str">
        <f>'Raw RTF'!B67</f>
        <v>Manuf Homes Wx - Infiltration + HZ2 + Heat Pump</v>
      </c>
      <c r="C54" s="31" t="str">
        <f>'Raw RTF'!C67</f>
        <v>Infiltration + HZ2 + Heat Pump</v>
      </c>
      <c r="D54" s="91">
        <f>'Raw RTF'!D67</f>
        <v>0.14925354302543398</v>
      </c>
      <c r="E54" s="90">
        <f>'Raw RTF'!E67</f>
        <v>25</v>
      </c>
      <c r="F54" s="90">
        <f>'Raw RTF'!F67</f>
        <v>3.1</v>
      </c>
      <c r="G54" s="90">
        <f>'Raw RTF'!G67</f>
        <v>0</v>
      </c>
      <c r="H54" s="90" t="str">
        <f>'Raw RTF'!H67</f>
        <v>ResSHWX</v>
      </c>
      <c r="I54" s="91">
        <f>'Raw RTF'!I67</f>
        <v>2.3770224754818305E-3</v>
      </c>
      <c r="J54" s="90">
        <f>'Raw RTF'!J67</f>
        <v>0</v>
      </c>
      <c r="K54" s="90">
        <f>'Raw RTF'!K67</f>
        <v>0</v>
      </c>
      <c r="L54" s="90">
        <f>'Raw RTF'!L67</f>
        <v>0</v>
      </c>
      <c r="M54" s="90">
        <f>'Raw RTF'!M67</f>
        <v>0</v>
      </c>
      <c r="N54" s="90">
        <f>'Raw RTF'!N67</f>
        <v>0</v>
      </c>
      <c r="O54" s="90">
        <f>'Raw RTF'!O67</f>
        <v>0</v>
      </c>
      <c r="P54" s="90">
        <f>'Raw RTF'!P67</f>
        <v>0</v>
      </c>
    </row>
    <row r="55" spans="1:16">
      <c r="A55" s="31"/>
      <c r="B55" s="31" t="str">
        <f>'Raw RTF'!B68</f>
        <v>Manuf Homes Wx - Attic R0 - R30 + HZ3 + Heat Pump</v>
      </c>
      <c r="C55" s="31" t="str">
        <f>'Raw RTF'!C68</f>
        <v>Attic R0 - R30 + HZ3 + Heat Pump</v>
      </c>
      <c r="D55" s="91">
        <f>'Raw RTF'!D68</f>
        <v>0.45418016417160967</v>
      </c>
      <c r="E55" s="90">
        <f>'Raw RTF'!E68</f>
        <v>25</v>
      </c>
      <c r="F55" s="90">
        <f>'Raw RTF'!F68</f>
        <v>2.1</v>
      </c>
      <c r="G55" s="90">
        <f>'Raw RTF'!G68</f>
        <v>0</v>
      </c>
      <c r="H55" s="90" t="str">
        <f>'Raw RTF'!H68</f>
        <v>ResSHWX</v>
      </c>
      <c r="I55" s="91">
        <f>'Raw RTF'!I68</f>
        <v>7.2333053961068927E-3</v>
      </c>
      <c r="J55" s="90">
        <f>'Raw RTF'!J68</f>
        <v>0</v>
      </c>
      <c r="K55" s="90">
        <f>'Raw RTF'!K68</f>
        <v>0</v>
      </c>
      <c r="L55" s="90">
        <f>'Raw RTF'!L68</f>
        <v>0</v>
      </c>
      <c r="M55" s="90">
        <f>'Raw RTF'!M68</f>
        <v>0</v>
      </c>
      <c r="N55" s="90">
        <f>'Raw RTF'!N68</f>
        <v>0</v>
      </c>
      <c r="O55" s="90">
        <f>'Raw RTF'!O68</f>
        <v>0</v>
      </c>
      <c r="P55" s="90">
        <f>'Raw RTF'!P68</f>
        <v>0</v>
      </c>
    </row>
    <row r="56" spans="1:16">
      <c r="A56" s="31"/>
      <c r="B56" s="31" t="str">
        <f>'Raw RTF'!B69</f>
        <v>Manuf Homes Wx - Attic R0 - R22 + HZ3 + Heat Pump</v>
      </c>
      <c r="C56" s="31" t="str">
        <f>'Raw RTF'!C69</f>
        <v>Attic R0 - R22 + HZ3 + Heat Pump</v>
      </c>
      <c r="D56" s="91">
        <f>'Raw RTF'!D69</f>
        <v>0.39034339888996411</v>
      </c>
      <c r="E56" s="90">
        <f>'Raw RTF'!E69</f>
        <v>25</v>
      </c>
      <c r="F56" s="90">
        <f>'Raw RTF'!F69</f>
        <v>2.1</v>
      </c>
      <c r="G56" s="90">
        <f>'Raw RTF'!G69</f>
        <v>0</v>
      </c>
      <c r="H56" s="90" t="str">
        <f>'Raw RTF'!H69</f>
        <v>ResSHWX</v>
      </c>
      <c r="I56" s="91">
        <f>'Raw RTF'!I69</f>
        <v>6.2166365602409884E-3</v>
      </c>
      <c r="J56" s="90">
        <f>'Raw RTF'!J69</f>
        <v>0</v>
      </c>
      <c r="K56" s="90">
        <f>'Raw RTF'!K69</f>
        <v>0</v>
      </c>
      <c r="L56" s="90">
        <f>'Raw RTF'!L69</f>
        <v>0</v>
      </c>
      <c r="M56" s="90">
        <f>'Raw RTF'!M69</f>
        <v>0</v>
      </c>
      <c r="N56" s="90">
        <f>'Raw RTF'!N69</f>
        <v>0</v>
      </c>
      <c r="O56" s="90">
        <f>'Raw RTF'!O69</f>
        <v>0</v>
      </c>
      <c r="P56" s="90">
        <f>'Raw RTF'!P69</f>
        <v>0</v>
      </c>
    </row>
    <row r="57" spans="1:16">
      <c r="A57" s="31"/>
      <c r="B57" s="31" t="str">
        <f>'Raw RTF'!B70</f>
        <v>Manuf Homes Wx - Attic R11 - R30 + HZ3 + Heat Pump</v>
      </c>
      <c r="C57" s="31" t="str">
        <f>'Raw RTF'!C70</f>
        <v>Attic R11 - R30 + HZ3 + Heat Pump</v>
      </c>
      <c r="D57" s="91">
        <f>'Raw RTF'!D70</f>
        <v>-1.5687898617586977E-2</v>
      </c>
      <c r="E57" s="90">
        <f>'Raw RTF'!E70</f>
        <v>25</v>
      </c>
      <c r="F57" s="90">
        <f>'Raw RTF'!F70</f>
        <v>2.1</v>
      </c>
      <c r="G57" s="90">
        <f>'Raw RTF'!G70</f>
        <v>0</v>
      </c>
      <c r="H57" s="90" t="str">
        <f>'Raw RTF'!H70</f>
        <v>ResSHWX</v>
      </c>
      <c r="I57" s="91">
        <f>'Raw RTF'!I70</f>
        <v>-2.498465822062941E-4</v>
      </c>
      <c r="J57" s="90">
        <f>'Raw RTF'!J70</f>
        <v>0</v>
      </c>
      <c r="K57" s="90">
        <f>'Raw RTF'!K70</f>
        <v>0</v>
      </c>
      <c r="L57" s="90">
        <f>'Raw RTF'!L70</f>
        <v>0</v>
      </c>
      <c r="M57" s="90">
        <f>'Raw RTF'!M70</f>
        <v>0</v>
      </c>
      <c r="N57" s="90">
        <f>'Raw RTF'!N70</f>
        <v>0</v>
      </c>
      <c r="O57" s="90">
        <f>'Raw RTF'!O70</f>
        <v>0</v>
      </c>
      <c r="P57" s="90">
        <f>'Raw RTF'!P70</f>
        <v>0</v>
      </c>
    </row>
    <row r="58" spans="1:16">
      <c r="A58" s="31"/>
      <c r="B58" s="31" t="str">
        <f>'Raw RTF'!B71</f>
        <v>Manuf Homes Wx - Floor R0 - R22 + HZ3 + Heat Pump</v>
      </c>
      <c r="C58" s="31" t="str">
        <f>'Raw RTF'!C71</f>
        <v>Floor R0 - R22 + HZ3 + Heat Pump</v>
      </c>
      <c r="D58" s="91">
        <f>'Raw RTF'!D71</f>
        <v>3.5282744619257199E-2</v>
      </c>
      <c r="E58" s="90">
        <f>'Raw RTF'!E71</f>
        <v>25</v>
      </c>
      <c r="F58" s="90">
        <f>'Raw RTF'!F71</f>
        <v>3.3</v>
      </c>
      <c r="G58" s="90">
        <f>'Raw RTF'!G71</f>
        <v>0</v>
      </c>
      <c r="H58" s="90" t="str">
        <f>'Raw RTF'!H71</f>
        <v>ResSHWX</v>
      </c>
      <c r="I58" s="91">
        <f>'Raw RTF'!I71</f>
        <v>5.619154845950174E-4</v>
      </c>
      <c r="J58" s="90">
        <f>'Raw RTF'!J71</f>
        <v>0</v>
      </c>
      <c r="K58" s="90">
        <f>'Raw RTF'!K71</f>
        <v>0</v>
      </c>
      <c r="L58" s="90">
        <f>'Raw RTF'!L71</f>
        <v>0</v>
      </c>
      <c r="M58" s="90">
        <f>'Raw RTF'!M71</f>
        <v>0</v>
      </c>
      <c r="N58" s="90">
        <f>'Raw RTF'!N71</f>
        <v>0</v>
      </c>
      <c r="O58" s="90">
        <f>'Raw RTF'!O71</f>
        <v>0</v>
      </c>
      <c r="P58" s="90">
        <f>'Raw RTF'!P71</f>
        <v>0</v>
      </c>
    </row>
    <row r="59" spans="1:16">
      <c r="A59" s="31"/>
      <c r="B59" s="31" t="str">
        <f>'Raw RTF'!B72</f>
        <v>Manuf Homes Wx - Floor R11 - R22 + HZ3 + Heat Pump</v>
      </c>
      <c r="C59" s="31" t="str">
        <f>'Raw RTF'!C72</f>
        <v>Floor R11 - R22 + HZ3 + Heat Pump</v>
      </c>
      <c r="D59" s="91">
        <f>'Raw RTF'!D72</f>
        <v>-2.8899967172981728E-3</v>
      </c>
      <c r="E59" s="90">
        <f>'Raw RTF'!E72</f>
        <v>25</v>
      </c>
      <c r="F59" s="90">
        <f>'Raw RTF'!F72</f>
        <v>3.3</v>
      </c>
      <c r="G59" s="90">
        <f>'Raw RTF'!G72</f>
        <v>0</v>
      </c>
      <c r="H59" s="90" t="str">
        <f>'Raw RTF'!H72</f>
        <v>ResSHWX</v>
      </c>
      <c r="I59" s="91">
        <f>'Raw RTF'!I72</f>
        <v>-4.6026291985014085E-5</v>
      </c>
      <c r="J59" s="90">
        <f>'Raw RTF'!J72</f>
        <v>0</v>
      </c>
      <c r="K59" s="90">
        <f>'Raw RTF'!K72</f>
        <v>0</v>
      </c>
      <c r="L59" s="90">
        <f>'Raw RTF'!L72</f>
        <v>0</v>
      </c>
      <c r="M59" s="90">
        <f>'Raw RTF'!M72</f>
        <v>0</v>
      </c>
      <c r="N59" s="90">
        <f>'Raw RTF'!N72</f>
        <v>0</v>
      </c>
      <c r="O59" s="90">
        <f>'Raw RTF'!O72</f>
        <v>0</v>
      </c>
      <c r="P59" s="90">
        <f>'Raw RTF'!P72</f>
        <v>0</v>
      </c>
    </row>
    <row r="60" spans="1:16">
      <c r="A60" s="31"/>
      <c r="B60" s="31" t="str">
        <f>'Raw RTF'!B73</f>
        <v>Manuf Homes Wx - WINDOW CL30 Prime Window Replacement of Double Pane Base + HZ3 + Heat Pump</v>
      </c>
      <c r="C60" s="31" t="str">
        <f>'Raw RTF'!C73</f>
        <v>WINDOW CL30 Prime Window Replacement of Double Pane Base + HZ3 + Heat Pump</v>
      </c>
      <c r="D60" s="91">
        <f>'Raw RTF'!D73</f>
        <v>4.5574394707944199</v>
      </c>
      <c r="E60" s="90">
        <f>'Raw RTF'!E73</f>
        <v>25</v>
      </c>
      <c r="F60" s="90">
        <f>'Raw RTF'!F73</f>
        <v>20.605937224457286</v>
      </c>
      <c r="G60" s="90">
        <f>'Raw RTF'!G73</f>
        <v>0</v>
      </c>
      <c r="H60" s="90" t="str">
        <f>'Raw RTF'!H73</f>
        <v>ResSHWX</v>
      </c>
      <c r="I60" s="91">
        <f>'Raw RTF'!I73</f>
        <v>7.2582103132253981E-2</v>
      </c>
      <c r="J60" s="90">
        <f>'Raw RTF'!J73</f>
        <v>0</v>
      </c>
      <c r="K60" s="90">
        <f>'Raw RTF'!K73</f>
        <v>0</v>
      </c>
      <c r="L60" s="90">
        <f>'Raw RTF'!L73</f>
        <v>0</v>
      </c>
      <c r="M60" s="90">
        <f>'Raw RTF'!M73</f>
        <v>0</v>
      </c>
      <c r="N60" s="90">
        <f>'Raw RTF'!N73</f>
        <v>0</v>
      </c>
      <c r="O60" s="90">
        <f>'Raw RTF'!O73</f>
        <v>0</v>
      </c>
      <c r="P60" s="90">
        <f>'Raw RTF'!P73</f>
        <v>0</v>
      </c>
    </row>
    <row r="61" spans="1:16">
      <c r="A61" s="31"/>
      <c r="B61" s="31" t="str">
        <f>'Raw RTF'!B74</f>
        <v>Manuf Homes Wx - WINDOW CL30 Prime Window Replacement of Single Pane Base + HZ3 + Heat Pump</v>
      </c>
      <c r="C61" s="31" t="str">
        <f>'Raw RTF'!C74</f>
        <v>WINDOW CL30 Prime Window Replacement of Single Pane Base + HZ3 + Heat Pump</v>
      </c>
      <c r="D61" s="91">
        <f>'Raw RTF'!D74</f>
        <v>5.7166071763955371</v>
      </c>
      <c r="E61" s="90">
        <f>'Raw RTF'!E74</f>
        <v>25</v>
      </c>
      <c r="F61" s="90">
        <f>'Raw RTF'!F74</f>
        <v>20.605937224457286</v>
      </c>
      <c r="G61" s="90">
        <f>'Raw RTF'!G74</f>
        <v>0</v>
      </c>
      <c r="H61" s="90" t="str">
        <f>'Raw RTF'!H74</f>
        <v>ResSHWX</v>
      </c>
      <c r="I61" s="91">
        <f>'Raw RTF'!I74</f>
        <v>9.104308994177332E-2</v>
      </c>
      <c r="J61" s="90">
        <f>'Raw RTF'!J74</f>
        <v>0</v>
      </c>
      <c r="K61" s="90">
        <f>'Raw RTF'!K74</f>
        <v>0</v>
      </c>
      <c r="L61" s="90">
        <f>'Raw RTF'!L74</f>
        <v>0</v>
      </c>
      <c r="M61" s="90">
        <f>'Raw RTF'!M74</f>
        <v>0</v>
      </c>
      <c r="N61" s="90">
        <f>'Raw RTF'!N74</f>
        <v>0</v>
      </c>
      <c r="O61" s="90">
        <f>'Raw RTF'!O74</f>
        <v>0</v>
      </c>
      <c r="P61" s="90">
        <f>'Raw RTF'!P74</f>
        <v>0</v>
      </c>
    </row>
    <row r="62" spans="1:16">
      <c r="A62" s="31"/>
      <c r="B62" s="31" t="str">
        <f>'Raw RTF'!B75</f>
        <v>Manuf Homes Wx - WINDOW CL22 Prime Window Replacement of Double Pane Base + HZ3 + Heat Pump</v>
      </c>
      <c r="C62" s="31" t="str">
        <f>'Raw RTF'!C75</f>
        <v>WINDOW CL22 Prime Window Replacement of Double Pane Base + HZ3 + Heat Pump</v>
      </c>
      <c r="D62" s="91">
        <f>'Raw RTF'!D75</f>
        <v>7.2994829247742192</v>
      </c>
      <c r="E62" s="90">
        <f>'Raw RTF'!E75</f>
        <v>25</v>
      </c>
      <c r="F62" s="90">
        <f>'Raw RTF'!F75</f>
        <v>21.965937224457285</v>
      </c>
      <c r="G62" s="90">
        <f>'Raw RTF'!G75</f>
        <v>0</v>
      </c>
      <c r="H62" s="90" t="str">
        <f>'Raw RTF'!H75</f>
        <v>ResSHWX</v>
      </c>
      <c r="I62" s="91">
        <f>'Raw RTF'!I75</f>
        <v>7.582619787063942E-2</v>
      </c>
      <c r="J62" s="90">
        <f>'Raw RTF'!J75</f>
        <v>0</v>
      </c>
      <c r="K62" s="90">
        <f>'Raw RTF'!K75</f>
        <v>0</v>
      </c>
      <c r="L62" s="90">
        <f>'Raw RTF'!L75</f>
        <v>0</v>
      </c>
      <c r="M62" s="90">
        <f>'Raw RTF'!M75</f>
        <v>0</v>
      </c>
      <c r="N62" s="90">
        <f>'Raw RTF'!N75</f>
        <v>0</v>
      </c>
      <c r="O62" s="90">
        <f>'Raw RTF'!O75</f>
        <v>0</v>
      </c>
      <c r="P62" s="90">
        <f>'Raw RTF'!P75</f>
        <v>0</v>
      </c>
    </row>
    <row r="63" spans="1:16">
      <c r="A63" s="31"/>
      <c r="B63" s="31" t="str">
        <f>'Raw RTF'!B76</f>
        <v>Manuf Homes Wx - WINDOW CL22 Prime Window Replacement of Single Pane Base + HZ3 + Heat Pump</v>
      </c>
      <c r="C63" s="31" t="str">
        <f>'Raw RTF'!C76</f>
        <v>WINDOW CL22 Prime Window Replacement of Single Pane Base + HZ3 + Heat Pump</v>
      </c>
      <c r="D63" s="91">
        <f>'Raw RTF'!D76</f>
        <v>6.0581916165879015</v>
      </c>
      <c r="E63" s="90">
        <f>'Raw RTF'!E76</f>
        <v>25</v>
      </c>
      <c r="F63" s="90">
        <f>'Raw RTF'!F76</f>
        <v>21.965937224457285</v>
      </c>
      <c r="G63" s="90">
        <f>'Raw RTF'!G76</f>
        <v>0</v>
      </c>
      <c r="H63" s="90" t="str">
        <f>'Raw RTF'!H76</f>
        <v>ResSHWX</v>
      </c>
      <c r="I63" s="91">
        <f>'Raw RTF'!I76</f>
        <v>9.6483187879507132E-2</v>
      </c>
      <c r="J63" s="90">
        <f>'Raw RTF'!J76</f>
        <v>0</v>
      </c>
      <c r="K63" s="90">
        <f>'Raw RTF'!K76</f>
        <v>0</v>
      </c>
      <c r="L63" s="90">
        <f>'Raw RTF'!L76</f>
        <v>0</v>
      </c>
      <c r="M63" s="90">
        <f>'Raw RTF'!M76</f>
        <v>0</v>
      </c>
      <c r="N63" s="90">
        <f>'Raw RTF'!N76</f>
        <v>0</v>
      </c>
      <c r="O63" s="90">
        <f>'Raw RTF'!O76</f>
        <v>0</v>
      </c>
      <c r="P63" s="90">
        <f>'Raw RTF'!P76</f>
        <v>0</v>
      </c>
    </row>
    <row r="64" spans="1:16">
      <c r="A64" s="31"/>
      <c r="B64" s="31" t="str">
        <f>'Raw RTF'!B79</f>
        <v>Manuf Homes Wx - Infiltration + HZ3 + Heat Pump</v>
      </c>
      <c r="C64" s="31" t="str">
        <f>'Raw RTF'!C79</f>
        <v>Infiltration + HZ3 + Heat Pump</v>
      </c>
      <c r="D64" s="91">
        <f>'Raw RTF'!D79</f>
        <v>0.18704712126310194</v>
      </c>
      <c r="E64" s="90">
        <f>'Raw RTF'!E79</f>
        <v>25</v>
      </c>
      <c r="F64" s="90">
        <f>'Raw RTF'!F79</f>
        <v>3.1</v>
      </c>
      <c r="G64" s="90">
        <f>'Raw RTF'!G79</f>
        <v>0</v>
      </c>
      <c r="H64" s="90" t="str">
        <f>'Raw RTF'!H79</f>
        <v>ResSHWX</v>
      </c>
      <c r="I64" s="91">
        <f>'Raw RTF'!I79</f>
        <v>2.9789256737496861E-3</v>
      </c>
      <c r="J64" s="90">
        <f>'Raw RTF'!J79</f>
        <v>0</v>
      </c>
      <c r="K64" s="90">
        <f>'Raw RTF'!K79</f>
        <v>0</v>
      </c>
      <c r="L64" s="90">
        <f>'Raw RTF'!L79</f>
        <v>0</v>
      </c>
      <c r="M64" s="90">
        <f>'Raw RTF'!M79</f>
        <v>0</v>
      </c>
      <c r="N64" s="90">
        <f>'Raw RTF'!N79</f>
        <v>0</v>
      </c>
      <c r="O64" s="90">
        <f>'Raw RTF'!O79</f>
        <v>0</v>
      </c>
      <c r="P64" s="90">
        <f>'Raw RTF'!P79</f>
        <v>0</v>
      </c>
    </row>
    <row r="65" spans="1:16">
      <c r="A65" s="31"/>
      <c r="B65" s="31"/>
      <c r="C65" s="31"/>
      <c r="D65" s="91"/>
      <c r="E65" s="90"/>
      <c r="F65" s="90"/>
      <c r="G65" s="90"/>
      <c r="H65" s="90"/>
      <c r="I65" s="90"/>
      <c r="J65" s="90"/>
      <c r="K65" s="90"/>
      <c r="L65" s="90"/>
      <c r="M65" s="90"/>
      <c r="N65" s="90"/>
      <c r="O65" s="90"/>
      <c r="P65" s="90"/>
    </row>
    <row r="66" spans="1:16">
      <c r="A66" s="31"/>
      <c r="B66" s="31"/>
      <c r="C66" s="31"/>
      <c r="D66" s="91"/>
      <c r="E66" s="90"/>
      <c r="F66" s="90"/>
      <c r="G66" s="90"/>
      <c r="H66" s="90"/>
      <c r="I66" s="90"/>
      <c r="J66" s="90"/>
      <c r="K66" s="90"/>
      <c r="L66" s="90"/>
      <c r="M66" s="90"/>
      <c r="N66" s="90"/>
      <c r="O66" s="90"/>
      <c r="P66" s="90"/>
    </row>
    <row r="67" spans="1:16">
      <c r="A67" s="31"/>
      <c r="B67" s="31"/>
      <c r="C67" s="31"/>
      <c r="D67" s="91"/>
      <c r="E67" s="90"/>
      <c r="F67" s="90"/>
      <c r="G67" s="90"/>
      <c r="H67" s="90"/>
      <c r="I67" s="90"/>
      <c r="J67" s="90"/>
      <c r="K67" s="90"/>
      <c r="L67" s="90"/>
      <c r="M67" s="90"/>
      <c r="N67" s="90"/>
      <c r="O67" s="90"/>
      <c r="P67" s="90"/>
    </row>
    <row r="68" spans="1:16">
      <c r="A68" s="31"/>
      <c r="B68" s="31"/>
      <c r="C68" s="31"/>
      <c r="D68" s="91"/>
      <c r="E68" s="90"/>
      <c r="F68" s="90"/>
      <c r="G68" s="90"/>
      <c r="H68" s="90"/>
      <c r="I68" s="90"/>
      <c r="J68" s="90"/>
      <c r="K68" s="90"/>
      <c r="L68" s="90"/>
      <c r="M68" s="90"/>
      <c r="N68" s="90"/>
      <c r="O68" s="90"/>
      <c r="P68" s="90"/>
    </row>
    <row r="69" spans="1:16">
      <c r="A69" s="31"/>
      <c r="B69" s="31"/>
      <c r="C69" s="31"/>
      <c r="D69" s="91"/>
      <c r="E69" s="90"/>
      <c r="F69" s="90"/>
      <c r="G69" s="90"/>
      <c r="H69" s="90"/>
      <c r="I69" s="90"/>
      <c r="J69" s="90"/>
      <c r="K69" s="90"/>
      <c r="L69" s="90"/>
      <c r="M69" s="90"/>
      <c r="N69" s="90"/>
      <c r="O69" s="90"/>
      <c r="P69" s="90"/>
    </row>
    <row r="70" spans="1:16">
      <c r="A70" s="31"/>
      <c r="B70" s="31"/>
      <c r="C70" s="31"/>
      <c r="D70" s="91"/>
      <c r="E70" s="90"/>
      <c r="F70" s="90"/>
      <c r="G70" s="90"/>
      <c r="H70" s="90"/>
      <c r="I70" s="90"/>
      <c r="J70" s="90"/>
      <c r="K70" s="90"/>
      <c r="L70" s="90"/>
      <c r="M70" s="90"/>
      <c r="N70" s="90"/>
      <c r="O70" s="90"/>
      <c r="P70" s="90"/>
    </row>
    <row r="71" spans="1:16">
      <c r="A71" s="31"/>
      <c r="B71" s="31"/>
      <c r="C71" s="31"/>
      <c r="D71" s="91"/>
      <c r="E71" s="90"/>
      <c r="F71" s="90"/>
      <c r="G71" s="90"/>
      <c r="H71" s="90"/>
      <c r="I71" s="90"/>
      <c r="J71" s="90"/>
      <c r="K71" s="90"/>
      <c r="L71" s="90"/>
      <c r="M71" s="90"/>
      <c r="N71" s="90"/>
      <c r="O71" s="90"/>
      <c r="P71" s="90"/>
    </row>
    <row r="72" spans="1:16">
      <c r="A72" s="31"/>
      <c r="B72" s="31"/>
      <c r="C72" s="31"/>
      <c r="D72" s="91"/>
      <c r="E72" s="90"/>
      <c r="F72" s="90"/>
      <c r="G72" s="90"/>
      <c r="H72" s="90"/>
      <c r="I72" s="90"/>
      <c r="J72" s="90"/>
      <c r="K72" s="90"/>
      <c r="L72" s="90"/>
      <c r="M72" s="90"/>
      <c r="N72" s="90"/>
      <c r="O72" s="90"/>
      <c r="P72" s="90"/>
    </row>
    <row r="73" spans="1:16">
      <c r="A73" s="31"/>
      <c r="B73" s="31"/>
      <c r="C73" s="31"/>
      <c r="D73" s="91"/>
      <c r="E73" s="90"/>
      <c r="F73" s="90"/>
      <c r="G73" s="90"/>
      <c r="H73" s="90"/>
      <c r="I73" s="90"/>
      <c r="J73" s="90"/>
      <c r="K73" s="90"/>
      <c r="L73" s="90"/>
      <c r="M73" s="90"/>
      <c r="N73" s="90"/>
      <c r="O73" s="90"/>
      <c r="P73" s="90"/>
    </row>
    <row r="74" spans="1:16">
      <c r="A74" s="31"/>
      <c r="B74" s="31"/>
      <c r="C74" s="31"/>
      <c r="D74" s="91"/>
      <c r="E74" s="90"/>
      <c r="F74" s="90"/>
      <c r="G74" s="90"/>
      <c r="H74" s="90"/>
      <c r="I74" s="90"/>
      <c r="J74" s="90"/>
      <c r="K74" s="90"/>
      <c r="L74" s="90"/>
      <c r="M74" s="90"/>
      <c r="N74" s="90"/>
      <c r="O74" s="90"/>
      <c r="P74" s="90"/>
    </row>
    <row r="75" spans="1:16">
      <c r="A75" s="31"/>
      <c r="B75" s="31"/>
      <c r="C75" s="31"/>
      <c r="D75" s="91"/>
      <c r="E75" s="90"/>
      <c r="F75" s="90"/>
      <c r="G75" s="90"/>
      <c r="H75" s="90"/>
      <c r="I75" s="90"/>
      <c r="J75" s="90"/>
      <c r="K75" s="90"/>
      <c r="L75" s="90"/>
      <c r="M75" s="90"/>
      <c r="N75" s="90"/>
      <c r="O75" s="90"/>
      <c r="P75" s="90"/>
    </row>
    <row r="76" spans="1:16">
      <c r="A76" s="31"/>
      <c r="B76" s="31"/>
      <c r="C76" s="31"/>
      <c r="D76" s="91"/>
      <c r="E76" s="90"/>
      <c r="F76" s="90"/>
      <c r="G76" s="90"/>
      <c r="H76" s="90"/>
      <c r="I76" s="90"/>
      <c r="J76" s="90"/>
      <c r="K76" s="90"/>
      <c r="L76" s="90"/>
      <c r="M76" s="90"/>
      <c r="N76" s="90"/>
      <c r="O76" s="90"/>
      <c r="P76" s="90"/>
    </row>
    <row r="77" spans="1:16">
      <c r="A77" s="31"/>
      <c r="B77" s="31"/>
      <c r="C77" s="31"/>
      <c r="D77" s="91"/>
      <c r="E77" s="90"/>
      <c r="F77" s="90"/>
      <c r="G77" s="90"/>
      <c r="H77" s="90"/>
      <c r="I77" s="90"/>
      <c r="J77" s="90"/>
      <c r="K77" s="90"/>
      <c r="L77" s="90"/>
      <c r="M77" s="90"/>
      <c r="N77" s="90"/>
      <c r="O77" s="90"/>
      <c r="P77" s="90"/>
    </row>
    <row r="78" spans="1:16">
      <c r="A78" s="31"/>
      <c r="B78" s="31"/>
      <c r="C78" s="31"/>
      <c r="D78" s="91"/>
      <c r="E78" s="90"/>
      <c r="F78" s="90"/>
      <c r="G78" s="90"/>
      <c r="H78" s="90"/>
      <c r="I78" s="90"/>
      <c r="J78" s="90"/>
      <c r="K78" s="90"/>
      <c r="L78" s="90"/>
      <c r="M78" s="90"/>
      <c r="N78" s="90"/>
      <c r="O78" s="90"/>
      <c r="P78" s="90"/>
    </row>
    <row r="79" spans="1:16">
      <c r="A79" s="31"/>
      <c r="B79" s="31"/>
      <c r="C79" s="31"/>
      <c r="D79" s="91"/>
      <c r="E79" s="90"/>
      <c r="F79" s="90"/>
      <c r="G79" s="90"/>
      <c r="H79" s="90"/>
      <c r="I79" s="90"/>
      <c r="J79" s="90"/>
      <c r="K79" s="90"/>
      <c r="L79" s="90"/>
      <c r="M79" s="90"/>
      <c r="N79" s="90"/>
      <c r="O79" s="90"/>
      <c r="P79" s="90"/>
    </row>
    <row r="80" spans="1:16">
      <c r="A80" s="31"/>
      <c r="B80" s="31"/>
      <c r="C80" s="31"/>
      <c r="D80" s="91"/>
      <c r="E80" s="90"/>
      <c r="F80" s="90"/>
      <c r="G80" s="90"/>
      <c r="H80" s="90"/>
      <c r="I80" s="90"/>
      <c r="J80" s="90"/>
      <c r="K80" s="90"/>
      <c r="L80" s="90"/>
      <c r="M80" s="90"/>
      <c r="N80" s="90"/>
      <c r="O80" s="90"/>
      <c r="P80" s="90"/>
    </row>
    <row r="81" spans="1:16">
      <c r="A81" s="31"/>
      <c r="B81" s="31"/>
      <c r="C81" s="31"/>
      <c r="D81" s="91"/>
      <c r="E81" s="90"/>
      <c r="F81" s="90"/>
      <c r="G81" s="90"/>
      <c r="H81" s="90"/>
      <c r="I81" s="90"/>
      <c r="J81" s="90"/>
      <c r="K81" s="90"/>
      <c r="L81" s="90"/>
      <c r="M81" s="90"/>
      <c r="N81" s="90"/>
      <c r="O81" s="90"/>
      <c r="P81" s="90"/>
    </row>
    <row r="82" spans="1:16">
      <c r="A82" s="31"/>
      <c r="B82" s="31"/>
      <c r="C82" s="31"/>
      <c r="D82" s="91"/>
      <c r="E82" s="90"/>
      <c r="F82" s="90"/>
      <c r="G82" s="90"/>
      <c r="H82" s="90"/>
      <c r="I82" s="90"/>
      <c r="J82" s="90"/>
      <c r="K82" s="90"/>
      <c r="L82" s="90"/>
      <c r="M82" s="90"/>
      <c r="N82" s="90"/>
      <c r="O82" s="90"/>
      <c r="P82" s="90"/>
    </row>
    <row r="83" spans="1:16">
      <c r="A83" s="31"/>
      <c r="B83" s="31"/>
      <c r="C83" s="31"/>
      <c r="D83" s="91"/>
      <c r="E83" s="90"/>
      <c r="F83" s="90"/>
      <c r="G83" s="90"/>
      <c r="H83" s="90"/>
      <c r="I83" s="90"/>
      <c r="J83" s="90"/>
      <c r="K83" s="90"/>
      <c r="L83" s="90"/>
      <c r="M83" s="90"/>
      <c r="N83" s="90"/>
      <c r="O83" s="90"/>
      <c r="P83" s="90"/>
    </row>
    <row r="84" spans="1:16">
      <c r="A84" s="31"/>
      <c r="B84" s="31"/>
      <c r="C84" s="31"/>
      <c r="D84" s="91"/>
      <c r="E84" s="90"/>
      <c r="F84" s="90"/>
      <c r="G84" s="90"/>
      <c r="H84" s="90"/>
      <c r="I84" s="90"/>
      <c r="J84" s="90"/>
      <c r="K84" s="90"/>
      <c r="L84" s="90"/>
      <c r="M84" s="90"/>
      <c r="N84" s="90"/>
      <c r="O84" s="90"/>
      <c r="P84" s="90"/>
    </row>
    <row r="85" spans="1:16">
      <c r="A85" s="31"/>
      <c r="B85" s="31"/>
      <c r="C85" s="31"/>
      <c r="D85" s="91"/>
      <c r="E85" s="90"/>
      <c r="F85" s="90"/>
      <c r="G85" s="90"/>
      <c r="H85" s="90"/>
      <c r="I85" s="90"/>
      <c r="J85" s="90"/>
      <c r="K85" s="90"/>
      <c r="L85" s="90"/>
      <c r="M85" s="90"/>
      <c r="N85" s="90"/>
      <c r="O85" s="90"/>
      <c r="P85" s="90"/>
    </row>
    <row r="86" spans="1:16">
      <c r="A86" s="31"/>
      <c r="B86" s="31"/>
      <c r="C86" s="31"/>
      <c r="D86" s="91"/>
      <c r="E86" s="90"/>
      <c r="F86" s="90"/>
      <c r="G86" s="90"/>
      <c r="H86" s="90"/>
      <c r="I86" s="90"/>
      <c r="J86" s="90"/>
      <c r="K86" s="90"/>
      <c r="L86" s="90"/>
      <c r="M86" s="90"/>
      <c r="N86" s="90"/>
      <c r="O86" s="90"/>
      <c r="P86" s="90"/>
    </row>
    <row r="87" spans="1:16">
      <c r="A87" s="31"/>
      <c r="B87" s="31"/>
      <c r="C87" s="31"/>
      <c r="D87" s="91"/>
      <c r="E87" s="90"/>
      <c r="F87" s="90"/>
      <c r="G87" s="90"/>
      <c r="H87" s="90"/>
      <c r="I87" s="90"/>
      <c r="J87" s="90"/>
      <c r="K87" s="90"/>
      <c r="L87" s="90"/>
      <c r="M87" s="90"/>
      <c r="N87" s="90"/>
      <c r="O87" s="90"/>
      <c r="P87" s="90"/>
    </row>
    <row r="88" spans="1:16">
      <c r="A88" s="31"/>
      <c r="B88" s="31"/>
      <c r="C88" s="31"/>
      <c r="D88" s="91"/>
      <c r="E88" s="90"/>
      <c r="F88" s="90"/>
      <c r="G88" s="90"/>
      <c r="H88" s="90"/>
      <c r="I88" s="90"/>
      <c r="J88" s="90"/>
      <c r="K88" s="90"/>
      <c r="L88" s="90"/>
      <c r="M88" s="90"/>
      <c r="N88" s="90"/>
      <c r="O88" s="90"/>
      <c r="P88" s="90"/>
    </row>
    <row r="89" spans="1:16">
      <c r="B89" s="90"/>
      <c r="C89" s="90"/>
      <c r="D89" s="90"/>
      <c r="E89" s="90"/>
      <c r="F89" s="90"/>
      <c r="G89" s="90"/>
      <c r="H89" s="90"/>
      <c r="I89" s="90"/>
      <c r="J89" s="90"/>
      <c r="K89" s="90"/>
      <c r="L89" s="90"/>
      <c r="M89" s="90"/>
      <c r="N89" s="90"/>
      <c r="O89" s="90"/>
      <c r="P89" s="90"/>
    </row>
    <row r="90" spans="1:16">
      <c r="B90" s="90"/>
      <c r="C90" s="90"/>
      <c r="D90" s="90"/>
      <c r="E90" s="90"/>
      <c r="F90" s="90"/>
      <c r="G90" s="90"/>
      <c r="H90" s="90"/>
      <c r="I90" s="90"/>
      <c r="J90" s="90"/>
      <c r="K90" s="90"/>
      <c r="L90" s="90"/>
      <c r="M90" s="90"/>
      <c r="N90" s="90"/>
      <c r="O90" s="90"/>
      <c r="P90" s="90"/>
    </row>
    <row r="91" spans="1:16">
      <c r="B91" s="90"/>
      <c r="C91" s="90"/>
      <c r="D91" s="90"/>
      <c r="E91" s="90"/>
      <c r="F91" s="90"/>
      <c r="G91" s="90"/>
      <c r="H91" s="90"/>
      <c r="I91" s="90"/>
      <c r="J91" s="90"/>
      <c r="K91" s="90"/>
      <c r="L91" s="90"/>
      <c r="M91" s="90"/>
      <c r="N91" s="90"/>
      <c r="O91" s="90"/>
      <c r="P91" s="90"/>
    </row>
    <row r="92" spans="1:16">
      <c r="B92" s="90"/>
      <c r="C92" s="90"/>
      <c r="D92" s="90"/>
      <c r="E92" s="90"/>
      <c r="F92" s="90"/>
      <c r="G92" s="90"/>
      <c r="H92" s="90"/>
      <c r="I92" s="90"/>
      <c r="J92" s="90"/>
      <c r="K92" s="90"/>
      <c r="L92" s="90"/>
      <c r="M92" s="90"/>
      <c r="N92" s="90"/>
      <c r="O92" s="90"/>
      <c r="P92" s="90"/>
    </row>
    <row r="93" spans="1:16">
      <c r="B93" s="90"/>
      <c r="C93" s="90"/>
      <c r="D93" s="90"/>
      <c r="E93" s="90"/>
      <c r="F93" s="90"/>
      <c r="G93" s="90"/>
      <c r="H93" s="90"/>
      <c r="I93" s="90"/>
      <c r="J93" s="90"/>
      <c r="K93" s="90"/>
      <c r="L93" s="90"/>
      <c r="M93" s="90"/>
      <c r="N93" s="90"/>
      <c r="O93" s="90"/>
      <c r="P93" s="90"/>
    </row>
    <row r="94" spans="1:16">
      <c r="B94" s="90"/>
      <c r="C94" s="90"/>
      <c r="D94" s="90"/>
      <c r="E94" s="90"/>
      <c r="F94" s="90"/>
      <c r="G94" s="90"/>
      <c r="H94" s="90"/>
      <c r="I94" s="90"/>
      <c r="J94" s="90"/>
      <c r="K94" s="90"/>
      <c r="L94" s="90"/>
      <c r="M94" s="90"/>
      <c r="N94" s="90"/>
      <c r="O94" s="90"/>
      <c r="P94" s="90"/>
    </row>
    <row r="95" spans="1:16">
      <c r="B95" s="90"/>
      <c r="C95" s="90"/>
      <c r="D95" s="90"/>
      <c r="E95" s="90"/>
      <c r="F95" s="90"/>
      <c r="G95" s="90"/>
      <c r="H95" s="90"/>
      <c r="I95" s="90"/>
      <c r="J95" s="90"/>
      <c r="K95" s="90"/>
      <c r="L95" s="90"/>
      <c r="M95" s="90"/>
      <c r="N95" s="90"/>
      <c r="O95" s="90"/>
      <c r="P95" s="90"/>
    </row>
    <row r="96" spans="1:16">
      <c r="B96" s="90"/>
      <c r="C96" s="90"/>
      <c r="D96" s="90"/>
      <c r="E96" s="90"/>
      <c r="F96" s="90"/>
      <c r="G96" s="90"/>
      <c r="H96" s="90"/>
      <c r="I96" s="90"/>
      <c r="J96" s="90"/>
      <c r="K96" s="90"/>
      <c r="L96" s="90"/>
      <c r="M96" s="90"/>
      <c r="N96" s="90"/>
      <c r="O96" s="90"/>
      <c r="P96" s="90"/>
    </row>
    <row r="97" spans="2:16">
      <c r="B97" s="90"/>
      <c r="C97" s="90"/>
      <c r="D97" s="90"/>
      <c r="E97" s="90"/>
      <c r="F97" s="90"/>
      <c r="G97" s="90"/>
      <c r="H97" s="90"/>
      <c r="I97" s="90"/>
      <c r="J97" s="90"/>
      <c r="K97" s="90"/>
      <c r="L97" s="90"/>
      <c r="M97" s="90"/>
      <c r="N97" s="90"/>
      <c r="O97" s="90"/>
      <c r="P97" s="90"/>
    </row>
    <row r="98" spans="2:16">
      <c r="B98" s="90"/>
      <c r="C98" s="90"/>
      <c r="D98" s="90"/>
      <c r="E98" s="90"/>
      <c r="F98" s="90"/>
      <c r="G98" s="90"/>
      <c r="H98" s="90"/>
      <c r="I98" s="90"/>
      <c r="J98" s="90"/>
      <c r="K98" s="90"/>
      <c r="L98" s="90"/>
      <c r="M98" s="90"/>
      <c r="N98" s="90"/>
      <c r="O98" s="90"/>
      <c r="P98" s="90"/>
    </row>
    <row r="99" spans="2:16">
      <c r="B99" s="90"/>
      <c r="C99" s="90"/>
      <c r="D99" s="90"/>
      <c r="E99" s="90"/>
      <c r="F99" s="90"/>
      <c r="G99" s="90"/>
      <c r="H99" s="90"/>
      <c r="I99" s="90"/>
      <c r="J99" s="90"/>
      <c r="K99" s="90"/>
      <c r="L99" s="90"/>
      <c r="M99" s="90"/>
      <c r="N99" s="90"/>
      <c r="O99" s="90"/>
      <c r="P99" s="90"/>
    </row>
    <row r="278" spans="2:2">
      <c r="B278" s="53"/>
    </row>
  </sheetData>
  <autoFilter ref="A4:DB277"/>
  <mergeCells count="2">
    <mergeCell ref="J3:O3"/>
    <mergeCell ref="P3:Q3"/>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6</vt:i4>
      </vt:variant>
    </vt:vector>
  </HeadingPairs>
  <TitlesOfParts>
    <vt:vector size="24" baseType="lpstr">
      <vt:lpstr>7PSourceSummary</vt:lpstr>
      <vt:lpstr>forRPM</vt:lpstr>
      <vt:lpstr>SC-Retro</vt:lpstr>
      <vt:lpstr>Applicability</vt:lpstr>
      <vt:lpstr>M_Input_Out</vt:lpstr>
      <vt:lpstr>M_Input</vt:lpstr>
      <vt:lpstr>Segmented</vt:lpstr>
      <vt:lpstr>Weighting</vt:lpstr>
      <vt:lpstr>Composite</vt:lpstr>
      <vt:lpstr>Raw RTF</vt:lpstr>
      <vt:lpstr>MHshell</vt:lpstr>
      <vt:lpstr>RBSA Weights</vt:lpstr>
      <vt:lpstr>Achievements</vt:lpstr>
      <vt:lpstr>SEEM Results</vt:lpstr>
      <vt:lpstr>SEEMsavings</vt:lpstr>
      <vt:lpstr>Costs</vt:lpstr>
      <vt:lpstr>ETO SF Insulation Cost Data</vt:lpstr>
      <vt:lpstr>ETO MF Window Cost</vt:lpstr>
      <vt:lpstr>AtticCost</vt:lpstr>
      <vt:lpstr>Deflator</vt:lpstr>
      <vt:lpstr>FloorCost</vt:lpstr>
      <vt:lpstr>MeasureOutput</vt:lpstr>
      <vt:lpstr>MHshell</vt:lpstr>
      <vt:lpstr>WallCost</vt:lpstr>
    </vt:vector>
  </TitlesOfParts>
  <Company>Northwest Power and Conservation Council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Tina Jayaweera</dc:creator>
  <cp:lastModifiedBy>Tina Jayaweera</cp:lastModifiedBy>
  <dcterms:created xsi:type="dcterms:W3CDTF">2014-08-14T17:54:07Z</dcterms:created>
  <dcterms:modified xsi:type="dcterms:W3CDTF">2015-03-12T23:23:33Z</dcterms:modified>
</cp:coreProperties>
</file>